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dehez\Desktop\A jeter\"/>
    </mc:Choice>
  </mc:AlternateContent>
  <xr:revisionPtr revIDLastSave="0" documentId="13_ncr:1_{57A445C2-9F60-407B-A700-D0F33C4DB45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truc" sheetId="4" r:id="rId1"/>
    <sheet name="CUMUL" sheetId="9" r:id="rId2"/>
    <sheet name="calendrier" sheetId="8" r:id="rId3"/>
    <sheet name="param" sheetId="7" r:id="rId4"/>
  </sheets>
  <definedNames>
    <definedName name="_HS">param!$B$1</definedName>
    <definedName name="_JF">calendrier!$C:$C</definedName>
    <definedName name="debut">calendrier!$B$1</definedName>
    <definedName name="Segment_Année">#N/A</definedName>
    <definedName name="Segment_Mois">#N/A</definedName>
    <definedName name="Segment_Semain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  <x14:slicerCache r:id="rId6"/>
        <x14:slicerCache r:id="rId7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4" i="9" l="1"/>
  <c r="F5" i="9" s="1"/>
  <c r="F6" i="9" s="1"/>
  <c r="F7" i="9" s="1"/>
  <c r="F8" i="9" s="1"/>
  <c r="F9" i="9" s="1"/>
  <c r="F10" i="9" s="1"/>
  <c r="F11" i="9" s="1"/>
  <c r="F12" i="9" s="1"/>
  <c r="F13" i="9" s="1"/>
  <c r="F3" i="9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C2" i="4" l="1"/>
  <c r="A3" i="8" l="1"/>
  <c r="J466" i="4" l="1"/>
  <c r="K466" i="4"/>
  <c r="L5" i="4" l="1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66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89" i="4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38" i="4"/>
  <c r="L439" i="4"/>
  <c r="L440" i="4"/>
  <c r="L441" i="4"/>
  <c r="L442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59" i="4"/>
  <c r="L460" i="4"/>
  <c r="L461" i="4"/>
  <c r="L462" i="4"/>
  <c r="L463" i="4"/>
  <c r="L464" i="4"/>
  <c r="L465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B18" i="4" s="1"/>
  <c r="C19" i="4"/>
  <c r="C20" i="4"/>
  <c r="C21" i="4"/>
  <c r="C22" i="4"/>
  <c r="C23" i="4"/>
  <c r="C24" i="4"/>
  <c r="C25" i="4"/>
  <c r="B25" i="4" s="1"/>
  <c r="C26" i="4"/>
  <c r="C27" i="4"/>
  <c r="C28" i="4"/>
  <c r="C29" i="4"/>
  <c r="C30" i="4"/>
  <c r="C31" i="4"/>
  <c r="C32" i="4"/>
  <c r="B32" i="4" s="1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B46" i="4" s="1"/>
  <c r="C47" i="4"/>
  <c r="C48" i="4"/>
  <c r="C49" i="4"/>
  <c r="C50" i="4"/>
  <c r="C51" i="4"/>
  <c r="C52" i="4"/>
  <c r="C53" i="4"/>
  <c r="B53" i="4" s="1"/>
  <c r="C54" i="4"/>
  <c r="C55" i="4"/>
  <c r="C56" i="4"/>
  <c r="C57" i="4"/>
  <c r="C58" i="4"/>
  <c r="C59" i="4"/>
  <c r="C60" i="4"/>
  <c r="B60" i="4" s="1"/>
  <c r="C61" i="4"/>
  <c r="C62" i="4"/>
  <c r="C63" i="4"/>
  <c r="C64" i="4"/>
  <c r="C65" i="4"/>
  <c r="C66" i="4"/>
  <c r="C67" i="4"/>
  <c r="B67" i="4" s="1"/>
  <c r="C68" i="4"/>
  <c r="C69" i="4"/>
  <c r="C70" i="4"/>
  <c r="C71" i="4"/>
  <c r="C72" i="4"/>
  <c r="C73" i="4"/>
  <c r="C74" i="4"/>
  <c r="B74" i="4" s="1"/>
  <c r="C75" i="4"/>
  <c r="C76" i="4"/>
  <c r="C77" i="4"/>
  <c r="C78" i="4"/>
  <c r="C79" i="4"/>
  <c r="C80" i="4"/>
  <c r="C81" i="4"/>
  <c r="B81" i="4" s="1"/>
  <c r="C82" i="4"/>
  <c r="C83" i="4"/>
  <c r="C84" i="4"/>
  <c r="C85" i="4"/>
  <c r="C86" i="4"/>
  <c r="C87" i="4"/>
  <c r="C88" i="4"/>
  <c r="B88" i="4" s="1"/>
  <c r="C89" i="4"/>
  <c r="C90" i="4"/>
  <c r="C91" i="4"/>
  <c r="C92" i="4"/>
  <c r="C93" i="4"/>
  <c r="C94" i="4"/>
  <c r="C95" i="4"/>
  <c r="B95" i="4" s="1"/>
  <c r="C96" i="4"/>
  <c r="C97" i="4"/>
  <c r="C98" i="4"/>
  <c r="C99" i="4"/>
  <c r="C100" i="4"/>
  <c r="C101" i="4"/>
  <c r="C102" i="4"/>
  <c r="B102" i="4" s="1"/>
  <c r="C103" i="4"/>
  <c r="C104" i="4"/>
  <c r="C105" i="4"/>
  <c r="C106" i="4"/>
  <c r="C107" i="4"/>
  <c r="C108" i="4"/>
  <c r="C109" i="4"/>
  <c r="B109" i="4" s="1"/>
  <c r="C110" i="4"/>
  <c r="C111" i="4"/>
  <c r="C112" i="4"/>
  <c r="C113" i="4"/>
  <c r="C114" i="4"/>
  <c r="C115" i="4"/>
  <c r="C116" i="4"/>
  <c r="B116" i="4" s="1"/>
  <c r="C117" i="4"/>
  <c r="C118" i="4"/>
  <c r="C119" i="4"/>
  <c r="C120" i="4"/>
  <c r="C121" i="4"/>
  <c r="C122" i="4"/>
  <c r="C123" i="4"/>
  <c r="B123" i="4" s="1"/>
  <c r="C124" i="4"/>
  <c r="C125" i="4"/>
  <c r="C126" i="4"/>
  <c r="C127" i="4"/>
  <c r="C128" i="4"/>
  <c r="C129" i="4"/>
  <c r="C130" i="4"/>
  <c r="B130" i="4" s="1"/>
  <c r="C131" i="4"/>
  <c r="C132" i="4"/>
  <c r="C133" i="4"/>
  <c r="C134" i="4"/>
  <c r="C135" i="4"/>
  <c r="C136" i="4"/>
  <c r="C137" i="4"/>
  <c r="B137" i="4" s="1"/>
  <c r="C138" i="4"/>
  <c r="C139" i="4"/>
  <c r="C140" i="4"/>
  <c r="C141" i="4"/>
  <c r="C142" i="4"/>
  <c r="C143" i="4"/>
  <c r="C144" i="4"/>
  <c r="B144" i="4" s="1"/>
  <c r="C145" i="4"/>
  <c r="C146" i="4"/>
  <c r="C147" i="4"/>
  <c r="C148" i="4"/>
  <c r="C149" i="4"/>
  <c r="C150" i="4"/>
  <c r="C151" i="4"/>
  <c r="B151" i="4" s="1"/>
  <c r="C152" i="4"/>
  <c r="C153" i="4"/>
  <c r="C154" i="4"/>
  <c r="C155" i="4"/>
  <c r="C156" i="4"/>
  <c r="C157" i="4"/>
  <c r="C158" i="4"/>
  <c r="B158" i="4" s="1"/>
  <c r="C159" i="4"/>
  <c r="C160" i="4"/>
  <c r="C161" i="4"/>
  <c r="C162" i="4"/>
  <c r="C163" i="4"/>
  <c r="C164" i="4"/>
  <c r="C165" i="4"/>
  <c r="B165" i="4" s="1"/>
  <c r="C166" i="4"/>
  <c r="C167" i="4"/>
  <c r="C168" i="4"/>
  <c r="C169" i="4"/>
  <c r="C170" i="4"/>
  <c r="C171" i="4"/>
  <c r="C172" i="4"/>
  <c r="B172" i="4" s="1"/>
  <c r="C173" i="4"/>
  <c r="C174" i="4"/>
  <c r="C175" i="4"/>
  <c r="C176" i="4"/>
  <c r="C177" i="4"/>
  <c r="C178" i="4"/>
  <c r="C179" i="4"/>
  <c r="B179" i="4" s="1"/>
  <c r="C180" i="4"/>
  <c r="C181" i="4"/>
  <c r="C182" i="4"/>
  <c r="C183" i="4"/>
  <c r="C184" i="4"/>
  <c r="C185" i="4"/>
  <c r="C186" i="4"/>
  <c r="B186" i="4" s="1"/>
  <c r="C187" i="4"/>
  <c r="C188" i="4"/>
  <c r="C189" i="4"/>
  <c r="C190" i="4"/>
  <c r="C191" i="4"/>
  <c r="C192" i="4"/>
  <c r="C193" i="4"/>
  <c r="B193" i="4" s="1"/>
  <c r="C194" i="4"/>
  <c r="C195" i="4"/>
  <c r="C196" i="4"/>
  <c r="C197" i="4"/>
  <c r="C198" i="4"/>
  <c r="C199" i="4"/>
  <c r="C200" i="4"/>
  <c r="B200" i="4" s="1"/>
  <c r="C201" i="4"/>
  <c r="C202" i="4"/>
  <c r="C203" i="4"/>
  <c r="C204" i="4"/>
  <c r="C205" i="4"/>
  <c r="C206" i="4"/>
  <c r="C207" i="4"/>
  <c r="B207" i="4" s="1"/>
  <c r="C208" i="4"/>
  <c r="C209" i="4"/>
  <c r="C210" i="4"/>
  <c r="C211" i="4"/>
  <c r="C212" i="4"/>
  <c r="C213" i="4"/>
  <c r="C214" i="4"/>
  <c r="B214" i="4" s="1"/>
  <c r="C215" i="4"/>
  <c r="C216" i="4"/>
  <c r="C217" i="4"/>
  <c r="C218" i="4"/>
  <c r="C219" i="4"/>
  <c r="C220" i="4"/>
  <c r="C221" i="4"/>
  <c r="B221" i="4" s="1"/>
  <c r="C222" i="4"/>
  <c r="C223" i="4"/>
  <c r="C224" i="4"/>
  <c r="C225" i="4"/>
  <c r="C226" i="4"/>
  <c r="C227" i="4"/>
  <c r="C228" i="4"/>
  <c r="B228" i="4" s="1"/>
  <c r="C229" i="4"/>
  <c r="C230" i="4"/>
  <c r="C231" i="4"/>
  <c r="C232" i="4"/>
  <c r="C233" i="4"/>
  <c r="C234" i="4"/>
  <c r="C235" i="4"/>
  <c r="B235" i="4" s="1"/>
  <c r="C236" i="4"/>
  <c r="C237" i="4"/>
  <c r="C238" i="4"/>
  <c r="C239" i="4"/>
  <c r="C240" i="4"/>
  <c r="C241" i="4"/>
  <c r="C242" i="4"/>
  <c r="B242" i="4" s="1"/>
  <c r="C243" i="4"/>
  <c r="C244" i="4"/>
  <c r="C245" i="4"/>
  <c r="C246" i="4"/>
  <c r="C247" i="4"/>
  <c r="C248" i="4"/>
  <c r="C249" i="4"/>
  <c r="B249" i="4" s="1"/>
  <c r="C250" i="4"/>
  <c r="C251" i="4"/>
  <c r="C252" i="4"/>
  <c r="C253" i="4"/>
  <c r="C254" i="4"/>
  <c r="C255" i="4"/>
  <c r="C256" i="4"/>
  <c r="B256" i="4" s="1"/>
  <c r="C257" i="4"/>
  <c r="C258" i="4"/>
  <c r="C259" i="4"/>
  <c r="C260" i="4"/>
  <c r="C261" i="4"/>
  <c r="C262" i="4"/>
  <c r="C263" i="4"/>
  <c r="B263" i="4" s="1"/>
  <c r="C264" i="4"/>
  <c r="C265" i="4"/>
  <c r="C266" i="4"/>
  <c r="C267" i="4"/>
  <c r="C268" i="4"/>
  <c r="C269" i="4"/>
  <c r="C270" i="4"/>
  <c r="B270" i="4" s="1"/>
  <c r="C271" i="4"/>
  <c r="C272" i="4"/>
  <c r="C273" i="4"/>
  <c r="C274" i="4"/>
  <c r="C275" i="4"/>
  <c r="C276" i="4"/>
  <c r="C277" i="4"/>
  <c r="B277" i="4" s="1"/>
  <c r="C278" i="4"/>
  <c r="C279" i="4"/>
  <c r="C280" i="4"/>
  <c r="C281" i="4"/>
  <c r="C282" i="4"/>
  <c r="C283" i="4"/>
  <c r="C284" i="4"/>
  <c r="B284" i="4" s="1"/>
  <c r="C285" i="4"/>
  <c r="C286" i="4"/>
  <c r="C287" i="4"/>
  <c r="C288" i="4"/>
  <c r="C289" i="4"/>
  <c r="C290" i="4"/>
  <c r="C291" i="4"/>
  <c r="B291" i="4" s="1"/>
  <c r="C292" i="4"/>
  <c r="C293" i="4"/>
  <c r="C294" i="4"/>
  <c r="C295" i="4"/>
  <c r="C296" i="4"/>
  <c r="C297" i="4"/>
  <c r="C298" i="4"/>
  <c r="B298" i="4" s="1"/>
  <c r="C299" i="4"/>
  <c r="C300" i="4"/>
  <c r="C301" i="4"/>
  <c r="C302" i="4"/>
  <c r="C303" i="4"/>
  <c r="C304" i="4"/>
  <c r="C305" i="4"/>
  <c r="B305" i="4" s="1"/>
  <c r="C306" i="4"/>
  <c r="C307" i="4"/>
  <c r="C308" i="4"/>
  <c r="C309" i="4"/>
  <c r="C310" i="4"/>
  <c r="C311" i="4"/>
  <c r="C312" i="4"/>
  <c r="B312" i="4" s="1"/>
  <c r="C313" i="4"/>
  <c r="C314" i="4"/>
  <c r="C315" i="4"/>
  <c r="C316" i="4"/>
  <c r="C317" i="4"/>
  <c r="C318" i="4"/>
  <c r="C319" i="4"/>
  <c r="B319" i="4" s="1"/>
  <c r="C320" i="4"/>
  <c r="C321" i="4"/>
  <c r="C322" i="4"/>
  <c r="C323" i="4"/>
  <c r="C324" i="4"/>
  <c r="C325" i="4"/>
  <c r="C326" i="4"/>
  <c r="B326" i="4" s="1"/>
  <c r="C327" i="4"/>
  <c r="C328" i="4"/>
  <c r="C329" i="4"/>
  <c r="C330" i="4"/>
  <c r="C331" i="4"/>
  <c r="C332" i="4"/>
  <c r="C333" i="4"/>
  <c r="B333" i="4" s="1"/>
  <c r="C334" i="4"/>
  <c r="C335" i="4"/>
  <c r="C336" i="4"/>
  <c r="C337" i="4"/>
  <c r="C338" i="4"/>
  <c r="C339" i="4"/>
  <c r="C340" i="4"/>
  <c r="B340" i="4" s="1"/>
  <c r="C341" i="4"/>
  <c r="C342" i="4"/>
  <c r="C343" i="4"/>
  <c r="C344" i="4"/>
  <c r="C345" i="4"/>
  <c r="C346" i="4"/>
  <c r="C347" i="4"/>
  <c r="B347" i="4" s="1"/>
  <c r="C348" i="4"/>
  <c r="C349" i="4"/>
  <c r="C350" i="4"/>
  <c r="C351" i="4"/>
  <c r="C352" i="4"/>
  <c r="C353" i="4"/>
  <c r="C354" i="4"/>
  <c r="B354" i="4" s="1"/>
  <c r="C355" i="4"/>
  <c r="C356" i="4"/>
  <c r="C357" i="4"/>
  <c r="C358" i="4"/>
  <c r="C359" i="4"/>
  <c r="C360" i="4"/>
  <c r="C361" i="4"/>
  <c r="B361" i="4" s="1"/>
  <c r="C362" i="4"/>
  <c r="C363" i="4"/>
  <c r="C364" i="4"/>
  <c r="C365" i="4"/>
  <c r="C366" i="4"/>
  <c r="C367" i="4"/>
  <c r="C368" i="4"/>
  <c r="B368" i="4" s="1"/>
  <c r="C369" i="4"/>
  <c r="C370" i="4"/>
  <c r="C371" i="4"/>
  <c r="C372" i="4"/>
  <c r="C373" i="4"/>
  <c r="C374" i="4"/>
  <c r="C375" i="4"/>
  <c r="B375" i="4" s="1"/>
  <c r="C376" i="4"/>
  <c r="C377" i="4"/>
  <c r="C378" i="4"/>
  <c r="C379" i="4"/>
  <c r="C380" i="4"/>
  <c r="C381" i="4"/>
  <c r="C382" i="4"/>
  <c r="B382" i="4" s="1"/>
  <c r="C383" i="4"/>
  <c r="C384" i="4"/>
  <c r="C385" i="4"/>
  <c r="C386" i="4"/>
  <c r="C387" i="4"/>
  <c r="C388" i="4"/>
  <c r="C389" i="4"/>
  <c r="B389" i="4" s="1"/>
  <c r="C390" i="4"/>
  <c r="C391" i="4"/>
  <c r="C392" i="4"/>
  <c r="C393" i="4"/>
  <c r="C394" i="4"/>
  <c r="C395" i="4"/>
  <c r="C396" i="4"/>
  <c r="B396" i="4" s="1"/>
  <c r="C397" i="4"/>
  <c r="C398" i="4"/>
  <c r="C399" i="4"/>
  <c r="C400" i="4"/>
  <c r="C401" i="4"/>
  <c r="C402" i="4"/>
  <c r="C403" i="4"/>
  <c r="B403" i="4" s="1"/>
  <c r="C404" i="4"/>
  <c r="C405" i="4"/>
  <c r="C406" i="4"/>
  <c r="C407" i="4"/>
  <c r="C408" i="4"/>
  <c r="C409" i="4"/>
  <c r="C410" i="4"/>
  <c r="B410" i="4" s="1"/>
  <c r="C411" i="4"/>
  <c r="C412" i="4"/>
  <c r="C413" i="4"/>
  <c r="C414" i="4"/>
  <c r="C415" i="4"/>
  <c r="C416" i="4"/>
  <c r="C417" i="4"/>
  <c r="B417" i="4" s="1"/>
  <c r="C418" i="4"/>
  <c r="C419" i="4"/>
  <c r="C420" i="4"/>
  <c r="C421" i="4"/>
  <c r="C422" i="4"/>
  <c r="C423" i="4"/>
  <c r="C424" i="4"/>
  <c r="B424" i="4" s="1"/>
  <c r="C425" i="4"/>
  <c r="C426" i="4"/>
  <c r="C427" i="4"/>
  <c r="C428" i="4"/>
  <c r="C429" i="4"/>
  <c r="C430" i="4"/>
  <c r="C431" i="4"/>
  <c r="B431" i="4" s="1"/>
  <c r="C432" i="4"/>
  <c r="C433" i="4"/>
  <c r="C434" i="4"/>
  <c r="C435" i="4"/>
  <c r="C436" i="4"/>
  <c r="C437" i="4"/>
  <c r="C438" i="4"/>
  <c r="B438" i="4" s="1"/>
  <c r="C439" i="4"/>
  <c r="C440" i="4"/>
  <c r="C441" i="4"/>
  <c r="C442" i="4"/>
  <c r="C443" i="4"/>
  <c r="C444" i="4"/>
  <c r="C445" i="4"/>
  <c r="B445" i="4" s="1"/>
  <c r="C446" i="4"/>
  <c r="C447" i="4"/>
  <c r="C448" i="4"/>
  <c r="C449" i="4"/>
  <c r="C450" i="4"/>
  <c r="C451" i="4"/>
  <c r="C452" i="4"/>
  <c r="B452" i="4" s="1"/>
  <c r="C453" i="4"/>
  <c r="C454" i="4"/>
  <c r="C455" i="4"/>
  <c r="C456" i="4"/>
  <c r="C457" i="4"/>
  <c r="C458" i="4"/>
  <c r="C459" i="4"/>
  <c r="B459" i="4" s="1"/>
  <c r="C460" i="4"/>
  <c r="C461" i="4"/>
  <c r="C462" i="4"/>
  <c r="C463" i="4"/>
  <c r="C464" i="4"/>
  <c r="C465" i="4"/>
  <c r="M463" i="4" l="1"/>
  <c r="B463" i="4"/>
  <c r="M451" i="4"/>
  <c r="B451" i="4"/>
  <c r="M443" i="4"/>
  <c r="B443" i="4"/>
  <c r="M435" i="4"/>
  <c r="B435" i="4"/>
  <c r="M423" i="4"/>
  <c r="B423" i="4"/>
  <c r="M415" i="4"/>
  <c r="B415" i="4"/>
  <c r="M407" i="4"/>
  <c r="B407" i="4"/>
  <c r="M395" i="4"/>
  <c r="B395" i="4"/>
  <c r="M387" i="4"/>
  <c r="B387" i="4"/>
  <c r="M379" i="4"/>
  <c r="B379" i="4"/>
  <c r="M367" i="4"/>
  <c r="B367" i="4"/>
  <c r="M363" i="4"/>
  <c r="B363" i="4"/>
  <c r="M355" i="4"/>
  <c r="B355" i="4"/>
  <c r="M343" i="4"/>
  <c r="B343" i="4"/>
  <c r="M307" i="4"/>
  <c r="B307" i="4"/>
  <c r="M299" i="4"/>
  <c r="B299" i="4"/>
  <c r="M287" i="4"/>
  <c r="B287" i="4"/>
  <c r="M227" i="4"/>
  <c r="B227" i="4"/>
  <c r="M219" i="4"/>
  <c r="B219" i="4"/>
  <c r="M211" i="4"/>
  <c r="B211" i="4"/>
  <c r="M199" i="4"/>
  <c r="B199" i="4"/>
  <c r="M191" i="4"/>
  <c r="B191" i="4"/>
  <c r="M183" i="4"/>
  <c r="B183" i="4"/>
  <c r="M171" i="4"/>
  <c r="B171" i="4"/>
  <c r="M167" i="4"/>
  <c r="B167" i="4"/>
  <c r="M159" i="4"/>
  <c r="B159" i="4"/>
  <c r="M147" i="4"/>
  <c r="B147" i="4"/>
  <c r="M139" i="4"/>
  <c r="B139" i="4"/>
  <c r="M131" i="4"/>
  <c r="B131" i="4"/>
  <c r="M119" i="4"/>
  <c r="B119" i="4"/>
  <c r="M111" i="4"/>
  <c r="B111" i="4"/>
  <c r="M107" i="4"/>
  <c r="B107" i="4"/>
  <c r="M99" i="4"/>
  <c r="B99" i="4"/>
  <c r="M87" i="4"/>
  <c r="B87" i="4"/>
  <c r="M79" i="4"/>
  <c r="B79" i="4"/>
  <c r="M71" i="4"/>
  <c r="B71" i="4"/>
  <c r="M59" i="4"/>
  <c r="B59" i="4"/>
  <c r="M47" i="4"/>
  <c r="B47" i="4"/>
  <c r="M35" i="4"/>
  <c r="B35" i="4"/>
  <c r="M27" i="4"/>
  <c r="B27" i="4"/>
  <c r="M15" i="4"/>
  <c r="N15" i="4" s="1"/>
  <c r="P15" i="4" s="1"/>
  <c r="B15" i="4"/>
  <c r="M462" i="4"/>
  <c r="B462" i="4"/>
  <c r="M458" i="4"/>
  <c r="B458" i="4"/>
  <c r="M454" i="4"/>
  <c r="B454" i="4"/>
  <c r="M450" i="4"/>
  <c r="B450" i="4"/>
  <c r="M446" i="4"/>
  <c r="B446" i="4"/>
  <c r="M442" i="4"/>
  <c r="B442" i="4"/>
  <c r="M434" i="4"/>
  <c r="B434" i="4"/>
  <c r="M430" i="4"/>
  <c r="B430" i="4"/>
  <c r="M426" i="4"/>
  <c r="B426" i="4"/>
  <c r="M422" i="4"/>
  <c r="B422" i="4"/>
  <c r="M418" i="4"/>
  <c r="B418" i="4"/>
  <c r="M414" i="4"/>
  <c r="B414" i="4"/>
  <c r="M406" i="4"/>
  <c r="B406" i="4"/>
  <c r="M402" i="4"/>
  <c r="B402" i="4"/>
  <c r="M398" i="4"/>
  <c r="B398" i="4"/>
  <c r="M394" i="4"/>
  <c r="B394" i="4"/>
  <c r="M390" i="4"/>
  <c r="B390" i="4"/>
  <c r="M386" i="4"/>
  <c r="B386" i="4"/>
  <c r="M378" i="4"/>
  <c r="B378" i="4"/>
  <c r="M374" i="4"/>
  <c r="B374" i="4"/>
  <c r="M370" i="4"/>
  <c r="B370" i="4"/>
  <c r="M366" i="4"/>
  <c r="B366" i="4"/>
  <c r="M362" i="4"/>
  <c r="B362" i="4"/>
  <c r="M358" i="4"/>
  <c r="B358" i="4"/>
  <c r="M350" i="4"/>
  <c r="B350" i="4"/>
  <c r="M346" i="4"/>
  <c r="B346" i="4"/>
  <c r="M342" i="4"/>
  <c r="B342" i="4"/>
  <c r="M338" i="4"/>
  <c r="B338" i="4"/>
  <c r="M334" i="4"/>
  <c r="B334" i="4"/>
  <c r="M330" i="4"/>
  <c r="B330" i="4"/>
  <c r="M322" i="4"/>
  <c r="B322" i="4"/>
  <c r="M318" i="4"/>
  <c r="B318" i="4"/>
  <c r="M314" i="4"/>
  <c r="B314" i="4"/>
  <c r="M310" i="4"/>
  <c r="B310" i="4"/>
  <c r="M306" i="4"/>
  <c r="B306" i="4"/>
  <c r="M302" i="4"/>
  <c r="B302" i="4"/>
  <c r="M294" i="4"/>
  <c r="B294" i="4"/>
  <c r="M290" i="4"/>
  <c r="B290" i="4"/>
  <c r="M286" i="4"/>
  <c r="B286" i="4"/>
  <c r="M282" i="4"/>
  <c r="B282" i="4"/>
  <c r="M278" i="4"/>
  <c r="B278" i="4"/>
  <c r="M274" i="4"/>
  <c r="B274" i="4"/>
  <c r="M266" i="4"/>
  <c r="B266" i="4"/>
  <c r="M262" i="4"/>
  <c r="B262" i="4"/>
  <c r="M258" i="4"/>
  <c r="B258" i="4"/>
  <c r="M254" i="4"/>
  <c r="B254" i="4"/>
  <c r="M250" i="4"/>
  <c r="B250" i="4"/>
  <c r="M246" i="4"/>
  <c r="B246" i="4"/>
  <c r="M238" i="4"/>
  <c r="B238" i="4"/>
  <c r="M234" i="4"/>
  <c r="B234" i="4"/>
  <c r="M230" i="4"/>
  <c r="B230" i="4"/>
  <c r="M226" i="4"/>
  <c r="B226" i="4"/>
  <c r="M222" i="4"/>
  <c r="B222" i="4"/>
  <c r="M218" i="4"/>
  <c r="B218" i="4"/>
  <c r="M210" i="4"/>
  <c r="B210" i="4"/>
  <c r="M206" i="4"/>
  <c r="B206" i="4"/>
  <c r="M202" i="4"/>
  <c r="B202" i="4"/>
  <c r="M198" i="4"/>
  <c r="B198" i="4"/>
  <c r="M194" i="4"/>
  <c r="B194" i="4"/>
  <c r="M190" i="4"/>
  <c r="B190" i="4"/>
  <c r="M182" i="4"/>
  <c r="B182" i="4"/>
  <c r="M178" i="4"/>
  <c r="B178" i="4"/>
  <c r="M174" i="4"/>
  <c r="B174" i="4"/>
  <c r="M170" i="4"/>
  <c r="B170" i="4"/>
  <c r="M166" i="4"/>
  <c r="B166" i="4"/>
  <c r="M162" i="4"/>
  <c r="B162" i="4"/>
  <c r="M154" i="4"/>
  <c r="B154" i="4"/>
  <c r="M150" i="4"/>
  <c r="B150" i="4"/>
  <c r="M146" i="4"/>
  <c r="B146" i="4"/>
  <c r="M142" i="4"/>
  <c r="B142" i="4"/>
  <c r="M138" i="4"/>
  <c r="B138" i="4"/>
  <c r="M134" i="4"/>
  <c r="B134" i="4"/>
  <c r="M126" i="4"/>
  <c r="B126" i="4"/>
  <c r="M122" i="4"/>
  <c r="B122" i="4"/>
  <c r="M118" i="4"/>
  <c r="B118" i="4"/>
  <c r="M114" i="4"/>
  <c r="B114" i="4"/>
  <c r="M110" i="4"/>
  <c r="B110" i="4"/>
  <c r="M106" i="4"/>
  <c r="B106" i="4"/>
  <c r="M98" i="4"/>
  <c r="B98" i="4"/>
  <c r="M94" i="4"/>
  <c r="B94" i="4"/>
  <c r="M90" i="4"/>
  <c r="B90" i="4"/>
  <c r="M86" i="4"/>
  <c r="B86" i="4"/>
  <c r="M82" i="4"/>
  <c r="B82" i="4"/>
  <c r="M78" i="4"/>
  <c r="B78" i="4"/>
  <c r="M70" i="4"/>
  <c r="B70" i="4"/>
  <c r="M66" i="4"/>
  <c r="B66" i="4"/>
  <c r="M62" i="4"/>
  <c r="B62" i="4"/>
  <c r="M58" i="4"/>
  <c r="B58" i="4"/>
  <c r="M54" i="4"/>
  <c r="B54" i="4"/>
  <c r="M50" i="4"/>
  <c r="B50" i="4"/>
  <c r="B42" i="4"/>
  <c r="B38" i="4"/>
  <c r="M34" i="4"/>
  <c r="B34" i="4"/>
  <c r="M30" i="4"/>
  <c r="B30" i="4"/>
  <c r="M26" i="4"/>
  <c r="B26" i="4"/>
  <c r="M22" i="4"/>
  <c r="B22" i="4"/>
  <c r="M14" i="4"/>
  <c r="N14" i="4" s="1"/>
  <c r="P14" i="4" s="1"/>
  <c r="B14" i="4"/>
  <c r="M10" i="4"/>
  <c r="N10" i="4" s="1"/>
  <c r="P10" i="4" s="1"/>
  <c r="B10" i="4"/>
  <c r="M6" i="4"/>
  <c r="N6" i="4" s="1"/>
  <c r="P6" i="4" s="1"/>
  <c r="B6" i="4"/>
  <c r="M447" i="4"/>
  <c r="B447" i="4"/>
  <c r="M439" i="4"/>
  <c r="B439" i="4"/>
  <c r="M427" i="4"/>
  <c r="B427" i="4"/>
  <c r="M335" i="4"/>
  <c r="B335" i="4"/>
  <c r="M331" i="4"/>
  <c r="B331" i="4"/>
  <c r="M323" i="4"/>
  <c r="B323" i="4"/>
  <c r="M311" i="4"/>
  <c r="B311" i="4"/>
  <c r="M303" i="4"/>
  <c r="B303" i="4"/>
  <c r="M295" i="4"/>
  <c r="B295" i="4"/>
  <c r="M283" i="4"/>
  <c r="B283" i="4"/>
  <c r="M275" i="4"/>
  <c r="B275" i="4"/>
  <c r="M267" i="4"/>
  <c r="B267" i="4"/>
  <c r="M255" i="4"/>
  <c r="B255" i="4"/>
  <c r="M247" i="4"/>
  <c r="B247" i="4"/>
  <c r="M243" i="4"/>
  <c r="B243" i="4"/>
  <c r="M231" i="4"/>
  <c r="B231" i="4"/>
  <c r="M223" i="4"/>
  <c r="B223" i="4"/>
  <c r="M215" i="4"/>
  <c r="B215" i="4"/>
  <c r="M203" i="4"/>
  <c r="B203" i="4"/>
  <c r="M55" i="4"/>
  <c r="B55" i="4"/>
  <c r="M43" i="4"/>
  <c r="B43" i="4"/>
  <c r="M31" i="4"/>
  <c r="B31" i="4"/>
  <c r="M19" i="4"/>
  <c r="B19" i="4"/>
  <c r="M7" i="4"/>
  <c r="N7" i="4" s="1"/>
  <c r="P7" i="4" s="1"/>
  <c r="B7" i="4"/>
  <c r="M465" i="4"/>
  <c r="B465" i="4"/>
  <c r="M461" i="4"/>
  <c r="B461" i="4"/>
  <c r="M457" i="4"/>
  <c r="B457" i="4"/>
  <c r="M453" i="4"/>
  <c r="B453" i="4"/>
  <c r="M449" i="4"/>
  <c r="B449" i="4"/>
  <c r="M441" i="4"/>
  <c r="B441" i="4"/>
  <c r="M437" i="4"/>
  <c r="B437" i="4"/>
  <c r="M433" i="4"/>
  <c r="B433" i="4"/>
  <c r="M429" i="4"/>
  <c r="B429" i="4"/>
  <c r="M425" i="4"/>
  <c r="B425" i="4"/>
  <c r="M421" i="4"/>
  <c r="B421" i="4"/>
  <c r="M413" i="4"/>
  <c r="B413" i="4"/>
  <c r="M409" i="4"/>
  <c r="B409" i="4"/>
  <c r="M405" i="4"/>
  <c r="B405" i="4"/>
  <c r="M401" i="4"/>
  <c r="B401" i="4"/>
  <c r="M397" i="4"/>
  <c r="B397" i="4"/>
  <c r="M393" i="4"/>
  <c r="B393" i="4"/>
  <c r="M385" i="4"/>
  <c r="B385" i="4"/>
  <c r="M381" i="4"/>
  <c r="B381" i="4"/>
  <c r="M377" i="4"/>
  <c r="B377" i="4"/>
  <c r="M373" i="4"/>
  <c r="B373" i="4"/>
  <c r="M369" i="4"/>
  <c r="B369" i="4"/>
  <c r="M365" i="4"/>
  <c r="B365" i="4"/>
  <c r="M357" i="4"/>
  <c r="B357" i="4"/>
  <c r="M353" i="4"/>
  <c r="B353" i="4"/>
  <c r="M349" i="4"/>
  <c r="B349" i="4"/>
  <c r="M345" i="4"/>
  <c r="B345" i="4"/>
  <c r="M341" i="4"/>
  <c r="B341" i="4"/>
  <c r="M337" i="4"/>
  <c r="B337" i="4"/>
  <c r="M329" i="4"/>
  <c r="B329" i="4"/>
  <c r="M325" i="4"/>
  <c r="B325" i="4"/>
  <c r="M321" i="4"/>
  <c r="B321" i="4"/>
  <c r="M317" i="4"/>
  <c r="B317" i="4"/>
  <c r="M313" i="4"/>
  <c r="B313" i="4"/>
  <c r="M309" i="4"/>
  <c r="B309" i="4"/>
  <c r="M301" i="4"/>
  <c r="B301" i="4"/>
  <c r="M297" i="4"/>
  <c r="B297" i="4"/>
  <c r="M293" i="4"/>
  <c r="B293" i="4"/>
  <c r="M289" i="4"/>
  <c r="B289" i="4"/>
  <c r="M285" i="4"/>
  <c r="B285" i="4"/>
  <c r="M281" i="4"/>
  <c r="B281" i="4"/>
  <c r="M273" i="4"/>
  <c r="B273" i="4"/>
  <c r="M269" i="4"/>
  <c r="B269" i="4"/>
  <c r="M265" i="4"/>
  <c r="B265" i="4"/>
  <c r="M261" i="4"/>
  <c r="B261" i="4"/>
  <c r="M257" i="4"/>
  <c r="B257" i="4"/>
  <c r="M253" i="4"/>
  <c r="B253" i="4"/>
  <c r="M245" i="4"/>
  <c r="B245" i="4"/>
  <c r="M241" i="4"/>
  <c r="B241" i="4"/>
  <c r="M237" i="4"/>
  <c r="B237" i="4"/>
  <c r="M233" i="4"/>
  <c r="B233" i="4"/>
  <c r="M229" i="4"/>
  <c r="B229" i="4"/>
  <c r="M225" i="4"/>
  <c r="B225" i="4"/>
  <c r="M217" i="4"/>
  <c r="B217" i="4"/>
  <c r="M213" i="4"/>
  <c r="B213" i="4"/>
  <c r="M209" i="4"/>
  <c r="B209" i="4"/>
  <c r="M205" i="4"/>
  <c r="B205" i="4"/>
  <c r="M201" i="4"/>
  <c r="B201" i="4"/>
  <c r="M197" i="4"/>
  <c r="B197" i="4"/>
  <c r="M189" i="4"/>
  <c r="B189" i="4"/>
  <c r="M185" i="4"/>
  <c r="B185" i="4"/>
  <c r="M181" i="4"/>
  <c r="B181" i="4"/>
  <c r="M177" i="4"/>
  <c r="B177" i="4"/>
  <c r="M173" i="4"/>
  <c r="B173" i="4"/>
  <c r="M169" i="4"/>
  <c r="B169" i="4"/>
  <c r="M161" i="4"/>
  <c r="B161" i="4"/>
  <c r="M157" i="4"/>
  <c r="B157" i="4"/>
  <c r="M153" i="4"/>
  <c r="B153" i="4"/>
  <c r="M149" i="4"/>
  <c r="B149" i="4"/>
  <c r="M145" i="4"/>
  <c r="B145" i="4"/>
  <c r="M141" i="4"/>
  <c r="B141" i="4"/>
  <c r="M133" i="4"/>
  <c r="B133" i="4"/>
  <c r="M129" i="4"/>
  <c r="B129" i="4"/>
  <c r="M125" i="4"/>
  <c r="B125" i="4"/>
  <c r="M121" i="4"/>
  <c r="B121" i="4"/>
  <c r="M117" i="4"/>
  <c r="B117" i="4"/>
  <c r="M113" i="4"/>
  <c r="B113" i="4"/>
  <c r="M105" i="4"/>
  <c r="B105" i="4"/>
  <c r="M101" i="4"/>
  <c r="B101" i="4"/>
  <c r="M97" i="4"/>
  <c r="B97" i="4"/>
  <c r="M93" i="4"/>
  <c r="B93" i="4"/>
  <c r="M89" i="4"/>
  <c r="B89" i="4"/>
  <c r="M85" i="4"/>
  <c r="B85" i="4"/>
  <c r="M77" i="4"/>
  <c r="B77" i="4"/>
  <c r="M73" i="4"/>
  <c r="B73" i="4"/>
  <c r="M69" i="4"/>
  <c r="B69" i="4"/>
  <c r="M65" i="4"/>
  <c r="B65" i="4"/>
  <c r="M61" i="4"/>
  <c r="B61" i="4"/>
  <c r="M57" i="4"/>
  <c r="B57" i="4"/>
  <c r="M49" i="4"/>
  <c r="B49" i="4"/>
  <c r="M45" i="4"/>
  <c r="B45" i="4"/>
  <c r="B41" i="4"/>
  <c r="B37" i="4"/>
  <c r="M33" i="4"/>
  <c r="B33" i="4"/>
  <c r="M29" i="4"/>
  <c r="B29" i="4"/>
  <c r="M21" i="4"/>
  <c r="B21" i="4"/>
  <c r="M17" i="4"/>
  <c r="N17" i="4" s="1"/>
  <c r="P17" i="4" s="1"/>
  <c r="B17" i="4"/>
  <c r="M13" i="4"/>
  <c r="N13" i="4" s="1"/>
  <c r="P13" i="4" s="1"/>
  <c r="B13" i="4"/>
  <c r="M9" i="4"/>
  <c r="N9" i="4" s="1"/>
  <c r="P9" i="4" s="1"/>
  <c r="B9" i="4"/>
  <c r="M5" i="4"/>
  <c r="N5" i="4" s="1"/>
  <c r="P5" i="4" s="1"/>
  <c r="B5" i="4"/>
  <c r="M455" i="4"/>
  <c r="B455" i="4"/>
  <c r="M419" i="4"/>
  <c r="B419" i="4"/>
  <c r="M411" i="4"/>
  <c r="B411" i="4"/>
  <c r="M399" i="4"/>
  <c r="B399" i="4"/>
  <c r="M391" i="4"/>
  <c r="B391" i="4"/>
  <c r="M383" i="4"/>
  <c r="B383" i="4"/>
  <c r="M371" i="4"/>
  <c r="B371" i="4"/>
  <c r="M359" i="4"/>
  <c r="B359" i="4"/>
  <c r="M351" i="4"/>
  <c r="B351" i="4"/>
  <c r="M339" i="4"/>
  <c r="B339" i="4"/>
  <c r="M327" i="4"/>
  <c r="B327" i="4"/>
  <c r="M315" i="4"/>
  <c r="B315" i="4"/>
  <c r="M279" i="4"/>
  <c r="B279" i="4"/>
  <c r="M271" i="4"/>
  <c r="B271" i="4"/>
  <c r="M259" i="4"/>
  <c r="B259" i="4"/>
  <c r="M251" i="4"/>
  <c r="B251" i="4"/>
  <c r="M239" i="4"/>
  <c r="B239" i="4"/>
  <c r="M195" i="4"/>
  <c r="B195" i="4"/>
  <c r="M187" i="4"/>
  <c r="B187" i="4"/>
  <c r="M175" i="4"/>
  <c r="B175" i="4"/>
  <c r="M163" i="4"/>
  <c r="B163" i="4"/>
  <c r="M155" i="4"/>
  <c r="B155" i="4"/>
  <c r="M143" i="4"/>
  <c r="B143" i="4"/>
  <c r="M135" i="4"/>
  <c r="B135" i="4"/>
  <c r="M127" i="4"/>
  <c r="B127" i="4"/>
  <c r="M115" i="4"/>
  <c r="B115" i="4"/>
  <c r="M103" i="4"/>
  <c r="B103" i="4"/>
  <c r="M91" i="4"/>
  <c r="B91" i="4"/>
  <c r="M83" i="4"/>
  <c r="B83" i="4"/>
  <c r="M75" i="4"/>
  <c r="B75" i="4"/>
  <c r="M63" i="4"/>
  <c r="B63" i="4"/>
  <c r="M51" i="4"/>
  <c r="B51" i="4"/>
  <c r="B39" i="4"/>
  <c r="M23" i="4"/>
  <c r="B23" i="4"/>
  <c r="M11" i="4"/>
  <c r="N11" i="4" s="1"/>
  <c r="P11" i="4" s="1"/>
  <c r="B11" i="4"/>
  <c r="M464" i="4"/>
  <c r="B464" i="4"/>
  <c r="M460" i="4"/>
  <c r="B460" i="4"/>
  <c r="M456" i="4"/>
  <c r="B456" i="4"/>
  <c r="M448" i="4"/>
  <c r="B448" i="4"/>
  <c r="M444" i="4"/>
  <c r="B444" i="4"/>
  <c r="M440" i="4"/>
  <c r="B440" i="4"/>
  <c r="M436" i="4"/>
  <c r="B436" i="4"/>
  <c r="M432" i="4"/>
  <c r="B432" i="4"/>
  <c r="M428" i="4"/>
  <c r="B428" i="4"/>
  <c r="M420" i="4"/>
  <c r="B420" i="4"/>
  <c r="M416" i="4"/>
  <c r="B416" i="4"/>
  <c r="M412" i="4"/>
  <c r="B412" i="4"/>
  <c r="M408" i="4"/>
  <c r="B408" i="4"/>
  <c r="M404" i="4"/>
  <c r="B404" i="4"/>
  <c r="M400" i="4"/>
  <c r="B400" i="4"/>
  <c r="M392" i="4"/>
  <c r="B392" i="4"/>
  <c r="M388" i="4"/>
  <c r="B388" i="4"/>
  <c r="M384" i="4"/>
  <c r="B384" i="4"/>
  <c r="M380" i="4"/>
  <c r="B380" i="4"/>
  <c r="M376" i="4"/>
  <c r="B376" i="4"/>
  <c r="M372" i="4"/>
  <c r="B372" i="4"/>
  <c r="M364" i="4"/>
  <c r="B364" i="4"/>
  <c r="M360" i="4"/>
  <c r="B360" i="4"/>
  <c r="M356" i="4"/>
  <c r="B356" i="4"/>
  <c r="M352" i="4"/>
  <c r="B352" i="4"/>
  <c r="M348" i="4"/>
  <c r="B348" i="4"/>
  <c r="M344" i="4"/>
  <c r="B344" i="4"/>
  <c r="M336" i="4"/>
  <c r="B336" i="4"/>
  <c r="M332" i="4"/>
  <c r="B332" i="4"/>
  <c r="M328" i="4"/>
  <c r="B328" i="4"/>
  <c r="M324" i="4"/>
  <c r="B324" i="4"/>
  <c r="M320" i="4"/>
  <c r="B320" i="4"/>
  <c r="M316" i="4"/>
  <c r="B316" i="4"/>
  <c r="M308" i="4"/>
  <c r="B308" i="4"/>
  <c r="M304" i="4"/>
  <c r="B304" i="4"/>
  <c r="M300" i="4"/>
  <c r="B300" i="4"/>
  <c r="M296" i="4"/>
  <c r="B296" i="4"/>
  <c r="M292" i="4"/>
  <c r="B292" i="4"/>
  <c r="M288" i="4"/>
  <c r="B288" i="4"/>
  <c r="M280" i="4"/>
  <c r="B280" i="4"/>
  <c r="M276" i="4"/>
  <c r="B276" i="4"/>
  <c r="M272" i="4"/>
  <c r="B272" i="4"/>
  <c r="M268" i="4"/>
  <c r="B268" i="4"/>
  <c r="M264" i="4"/>
  <c r="B264" i="4"/>
  <c r="M260" i="4"/>
  <c r="B260" i="4"/>
  <c r="M252" i="4"/>
  <c r="B252" i="4"/>
  <c r="M248" i="4"/>
  <c r="B248" i="4"/>
  <c r="M244" i="4"/>
  <c r="B244" i="4"/>
  <c r="M240" i="4"/>
  <c r="B240" i="4"/>
  <c r="M236" i="4"/>
  <c r="B236" i="4"/>
  <c r="M232" i="4"/>
  <c r="B232" i="4"/>
  <c r="M224" i="4"/>
  <c r="B224" i="4"/>
  <c r="M220" i="4"/>
  <c r="B220" i="4"/>
  <c r="M216" i="4"/>
  <c r="B216" i="4"/>
  <c r="M212" i="4"/>
  <c r="B212" i="4"/>
  <c r="M208" i="4"/>
  <c r="B208" i="4"/>
  <c r="M204" i="4"/>
  <c r="B204" i="4"/>
  <c r="M196" i="4"/>
  <c r="B196" i="4"/>
  <c r="M192" i="4"/>
  <c r="B192" i="4"/>
  <c r="M188" i="4"/>
  <c r="B188" i="4"/>
  <c r="M184" i="4"/>
  <c r="B184" i="4"/>
  <c r="M180" i="4"/>
  <c r="B180" i="4"/>
  <c r="M176" i="4"/>
  <c r="B176" i="4"/>
  <c r="M168" i="4"/>
  <c r="B168" i="4"/>
  <c r="M164" i="4"/>
  <c r="B164" i="4"/>
  <c r="M160" i="4"/>
  <c r="B160" i="4"/>
  <c r="M156" i="4"/>
  <c r="B156" i="4"/>
  <c r="M152" i="4"/>
  <c r="B152" i="4"/>
  <c r="M148" i="4"/>
  <c r="B148" i="4"/>
  <c r="M140" i="4"/>
  <c r="B140" i="4"/>
  <c r="M136" i="4"/>
  <c r="B136" i="4"/>
  <c r="M132" i="4"/>
  <c r="B132" i="4"/>
  <c r="M128" i="4"/>
  <c r="B128" i="4"/>
  <c r="M124" i="4"/>
  <c r="B124" i="4"/>
  <c r="M120" i="4"/>
  <c r="B120" i="4"/>
  <c r="M112" i="4"/>
  <c r="B112" i="4"/>
  <c r="M108" i="4"/>
  <c r="B108" i="4"/>
  <c r="M104" i="4"/>
  <c r="B104" i="4"/>
  <c r="M100" i="4"/>
  <c r="B100" i="4"/>
  <c r="M96" i="4"/>
  <c r="B96" i="4"/>
  <c r="M92" i="4"/>
  <c r="B92" i="4"/>
  <c r="M84" i="4"/>
  <c r="B84" i="4"/>
  <c r="M80" i="4"/>
  <c r="B80" i="4"/>
  <c r="M76" i="4"/>
  <c r="B76" i="4"/>
  <c r="M72" i="4"/>
  <c r="B72" i="4"/>
  <c r="M68" i="4"/>
  <c r="B68" i="4"/>
  <c r="M64" i="4"/>
  <c r="B64" i="4"/>
  <c r="M56" i="4"/>
  <c r="B56" i="4"/>
  <c r="M52" i="4"/>
  <c r="B52" i="4"/>
  <c r="M48" i="4"/>
  <c r="B48" i="4"/>
  <c r="M44" i="4"/>
  <c r="B44" i="4"/>
  <c r="B40" i="4"/>
  <c r="B36" i="4"/>
  <c r="M28" i="4"/>
  <c r="B28" i="4"/>
  <c r="M24" i="4"/>
  <c r="B24" i="4"/>
  <c r="M20" i="4"/>
  <c r="B20" i="4"/>
  <c r="M16" i="4"/>
  <c r="N16" i="4" s="1"/>
  <c r="P16" i="4" s="1"/>
  <c r="B16" i="4"/>
  <c r="M12" i="4"/>
  <c r="N12" i="4" s="1"/>
  <c r="P12" i="4" s="1"/>
  <c r="B12" i="4"/>
  <c r="M8" i="4"/>
  <c r="N8" i="4" s="1"/>
  <c r="P8" i="4" s="1"/>
  <c r="B8" i="4"/>
  <c r="M459" i="4"/>
  <c r="M431" i="4"/>
  <c r="M403" i="4"/>
  <c r="M375" i="4"/>
  <c r="M347" i="4"/>
  <c r="M319" i="4"/>
  <c r="M291" i="4"/>
  <c r="M263" i="4"/>
  <c r="M235" i="4"/>
  <c r="M207" i="4"/>
  <c r="M179" i="4"/>
  <c r="M151" i="4"/>
  <c r="M123" i="4"/>
  <c r="M95" i="4"/>
  <c r="M67" i="4"/>
  <c r="M382" i="4"/>
  <c r="M354" i="4"/>
  <c r="M326" i="4"/>
  <c r="M298" i="4"/>
  <c r="M270" i="4"/>
  <c r="M242" i="4"/>
  <c r="M214" i="4"/>
  <c r="M158" i="4"/>
  <c r="M130" i="4"/>
  <c r="M74" i="4"/>
  <c r="M46" i="4"/>
  <c r="M445" i="4"/>
  <c r="M417" i="4"/>
  <c r="M333" i="4"/>
  <c r="M305" i="4"/>
  <c r="M277" i="4"/>
  <c r="M249" i="4"/>
  <c r="M221" i="4"/>
  <c r="M193" i="4"/>
  <c r="M165" i="4"/>
  <c r="M137" i="4"/>
  <c r="M109" i="4"/>
  <c r="M81" i="4"/>
  <c r="M53" i="4"/>
  <c r="M25" i="4"/>
  <c r="M438" i="4"/>
  <c r="M410" i="4"/>
  <c r="M186" i="4"/>
  <c r="M102" i="4"/>
  <c r="M18" i="4"/>
  <c r="M389" i="4"/>
  <c r="M361" i="4"/>
  <c r="M452" i="4"/>
  <c r="M424" i="4"/>
  <c r="M396" i="4"/>
  <c r="M368" i="4"/>
  <c r="M340" i="4"/>
  <c r="M312" i="4"/>
  <c r="M284" i="4"/>
  <c r="M256" i="4"/>
  <c r="M228" i="4"/>
  <c r="M200" i="4"/>
  <c r="M172" i="4"/>
  <c r="M144" i="4"/>
  <c r="M116" i="4"/>
  <c r="M88" i="4"/>
  <c r="M60" i="4"/>
  <c r="M32" i="4"/>
  <c r="C14" i="8"/>
  <c r="N88" i="4" l="1"/>
  <c r="P88" i="4" s="1"/>
  <c r="O88" i="4"/>
  <c r="Q88" i="4" s="1"/>
  <c r="N312" i="4"/>
  <c r="P312" i="4" s="1"/>
  <c r="O312" i="4"/>
  <c r="Q312" i="4" s="1"/>
  <c r="N438" i="4"/>
  <c r="P438" i="4" s="1"/>
  <c r="O438" i="4"/>
  <c r="Q438" i="4" s="1"/>
  <c r="N333" i="4"/>
  <c r="P333" i="4" s="1"/>
  <c r="O333" i="4"/>
  <c r="Q333" i="4" s="1"/>
  <c r="N354" i="4"/>
  <c r="P354" i="4" s="1"/>
  <c r="O354" i="4"/>
  <c r="Q354" i="4" s="1"/>
  <c r="N347" i="4"/>
  <c r="P347" i="4" s="1"/>
  <c r="O347" i="4"/>
  <c r="Q347" i="4" s="1"/>
  <c r="N56" i="4"/>
  <c r="P56" i="4" s="1"/>
  <c r="O56" i="4"/>
  <c r="Q56" i="4" s="1"/>
  <c r="N76" i="4"/>
  <c r="P76" i="4" s="1"/>
  <c r="O76" i="4"/>
  <c r="Q76" i="4" s="1"/>
  <c r="N96" i="4"/>
  <c r="P96" i="4" s="1"/>
  <c r="O96" i="4"/>
  <c r="Q96" i="4" s="1"/>
  <c r="N140" i="4"/>
  <c r="P140" i="4" s="1"/>
  <c r="O140" i="4"/>
  <c r="Q140" i="4" s="1"/>
  <c r="N160" i="4"/>
  <c r="P160" i="4" s="1"/>
  <c r="O160" i="4"/>
  <c r="Q160" i="4" s="1"/>
  <c r="N180" i="4"/>
  <c r="P180" i="4" s="1"/>
  <c r="O180" i="4"/>
  <c r="Q180" i="4" s="1"/>
  <c r="N224" i="4"/>
  <c r="P224" i="4" s="1"/>
  <c r="O224" i="4"/>
  <c r="Q224" i="4" s="1"/>
  <c r="N244" i="4"/>
  <c r="P244" i="4" s="1"/>
  <c r="O244" i="4"/>
  <c r="Q244" i="4" s="1"/>
  <c r="N116" i="4"/>
  <c r="P116" i="4" s="1"/>
  <c r="O116" i="4"/>
  <c r="Q116" i="4" s="1"/>
  <c r="N340" i="4"/>
  <c r="P340" i="4" s="1"/>
  <c r="O340" i="4"/>
  <c r="Q340" i="4" s="1"/>
  <c r="N102" i="4"/>
  <c r="P102" i="4" s="1"/>
  <c r="O102" i="4"/>
  <c r="Q102" i="4" s="1"/>
  <c r="N137" i="4"/>
  <c r="P137" i="4" s="1"/>
  <c r="O137" i="4"/>
  <c r="Q137" i="4" s="1"/>
  <c r="N417" i="4"/>
  <c r="P417" i="4" s="1"/>
  <c r="O417" i="4"/>
  <c r="Q417" i="4" s="1"/>
  <c r="N270" i="4"/>
  <c r="P270" i="4" s="1"/>
  <c r="O270" i="4"/>
  <c r="Q270" i="4" s="1"/>
  <c r="N151" i="4"/>
  <c r="P151" i="4" s="1"/>
  <c r="O151" i="4"/>
  <c r="Q151" i="4" s="1"/>
  <c r="N375" i="4"/>
  <c r="P375" i="4" s="1"/>
  <c r="O375" i="4"/>
  <c r="Q375" i="4" s="1"/>
  <c r="N32" i="4"/>
  <c r="P32" i="4" s="1"/>
  <c r="O32" i="4"/>
  <c r="Q32" i="4" s="1"/>
  <c r="N144" i="4"/>
  <c r="P144" i="4" s="1"/>
  <c r="O144" i="4"/>
  <c r="Q144" i="4" s="1"/>
  <c r="N368" i="4"/>
  <c r="P368" i="4" s="1"/>
  <c r="O368" i="4"/>
  <c r="Q368" i="4" s="1"/>
  <c r="N186" i="4"/>
  <c r="P186" i="4" s="1"/>
  <c r="O186" i="4"/>
  <c r="Q186" i="4" s="1"/>
  <c r="N277" i="4"/>
  <c r="P277" i="4" s="1"/>
  <c r="O277" i="4"/>
  <c r="Q277" i="4" s="1"/>
  <c r="N445" i="4"/>
  <c r="P445" i="4" s="1"/>
  <c r="O445" i="4"/>
  <c r="Q445" i="4" s="1"/>
  <c r="N298" i="4"/>
  <c r="P298" i="4" s="1"/>
  <c r="O298" i="4"/>
  <c r="Q298" i="4" s="1"/>
  <c r="N179" i="4"/>
  <c r="P179" i="4" s="1"/>
  <c r="O179" i="4"/>
  <c r="Q179" i="4" s="1"/>
  <c r="N403" i="4"/>
  <c r="P403" i="4" s="1"/>
  <c r="O403" i="4"/>
  <c r="Q403" i="4" s="1"/>
  <c r="O16" i="4"/>
  <c r="Q16" i="4" s="1"/>
  <c r="N36" i="4"/>
  <c r="P36" i="4" s="1"/>
  <c r="O36" i="4"/>
  <c r="Q36" i="4" s="1"/>
  <c r="N52" i="4"/>
  <c r="P52" i="4" s="1"/>
  <c r="O52" i="4"/>
  <c r="Q52" i="4" s="1"/>
  <c r="N72" i="4"/>
  <c r="P72" i="4" s="1"/>
  <c r="O72" i="4"/>
  <c r="Q72" i="4" s="1"/>
  <c r="N92" i="4"/>
  <c r="P92" i="4" s="1"/>
  <c r="O92" i="4"/>
  <c r="Q92" i="4" s="1"/>
  <c r="N108" i="4"/>
  <c r="P108" i="4" s="1"/>
  <c r="O108" i="4"/>
  <c r="Q108" i="4" s="1"/>
  <c r="N128" i="4"/>
  <c r="P128" i="4" s="1"/>
  <c r="O128" i="4"/>
  <c r="Q128" i="4" s="1"/>
  <c r="N148" i="4"/>
  <c r="P148" i="4" s="1"/>
  <c r="O148" i="4"/>
  <c r="Q148" i="4" s="1"/>
  <c r="N164" i="4"/>
  <c r="P164" i="4" s="1"/>
  <c r="O164" i="4"/>
  <c r="Q164" i="4" s="1"/>
  <c r="N176" i="4"/>
  <c r="P176" i="4" s="1"/>
  <c r="O176" i="4"/>
  <c r="Q176" i="4" s="1"/>
  <c r="N192" i="4"/>
  <c r="P192" i="4" s="1"/>
  <c r="O192" i="4"/>
  <c r="Q192" i="4" s="1"/>
  <c r="N212" i="4"/>
  <c r="P212" i="4" s="1"/>
  <c r="O212" i="4"/>
  <c r="Q212" i="4" s="1"/>
  <c r="N232" i="4"/>
  <c r="P232" i="4" s="1"/>
  <c r="O232" i="4"/>
  <c r="Q232" i="4" s="1"/>
  <c r="N248" i="4"/>
  <c r="P248" i="4" s="1"/>
  <c r="O248" i="4"/>
  <c r="Q248" i="4" s="1"/>
  <c r="N268" i="4"/>
  <c r="P268" i="4" s="1"/>
  <c r="O268" i="4"/>
  <c r="Q268" i="4" s="1"/>
  <c r="N288" i="4"/>
  <c r="P288" i="4" s="1"/>
  <c r="O288" i="4"/>
  <c r="Q288" i="4" s="1"/>
  <c r="N304" i="4"/>
  <c r="P304" i="4" s="1"/>
  <c r="O304" i="4"/>
  <c r="Q304" i="4" s="1"/>
  <c r="N324" i="4"/>
  <c r="P324" i="4" s="1"/>
  <c r="O324" i="4"/>
  <c r="Q324" i="4" s="1"/>
  <c r="N344" i="4"/>
  <c r="P344" i="4" s="1"/>
  <c r="O344" i="4"/>
  <c r="Q344" i="4" s="1"/>
  <c r="N360" i="4"/>
  <c r="P360" i="4" s="1"/>
  <c r="O360" i="4"/>
  <c r="Q360" i="4" s="1"/>
  <c r="N380" i="4"/>
  <c r="P380" i="4" s="1"/>
  <c r="O380" i="4"/>
  <c r="Q380" i="4" s="1"/>
  <c r="N400" i="4"/>
  <c r="P400" i="4" s="1"/>
  <c r="O400" i="4"/>
  <c r="Q400" i="4" s="1"/>
  <c r="N416" i="4"/>
  <c r="P416" i="4" s="1"/>
  <c r="O416" i="4"/>
  <c r="Q416" i="4" s="1"/>
  <c r="N436" i="4"/>
  <c r="P436" i="4" s="1"/>
  <c r="O436" i="4"/>
  <c r="Q436" i="4" s="1"/>
  <c r="N444" i="4"/>
  <c r="P444" i="4" s="1"/>
  <c r="O444" i="4"/>
  <c r="Q444" i="4" s="1"/>
  <c r="N464" i="4"/>
  <c r="P464" i="4" s="1"/>
  <c r="O464" i="4"/>
  <c r="Q464" i="4" s="1"/>
  <c r="N51" i="4"/>
  <c r="P51" i="4" s="1"/>
  <c r="O51" i="4"/>
  <c r="Q51" i="4" s="1"/>
  <c r="N75" i="4"/>
  <c r="P75" i="4" s="1"/>
  <c r="O75" i="4"/>
  <c r="Q75" i="4" s="1"/>
  <c r="N115" i="4"/>
  <c r="P115" i="4" s="1"/>
  <c r="O115" i="4"/>
  <c r="Q115" i="4" s="1"/>
  <c r="N175" i="4"/>
  <c r="P175" i="4" s="1"/>
  <c r="O175" i="4"/>
  <c r="Q175" i="4" s="1"/>
  <c r="N251" i="4"/>
  <c r="P251" i="4" s="1"/>
  <c r="O251" i="4"/>
  <c r="Q251" i="4" s="1"/>
  <c r="N271" i="4"/>
  <c r="P271" i="4" s="1"/>
  <c r="O271" i="4"/>
  <c r="Q271" i="4" s="1"/>
  <c r="N339" i="4"/>
  <c r="P339" i="4" s="1"/>
  <c r="O339" i="4"/>
  <c r="Q339" i="4" s="1"/>
  <c r="N399" i="4"/>
  <c r="P399" i="4" s="1"/>
  <c r="O399" i="4"/>
  <c r="Q399" i="4" s="1"/>
  <c r="N21" i="4"/>
  <c r="P21" i="4" s="1"/>
  <c r="O21" i="4"/>
  <c r="Q21" i="4" s="1"/>
  <c r="N33" i="4"/>
  <c r="P33" i="4" s="1"/>
  <c r="O33" i="4"/>
  <c r="Q33" i="4" s="1"/>
  <c r="N41" i="4"/>
  <c r="P41" i="4" s="1"/>
  <c r="O41" i="4"/>
  <c r="Q41" i="4" s="1"/>
  <c r="N77" i="4"/>
  <c r="P77" i="4" s="1"/>
  <c r="O77" i="4"/>
  <c r="Q77" i="4" s="1"/>
  <c r="N105" i="4"/>
  <c r="P105" i="4" s="1"/>
  <c r="O105" i="4"/>
  <c r="Q105" i="4" s="1"/>
  <c r="N117" i="4"/>
  <c r="P117" i="4" s="1"/>
  <c r="O117" i="4"/>
  <c r="Q117" i="4" s="1"/>
  <c r="N125" i="4"/>
  <c r="P125" i="4" s="1"/>
  <c r="O125" i="4"/>
  <c r="Q125" i="4" s="1"/>
  <c r="N145" i="4"/>
  <c r="P145" i="4" s="1"/>
  <c r="O145" i="4"/>
  <c r="Q145" i="4" s="1"/>
  <c r="N153" i="4"/>
  <c r="P153" i="4" s="1"/>
  <c r="O153" i="4"/>
  <c r="Q153" i="4" s="1"/>
  <c r="N189" i="4"/>
  <c r="P189" i="4" s="1"/>
  <c r="O189" i="4"/>
  <c r="Q189" i="4" s="1"/>
  <c r="N201" i="4"/>
  <c r="P201" i="4" s="1"/>
  <c r="O201" i="4"/>
  <c r="Q201" i="4" s="1"/>
  <c r="N209" i="4"/>
  <c r="P209" i="4" s="1"/>
  <c r="O209" i="4"/>
  <c r="Q209" i="4" s="1"/>
  <c r="N245" i="4"/>
  <c r="P245" i="4" s="1"/>
  <c r="O245" i="4"/>
  <c r="Q245" i="4" s="1"/>
  <c r="N257" i="4"/>
  <c r="P257" i="4" s="1"/>
  <c r="O257" i="4"/>
  <c r="Q257" i="4" s="1"/>
  <c r="N265" i="4"/>
  <c r="P265" i="4" s="1"/>
  <c r="O265" i="4"/>
  <c r="Q265" i="4" s="1"/>
  <c r="N301" i="4"/>
  <c r="P301" i="4" s="1"/>
  <c r="O301" i="4"/>
  <c r="Q301" i="4" s="1"/>
  <c r="N329" i="4"/>
  <c r="P329" i="4" s="1"/>
  <c r="O329" i="4"/>
  <c r="Q329" i="4" s="1"/>
  <c r="N341" i="4"/>
  <c r="P341" i="4" s="1"/>
  <c r="O341" i="4"/>
  <c r="Q341" i="4" s="1"/>
  <c r="N349" i="4"/>
  <c r="P349" i="4" s="1"/>
  <c r="O349" i="4"/>
  <c r="Q349" i="4" s="1"/>
  <c r="N385" i="4"/>
  <c r="P385" i="4" s="1"/>
  <c r="O385" i="4"/>
  <c r="Q385" i="4" s="1"/>
  <c r="N397" i="4"/>
  <c r="P397" i="4" s="1"/>
  <c r="O397" i="4"/>
  <c r="Q397" i="4" s="1"/>
  <c r="N405" i="4"/>
  <c r="P405" i="4" s="1"/>
  <c r="O405" i="4"/>
  <c r="Q405" i="4" s="1"/>
  <c r="N425" i="4"/>
  <c r="P425" i="4" s="1"/>
  <c r="O425" i="4"/>
  <c r="Q425" i="4" s="1"/>
  <c r="N433" i="4"/>
  <c r="P433" i="4" s="1"/>
  <c r="O433" i="4"/>
  <c r="Q433" i="4" s="1"/>
  <c r="N231" i="4"/>
  <c r="P231" i="4" s="1"/>
  <c r="O231" i="4"/>
  <c r="Q231" i="4" s="1"/>
  <c r="N267" i="4"/>
  <c r="P267" i="4" s="1"/>
  <c r="O267" i="4"/>
  <c r="Q267" i="4" s="1"/>
  <c r="N303" i="4"/>
  <c r="P303" i="4" s="1"/>
  <c r="O303" i="4"/>
  <c r="Q303" i="4" s="1"/>
  <c r="N335" i="4"/>
  <c r="P335" i="4" s="1"/>
  <c r="O335" i="4"/>
  <c r="Q335" i="4" s="1"/>
  <c r="N42" i="4"/>
  <c r="P42" i="4" s="1"/>
  <c r="O42" i="4"/>
  <c r="Q42" i="4" s="1"/>
  <c r="N54" i="4"/>
  <c r="P54" i="4" s="1"/>
  <c r="O54" i="4"/>
  <c r="Q54" i="4" s="1"/>
  <c r="N62" i="4"/>
  <c r="P62" i="4" s="1"/>
  <c r="O62" i="4"/>
  <c r="Q62" i="4" s="1"/>
  <c r="N82" i="4"/>
  <c r="P82" i="4" s="1"/>
  <c r="O82" i="4"/>
  <c r="Q82" i="4" s="1"/>
  <c r="N90" i="4"/>
  <c r="P90" i="4" s="1"/>
  <c r="O90" i="4"/>
  <c r="Q90" i="4" s="1"/>
  <c r="N126" i="4"/>
  <c r="P126" i="4" s="1"/>
  <c r="O126" i="4"/>
  <c r="Q126" i="4" s="1"/>
  <c r="N154" i="4"/>
  <c r="P154" i="4" s="1"/>
  <c r="O154" i="4"/>
  <c r="Q154" i="4" s="1"/>
  <c r="N166" i="4"/>
  <c r="P166" i="4" s="1"/>
  <c r="O166" i="4"/>
  <c r="Q166" i="4" s="1"/>
  <c r="N174" i="4"/>
  <c r="P174" i="4" s="1"/>
  <c r="O174" i="4"/>
  <c r="Q174" i="4" s="1"/>
  <c r="N210" i="4"/>
  <c r="P210" i="4" s="1"/>
  <c r="O210" i="4"/>
  <c r="Q210" i="4" s="1"/>
  <c r="N238" i="4"/>
  <c r="P238" i="4" s="1"/>
  <c r="O238" i="4"/>
  <c r="Q238" i="4" s="1"/>
  <c r="N266" i="4"/>
  <c r="P266" i="4" s="1"/>
  <c r="O266" i="4"/>
  <c r="Q266" i="4" s="1"/>
  <c r="N294" i="4"/>
  <c r="P294" i="4" s="1"/>
  <c r="O294" i="4"/>
  <c r="Q294" i="4" s="1"/>
  <c r="N314" i="4"/>
  <c r="P314" i="4" s="1"/>
  <c r="O314" i="4"/>
  <c r="Q314" i="4" s="1"/>
  <c r="N322" i="4"/>
  <c r="P322" i="4" s="1"/>
  <c r="O322" i="4"/>
  <c r="Q322" i="4" s="1"/>
  <c r="N334" i="4"/>
  <c r="P334" i="4" s="1"/>
  <c r="O334" i="4"/>
  <c r="Q334" i="4" s="1"/>
  <c r="N342" i="4"/>
  <c r="P342" i="4" s="1"/>
  <c r="O342" i="4"/>
  <c r="Q342" i="4" s="1"/>
  <c r="N362" i="4"/>
  <c r="P362" i="4" s="1"/>
  <c r="O362" i="4"/>
  <c r="Q362" i="4" s="1"/>
  <c r="N370" i="4"/>
  <c r="P370" i="4" s="1"/>
  <c r="O370" i="4"/>
  <c r="Q370" i="4" s="1"/>
  <c r="N378" i="4"/>
  <c r="P378" i="4" s="1"/>
  <c r="O378" i="4"/>
  <c r="Q378" i="4" s="1"/>
  <c r="N390" i="4"/>
  <c r="P390" i="4" s="1"/>
  <c r="O390" i="4"/>
  <c r="Q390" i="4" s="1"/>
  <c r="N406" i="4"/>
  <c r="P406" i="4" s="1"/>
  <c r="O406" i="4"/>
  <c r="Q406" i="4" s="1"/>
  <c r="N418" i="4"/>
  <c r="P418" i="4" s="1"/>
  <c r="O418" i="4"/>
  <c r="Q418" i="4" s="1"/>
  <c r="N426" i="4"/>
  <c r="P426" i="4" s="1"/>
  <c r="O426" i="4"/>
  <c r="Q426" i="4" s="1"/>
  <c r="N434" i="4"/>
  <c r="P434" i="4" s="1"/>
  <c r="O434" i="4"/>
  <c r="Q434" i="4" s="1"/>
  <c r="N446" i="4"/>
  <c r="P446" i="4" s="1"/>
  <c r="O446" i="4"/>
  <c r="Q446" i="4" s="1"/>
  <c r="N454" i="4"/>
  <c r="P454" i="4" s="1"/>
  <c r="O454" i="4"/>
  <c r="Q454" i="4" s="1"/>
  <c r="N462" i="4"/>
  <c r="P462" i="4" s="1"/>
  <c r="O462" i="4"/>
  <c r="Q462" i="4" s="1"/>
  <c r="N27" i="4"/>
  <c r="P27" i="4" s="1"/>
  <c r="O27" i="4"/>
  <c r="Q27" i="4" s="1"/>
  <c r="N47" i="4"/>
  <c r="P47" i="4" s="1"/>
  <c r="O47" i="4"/>
  <c r="Q47" i="4" s="1"/>
  <c r="N71" i="4"/>
  <c r="P71" i="4" s="1"/>
  <c r="O71" i="4"/>
  <c r="Q71" i="4" s="1"/>
  <c r="N87" i="4"/>
  <c r="P87" i="4" s="1"/>
  <c r="O87" i="4"/>
  <c r="Q87" i="4" s="1"/>
  <c r="N107" i="4"/>
  <c r="P107" i="4" s="1"/>
  <c r="O107" i="4"/>
  <c r="Q107" i="4" s="1"/>
  <c r="N119" i="4"/>
  <c r="P119" i="4" s="1"/>
  <c r="O119" i="4"/>
  <c r="Q119" i="4" s="1"/>
  <c r="N139" i="4"/>
  <c r="P139" i="4" s="1"/>
  <c r="O139" i="4"/>
  <c r="Q139" i="4" s="1"/>
  <c r="N159" i="4"/>
  <c r="P159" i="4" s="1"/>
  <c r="O159" i="4"/>
  <c r="Q159" i="4" s="1"/>
  <c r="N171" i="4"/>
  <c r="P171" i="4" s="1"/>
  <c r="O171" i="4"/>
  <c r="Q171" i="4" s="1"/>
  <c r="N191" i="4"/>
  <c r="P191" i="4" s="1"/>
  <c r="O191" i="4"/>
  <c r="Q191" i="4" s="1"/>
  <c r="N211" i="4"/>
  <c r="P211" i="4" s="1"/>
  <c r="O211" i="4"/>
  <c r="Q211" i="4" s="1"/>
  <c r="N227" i="4"/>
  <c r="P227" i="4" s="1"/>
  <c r="O227" i="4"/>
  <c r="Q227" i="4" s="1"/>
  <c r="N299" i="4"/>
  <c r="P299" i="4" s="1"/>
  <c r="O299" i="4"/>
  <c r="Q299" i="4" s="1"/>
  <c r="N343" i="4"/>
  <c r="P343" i="4" s="1"/>
  <c r="O343" i="4"/>
  <c r="Q343" i="4" s="1"/>
  <c r="N363" i="4"/>
  <c r="P363" i="4" s="1"/>
  <c r="O363" i="4"/>
  <c r="Q363" i="4" s="1"/>
  <c r="N379" i="4"/>
  <c r="P379" i="4" s="1"/>
  <c r="O379" i="4"/>
  <c r="Q379" i="4" s="1"/>
  <c r="N395" i="4"/>
  <c r="P395" i="4" s="1"/>
  <c r="O395" i="4"/>
  <c r="Q395" i="4" s="1"/>
  <c r="N415" i="4"/>
  <c r="P415" i="4" s="1"/>
  <c r="O415" i="4"/>
  <c r="Q415" i="4" s="1"/>
  <c r="N435" i="4"/>
  <c r="P435" i="4" s="1"/>
  <c r="O435" i="4"/>
  <c r="Q435" i="4" s="1"/>
  <c r="N451" i="4"/>
  <c r="P451" i="4" s="1"/>
  <c r="O451" i="4"/>
  <c r="Q451" i="4" s="1"/>
  <c r="N424" i="4"/>
  <c r="P424" i="4" s="1"/>
  <c r="O424" i="4"/>
  <c r="Q424" i="4" s="1"/>
  <c r="N109" i="4"/>
  <c r="P109" i="4" s="1"/>
  <c r="O109" i="4"/>
  <c r="Q109" i="4" s="1"/>
  <c r="N74" i="4"/>
  <c r="P74" i="4" s="1"/>
  <c r="O74" i="4"/>
  <c r="Q74" i="4" s="1"/>
  <c r="N123" i="4"/>
  <c r="P123" i="4" s="1"/>
  <c r="O123" i="4"/>
  <c r="Q123" i="4" s="1"/>
  <c r="N28" i="4"/>
  <c r="P28" i="4" s="1"/>
  <c r="O28" i="4"/>
  <c r="Q28" i="4" s="1"/>
  <c r="N48" i="4"/>
  <c r="P48" i="4" s="1"/>
  <c r="O48" i="4"/>
  <c r="Q48" i="4" s="1"/>
  <c r="N68" i="4"/>
  <c r="P68" i="4" s="1"/>
  <c r="O68" i="4"/>
  <c r="Q68" i="4" s="1"/>
  <c r="N112" i="4"/>
  <c r="P112" i="4" s="1"/>
  <c r="O112" i="4"/>
  <c r="Q112" i="4" s="1"/>
  <c r="N132" i="4"/>
  <c r="P132" i="4" s="1"/>
  <c r="O132" i="4"/>
  <c r="Q132" i="4" s="1"/>
  <c r="N152" i="4"/>
  <c r="P152" i="4" s="1"/>
  <c r="O152" i="4"/>
  <c r="Q152" i="4" s="1"/>
  <c r="N196" i="4"/>
  <c r="P196" i="4" s="1"/>
  <c r="O196" i="4"/>
  <c r="Q196" i="4" s="1"/>
  <c r="N216" i="4"/>
  <c r="P216" i="4" s="1"/>
  <c r="O216" i="4"/>
  <c r="Q216" i="4" s="1"/>
  <c r="N236" i="4"/>
  <c r="P236" i="4" s="1"/>
  <c r="O236" i="4"/>
  <c r="Q236" i="4" s="1"/>
  <c r="N264" i="4"/>
  <c r="P264" i="4" s="1"/>
  <c r="O264" i="4"/>
  <c r="Q264" i="4" s="1"/>
  <c r="N228" i="4"/>
  <c r="P228" i="4" s="1"/>
  <c r="O228" i="4"/>
  <c r="Q228" i="4" s="1"/>
  <c r="N452" i="4"/>
  <c r="P452" i="4" s="1"/>
  <c r="O452" i="4"/>
  <c r="Q452" i="4" s="1"/>
  <c r="N25" i="4"/>
  <c r="P25" i="4" s="1"/>
  <c r="O25" i="4"/>
  <c r="Q25" i="4" s="1"/>
  <c r="N249" i="4"/>
  <c r="P249" i="4" s="1"/>
  <c r="O249" i="4"/>
  <c r="Q249" i="4" s="1"/>
  <c r="N130" i="4"/>
  <c r="P130" i="4" s="1"/>
  <c r="O130" i="4"/>
  <c r="Q130" i="4" s="1"/>
  <c r="N382" i="4"/>
  <c r="P382" i="4" s="1"/>
  <c r="O382" i="4"/>
  <c r="Q382" i="4" s="1"/>
  <c r="N263" i="4"/>
  <c r="P263" i="4" s="1"/>
  <c r="O263" i="4"/>
  <c r="Q263" i="4" s="1"/>
  <c r="N256" i="4"/>
  <c r="P256" i="4" s="1"/>
  <c r="O256" i="4"/>
  <c r="Q256" i="4" s="1"/>
  <c r="N361" i="4"/>
  <c r="P361" i="4" s="1"/>
  <c r="O361" i="4"/>
  <c r="Q361" i="4" s="1"/>
  <c r="N53" i="4"/>
  <c r="P53" i="4" s="1"/>
  <c r="O53" i="4"/>
  <c r="Q53" i="4" s="1"/>
  <c r="N165" i="4"/>
  <c r="P165" i="4" s="1"/>
  <c r="O165" i="4"/>
  <c r="Q165" i="4" s="1"/>
  <c r="N158" i="4"/>
  <c r="P158" i="4" s="1"/>
  <c r="O158" i="4"/>
  <c r="Q158" i="4" s="1"/>
  <c r="N67" i="4"/>
  <c r="P67" i="4" s="1"/>
  <c r="O67" i="4"/>
  <c r="Q67" i="4" s="1"/>
  <c r="N291" i="4"/>
  <c r="P291" i="4" s="1"/>
  <c r="O291" i="4"/>
  <c r="Q291" i="4" s="1"/>
  <c r="N24" i="4"/>
  <c r="P24" i="4" s="1"/>
  <c r="O24" i="4"/>
  <c r="Q24" i="4" s="1"/>
  <c r="N44" i="4"/>
  <c r="P44" i="4" s="1"/>
  <c r="O44" i="4"/>
  <c r="Q44" i="4" s="1"/>
  <c r="N64" i="4"/>
  <c r="P64" i="4" s="1"/>
  <c r="O64" i="4"/>
  <c r="Q64" i="4" s="1"/>
  <c r="N80" i="4"/>
  <c r="P80" i="4" s="1"/>
  <c r="O80" i="4"/>
  <c r="Q80" i="4" s="1"/>
  <c r="N100" i="4"/>
  <c r="P100" i="4" s="1"/>
  <c r="O100" i="4"/>
  <c r="Q100" i="4" s="1"/>
  <c r="N120" i="4"/>
  <c r="P120" i="4" s="1"/>
  <c r="O120" i="4"/>
  <c r="Q120" i="4" s="1"/>
  <c r="N136" i="4"/>
  <c r="P136" i="4" s="1"/>
  <c r="O136" i="4"/>
  <c r="Q136" i="4" s="1"/>
  <c r="N156" i="4"/>
  <c r="P156" i="4" s="1"/>
  <c r="O156" i="4"/>
  <c r="Q156" i="4" s="1"/>
  <c r="N184" i="4"/>
  <c r="P184" i="4" s="1"/>
  <c r="O184" i="4"/>
  <c r="Q184" i="4" s="1"/>
  <c r="N204" i="4"/>
  <c r="P204" i="4" s="1"/>
  <c r="O204" i="4"/>
  <c r="Q204" i="4" s="1"/>
  <c r="N220" i="4"/>
  <c r="P220" i="4" s="1"/>
  <c r="O220" i="4"/>
  <c r="Q220" i="4" s="1"/>
  <c r="N240" i="4"/>
  <c r="P240" i="4" s="1"/>
  <c r="O240" i="4"/>
  <c r="Q240" i="4" s="1"/>
  <c r="N260" i="4"/>
  <c r="P260" i="4" s="1"/>
  <c r="O260" i="4"/>
  <c r="Q260" i="4" s="1"/>
  <c r="N276" i="4"/>
  <c r="P276" i="4" s="1"/>
  <c r="O276" i="4"/>
  <c r="Q276" i="4" s="1"/>
  <c r="N296" i="4"/>
  <c r="P296" i="4" s="1"/>
  <c r="O296" i="4"/>
  <c r="Q296" i="4" s="1"/>
  <c r="N316" i="4"/>
  <c r="P316" i="4" s="1"/>
  <c r="O316" i="4"/>
  <c r="Q316" i="4" s="1"/>
  <c r="N332" i="4"/>
  <c r="P332" i="4" s="1"/>
  <c r="O332" i="4"/>
  <c r="Q332" i="4" s="1"/>
  <c r="N352" i="4"/>
  <c r="P352" i="4" s="1"/>
  <c r="O352" i="4"/>
  <c r="Q352" i="4" s="1"/>
  <c r="N372" i="4"/>
  <c r="P372" i="4" s="1"/>
  <c r="O372" i="4"/>
  <c r="Q372" i="4" s="1"/>
  <c r="N388" i="4"/>
  <c r="P388" i="4" s="1"/>
  <c r="O388" i="4"/>
  <c r="Q388" i="4" s="1"/>
  <c r="N408" i="4"/>
  <c r="P408" i="4" s="1"/>
  <c r="O408" i="4"/>
  <c r="Q408" i="4" s="1"/>
  <c r="N428" i="4"/>
  <c r="P428" i="4" s="1"/>
  <c r="O428" i="4"/>
  <c r="Q428" i="4" s="1"/>
  <c r="N456" i="4"/>
  <c r="P456" i="4" s="1"/>
  <c r="O456" i="4"/>
  <c r="Q456" i="4" s="1"/>
  <c r="N23" i="4"/>
  <c r="P23" i="4" s="1"/>
  <c r="O23" i="4"/>
  <c r="Q23" i="4" s="1"/>
  <c r="N91" i="4"/>
  <c r="P91" i="4" s="1"/>
  <c r="O91" i="4"/>
  <c r="Q91" i="4" s="1"/>
  <c r="N135" i="4"/>
  <c r="P135" i="4" s="1"/>
  <c r="O135" i="4"/>
  <c r="Q135" i="4" s="1"/>
  <c r="N155" i="4"/>
  <c r="P155" i="4" s="1"/>
  <c r="O155" i="4"/>
  <c r="Q155" i="4" s="1"/>
  <c r="N195" i="4"/>
  <c r="P195" i="4" s="1"/>
  <c r="O195" i="4"/>
  <c r="Q195" i="4" s="1"/>
  <c r="N315" i="4"/>
  <c r="P315" i="4" s="1"/>
  <c r="O315" i="4"/>
  <c r="Q315" i="4" s="1"/>
  <c r="N359" i="4"/>
  <c r="P359" i="4" s="1"/>
  <c r="O359" i="4"/>
  <c r="Q359" i="4" s="1"/>
  <c r="N383" i="4"/>
  <c r="P383" i="4" s="1"/>
  <c r="O383" i="4"/>
  <c r="Q383" i="4" s="1"/>
  <c r="N419" i="4"/>
  <c r="P419" i="4" s="1"/>
  <c r="O419" i="4"/>
  <c r="Q419" i="4" s="1"/>
  <c r="N49" i="4"/>
  <c r="P49" i="4" s="1"/>
  <c r="O49" i="4"/>
  <c r="Q49" i="4" s="1"/>
  <c r="N61" i="4"/>
  <c r="P61" i="4" s="1"/>
  <c r="O61" i="4"/>
  <c r="Q61" i="4" s="1"/>
  <c r="N69" i="4"/>
  <c r="P69" i="4" s="1"/>
  <c r="O69" i="4"/>
  <c r="Q69" i="4" s="1"/>
  <c r="N89" i="4"/>
  <c r="P89" i="4" s="1"/>
  <c r="O89" i="4"/>
  <c r="Q89" i="4" s="1"/>
  <c r="N97" i="4"/>
  <c r="P97" i="4" s="1"/>
  <c r="O97" i="4"/>
  <c r="Q97" i="4" s="1"/>
  <c r="N133" i="4"/>
  <c r="P133" i="4" s="1"/>
  <c r="O133" i="4"/>
  <c r="Q133" i="4" s="1"/>
  <c r="N161" i="4"/>
  <c r="P161" i="4" s="1"/>
  <c r="O161" i="4"/>
  <c r="Q161" i="4" s="1"/>
  <c r="N173" i="4"/>
  <c r="P173" i="4" s="1"/>
  <c r="O173" i="4"/>
  <c r="Q173" i="4" s="1"/>
  <c r="N181" i="4"/>
  <c r="P181" i="4" s="1"/>
  <c r="O181" i="4"/>
  <c r="Q181" i="4" s="1"/>
  <c r="N217" i="4"/>
  <c r="P217" i="4" s="1"/>
  <c r="O217" i="4"/>
  <c r="Q217" i="4" s="1"/>
  <c r="N229" i="4"/>
  <c r="P229" i="4" s="1"/>
  <c r="O229" i="4"/>
  <c r="Q229" i="4" s="1"/>
  <c r="N237" i="4"/>
  <c r="P237" i="4" s="1"/>
  <c r="O237" i="4"/>
  <c r="Q237" i="4" s="1"/>
  <c r="N273" i="4"/>
  <c r="P273" i="4" s="1"/>
  <c r="O273" i="4"/>
  <c r="Q273" i="4" s="1"/>
  <c r="N285" i="4"/>
  <c r="P285" i="4" s="1"/>
  <c r="O285" i="4"/>
  <c r="Q285" i="4" s="1"/>
  <c r="N293" i="4"/>
  <c r="P293" i="4" s="1"/>
  <c r="O293" i="4"/>
  <c r="Q293" i="4" s="1"/>
  <c r="N313" i="4"/>
  <c r="P313" i="4" s="1"/>
  <c r="O313" i="4"/>
  <c r="Q313" i="4" s="1"/>
  <c r="N321" i="4"/>
  <c r="P321" i="4" s="1"/>
  <c r="O321" i="4"/>
  <c r="Q321" i="4" s="1"/>
  <c r="N357" i="4"/>
  <c r="P357" i="4" s="1"/>
  <c r="O357" i="4"/>
  <c r="Q357" i="4" s="1"/>
  <c r="N369" i="4"/>
  <c r="P369" i="4" s="1"/>
  <c r="O369" i="4"/>
  <c r="Q369" i="4" s="1"/>
  <c r="N377" i="4"/>
  <c r="P377" i="4" s="1"/>
  <c r="O377" i="4"/>
  <c r="Q377" i="4" s="1"/>
  <c r="N413" i="4"/>
  <c r="P413" i="4" s="1"/>
  <c r="O413" i="4"/>
  <c r="Q413" i="4" s="1"/>
  <c r="N441" i="4"/>
  <c r="P441" i="4" s="1"/>
  <c r="O441" i="4"/>
  <c r="Q441" i="4" s="1"/>
  <c r="N453" i="4"/>
  <c r="P453" i="4" s="1"/>
  <c r="O453" i="4"/>
  <c r="Q453" i="4" s="1"/>
  <c r="N461" i="4"/>
  <c r="P461" i="4" s="1"/>
  <c r="O461" i="4"/>
  <c r="Q461" i="4" s="1"/>
  <c r="N31" i="4"/>
  <c r="P31" i="4" s="1"/>
  <c r="O31" i="4"/>
  <c r="Q31" i="4" s="1"/>
  <c r="N55" i="4"/>
  <c r="P55" i="4" s="1"/>
  <c r="O55" i="4"/>
  <c r="Q55" i="4" s="1"/>
  <c r="N215" i="4"/>
  <c r="P215" i="4" s="1"/>
  <c r="O215" i="4"/>
  <c r="Q215" i="4" s="1"/>
  <c r="N247" i="4"/>
  <c r="P247" i="4" s="1"/>
  <c r="O247" i="4"/>
  <c r="Q247" i="4" s="1"/>
  <c r="N283" i="4"/>
  <c r="P283" i="4" s="1"/>
  <c r="O283" i="4"/>
  <c r="Q283" i="4" s="1"/>
  <c r="N323" i="4"/>
  <c r="P323" i="4" s="1"/>
  <c r="O323" i="4"/>
  <c r="Q323" i="4" s="1"/>
  <c r="N439" i="4"/>
  <c r="P439" i="4" s="1"/>
  <c r="O439" i="4"/>
  <c r="Q439" i="4" s="1"/>
  <c r="N26" i="4"/>
  <c r="P26" i="4" s="1"/>
  <c r="O26" i="4"/>
  <c r="Q26" i="4" s="1"/>
  <c r="N34" i="4"/>
  <c r="P34" i="4" s="1"/>
  <c r="O34" i="4"/>
  <c r="Q34" i="4" s="1"/>
  <c r="N70" i="4"/>
  <c r="P70" i="4" s="1"/>
  <c r="O70" i="4"/>
  <c r="Q70" i="4" s="1"/>
  <c r="N98" i="4"/>
  <c r="P98" i="4" s="1"/>
  <c r="O98" i="4"/>
  <c r="Q98" i="4" s="1"/>
  <c r="N110" i="4"/>
  <c r="P110" i="4" s="1"/>
  <c r="O110" i="4"/>
  <c r="Q110" i="4" s="1"/>
  <c r="N118" i="4"/>
  <c r="P118" i="4" s="1"/>
  <c r="O118" i="4"/>
  <c r="Q118" i="4" s="1"/>
  <c r="N138" i="4"/>
  <c r="P138" i="4" s="1"/>
  <c r="O138" i="4"/>
  <c r="Q138" i="4" s="1"/>
  <c r="N146" i="4"/>
  <c r="P146" i="4" s="1"/>
  <c r="O146" i="4"/>
  <c r="Q146" i="4" s="1"/>
  <c r="N182" i="4"/>
  <c r="P182" i="4" s="1"/>
  <c r="O182" i="4"/>
  <c r="Q182" i="4" s="1"/>
  <c r="N194" i="4"/>
  <c r="P194" i="4" s="1"/>
  <c r="O194" i="4"/>
  <c r="Q194" i="4" s="1"/>
  <c r="N202" i="4"/>
  <c r="P202" i="4" s="1"/>
  <c r="O202" i="4"/>
  <c r="Q202" i="4" s="1"/>
  <c r="N222" i="4"/>
  <c r="P222" i="4" s="1"/>
  <c r="O222" i="4"/>
  <c r="Q222" i="4" s="1"/>
  <c r="N230" i="4"/>
  <c r="P230" i="4" s="1"/>
  <c r="O230" i="4"/>
  <c r="Q230" i="4" s="1"/>
  <c r="N250" i="4"/>
  <c r="P250" i="4" s="1"/>
  <c r="O250" i="4"/>
  <c r="Q250" i="4" s="1"/>
  <c r="N258" i="4"/>
  <c r="P258" i="4" s="1"/>
  <c r="O258" i="4"/>
  <c r="Q258" i="4" s="1"/>
  <c r="N278" i="4"/>
  <c r="P278" i="4" s="1"/>
  <c r="O278" i="4"/>
  <c r="Q278" i="4" s="1"/>
  <c r="N286" i="4"/>
  <c r="P286" i="4" s="1"/>
  <c r="O286" i="4"/>
  <c r="Q286" i="4" s="1"/>
  <c r="N306" i="4"/>
  <c r="P306" i="4" s="1"/>
  <c r="O306" i="4"/>
  <c r="Q306" i="4" s="1"/>
  <c r="N350" i="4"/>
  <c r="P350" i="4" s="1"/>
  <c r="O350" i="4"/>
  <c r="Q350" i="4" s="1"/>
  <c r="N398" i="4"/>
  <c r="P398" i="4" s="1"/>
  <c r="O398" i="4"/>
  <c r="Q398" i="4" s="1"/>
  <c r="N60" i="4"/>
  <c r="P60" i="4" s="1"/>
  <c r="O60" i="4"/>
  <c r="Q60" i="4" s="1"/>
  <c r="N172" i="4"/>
  <c r="P172" i="4" s="1"/>
  <c r="O172" i="4"/>
  <c r="Q172" i="4" s="1"/>
  <c r="N284" i="4"/>
  <c r="P284" i="4" s="1"/>
  <c r="O284" i="4"/>
  <c r="Q284" i="4" s="1"/>
  <c r="N396" i="4"/>
  <c r="P396" i="4" s="1"/>
  <c r="O396" i="4"/>
  <c r="Q396" i="4" s="1"/>
  <c r="N389" i="4"/>
  <c r="P389" i="4" s="1"/>
  <c r="O389" i="4"/>
  <c r="Q389" i="4" s="1"/>
  <c r="N410" i="4"/>
  <c r="P410" i="4" s="1"/>
  <c r="O410" i="4"/>
  <c r="Q410" i="4" s="1"/>
  <c r="N81" i="4"/>
  <c r="P81" i="4" s="1"/>
  <c r="O81" i="4"/>
  <c r="Q81" i="4" s="1"/>
  <c r="N193" i="4"/>
  <c r="P193" i="4" s="1"/>
  <c r="O193" i="4"/>
  <c r="Q193" i="4" s="1"/>
  <c r="N305" i="4"/>
  <c r="P305" i="4" s="1"/>
  <c r="O305" i="4"/>
  <c r="Q305" i="4" s="1"/>
  <c r="N46" i="4"/>
  <c r="P46" i="4" s="1"/>
  <c r="O46" i="4"/>
  <c r="Q46" i="4" s="1"/>
  <c r="N214" i="4"/>
  <c r="P214" i="4" s="1"/>
  <c r="O214" i="4"/>
  <c r="Q214" i="4" s="1"/>
  <c r="N326" i="4"/>
  <c r="P326" i="4" s="1"/>
  <c r="O326" i="4"/>
  <c r="Q326" i="4" s="1"/>
  <c r="N95" i="4"/>
  <c r="P95" i="4" s="1"/>
  <c r="O95" i="4"/>
  <c r="Q95" i="4" s="1"/>
  <c r="N207" i="4"/>
  <c r="P207" i="4" s="1"/>
  <c r="O207" i="4"/>
  <c r="Q207" i="4" s="1"/>
  <c r="N319" i="4"/>
  <c r="P319" i="4" s="1"/>
  <c r="O319" i="4"/>
  <c r="Q319" i="4" s="1"/>
  <c r="N431" i="4"/>
  <c r="P431" i="4" s="1"/>
  <c r="O431" i="4"/>
  <c r="Q431" i="4" s="1"/>
  <c r="N200" i="4"/>
  <c r="P200" i="4" s="1"/>
  <c r="O200" i="4"/>
  <c r="Q200" i="4" s="1"/>
  <c r="N18" i="4"/>
  <c r="P18" i="4" s="1"/>
  <c r="O18" i="4"/>
  <c r="Q18" i="4" s="1"/>
  <c r="N221" i="4"/>
  <c r="P221" i="4" s="1"/>
  <c r="O221" i="4"/>
  <c r="Q221" i="4" s="1"/>
  <c r="N242" i="4"/>
  <c r="P242" i="4" s="1"/>
  <c r="O242" i="4"/>
  <c r="Q242" i="4" s="1"/>
  <c r="N235" i="4"/>
  <c r="P235" i="4" s="1"/>
  <c r="O235" i="4"/>
  <c r="Q235" i="4" s="1"/>
  <c r="N459" i="4"/>
  <c r="P459" i="4" s="1"/>
  <c r="O459" i="4"/>
  <c r="Q459" i="4" s="1"/>
  <c r="N20" i="4"/>
  <c r="P20" i="4" s="1"/>
  <c r="O20" i="4"/>
  <c r="Q20" i="4" s="1"/>
  <c r="N40" i="4"/>
  <c r="P40" i="4" s="1"/>
  <c r="O40" i="4"/>
  <c r="Q40" i="4" s="1"/>
  <c r="N84" i="4"/>
  <c r="P84" i="4" s="1"/>
  <c r="O84" i="4"/>
  <c r="Q84" i="4" s="1"/>
  <c r="N104" i="4"/>
  <c r="P104" i="4" s="1"/>
  <c r="O104" i="4"/>
  <c r="Q104" i="4" s="1"/>
  <c r="N124" i="4"/>
  <c r="P124" i="4" s="1"/>
  <c r="O124" i="4"/>
  <c r="Q124" i="4" s="1"/>
  <c r="N168" i="4"/>
  <c r="P168" i="4" s="1"/>
  <c r="O168" i="4"/>
  <c r="Q168" i="4" s="1"/>
  <c r="N188" i="4"/>
  <c r="P188" i="4" s="1"/>
  <c r="O188" i="4"/>
  <c r="Q188" i="4" s="1"/>
  <c r="N208" i="4"/>
  <c r="P208" i="4" s="1"/>
  <c r="O208" i="4"/>
  <c r="Q208" i="4" s="1"/>
  <c r="N252" i="4"/>
  <c r="P252" i="4" s="1"/>
  <c r="O252" i="4"/>
  <c r="Q252" i="4" s="1"/>
  <c r="N272" i="4"/>
  <c r="P272" i="4" s="1"/>
  <c r="O272" i="4"/>
  <c r="Q272" i="4" s="1"/>
  <c r="N280" i="4"/>
  <c r="P280" i="4" s="1"/>
  <c r="O280" i="4"/>
  <c r="Q280" i="4" s="1"/>
  <c r="N292" i="4"/>
  <c r="P292" i="4" s="1"/>
  <c r="O292" i="4"/>
  <c r="Q292" i="4" s="1"/>
  <c r="N300" i="4"/>
  <c r="P300" i="4" s="1"/>
  <c r="O300" i="4"/>
  <c r="Q300" i="4" s="1"/>
  <c r="N308" i="4"/>
  <c r="P308" i="4" s="1"/>
  <c r="O308" i="4"/>
  <c r="Q308" i="4" s="1"/>
  <c r="N320" i="4"/>
  <c r="P320" i="4" s="1"/>
  <c r="O320" i="4"/>
  <c r="Q320" i="4" s="1"/>
  <c r="N328" i="4"/>
  <c r="P328" i="4" s="1"/>
  <c r="O328" i="4"/>
  <c r="Q328" i="4" s="1"/>
  <c r="N336" i="4"/>
  <c r="P336" i="4" s="1"/>
  <c r="O336" i="4"/>
  <c r="Q336" i="4" s="1"/>
  <c r="N348" i="4"/>
  <c r="P348" i="4" s="1"/>
  <c r="O348" i="4"/>
  <c r="Q348" i="4" s="1"/>
  <c r="N356" i="4"/>
  <c r="P356" i="4" s="1"/>
  <c r="O356" i="4"/>
  <c r="Q356" i="4" s="1"/>
  <c r="N364" i="4"/>
  <c r="P364" i="4" s="1"/>
  <c r="O364" i="4"/>
  <c r="Q364" i="4" s="1"/>
  <c r="N376" i="4"/>
  <c r="P376" i="4" s="1"/>
  <c r="O376" i="4"/>
  <c r="Q376" i="4" s="1"/>
  <c r="N384" i="4"/>
  <c r="P384" i="4" s="1"/>
  <c r="O384" i="4"/>
  <c r="Q384" i="4" s="1"/>
  <c r="N392" i="4"/>
  <c r="P392" i="4" s="1"/>
  <c r="O392" i="4"/>
  <c r="Q392" i="4" s="1"/>
  <c r="N404" i="4"/>
  <c r="P404" i="4" s="1"/>
  <c r="O404" i="4"/>
  <c r="Q404" i="4" s="1"/>
  <c r="N412" i="4"/>
  <c r="P412" i="4" s="1"/>
  <c r="O412" i="4"/>
  <c r="Q412" i="4" s="1"/>
  <c r="N420" i="4"/>
  <c r="P420" i="4" s="1"/>
  <c r="O420" i="4"/>
  <c r="Q420" i="4" s="1"/>
  <c r="N432" i="4"/>
  <c r="P432" i="4" s="1"/>
  <c r="O432" i="4"/>
  <c r="Q432" i="4" s="1"/>
  <c r="N440" i="4"/>
  <c r="P440" i="4" s="1"/>
  <c r="O440" i="4"/>
  <c r="Q440" i="4" s="1"/>
  <c r="N448" i="4"/>
  <c r="P448" i="4" s="1"/>
  <c r="O448" i="4"/>
  <c r="Q448" i="4" s="1"/>
  <c r="N460" i="4"/>
  <c r="P460" i="4" s="1"/>
  <c r="O460" i="4"/>
  <c r="Q460" i="4" s="1"/>
  <c r="N39" i="4"/>
  <c r="P39" i="4" s="1"/>
  <c r="O39" i="4"/>
  <c r="Q39" i="4" s="1"/>
  <c r="N63" i="4"/>
  <c r="P63" i="4" s="1"/>
  <c r="O63" i="4"/>
  <c r="Q63" i="4" s="1"/>
  <c r="N83" i="4"/>
  <c r="P83" i="4" s="1"/>
  <c r="O83" i="4"/>
  <c r="Q83" i="4" s="1"/>
  <c r="N103" i="4"/>
  <c r="P103" i="4" s="1"/>
  <c r="O103" i="4"/>
  <c r="Q103" i="4" s="1"/>
  <c r="N127" i="4"/>
  <c r="P127" i="4" s="1"/>
  <c r="O127" i="4"/>
  <c r="Q127" i="4" s="1"/>
  <c r="N143" i="4"/>
  <c r="P143" i="4" s="1"/>
  <c r="O143" i="4"/>
  <c r="Q143" i="4" s="1"/>
  <c r="N163" i="4"/>
  <c r="P163" i="4" s="1"/>
  <c r="O163" i="4"/>
  <c r="Q163" i="4" s="1"/>
  <c r="N187" i="4"/>
  <c r="P187" i="4" s="1"/>
  <c r="O187" i="4"/>
  <c r="Q187" i="4" s="1"/>
  <c r="N239" i="4"/>
  <c r="P239" i="4" s="1"/>
  <c r="O239" i="4"/>
  <c r="Q239" i="4" s="1"/>
  <c r="N259" i="4"/>
  <c r="P259" i="4" s="1"/>
  <c r="O259" i="4"/>
  <c r="Q259" i="4" s="1"/>
  <c r="N279" i="4"/>
  <c r="P279" i="4" s="1"/>
  <c r="O279" i="4"/>
  <c r="Q279" i="4" s="1"/>
  <c r="N327" i="4"/>
  <c r="P327" i="4" s="1"/>
  <c r="O327" i="4"/>
  <c r="Q327" i="4" s="1"/>
  <c r="N351" i="4"/>
  <c r="P351" i="4" s="1"/>
  <c r="O351" i="4"/>
  <c r="Q351" i="4" s="1"/>
  <c r="N371" i="4"/>
  <c r="P371" i="4" s="1"/>
  <c r="O371" i="4"/>
  <c r="Q371" i="4" s="1"/>
  <c r="N391" i="4"/>
  <c r="P391" i="4" s="1"/>
  <c r="O391" i="4"/>
  <c r="Q391" i="4" s="1"/>
  <c r="N411" i="4"/>
  <c r="P411" i="4" s="1"/>
  <c r="O411" i="4"/>
  <c r="Q411" i="4" s="1"/>
  <c r="N455" i="4"/>
  <c r="P455" i="4" s="1"/>
  <c r="O455" i="4"/>
  <c r="Q455" i="4" s="1"/>
  <c r="O17" i="4"/>
  <c r="Q17" i="4" s="1"/>
  <c r="N29" i="4"/>
  <c r="P29" i="4" s="1"/>
  <c r="O29" i="4"/>
  <c r="Q29" i="4" s="1"/>
  <c r="N37" i="4"/>
  <c r="P37" i="4" s="1"/>
  <c r="O37" i="4"/>
  <c r="Q37" i="4" s="1"/>
  <c r="N45" i="4"/>
  <c r="P45" i="4" s="1"/>
  <c r="O45" i="4"/>
  <c r="Q45" i="4" s="1"/>
  <c r="N57" i="4"/>
  <c r="P57" i="4" s="1"/>
  <c r="O57" i="4"/>
  <c r="Q57" i="4" s="1"/>
  <c r="N65" i="4"/>
  <c r="P65" i="4" s="1"/>
  <c r="O65" i="4"/>
  <c r="Q65" i="4" s="1"/>
  <c r="N73" i="4"/>
  <c r="P73" i="4" s="1"/>
  <c r="O73" i="4"/>
  <c r="Q73" i="4" s="1"/>
  <c r="N85" i="4"/>
  <c r="P85" i="4" s="1"/>
  <c r="O85" i="4"/>
  <c r="Q85" i="4" s="1"/>
  <c r="N93" i="4"/>
  <c r="P93" i="4" s="1"/>
  <c r="O93" i="4"/>
  <c r="Q93" i="4" s="1"/>
  <c r="N101" i="4"/>
  <c r="P101" i="4" s="1"/>
  <c r="O101" i="4"/>
  <c r="Q101" i="4" s="1"/>
  <c r="N113" i="4"/>
  <c r="P113" i="4" s="1"/>
  <c r="O113" i="4"/>
  <c r="Q113" i="4" s="1"/>
  <c r="N121" i="4"/>
  <c r="P121" i="4" s="1"/>
  <c r="O121" i="4"/>
  <c r="Q121" i="4" s="1"/>
  <c r="N129" i="4"/>
  <c r="P129" i="4" s="1"/>
  <c r="O129" i="4"/>
  <c r="Q129" i="4" s="1"/>
  <c r="N141" i="4"/>
  <c r="P141" i="4" s="1"/>
  <c r="O141" i="4"/>
  <c r="Q141" i="4" s="1"/>
  <c r="N149" i="4"/>
  <c r="P149" i="4" s="1"/>
  <c r="O149" i="4"/>
  <c r="Q149" i="4" s="1"/>
  <c r="N157" i="4"/>
  <c r="P157" i="4" s="1"/>
  <c r="O157" i="4"/>
  <c r="Q157" i="4" s="1"/>
  <c r="N169" i="4"/>
  <c r="P169" i="4" s="1"/>
  <c r="O169" i="4"/>
  <c r="Q169" i="4" s="1"/>
  <c r="N177" i="4"/>
  <c r="P177" i="4" s="1"/>
  <c r="O177" i="4"/>
  <c r="Q177" i="4" s="1"/>
  <c r="N185" i="4"/>
  <c r="P185" i="4" s="1"/>
  <c r="O185" i="4"/>
  <c r="Q185" i="4" s="1"/>
  <c r="N197" i="4"/>
  <c r="P197" i="4" s="1"/>
  <c r="O197" i="4"/>
  <c r="Q197" i="4" s="1"/>
  <c r="N205" i="4"/>
  <c r="P205" i="4" s="1"/>
  <c r="O205" i="4"/>
  <c r="Q205" i="4" s="1"/>
  <c r="N213" i="4"/>
  <c r="P213" i="4" s="1"/>
  <c r="O213" i="4"/>
  <c r="Q213" i="4" s="1"/>
  <c r="N225" i="4"/>
  <c r="P225" i="4" s="1"/>
  <c r="O225" i="4"/>
  <c r="Q225" i="4" s="1"/>
  <c r="N233" i="4"/>
  <c r="P233" i="4" s="1"/>
  <c r="O233" i="4"/>
  <c r="Q233" i="4" s="1"/>
  <c r="N241" i="4"/>
  <c r="P241" i="4" s="1"/>
  <c r="O241" i="4"/>
  <c r="Q241" i="4" s="1"/>
  <c r="N253" i="4"/>
  <c r="P253" i="4" s="1"/>
  <c r="O253" i="4"/>
  <c r="Q253" i="4" s="1"/>
  <c r="N261" i="4"/>
  <c r="P261" i="4" s="1"/>
  <c r="O261" i="4"/>
  <c r="Q261" i="4" s="1"/>
  <c r="N269" i="4"/>
  <c r="P269" i="4" s="1"/>
  <c r="O269" i="4"/>
  <c r="Q269" i="4" s="1"/>
  <c r="N281" i="4"/>
  <c r="P281" i="4" s="1"/>
  <c r="O281" i="4"/>
  <c r="Q281" i="4" s="1"/>
  <c r="N289" i="4"/>
  <c r="P289" i="4" s="1"/>
  <c r="O289" i="4"/>
  <c r="Q289" i="4" s="1"/>
  <c r="N297" i="4"/>
  <c r="P297" i="4" s="1"/>
  <c r="O297" i="4"/>
  <c r="Q297" i="4" s="1"/>
  <c r="N309" i="4"/>
  <c r="P309" i="4" s="1"/>
  <c r="O309" i="4"/>
  <c r="Q309" i="4" s="1"/>
  <c r="N317" i="4"/>
  <c r="P317" i="4" s="1"/>
  <c r="O317" i="4"/>
  <c r="Q317" i="4" s="1"/>
  <c r="N325" i="4"/>
  <c r="P325" i="4" s="1"/>
  <c r="O325" i="4"/>
  <c r="Q325" i="4" s="1"/>
  <c r="N337" i="4"/>
  <c r="P337" i="4" s="1"/>
  <c r="O337" i="4"/>
  <c r="Q337" i="4" s="1"/>
  <c r="N345" i="4"/>
  <c r="P345" i="4" s="1"/>
  <c r="O345" i="4"/>
  <c r="Q345" i="4" s="1"/>
  <c r="N353" i="4"/>
  <c r="P353" i="4" s="1"/>
  <c r="O353" i="4"/>
  <c r="Q353" i="4" s="1"/>
  <c r="N365" i="4"/>
  <c r="P365" i="4" s="1"/>
  <c r="O365" i="4"/>
  <c r="Q365" i="4" s="1"/>
  <c r="N373" i="4"/>
  <c r="P373" i="4" s="1"/>
  <c r="O373" i="4"/>
  <c r="Q373" i="4" s="1"/>
  <c r="N381" i="4"/>
  <c r="P381" i="4" s="1"/>
  <c r="O381" i="4"/>
  <c r="Q381" i="4" s="1"/>
  <c r="N393" i="4"/>
  <c r="P393" i="4" s="1"/>
  <c r="O393" i="4"/>
  <c r="Q393" i="4" s="1"/>
  <c r="N401" i="4"/>
  <c r="P401" i="4" s="1"/>
  <c r="O401" i="4"/>
  <c r="Q401" i="4" s="1"/>
  <c r="N409" i="4"/>
  <c r="P409" i="4" s="1"/>
  <c r="O409" i="4"/>
  <c r="Q409" i="4" s="1"/>
  <c r="N421" i="4"/>
  <c r="P421" i="4" s="1"/>
  <c r="O421" i="4"/>
  <c r="Q421" i="4" s="1"/>
  <c r="N429" i="4"/>
  <c r="P429" i="4" s="1"/>
  <c r="O429" i="4"/>
  <c r="Q429" i="4" s="1"/>
  <c r="N437" i="4"/>
  <c r="P437" i="4" s="1"/>
  <c r="O437" i="4"/>
  <c r="Q437" i="4" s="1"/>
  <c r="N449" i="4"/>
  <c r="P449" i="4" s="1"/>
  <c r="O449" i="4"/>
  <c r="Q449" i="4" s="1"/>
  <c r="N457" i="4"/>
  <c r="P457" i="4" s="1"/>
  <c r="O457" i="4"/>
  <c r="Q457" i="4" s="1"/>
  <c r="N465" i="4"/>
  <c r="P465" i="4" s="1"/>
  <c r="O465" i="4"/>
  <c r="Q465" i="4" s="1"/>
  <c r="N19" i="4"/>
  <c r="P19" i="4" s="1"/>
  <c r="O19" i="4"/>
  <c r="Q19" i="4" s="1"/>
  <c r="N43" i="4"/>
  <c r="P43" i="4" s="1"/>
  <c r="O43" i="4"/>
  <c r="Q43" i="4" s="1"/>
  <c r="N203" i="4"/>
  <c r="P203" i="4" s="1"/>
  <c r="O203" i="4"/>
  <c r="Q203" i="4" s="1"/>
  <c r="N223" i="4"/>
  <c r="P223" i="4" s="1"/>
  <c r="O223" i="4"/>
  <c r="Q223" i="4" s="1"/>
  <c r="N243" i="4"/>
  <c r="P243" i="4" s="1"/>
  <c r="O243" i="4"/>
  <c r="Q243" i="4" s="1"/>
  <c r="N255" i="4"/>
  <c r="P255" i="4" s="1"/>
  <c r="O255" i="4"/>
  <c r="Q255" i="4" s="1"/>
  <c r="N275" i="4"/>
  <c r="P275" i="4" s="1"/>
  <c r="O275" i="4"/>
  <c r="Q275" i="4" s="1"/>
  <c r="N295" i="4"/>
  <c r="P295" i="4" s="1"/>
  <c r="O295" i="4"/>
  <c r="Q295" i="4" s="1"/>
  <c r="N311" i="4"/>
  <c r="P311" i="4" s="1"/>
  <c r="O311" i="4"/>
  <c r="Q311" i="4" s="1"/>
  <c r="N331" i="4"/>
  <c r="P331" i="4" s="1"/>
  <c r="O331" i="4"/>
  <c r="Q331" i="4" s="1"/>
  <c r="N427" i="4"/>
  <c r="P427" i="4" s="1"/>
  <c r="O427" i="4"/>
  <c r="Q427" i="4" s="1"/>
  <c r="N447" i="4"/>
  <c r="P447" i="4" s="1"/>
  <c r="O447" i="4"/>
  <c r="Q447" i="4" s="1"/>
  <c r="N22" i="4"/>
  <c r="P22" i="4" s="1"/>
  <c r="O22" i="4"/>
  <c r="Q22" i="4" s="1"/>
  <c r="N30" i="4"/>
  <c r="P30" i="4" s="1"/>
  <c r="O30" i="4"/>
  <c r="Q30" i="4" s="1"/>
  <c r="N38" i="4"/>
  <c r="P38" i="4" s="1"/>
  <c r="O38" i="4"/>
  <c r="Q38" i="4" s="1"/>
  <c r="N50" i="4"/>
  <c r="P50" i="4" s="1"/>
  <c r="O50" i="4"/>
  <c r="Q50" i="4" s="1"/>
  <c r="N58" i="4"/>
  <c r="P58" i="4" s="1"/>
  <c r="O58" i="4"/>
  <c r="Q58" i="4" s="1"/>
  <c r="N66" i="4"/>
  <c r="P66" i="4" s="1"/>
  <c r="O66" i="4"/>
  <c r="Q66" i="4" s="1"/>
  <c r="N78" i="4"/>
  <c r="P78" i="4" s="1"/>
  <c r="O78" i="4"/>
  <c r="Q78" i="4" s="1"/>
  <c r="N86" i="4"/>
  <c r="P86" i="4" s="1"/>
  <c r="O86" i="4"/>
  <c r="Q86" i="4" s="1"/>
  <c r="N94" i="4"/>
  <c r="P94" i="4" s="1"/>
  <c r="O94" i="4"/>
  <c r="Q94" i="4" s="1"/>
  <c r="N106" i="4"/>
  <c r="P106" i="4" s="1"/>
  <c r="O106" i="4"/>
  <c r="Q106" i="4" s="1"/>
  <c r="N114" i="4"/>
  <c r="P114" i="4" s="1"/>
  <c r="O114" i="4"/>
  <c r="Q114" i="4" s="1"/>
  <c r="N122" i="4"/>
  <c r="P122" i="4" s="1"/>
  <c r="O122" i="4"/>
  <c r="Q122" i="4" s="1"/>
  <c r="N134" i="4"/>
  <c r="P134" i="4" s="1"/>
  <c r="O134" i="4"/>
  <c r="Q134" i="4" s="1"/>
  <c r="N142" i="4"/>
  <c r="P142" i="4" s="1"/>
  <c r="O142" i="4"/>
  <c r="Q142" i="4" s="1"/>
  <c r="N150" i="4"/>
  <c r="P150" i="4" s="1"/>
  <c r="O150" i="4"/>
  <c r="Q150" i="4" s="1"/>
  <c r="N162" i="4"/>
  <c r="P162" i="4" s="1"/>
  <c r="O162" i="4"/>
  <c r="Q162" i="4" s="1"/>
  <c r="N170" i="4"/>
  <c r="P170" i="4" s="1"/>
  <c r="O170" i="4"/>
  <c r="Q170" i="4" s="1"/>
  <c r="N178" i="4"/>
  <c r="P178" i="4" s="1"/>
  <c r="O178" i="4"/>
  <c r="Q178" i="4" s="1"/>
  <c r="N190" i="4"/>
  <c r="P190" i="4" s="1"/>
  <c r="O190" i="4"/>
  <c r="Q190" i="4" s="1"/>
  <c r="N198" i="4"/>
  <c r="P198" i="4" s="1"/>
  <c r="O198" i="4"/>
  <c r="Q198" i="4" s="1"/>
  <c r="N206" i="4"/>
  <c r="P206" i="4" s="1"/>
  <c r="O206" i="4"/>
  <c r="Q206" i="4" s="1"/>
  <c r="N218" i="4"/>
  <c r="P218" i="4" s="1"/>
  <c r="O218" i="4"/>
  <c r="Q218" i="4" s="1"/>
  <c r="N226" i="4"/>
  <c r="P226" i="4" s="1"/>
  <c r="O226" i="4"/>
  <c r="Q226" i="4" s="1"/>
  <c r="N234" i="4"/>
  <c r="P234" i="4" s="1"/>
  <c r="O234" i="4"/>
  <c r="Q234" i="4" s="1"/>
  <c r="N246" i="4"/>
  <c r="P246" i="4" s="1"/>
  <c r="O246" i="4"/>
  <c r="Q246" i="4" s="1"/>
  <c r="N254" i="4"/>
  <c r="P254" i="4" s="1"/>
  <c r="O254" i="4"/>
  <c r="Q254" i="4" s="1"/>
  <c r="N262" i="4"/>
  <c r="P262" i="4" s="1"/>
  <c r="O262" i="4"/>
  <c r="Q262" i="4" s="1"/>
  <c r="N274" i="4"/>
  <c r="P274" i="4" s="1"/>
  <c r="O274" i="4"/>
  <c r="Q274" i="4" s="1"/>
  <c r="N282" i="4"/>
  <c r="P282" i="4" s="1"/>
  <c r="O282" i="4"/>
  <c r="Q282" i="4" s="1"/>
  <c r="N290" i="4"/>
  <c r="P290" i="4" s="1"/>
  <c r="O290" i="4"/>
  <c r="Q290" i="4" s="1"/>
  <c r="N302" i="4"/>
  <c r="P302" i="4" s="1"/>
  <c r="O302" i="4"/>
  <c r="Q302" i="4" s="1"/>
  <c r="N310" i="4"/>
  <c r="P310" i="4" s="1"/>
  <c r="O310" i="4"/>
  <c r="Q310" i="4" s="1"/>
  <c r="N318" i="4"/>
  <c r="P318" i="4" s="1"/>
  <c r="O318" i="4"/>
  <c r="Q318" i="4" s="1"/>
  <c r="N330" i="4"/>
  <c r="P330" i="4" s="1"/>
  <c r="O330" i="4"/>
  <c r="Q330" i="4" s="1"/>
  <c r="N338" i="4"/>
  <c r="P338" i="4" s="1"/>
  <c r="O338" i="4"/>
  <c r="Q338" i="4" s="1"/>
  <c r="N346" i="4"/>
  <c r="P346" i="4" s="1"/>
  <c r="O346" i="4"/>
  <c r="Q346" i="4" s="1"/>
  <c r="N358" i="4"/>
  <c r="P358" i="4" s="1"/>
  <c r="O358" i="4"/>
  <c r="Q358" i="4" s="1"/>
  <c r="N366" i="4"/>
  <c r="P366" i="4" s="1"/>
  <c r="O366" i="4"/>
  <c r="Q366" i="4" s="1"/>
  <c r="N374" i="4"/>
  <c r="P374" i="4" s="1"/>
  <c r="O374" i="4"/>
  <c r="Q374" i="4" s="1"/>
  <c r="N386" i="4"/>
  <c r="P386" i="4" s="1"/>
  <c r="O386" i="4"/>
  <c r="Q386" i="4" s="1"/>
  <c r="N394" i="4"/>
  <c r="P394" i="4" s="1"/>
  <c r="O394" i="4"/>
  <c r="Q394" i="4" s="1"/>
  <c r="N402" i="4"/>
  <c r="P402" i="4" s="1"/>
  <c r="O402" i="4"/>
  <c r="Q402" i="4" s="1"/>
  <c r="N414" i="4"/>
  <c r="P414" i="4" s="1"/>
  <c r="O414" i="4"/>
  <c r="Q414" i="4" s="1"/>
  <c r="N422" i="4"/>
  <c r="P422" i="4" s="1"/>
  <c r="O422" i="4"/>
  <c r="Q422" i="4" s="1"/>
  <c r="N430" i="4"/>
  <c r="P430" i="4" s="1"/>
  <c r="O430" i="4"/>
  <c r="Q430" i="4" s="1"/>
  <c r="N442" i="4"/>
  <c r="P442" i="4" s="1"/>
  <c r="O442" i="4"/>
  <c r="Q442" i="4" s="1"/>
  <c r="N450" i="4"/>
  <c r="P450" i="4" s="1"/>
  <c r="O450" i="4"/>
  <c r="Q450" i="4" s="1"/>
  <c r="N458" i="4"/>
  <c r="P458" i="4" s="1"/>
  <c r="O458" i="4"/>
  <c r="Q458" i="4" s="1"/>
  <c r="O15" i="4"/>
  <c r="Q15" i="4" s="1"/>
  <c r="N35" i="4"/>
  <c r="P35" i="4" s="1"/>
  <c r="O35" i="4"/>
  <c r="Q35" i="4" s="1"/>
  <c r="N59" i="4"/>
  <c r="P59" i="4" s="1"/>
  <c r="O59" i="4"/>
  <c r="Q59" i="4" s="1"/>
  <c r="N79" i="4"/>
  <c r="P79" i="4" s="1"/>
  <c r="O79" i="4"/>
  <c r="Q79" i="4" s="1"/>
  <c r="N99" i="4"/>
  <c r="P99" i="4" s="1"/>
  <c r="O99" i="4"/>
  <c r="Q99" i="4" s="1"/>
  <c r="N111" i="4"/>
  <c r="P111" i="4" s="1"/>
  <c r="O111" i="4"/>
  <c r="Q111" i="4" s="1"/>
  <c r="N131" i="4"/>
  <c r="P131" i="4" s="1"/>
  <c r="O131" i="4"/>
  <c r="Q131" i="4" s="1"/>
  <c r="N147" i="4"/>
  <c r="P147" i="4" s="1"/>
  <c r="O147" i="4"/>
  <c r="Q147" i="4" s="1"/>
  <c r="N167" i="4"/>
  <c r="P167" i="4" s="1"/>
  <c r="O167" i="4"/>
  <c r="Q167" i="4" s="1"/>
  <c r="N183" i="4"/>
  <c r="P183" i="4" s="1"/>
  <c r="O183" i="4"/>
  <c r="Q183" i="4" s="1"/>
  <c r="N199" i="4"/>
  <c r="P199" i="4" s="1"/>
  <c r="O199" i="4"/>
  <c r="Q199" i="4" s="1"/>
  <c r="N219" i="4"/>
  <c r="P219" i="4" s="1"/>
  <c r="O219" i="4"/>
  <c r="Q219" i="4" s="1"/>
  <c r="N287" i="4"/>
  <c r="P287" i="4" s="1"/>
  <c r="O287" i="4"/>
  <c r="Q287" i="4" s="1"/>
  <c r="N307" i="4"/>
  <c r="P307" i="4" s="1"/>
  <c r="O307" i="4"/>
  <c r="Q307" i="4" s="1"/>
  <c r="N355" i="4"/>
  <c r="P355" i="4" s="1"/>
  <c r="O355" i="4"/>
  <c r="Q355" i="4" s="1"/>
  <c r="N367" i="4"/>
  <c r="P367" i="4" s="1"/>
  <c r="O367" i="4"/>
  <c r="Q367" i="4" s="1"/>
  <c r="N387" i="4"/>
  <c r="P387" i="4" s="1"/>
  <c r="O387" i="4"/>
  <c r="Q387" i="4" s="1"/>
  <c r="N407" i="4"/>
  <c r="P407" i="4" s="1"/>
  <c r="O407" i="4"/>
  <c r="Q407" i="4" s="1"/>
  <c r="N423" i="4"/>
  <c r="P423" i="4" s="1"/>
  <c r="O423" i="4"/>
  <c r="Q423" i="4" s="1"/>
  <c r="N443" i="4"/>
  <c r="P443" i="4" s="1"/>
  <c r="O443" i="4"/>
  <c r="Q443" i="4" s="1"/>
  <c r="N463" i="4"/>
  <c r="P463" i="4" s="1"/>
  <c r="O463" i="4"/>
  <c r="Q463" i="4" s="1"/>
  <c r="O12" i="4"/>
  <c r="Q12" i="4" s="1"/>
  <c r="O6" i="4"/>
  <c r="Q6" i="4" s="1"/>
  <c r="O8" i="4"/>
  <c r="Q8" i="4" s="1"/>
  <c r="O5" i="4"/>
  <c r="Q5" i="4" s="1"/>
  <c r="O13" i="4"/>
  <c r="Q13" i="4" s="1"/>
  <c r="O7" i="4"/>
  <c r="Q7" i="4" s="1"/>
  <c r="O11" i="4"/>
  <c r="Q11" i="4" s="1"/>
  <c r="O9" i="4"/>
  <c r="Q9" i="4" s="1"/>
  <c r="O10" i="4"/>
  <c r="Q10" i="4" s="1"/>
  <c r="O14" i="4"/>
  <c r="Q14" i="4" s="1"/>
  <c r="M466" i="4"/>
  <c r="C3" i="8"/>
  <c r="C11" i="8"/>
  <c r="C7" i="8"/>
  <c r="A15" i="8"/>
  <c r="C4" i="8"/>
  <c r="C12" i="8"/>
  <c r="C13" i="8"/>
  <c r="C6" i="8"/>
  <c r="C10" i="8"/>
  <c r="C25" i="8" l="1"/>
  <c r="C24" i="8"/>
  <c r="C16" i="8"/>
  <c r="A27" i="8"/>
  <c r="C19" i="8"/>
  <c r="C22" i="8"/>
  <c r="C23" i="8"/>
  <c r="C15" i="8"/>
  <c r="C26" i="8"/>
  <c r="C18" i="8"/>
  <c r="C9" i="8"/>
  <c r="C5" i="8"/>
  <c r="C8" i="8"/>
  <c r="C36" i="8" l="1"/>
  <c r="C28" i="8"/>
  <c r="A39" i="8"/>
  <c r="C35" i="8"/>
  <c r="C31" i="8"/>
  <c r="C27" i="8"/>
  <c r="C34" i="8"/>
  <c r="C38" i="8"/>
  <c r="C30" i="8"/>
  <c r="C37" i="8"/>
  <c r="C21" i="8"/>
  <c r="C17" i="8"/>
  <c r="C20" i="8"/>
  <c r="A51" i="8" l="1"/>
  <c r="C47" i="8"/>
  <c r="C43" i="8"/>
  <c r="C39" i="8"/>
  <c r="C50" i="8"/>
  <c r="C46" i="8"/>
  <c r="C42" i="8"/>
  <c r="C48" i="8"/>
  <c r="C40" i="8"/>
  <c r="C49" i="8"/>
  <c r="C32" i="8"/>
  <c r="C33" i="8"/>
  <c r="C29" i="8"/>
  <c r="C41" i="8" l="1"/>
  <c r="C45" i="8"/>
  <c r="C44" i="8"/>
  <c r="C62" i="8"/>
  <c r="C58" i="8"/>
  <c r="C54" i="8"/>
  <c r="C61" i="8"/>
  <c r="C52" i="8"/>
  <c r="C55" i="8"/>
  <c r="C60" i="8"/>
  <c r="C59" i="8"/>
  <c r="C51" i="8"/>
  <c r="C57" i="8" l="1"/>
  <c r="C53" i="8"/>
  <c r="C56" i="8"/>
  <c r="E5" i="4" l="1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</calcChain>
</file>

<file path=xl/sharedStrings.xml><?xml version="1.0" encoding="utf-8"?>
<sst xmlns="http://schemas.openxmlformats.org/spreadsheetml/2006/main" count="104" uniqueCount="56">
  <si>
    <t>Date</t>
  </si>
  <si>
    <t>Semaine</t>
  </si>
  <si>
    <t>Mois</t>
  </si>
  <si>
    <t>Année</t>
  </si>
  <si>
    <t>début du fichier</t>
  </si>
  <si>
    <t>mettre un lundi - si modification = re-créer un fichier vierge sinon toutes les heures entrées seront décalées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</si>
  <si>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</si>
  <si>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</si>
  <si>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</si>
  <si>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</si>
  <si>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</si>
  <si>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</si>
  <si>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</si>
  <si>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</si>
  <si>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</si>
  <si>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</si>
  <si>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</si>
  <si>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</si>
  <si>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 xml:space="preserve">heures sup au-delà de </t>
  </si>
  <si>
    <t>Motifs</t>
  </si>
  <si>
    <t>Libellé</t>
  </si>
  <si>
    <t>ABS</t>
  </si>
  <si>
    <t>Absence</t>
  </si>
  <si>
    <t>CP</t>
  </si>
  <si>
    <t>Congé payé</t>
  </si>
  <si>
    <t>Form</t>
  </si>
  <si>
    <t>Formation</t>
  </si>
  <si>
    <t>EF</t>
  </si>
  <si>
    <t>Evénement familial</t>
  </si>
  <si>
    <t>Mal</t>
  </si>
  <si>
    <t>Maladie</t>
  </si>
  <si>
    <t>AT</t>
  </si>
  <si>
    <t>Accident de travail</t>
  </si>
  <si>
    <t>RTT</t>
  </si>
  <si>
    <t>Heures</t>
  </si>
  <si>
    <t>HS</t>
  </si>
  <si>
    <t>H_Abs</t>
  </si>
  <si>
    <t>Total</t>
  </si>
  <si>
    <t>Abs.</t>
  </si>
  <si>
    <t>Début
matin</t>
  </si>
  <si>
    <t>Fin
matin</t>
  </si>
  <si>
    <t>Début
apm</t>
  </si>
  <si>
    <t>Fin
apm</t>
  </si>
  <si>
    <t>prise en compte pour décompte HS</t>
  </si>
  <si>
    <t>Relevé présence et calcul des heures suplémentaires</t>
  </si>
  <si>
    <t>Dont 
HS 50%</t>
  </si>
  <si>
    <t>date</t>
  </si>
  <si>
    <t>Commentaier</t>
  </si>
  <si>
    <t>HEURES</t>
  </si>
  <si>
    <t>SUPP.</t>
  </si>
  <si>
    <t>RECUPEREES</t>
  </si>
  <si>
    <t>SOLDE DEPART</t>
  </si>
  <si>
    <t>RESTE</t>
  </si>
  <si>
    <t>Dont
HS 30%</t>
  </si>
  <si>
    <t>Maj
h 30%</t>
  </si>
  <si>
    <t>Maj
H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</si>
</sst>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[hh]:mm"/>
    <numFmt numFmtId="165" formatCode="ddd\ dd/mm/yyyy"/>
    <numFmt numFmtId="166" formatCode="[$-F800]dddd\,\ mmmm\ dd\,\ yyyy"/>
    <numFmt numFmtId="167" formatCode="&quot;S&quot;00"/>
    <numFmt numFmtId="168" formatCode="[h]:mm;@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6"/>
      <color rgb="FF0070C0"/>
      <name val="Arial Narrow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6" borderId="0" applyNumberFormat="0" applyBorder="0" applyAlignment="0" applyProtection="0"/>
  </cellStyleXfs>
  <cellXfs count="59">
    <xf numFmtId="0" fontId="0" fillId="0" borderId="0" xfId="0"/>
    <xf numFmtId="0" fontId="0" fillId="0" borderId="0" xfId="0" applyFill="1" applyBorder="1" applyAlignment="1">
      <alignment horizontal="center"/>
    </xf>
    <xf numFmtId="20" fontId="0" fillId="0" borderId="0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5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165" fontId="6" fillId="0" borderId="0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3" borderId="0" xfId="0" applyFill="1" applyAlignment="1">
      <alignment horizontal="center"/>
    </xf>
    <xf numFmtId="0" fontId="0" fillId="3" borderId="0" xfId="0" applyFill="1"/>
    <xf numFmtId="166" fontId="0" fillId="0" borderId="0" xfId="0" applyNumberFormat="1" applyFill="1" applyAlignment="1">
      <alignment horizontal="left"/>
    </xf>
    <xf numFmtId="166" fontId="0" fillId="3" borderId="0" xfId="0" applyNumberFormat="1" applyFill="1" applyAlignment="1">
      <alignment horizontal="left"/>
    </xf>
    <xf numFmtId="0" fontId="0" fillId="0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0" fillId="3" borderId="0" xfId="0" applyNumberFormat="1" applyFill="1" applyAlignment="1">
      <alignment horizontal="center"/>
    </xf>
    <xf numFmtId="166" fontId="1" fillId="4" borderId="0" xfId="0" applyNumberFormat="1" applyFont="1" applyFill="1" applyAlignment="1">
      <alignment horizontal="left"/>
    </xf>
    <xf numFmtId="0" fontId="1" fillId="4" borderId="0" xfId="0" applyNumberFormat="1" applyFont="1" applyFill="1" applyAlignment="1">
      <alignment horizontal="center"/>
    </xf>
    <xf numFmtId="164" fontId="1" fillId="4" borderId="0" xfId="0" applyNumberFormat="1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7" fillId="3" borderId="0" xfId="0" applyNumberFormat="1" applyFont="1" applyFill="1" applyAlignment="1">
      <alignment horizontal="center"/>
    </xf>
    <xf numFmtId="164" fontId="7" fillId="3" borderId="0" xfId="0" applyNumberFormat="1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7" fillId="3" borderId="0" xfId="0" applyFont="1" applyFill="1"/>
    <xf numFmtId="166" fontId="8" fillId="3" borderId="0" xfId="0" applyNumberFormat="1" applyFont="1" applyFill="1" applyAlignment="1">
      <alignment horizontal="left"/>
    </xf>
    <xf numFmtId="20" fontId="7" fillId="3" borderId="0" xfId="0" applyNumberFormat="1" applyFont="1" applyFill="1" applyAlignment="1">
      <alignment horizontal="center"/>
    </xf>
    <xf numFmtId="20" fontId="0" fillId="3" borderId="0" xfId="0" applyNumberFormat="1" applyFill="1" applyAlignment="1">
      <alignment horizontal="center"/>
    </xf>
    <xf numFmtId="20" fontId="0" fillId="0" borderId="0" xfId="0" applyNumberFormat="1" applyFill="1" applyAlignment="1">
      <alignment horizontal="center"/>
    </xf>
    <xf numFmtId="20" fontId="1" fillId="4" borderId="0" xfId="0" applyNumberFormat="1" applyFont="1" applyFill="1" applyAlignment="1">
      <alignment horizontal="center" wrapText="1"/>
    </xf>
    <xf numFmtId="0" fontId="4" fillId="0" borderId="0" xfId="0" applyFont="1" applyAlignment="1">
      <alignment horizontal="left" indent="1"/>
    </xf>
    <xf numFmtId="167" fontId="0" fillId="3" borderId="0" xfId="0" applyNumberFormat="1" applyFill="1" applyAlignment="1">
      <alignment horizontal="center"/>
    </xf>
    <xf numFmtId="167" fontId="1" fillId="4" borderId="0" xfId="0" applyNumberFormat="1" applyFont="1" applyFill="1" applyAlignment="1">
      <alignment horizontal="center"/>
    </xf>
    <xf numFmtId="167" fontId="0" fillId="0" borderId="0" xfId="0" applyNumberFormat="1" applyFill="1" applyAlignment="1">
      <alignment horizontal="center"/>
    </xf>
    <xf numFmtId="0" fontId="2" fillId="0" borderId="0" xfId="0" applyFont="1"/>
    <xf numFmtId="20" fontId="2" fillId="0" borderId="0" xfId="0" applyNumberFormat="1" applyFont="1"/>
    <xf numFmtId="0" fontId="9" fillId="3" borderId="0" xfId="0" applyFont="1" applyFill="1" applyAlignment="1">
      <alignment horizontal="center"/>
    </xf>
    <xf numFmtId="167" fontId="11" fillId="4" borderId="0" xfId="0" applyNumberFormat="1" applyFont="1" applyFill="1" applyAlignment="1">
      <alignment horizontal="center"/>
    </xf>
    <xf numFmtId="0" fontId="11" fillId="4" borderId="0" xfId="0" applyFont="1" applyFill="1" applyAlignment="1">
      <alignment horizontal="left"/>
    </xf>
    <xf numFmtId="0" fontId="11" fillId="4" borderId="0" xfId="0" applyFont="1" applyFill="1" applyAlignment="1">
      <alignment horizontal="center"/>
    </xf>
    <xf numFmtId="20" fontId="11" fillId="4" borderId="0" xfId="0" applyNumberFormat="1" applyFont="1" applyFill="1" applyAlignment="1">
      <alignment horizontal="center"/>
    </xf>
    <xf numFmtId="164" fontId="11" fillId="4" borderId="0" xfId="0" applyNumberFormat="1" applyFont="1" applyFill="1" applyAlignment="1">
      <alignment horizontal="center"/>
    </xf>
    <xf numFmtId="164" fontId="12" fillId="4" borderId="0" xfId="0" applyNumberFormat="1" applyFont="1" applyFill="1" applyAlignment="1">
      <alignment horizontal="center" wrapText="1"/>
    </xf>
    <xf numFmtId="0" fontId="0" fillId="5" borderId="0" xfId="0" applyFill="1"/>
    <xf numFmtId="0" fontId="0" fillId="5" borderId="2" xfId="0" applyFill="1" applyBorder="1"/>
    <xf numFmtId="0" fontId="0" fillId="5" borderId="3" xfId="0" applyFill="1" applyBorder="1"/>
    <xf numFmtId="164" fontId="1" fillId="4" borderId="0" xfId="0" applyNumberFormat="1" applyFont="1" applyFill="1" applyAlignment="1">
      <alignment horizontal="center" wrapText="1"/>
    </xf>
    <xf numFmtId="168" fontId="0" fillId="0" borderId="0" xfId="0" applyNumberFormat="1"/>
    <xf numFmtId="14" fontId="13" fillId="6" borderId="0" xfId="1" applyNumberFormat="1"/>
    <xf numFmtId="0" fontId="13" fillId="6" borderId="0" xfId="1"/>
    <xf numFmtId="168" fontId="13" fillId="6" borderId="0" xfId="1" applyNumberFormat="1"/>
    <xf numFmtId="164" fontId="1" fillId="7" borderId="0" xfId="0" applyNumberFormat="1" applyFont="1" applyFill="1" applyAlignment="1">
      <alignment horizontal="center" wrapText="1"/>
    </xf>
    <xf numFmtId="0" fontId="10" fillId="3" borderId="0" xfId="0" applyFont="1" applyFill="1" applyAlignment="1">
      <alignment horizontal="center" wrapText="1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</cellXfs>
  <cellStyles count="2">
    <cellStyle name="Normal" xfId="0" builtinId="0"/>
    <cellStyle name="Satisfaisant" xfId="1" builtinId="26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164" formatCode="[hh]:mm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164" formatCode="[hh]:mm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164" formatCode="[hh]:mm"/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164" formatCode="[hh]:mm"/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164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7" formatCode="&quot;S&quot;00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167" formatCode="&quot;S&quot;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</dxf>
    <dxf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font>
        <color theme="0"/>
      </font>
    </dxf>
    <dxf>
      <border>
        <bottom style="thin">
          <color auto="1"/>
        </bottom>
      </border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69850</xdr:colOff>
      <xdr:row>41</xdr:row>
      <xdr:rowOff>75496</xdr:rowOff>
    </xdr:from>
    <xdr:to>
      <xdr:col>0</xdr:col>
      <xdr:colOff>1125360</xdr:colOff>
      <xdr:row>61</xdr:row>
      <xdr:rowOff>76199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850" y="2450396"/>
              <a:ext cx="1055510" cy="36957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62090</xdr:colOff>
      <xdr:row>34</xdr:row>
      <xdr:rowOff>76202</xdr:rowOff>
    </xdr:from>
    <xdr:to>
      <xdr:col>0</xdr:col>
      <xdr:colOff>1117600</xdr:colOff>
      <xdr:row>41</xdr:row>
      <xdr:rowOff>6352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nnée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090" y="1162052"/>
              <a:ext cx="1055510" cy="1219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1174750</xdr:colOff>
      <xdr:row>34</xdr:row>
      <xdr:rowOff>82550</xdr:rowOff>
    </xdr:from>
    <xdr:to>
      <xdr:col>0</xdr:col>
      <xdr:colOff>2225675</xdr:colOff>
      <xdr:row>61</xdr:row>
      <xdr:rowOff>63500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Semaine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74750" y="1168400"/>
              <a:ext cx="1060450" cy="4914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00000000-0013-0000-FFFF-FFFF01000000}" sourceName="Mois">
  <extLst>
    <x:ext xmlns:x15="http://schemas.microsoft.com/office/spreadsheetml/2010/11/main" uri="{2F2917AC-EB37-4324-AD4E-5DD8C200BD13}">
      <x15:tableSlicerCache tableId="1" column="9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00000000-0013-0000-FFFF-FFFF02000000}" sourceName="Année">
  <extLst>
    <x:ext xmlns:x15="http://schemas.microsoft.com/office/spreadsheetml/2010/11/main" uri="{2F2917AC-EB37-4324-AD4E-5DD8C200BD13}">
      <x15:tableSlicerCache tableId="1" column="10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00000000-0013-0000-FFFF-FFFF03000000}" sourceName="Semaine">
  <extLst>
    <x:ext xmlns:x15="http://schemas.microsoft.com/office/spreadsheetml/2010/11/main" uri="{2F2917AC-EB37-4324-AD4E-5DD8C200BD13}">
      <x15:tableSlicerCache tableId="1" column="4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00000000-0014-0000-FFFF-FFFF01000000}" cache="Segment_Mois" caption="Mois" rowHeight="241300"/>
  <slicer name="Année" xr10:uid="{00000000-0014-0000-FFFF-FFFF02000000}" cache="Segment_Année" caption="Année" rowHeight="241300"/>
  <slicer name="Semaine" xr10:uid="{00000000-0014-0000-FFFF-FFFF03000000}" cache="Segment_Semaine" caption="Colonne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B4:Q466" totalsRowCount="1" headerRowDxfId="34" dataDxfId="33" totalsRowDxfId="32">
  <autoFilter ref="B4:Q465" xr:uid="{00000000-0009-0000-0100-000001000000}">
    <filterColumn colId="2">
      <filters>
        <filter val="5"/>
      </filters>
    </filterColumn>
    <filterColumn colId="3">
      <filters>
        <filter val="2022"/>
      </filters>
    </filterColumn>
  </autoFilter>
  <tableColumns count="16">
    <tableColumn id="4" xr3:uid="{00000000-0010-0000-0100-000004000000}" name="Semaine" dataDxfId="31" totalsRowDxfId="30">
      <calculatedColumnFormula>_xlfn.ISOWEEKNUM(Tableau1[[#This Row],[Date]])</calculatedColumnFormula>
    </tableColumn>
    <tableColumn id="1" xr3:uid="{00000000-0010-0000-0100-000001000000}" name="Date" totalsRowLabel="Total" totalsRowDxfId="29">
      <calculatedColumnFormula>debut+ROW()-ROW(Tableau1[[#Headers],[Date]])-1</calculatedColumnFormula>
    </tableColumn>
    <tableColumn id="9" xr3:uid="{00000000-0010-0000-0100-000009000000}" name="Mois" totalsRowDxfId="28">
      <calculatedColumnFormula>MONTH(Tableau1[[#This Row],[Date]])</calculatedColumnFormula>
    </tableColumn>
    <tableColumn id="10" xr3:uid="{00000000-0010-0000-0100-00000A000000}" name="Année" totalsRowDxfId="27">
      <calculatedColumnFormula>YEAR(Tableau1[[#This Row],[Date]])</calculatedColumnFormula>
    </tableColumn>
    <tableColumn id="2" xr3:uid="{00000000-0010-0000-0100-000002000000}" name="Début_x000a_matin" dataDxfId="26" totalsRowDxfId="25"/>
    <tableColumn id="6" xr3:uid="{00000000-0010-0000-0100-000006000000}" name="Fin_x000a_matin" dataDxfId="24" totalsRowDxfId="23"/>
    <tableColumn id="7" xr3:uid="{00000000-0010-0000-0100-000007000000}" name="Début_x000a_apm" dataDxfId="22" totalsRowDxfId="21"/>
    <tableColumn id="8" xr3:uid="{00000000-0010-0000-0100-000008000000}" name="Fin_x000a_apm" dataDxfId="20" totalsRowDxfId="19"/>
    <tableColumn id="15" xr3:uid="{00000000-0010-0000-0100-00000F000000}" name="Abs." totalsRowFunction="count" dataDxfId="18" totalsRowDxfId="17"/>
    <tableColumn id="5" xr3:uid="{00000000-0010-0000-0100-000005000000}" name="Heures" totalsRowFunction="sum" dataDxfId="16" totalsRowDxfId="15">
      <calculatedColumnFormula>MOD(Tableau1[[#This Row],[Fin
apm]]-Tableau1[[#This Row],[Début
apm]],1)+MOD(Tableau1[[#This Row],[Fin
matin]]-Tableau1[[#This Row],[Début
matin]],1)</calculatedColumnFormula>
    </tableColumn>
    <tableColumn id="3" xr3:uid="{00000000-0010-0000-0100-000003000000}" name="H_Abs" totalsRowDxfId="14">
      <calculatedColumnFormula>IFERROR(VLOOKUP(Tableau1[[#This Row],[Abs.]],Tmotif[],3,0),0)</calculatedColumnFormula>
    </tableColumn>
    <tableColumn id="14" xr3:uid="{00000000-0010-0000-0100-00000E000000}" name="HS" totalsRowFunction="sum" totalsRowDxfId="13">
      <calculatedColumnFormula>IF(WEEKDAY(Tableau1[[#This Row],[Date]],2)&lt;7,0,MAX(0,SUM(OFFSET(Tableau1[[#This Row],[Heures]],-6,,7))+SUM(OFFSET(Tableau1[[#This Row],[H_Abs]],-6,,7))-_HS))</calculatedColumnFormula>
    </tableColumn>
    <tableColumn id="11" xr3:uid="{00000000-0010-0000-0100-00000B000000}" name="Dont_x000a_HS 30%" dataDxfId="12" totalsRowDxfId="11">
      <calculatedColumnFormula>IF(Tableau1[[#This Row],[HS]]&gt;0,IF(Tableau1[[#This Row],[HS]]&gt;8,8,Tableau1[[#This Row],[HS]]),"")</calculatedColumnFormula>
    </tableColumn>
    <tableColumn id="12" xr3:uid="{00000000-0010-0000-0100-00000C000000}" name="Dont _x000a_HS 50%" dataDxfId="10" totalsRowDxfId="9"/>
    <tableColumn id="13" xr3:uid="{25259A47-D30D-4DA7-931C-296EC8C8F132}" name="Maj_x000a_h 30%" dataDxfId="8" totalsRowDxfId="7">
      <calculatedColumnFormula>Tableau1[[#This Row],[Dont
HS 30%]]*1.3</calculatedColumnFormula>
    </tableColumn>
    <tableColumn id="16" xr3:uid="{DF39E5E7-5988-4656-B75D-99393E60218E}" name="Maj_x000a_H 50%" dataDxfId="6" totalsRowDxfId="5">
      <calculatedColumnFormula>Tableau1[[#This Row],[Dont 
HS 50%]]*1.5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motif" displayName="Tmotif" ref="A4:C11" totalsRowShown="0" headerRowDxfId="4" dataDxfId="3">
  <autoFilter ref="A4:C11" xr:uid="{00000000-0009-0000-0100-000002000000}"/>
  <tableColumns count="3">
    <tableColumn id="1" xr3:uid="{00000000-0010-0000-0000-000001000000}" name="Motifs" dataDxfId="2"/>
    <tableColumn id="2" xr3:uid="{00000000-0010-0000-0000-000002000000}" name="Libellé" dataDxfId="1"/>
    <tableColumn id="3" xr3:uid="{00000000-0010-0000-0000-000003000000}" name="prise en compte pour décompte H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A1:Q466"/>
  <sheetViews>
    <sheetView showZeros="0"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V51" sqref="V51"/>
    </sheetView>
  </sheetViews>
  <sheetFormatPr baseColWidth="10" defaultColWidth="10.85546875" defaultRowHeight="15" x14ac:dyDescent="0.25"/>
  <cols>
    <col min="1" max="1" width="33.42578125" style="13" customWidth="1"/>
    <col min="2" max="2" width="12.42578125" style="35" bestFit="1" customWidth="1"/>
    <col min="3" max="3" width="25.5703125" style="15" bestFit="1" customWidth="1"/>
    <col min="4" max="4" width="1" style="17" customWidth="1"/>
    <col min="5" max="5" width="1.28515625" style="17" customWidth="1"/>
    <col min="6" max="6" width="11.42578125"/>
    <col min="7" max="9" width="11.5703125" style="31" customWidth="1"/>
    <col min="10" max="10" width="11.5703125" style="31" hidden="1" customWidth="1"/>
    <col min="11" max="11" width="11.5703125" style="12" customWidth="1"/>
    <col min="12" max="12" width="11.140625" style="20" hidden="1" customWidth="1"/>
    <col min="13" max="13" width="7.5703125" bestFit="1" customWidth="1"/>
    <col min="14" max="17" width="11.5703125" style="20" customWidth="1"/>
    <col min="18" max="16384" width="10.85546875" style="13"/>
  </cols>
  <sheetData>
    <row r="1" spans="1:17" x14ac:dyDescent="0.25">
      <c r="A1" s="15"/>
      <c r="F1" s="31"/>
      <c r="J1" s="12"/>
      <c r="K1" s="20"/>
      <c r="M1" s="20"/>
    </row>
    <row r="2" spans="1:17" s="28" customFormat="1" ht="21" x14ac:dyDescent="0.35">
      <c r="A2" s="56" t="s">
        <v>44</v>
      </c>
      <c r="B2" s="29"/>
      <c r="C2" s="29" t="str">
        <f ca="1">RIGHT(CELL("nomfichier",F2),LEN(CELL("nomfichier",F2))-FIND("]",CELL("nomfichier",F2)))</f>
        <v>truc</v>
      </c>
      <c r="D2" s="25"/>
      <c r="E2" s="25"/>
      <c r="F2" s="29"/>
      <c r="G2" s="30"/>
      <c r="H2" s="30"/>
      <c r="I2" s="30"/>
      <c r="J2" s="27"/>
      <c r="K2" s="26"/>
      <c r="L2" s="26"/>
      <c r="M2" s="26"/>
      <c r="N2" s="26"/>
      <c r="O2" s="26"/>
      <c r="P2" s="26"/>
      <c r="Q2" s="26"/>
    </row>
    <row r="3" spans="1:17" ht="21" x14ac:dyDescent="0.35">
      <c r="A3" s="56"/>
      <c r="F3" s="31"/>
      <c r="J3" s="27"/>
      <c r="K3" s="26"/>
      <c r="M3" s="20"/>
    </row>
    <row r="4" spans="1:17" ht="30" x14ac:dyDescent="0.25">
      <c r="A4" s="40"/>
      <c r="B4" s="36" t="s">
        <v>1</v>
      </c>
      <c r="C4" s="21" t="s">
        <v>0</v>
      </c>
      <c r="D4" s="22" t="s">
        <v>2</v>
      </c>
      <c r="E4" s="22" t="s">
        <v>3</v>
      </c>
      <c r="F4" s="33" t="s">
        <v>39</v>
      </c>
      <c r="G4" s="33" t="s">
        <v>40</v>
      </c>
      <c r="H4" s="33" t="s">
        <v>41</v>
      </c>
      <c r="I4" s="33" t="s">
        <v>42</v>
      </c>
      <c r="J4" s="24" t="s">
        <v>38</v>
      </c>
      <c r="K4" s="23" t="s">
        <v>34</v>
      </c>
      <c r="L4" s="23" t="s">
        <v>36</v>
      </c>
      <c r="M4" s="23" t="s">
        <v>35</v>
      </c>
      <c r="N4" s="50" t="s">
        <v>53</v>
      </c>
      <c r="O4" s="46" t="s">
        <v>45</v>
      </c>
      <c r="P4" s="55" t="s">
        <v>54</v>
      </c>
      <c r="Q4" s="55" t="s">
        <v>55</v>
      </c>
    </row>
    <row r="5" spans="1:17" hidden="1" x14ac:dyDescent="0.25">
      <c r="B5" s="37">
        <f>_xlfn.ISOWEEKNUM(Tableau1[[#This Row],[Date]])</f>
        <v>13</v>
      </c>
      <c r="C5" s="14">
        <f>debut+ROW()-ROW(Tableau1[[#Headers],[Date]])-1</f>
        <v>44652</v>
      </c>
      <c r="D5" s="16">
        <f>MONTH(Tableau1[[#This Row],[Date]])</f>
        <v>4</v>
      </c>
      <c r="E5" s="16">
        <f>YEAR(Tableau1[[#This Row],[Date]])</f>
        <v>2022</v>
      </c>
      <c r="F5" s="32"/>
      <c r="G5" s="32"/>
      <c r="H5" s="32"/>
      <c r="I5" s="32"/>
      <c r="J5" s="1"/>
      <c r="K5" s="19">
        <f>MOD(Tableau1[[#This Row],[Fin
apm]]-Tableau1[[#This Row],[Début
apm]],1)+MOD(Tableau1[[#This Row],[Fin
matin]]-Tableau1[[#This Row],[Début
matin]],1)</f>
        <v>0</v>
      </c>
      <c r="L5" s="19">
        <f>IFERROR(VLOOKUP(Tableau1[[#This Row],[Abs.]],Tmotif[],3,0),0)</f>
        <v>0</v>
      </c>
      <c r="M5" s="19">
        <f ca="1">IF(WEEKDAY(Tableau1[[#This Row],[Date]],2)&lt;7,0,MAX(0,SUM(OFFSET(Tableau1[[#This Row],[Heures]],-6,,7))+SUM(OFFSET(Tableau1[[#This Row],[H_Abs]],-6,,7))-_HS))</f>
        <v>0</v>
      </c>
      <c r="N5" s="18" t="str">
        <f ca="1">IF(Tableau1[[#This Row],[HS]]&gt;0,IF(Tableau1[[#This Row],[HS]]*24&gt;8,8/24,Tableau1[[#This Row],[HS]]),"")</f>
        <v/>
      </c>
      <c r="O5" s="18" t="str">
        <f ca="1">IF(Tableau1[[#This Row],[HS]]*24&gt;8,Tableau1[[#This Row],[HS]]-Tableau1[[#This Row],[Dont
HS 30%]],"")</f>
        <v/>
      </c>
      <c r="P5" s="18" t="e">
        <f ca="1">Tableau1[[#This Row],[Dont
HS 30%]]*1.3</f>
        <v>#VALUE!</v>
      </c>
      <c r="Q5" s="18" t="e">
        <f ca="1">Tableau1[[#This Row],[Dont 
HS 50%]]*1.5</f>
        <v>#VALUE!</v>
      </c>
    </row>
    <row r="6" spans="1:17" hidden="1" x14ac:dyDescent="0.25">
      <c r="B6" s="37">
        <f>_xlfn.ISOWEEKNUM(Tableau1[[#This Row],[Date]])</f>
        <v>13</v>
      </c>
      <c r="C6" s="14">
        <f>debut+ROW()-ROW(Tableau1[[#Headers],[Date]])-1</f>
        <v>44653</v>
      </c>
      <c r="D6" s="16">
        <f>MONTH(Tableau1[[#This Row],[Date]])</f>
        <v>4</v>
      </c>
      <c r="E6" s="16">
        <f>YEAR(Tableau1[[#This Row],[Date]])</f>
        <v>2022</v>
      </c>
      <c r="F6" s="32"/>
      <c r="G6" s="32"/>
      <c r="H6" s="32"/>
      <c r="I6" s="32"/>
      <c r="J6" s="2"/>
      <c r="K6" s="19">
        <f>MOD(Tableau1[[#This Row],[Fin
apm]]-Tableau1[[#This Row],[Début
apm]],1)+MOD(Tableau1[[#This Row],[Fin
matin]]-Tableau1[[#This Row],[Début
matin]],1)</f>
        <v>0</v>
      </c>
      <c r="L6" s="19">
        <f>IFERROR(VLOOKUP(Tableau1[[#This Row],[Abs.]],Tmotif[],3,0),0)</f>
        <v>0</v>
      </c>
      <c r="M6" s="19">
        <f ca="1">IF(WEEKDAY(Tableau1[[#This Row],[Date]],2)&lt;7,0,MAX(0,SUM(OFFSET(Tableau1[[#This Row],[Heures]],-6,,7))+SUM(OFFSET(Tableau1[[#This Row],[H_Abs]],-6,,7))-_HS))</f>
        <v>0</v>
      </c>
      <c r="N6" s="18" t="str">
        <f ca="1">IF(Tableau1[[#This Row],[HS]]&gt;0,IF(Tableau1[[#This Row],[HS]]*24&gt;8,8/24,Tableau1[[#This Row],[HS]]),"")</f>
        <v/>
      </c>
      <c r="O6" s="18" t="str">
        <f ca="1">IF(Tableau1[[#This Row],[HS]]*24&gt;8,Tableau1[[#This Row],[HS]]-Tableau1[[#This Row],[Dont
HS 30%]],"")</f>
        <v/>
      </c>
      <c r="P6" s="18" t="e">
        <f ca="1">Tableau1[[#This Row],[Dont
HS 30%]]*1.3</f>
        <v>#VALUE!</v>
      </c>
      <c r="Q6" s="18" t="e">
        <f ca="1">Tableau1[[#This Row],[Dont 
HS 50%]]*1.5</f>
        <v>#VALUE!</v>
      </c>
    </row>
    <row r="7" spans="1:17" hidden="1" x14ac:dyDescent="0.25">
      <c r="B7" s="37">
        <f>_xlfn.ISOWEEKNUM(Tableau1[[#This Row],[Date]])</f>
        <v>13</v>
      </c>
      <c r="C7" s="14">
        <f>debut+ROW()-ROW(Tableau1[[#Headers],[Date]])-1</f>
        <v>44654</v>
      </c>
      <c r="D7" s="16">
        <f>MONTH(Tableau1[[#This Row],[Date]])</f>
        <v>4</v>
      </c>
      <c r="E7" s="16">
        <f>YEAR(Tableau1[[#This Row],[Date]])</f>
        <v>2022</v>
      </c>
      <c r="F7" s="32"/>
      <c r="G7" s="32"/>
      <c r="H7" s="32"/>
      <c r="I7" s="32"/>
      <c r="J7" s="2"/>
      <c r="K7" s="19">
        <f>MOD(Tableau1[[#This Row],[Fin
apm]]-Tableau1[[#This Row],[Début
apm]],1)+MOD(Tableau1[[#This Row],[Fin
matin]]-Tableau1[[#This Row],[Début
matin]],1)</f>
        <v>0</v>
      </c>
      <c r="L7" s="19">
        <f>IFERROR(VLOOKUP(Tableau1[[#This Row],[Abs.]],Tmotif[],3,0),0)</f>
        <v>0</v>
      </c>
      <c r="M7" s="19">
        <f ca="1">IF(WEEKDAY(Tableau1[[#This Row],[Date]],2)&lt;7,0,MAX(0,SUM(OFFSET(Tableau1[[#This Row],[Heures]],-6,,7))+SUM(OFFSET(Tableau1[[#This Row],[H_Abs]],-6,,7))-_HS))</f>
        <v>0</v>
      </c>
      <c r="N7" s="18" t="str">
        <f ca="1">IF(Tableau1[[#This Row],[HS]]&gt;0,IF(Tableau1[[#This Row],[HS]]*24&gt;8,8/24,Tableau1[[#This Row],[HS]]),"")</f>
        <v/>
      </c>
      <c r="O7" s="18" t="str">
        <f ca="1">IF(Tableau1[[#This Row],[HS]]*24&gt;8,Tableau1[[#This Row],[HS]]-Tableau1[[#This Row],[Dont
HS 30%]],"")</f>
        <v/>
      </c>
      <c r="P7" s="18" t="e">
        <f ca="1">Tableau1[[#This Row],[Dont
HS 30%]]*1.3</f>
        <v>#VALUE!</v>
      </c>
      <c r="Q7" s="18" t="e">
        <f ca="1">Tableau1[[#This Row],[Dont 
HS 50%]]*1.5</f>
        <v>#VALUE!</v>
      </c>
    </row>
    <row r="8" spans="1:17" hidden="1" x14ac:dyDescent="0.25">
      <c r="B8" s="37">
        <f>_xlfn.ISOWEEKNUM(Tableau1[[#This Row],[Date]])</f>
        <v>14</v>
      </c>
      <c r="C8" s="14">
        <f>debut+ROW()-ROW(Tableau1[[#Headers],[Date]])-1</f>
        <v>44655</v>
      </c>
      <c r="D8" s="16">
        <f>MONTH(Tableau1[[#This Row],[Date]])</f>
        <v>4</v>
      </c>
      <c r="E8" s="16">
        <f>YEAR(Tableau1[[#This Row],[Date]])</f>
        <v>2022</v>
      </c>
      <c r="F8" s="32"/>
      <c r="G8" s="32"/>
      <c r="H8" s="32"/>
      <c r="I8" s="32"/>
      <c r="J8" s="2"/>
      <c r="K8" s="19">
        <f>MOD(Tableau1[[#This Row],[Fin
apm]]-Tableau1[[#This Row],[Début
apm]],1)+MOD(Tableau1[[#This Row],[Fin
matin]]-Tableau1[[#This Row],[Début
matin]],1)</f>
        <v>0</v>
      </c>
      <c r="L8" s="19">
        <f>IFERROR(VLOOKUP(Tableau1[[#This Row],[Abs.]],Tmotif[],3,0),0)</f>
        <v>0</v>
      </c>
      <c r="M8" s="19">
        <f ca="1">IF(WEEKDAY(Tableau1[[#This Row],[Date]],2)&lt;7,0,MAX(0,SUM(OFFSET(Tableau1[[#This Row],[Heures]],-6,,7))+SUM(OFFSET(Tableau1[[#This Row],[H_Abs]],-6,,7))-_HS))</f>
        <v>0</v>
      </c>
      <c r="N8" s="18" t="str">
        <f ca="1">IF(Tableau1[[#This Row],[HS]]&gt;0,IF(Tableau1[[#This Row],[HS]]*24&gt;8,8/24,Tableau1[[#This Row],[HS]]),"")</f>
        <v/>
      </c>
      <c r="O8" s="18" t="str">
        <f ca="1">IF(Tableau1[[#This Row],[HS]]*24&gt;8,Tableau1[[#This Row],[HS]]-Tableau1[[#This Row],[Dont
HS 30%]],"")</f>
        <v/>
      </c>
      <c r="P8" s="18" t="e">
        <f ca="1">Tableau1[[#This Row],[Dont
HS 30%]]*1.3</f>
        <v>#VALUE!</v>
      </c>
      <c r="Q8" s="18" t="e">
        <f ca="1">Tableau1[[#This Row],[Dont 
HS 50%]]*1.5</f>
        <v>#VALUE!</v>
      </c>
    </row>
    <row r="9" spans="1:17" hidden="1" x14ac:dyDescent="0.25">
      <c r="B9" s="37">
        <f>_xlfn.ISOWEEKNUM(Tableau1[[#This Row],[Date]])</f>
        <v>14</v>
      </c>
      <c r="C9" s="14">
        <f>debut+ROW()-ROW(Tableau1[[#Headers],[Date]])-1</f>
        <v>44656</v>
      </c>
      <c r="D9" s="16">
        <f>MONTH(Tableau1[[#This Row],[Date]])</f>
        <v>4</v>
      </c>
      <c r="E9" s="16">
        <f>YEAR(Tableau1[[#This Row],[Date]])</f>
        <v>2022</v>
      </c>
      <c r="F9" s="32"/>
      <c r="G9" s="32"/>
      <c r="H9" s="32"/>
      <c r="I9" s="32"/>
      <c r="J9" s="2"/>
      <c r="K9" s="19">
        <f>MOD(Tableau1[[#This Row],[Fin
apm]]-Tableau1[[#This Row],[Début
apm]],1)+MOD(Tableau1[[#This Row],[Fin
matin]]-Tableau1[[#This Row],[Début
matin]],1)</f>
        <v>0</v>
      </c>
      <c r="L9" s="19">
        <f>IFERROR(VLOOKUP(Tableau1[[#This Row],[Abs.]],Tmotif[],3,0),0)</f>
        <v>0</v>
      </c>
      <c r="M9" s="19">
        <f ca="1">IF(WEEKDAY(Tableau1[[#This Row],[Date]],2)&lt;7,0,MAX(0,SUM(OFFSET(Tableau1[[#This Row],[Heures]],-6,,7))+SUM(OFFSET(Tableau1[[#This Row],[H_Abs]],-6,,7))-_HS))</f>
        <v>0</v>
      </c>
      <c r="N9" s="18" t="str">
        <f ca="1">IF(Tableau1[[#This Row],[HS]]&gt;0,IF(Tableau1[[#This Row],[HS]]*24&gt;8,8/24,Tableau1[[#This Row],[HS]]),"")</f>
        <v/>
      </c>
      <c r="O9" s="18" t="str">
        <f ca="1">IF(Tableau1[[#This Row],[HS]]*24&gt;8,Tableau1[[#This Row],[HS]]-Tableau1[[#This Row],[Dont
HS 30%]],"")</f>
        <v/>
      </c>
      <c r="P9" s="18" t="e">
        <f ca="1">Tableau1[[#This Row],[Dont
HS 30%]]*1.3</f>
        <v>#VALUE!</v>
      </c>
      <c r="Q9" s="18" t="e">
        <f ca="1">Tableau1[[#This Row],[Dont 
HS 50%]]*1.5</f>
        <v>#VALUE!</v>
      </c>
    </row>
    <row r="10" spans="1:17" hidden="1" x14ac:dyDescent="0.25">
      <c r="B10" s="37">
        <f>_xlfn.ISOWEEKNUM(Tableau1[[#This Row],[Date]])</f>
        <v>14</v>
      </c>
      <c r="C10" s="14">
        <f>debut+ROW()-ROW(Tableau1[[#Headers],[Date]])-1</f>
        <v>44657</v>
      </c>
      <c r="D10" s="16">
        <f>MONTH(Tableau1[[#This Row],[Date]])</f>
        <v>4</v>
      </c>
      <c r="E10" s="16">
        <f>YEAR(Tableau1[[#This Row],[Date]])</f>
        <v>2022</v>
      </c>
      <c r="F10" s="32"/>
      <c r="G10" s="32"/>
      <c r="H10" s="32"/>
      <c r="I10" s="32"/>
      <c r="J10" s="2"/>
      <c r="K10" s="19">
        <f>MOD(Tableau1[[#This Row],[Fin
apm]]-Tableau1[[#This Row],[Début
apm]],1)+MOD(Tableau1[[#This Row],[Fin
matin]]-Tableau1[[#This Row],[Début
matin]],1)</f>
        <v>0</v>
      </c>
      <c r="L10" s="19">
        <f>IFERROR(VLOOKUP(Tableau1[[#This Row],[Abs.]],Tmotif[],3,0),0)</f>
        <v>0</v>
      </c>
      <c r="M10" s="19">
        <f ca="1">IF(WEEKDAY(Tableau1[[#This Row],[Date]],2)&lt;7,0,MAX(0,SUM(OFFSET(Tableau1[[#This Row],[Heures]],-6,,7))+SUM(OFFSET(Tableau1[[#This Row],[H_Abs]],-6,,7))-_HS))</f>
        <v>0</v>
      </c>
      <c r="N10" s="18" t="str">
        <f ca="1">IF(Tableau1[[#This Row],[HS]]&gt;0,IF(Tableau1[[#This Row],[HS]]*24&gt;8,8/24,Tableau1[[#This Row],[HS]]),"")</f>
        <v/>
      </c>
      <c r="O10" s="18" t="str">
        <f ca="1">IF(Tableau1[[#This Row],[HS]]*24&gt;8,Tableau1[[#This Row],[HS]]-Tableau1[[#This Row],[Dont
HS 30%]],"")</f>
        <v/>
      </c>
      <c r="P10" s="18" t="e">
        <f ca="1">Tableau1[[#This Row],[Dont
HS 30%]]*1.3</f>
        <v>#VALUE!</v>
      </c>
      <c r="Q10" s="18" t="e">
        <f ca="1">Tableau1[[#This Row],[Dont 
HS 50%]]*1.5</f>
        <v>#VALUE!</v>
      </c>
    </row>
    <row r="11" spans="1:17" hidden="1" x14ac:dyDescent="0.25">
      <c r="B11" s="37">
        <f>_xlfn.ISOWEEKNUM(Tableau1[[#This Row],[Date]])</f>
        <v>14</v>
      </c>
      <c r="C11" s="14">
        <f>debut+ROW()-ROW(Tableau1[[#Headers],[Date]])-1</f>
        <v>44658</v>
      </c>
      <c r="D11" s="16">
        <f>MONTH(Tableau1[[#This Row],[Date]])</f>
        <v>4</v>
      </c>
      <c r="E11" s="16">
        <f>YEAR(Tableau1[[#This Row],[Date]])</f>
        <v>2022</v>
      </c>
      <c r="F11" s="32"/>
      <c r="G11" s="32"/>
      <c r="H11" s="32"/>
      <c r="I11" s="32"/>
      <c r="J11" s="2"/>
      <c r="K11" s="19">
        <f>MOD(Tableau1[[#This Row],[Fin
apm]]-Tableau1[[#This Row],[Début
apm]],1)+MOD(Tableau1[[#This Row],[Fin
matin]]-Tableau1[[#This Row],[Début
matin]],1)</f>
        <v>0</v>
      </c>
      <c r="L11" s="19">
        <f>IFERROR(VLOOKUP(Tableau1[[#This Row],[Abs.]],Tmotif[],3,0),0)</f>
        <v>0</v>
      </c>
      <c r="M11" s="19">
        <f ca="1">IF(WEEKDAY(Tableau1[[#This Row],[Date]],2)&lt;7,0,MAX(0,SUM(OFFSET(Tableau1[[#This Row],[Heures]],-6,,7))+SUM(OFFSET(Tableau1[[#This Row],[H_Abs]],-6,,7))-_HS))</f>
        <v>0</v>
      </c>
      <c r="N11" s="18" t="str">
        <f ca="1">IF(Tableau1[[#This Row],[HS]]&gt;0,IF(Tableau1[[#This Row],[HS]]*24&gt;8,8/24,Tableau1[[#This Row],[HS]]),"")</f>
        <v/>
      </c>
      <c r="O11" s="18" t="str">
        <f ca="1">IF(Tableau1[[#This Row],[HS]]*24&gt;8,Tableau1[[#This Row],[HS]]-Tableau1[[#This Row],[Dont
HS 30%]],"")</f>
        <v/>
      </c>
      <c r="P11" s="18" t="e">
        <f ca="1">Tableau1[[#This Row],[Dont
HS 30%]]*1.3</f>
        <v>#VALUE!</v>
      </c>
      <c r="Q11" s="18" t="e">
        <f ca="1">Tableau1[[#This Row],[Dont 
HS 50%]]*1.5</f>
        <v>#VALUE!</v>
      </c>
    </row>
    <row r="12" spans="1:17" hidden="1" x14ac:dyDescent="0.25">
      <c r="B12" s="37">
        <f>_xlfn.ISOWEEKNUM(Tableau1[[#This Row],[Date]])</f>
        <v>14</v>
      </c>
      <c r="C12" s="14">
        <f>debut+ROW()-ROW(Tableau1[[#Headers],[Date]])-1</f>
        <v>44659</v>
      </c>
      <c r="D12" s="16">
        <f>MONTH(Tableau1[[#This Row],[Date]])</f>
        <v>4</v>
      </c>
      <c r="E12" s="16">
        <f>YEAR(Tableau1[[#This Row],[Date]])</f>
        <v>2022</v>
      </c>
      <c r="F12" s="32"/>
      <c r="G12" s="32"/>
      <c r="H12" s="32"/>
      <c r="I12" s="32"/>
      <c r="J12" s="2"/>
      <c r="K12" s="19">
        <f>MOD(Tableau1[[#This Row],[Fin
apm]]-Tableau1[[#This Row],[Début
apm]],1)+MOD(Tableau1[[#This Row],[Fin
matin]]-Tableau1[[#This Row],[Début
matin]],1)</f>
        <v>0</v>
      </c>
      <c r="L12" s="19">
        <f>IFERROR(VLOOKUP(Tableau1[[#This Row],[Abs.]],Tmotif[],3,0),0)</f>
        <v>0</v>
      </c>
      <c r="M12" s="19">
        <f ca="1">IF(WEEKDAY(Tableau1[[#This Row],[Date]],2)&lt;7,0,MAX(0,SUM(OFFSET(Tableau1[[#This Row],[Heures]],-6,,7))+SUM(OFFSET(Tableau1[[#This Row],[H_Abs]],-6,,7))-_HS))</f>
        <v>0</v>
      </c>
      <c r="N12" s="18" t="str">
        <f ca="1">IF(Tableau1[[#This Row],[HS]]&gt;0,IF(Tableau1[[#This Row],[HS]]*24&gt;8,8/24,Tableau1[[#This Row],[HS]]),"")</f>
        <v/>
      </c>
      <c r="O12" s="18" t="str">
        <f ca="1">IF(Tableau1[[#This Row],[HS]]*24&gt;8,Tableau1[[#This Row],[HS]]-Tableau1[[#This Row],[Dont
HS 30%]],"")</f>
        <v/>
      </c>
      <c r="P12" s="18" t="e">
        <f ca="1">Tableau1[[#This Row],[Dont
HS 30%]]*1.3</f>
        <v>#VALUE!</v>
      </c>
      <c r="Q12" s="18" t="e">
        <f ca="1">Tableau1[[#This Row],[Dont 
HS 50%]]*1.5</f>
        <v>#VALUE!</v>
      </c>
    </row>
    <row r="13" spans="1:17" hidden="1" x14ac:dyDescent="0.25">
      <c r="B13" s="37">
        <f>_xlfn.ISOWEEKNUM(Tableau1[[#This Row],[Date]])</f>
        <v>14</v>
      </c>
      <c r="C13" s="14">
        <f>debut+ROW()-ROW(Tableau1[[#Headers],[Date]])-1</f>
        <v>44660</v>
      </c>
      <c r="D13" s="16">
        <f>MONTH(Tableau1[[#This Row],[Date]])</f>
        <v>4</v>
      </c>
      <c r="E13" s="16">
        <f>YEAR(Tableau1[[#This Row],[Date]])</f>
        <v>2022</v>
      </c>
      <c r="F13" s="32"/>
      <c r="G13" s="32"/>
      <c r="H13" s="32"/>
      <c r="I13" s="32"/>
      <c r="J13" s="1"/>
      <c r="K13" s="19">
        <f>MOD(Tableau1[[#This Row],[Fin
apm]]-Tableau1[[#This Row],[Début
apm]],1)+MOD(Tableau1[[#This Row],[Fin
matin]]-Tableau1[[#This Row],[Début
matin]],1)</f>
        <v>0</v>
      </c>
      <c r="L13" s="19">
        <f>IFERROR(VLOOKUP(Tableau1[[#This Row],[Abs.]],Tmotif[],3,0),0)</f>
        <v>0</v>
      </c>
      <c r="M13" s="19">
        <f ca="1">IF(WEEKDAY(Tableau1[[#This Row],[Date]],2)&lt;7,0,MAX(0,SUM(OFFSET(Tableau1[[#This Row],[Heures]],-6,,7))+SUM(OFFSET(Tableau1[[#This Row],[H_Abs]],-6,,7))-_HS))</f>
        <v>0</v>
      </c>
      <c r="N13" s="18" t="str">
        <f ca="1">IF(Tableau1[[#This Row],[HS]]&gt;0,IF(Tableau1[[#This Row],[HS]]*24&gt;8,8/24,Tableau1[[#This Row],[HS]]),"")</f>
        <v/>
      </c>
      <c r="O13" s="18" t="str">
        <f ca="1">IF(Tableau1[[#This Row],[HS]]*24&gt;8,Tableau1[[#This Row],[HS]]-Tableau1[[#This Row],[Dont
HS 30%]],"")</f>
        <v/>
      </c>
      <c r="P13" s="18" t="e">
        <f ca="1">Tableau1[[#This Row],[Dont
HS 30%]]*1.3</f>
        <v>#VALUE!</v>
      </c>
      <c r="Q13" s="18" t="e">
        <f ca="1">Tableau1[[#This Row],[Dont 
HS 50%]]*1.5</f>
        <v>#VALUE!</v>
      </c>
    </row>
    <row r="14" spans="1:17" hidden="1" x14ac:dyDescent="0.25">
      <c r="B14" s="37">
        <f>_xlfn.ISOWEEKNUM(Tableau1[[#This Row],[Date]])</f>
        <v>14</v>
      </c>
      <c r="C14" s="14">
        <f>debut+ROW()-ROW(Tableau1[[#Headers],[Date]])-1</f>
        <v>44661</v>
      </c>
      <c r="D14" s="16">
        <f>MONTH(Tableau1[[#This Row],[Date]])</f>
        <v>4</v>
      </c>
      <c r="E14" s="16">
        <f>YEAR(Tableau1[[#This Row],[Date]])</f>
        <v>2022</v>
      </c>
      <c r="F14" s="32"/>
      <c r="G14" s="32"/>
      <c r="H14" s="32"/>
      <c r="I14" s="32"/>
      <c r="J14" s="1"/>
      <c r="K14" s="19">
        <f>MOD(Tableau1[[#This Row],[Fin
apm]]-Tableau1[[#This Row],[Début
apm]],1)+MOD(Tableau1[[#This Row],[Fin
matin]]-Tableau1[[#This Row],[Début
matin]],1)</f>
        <v>0</v>
      </c>
      <c r="L14" s="19">
        <f>IFERROR(VLOOKUP(Tableau1[[#This Row],[Abs.]],Tmotif[],3,0),0)</f>
        <v>0</v>
      </c>
      <c r="M14" s="19">
        <f ca="1">IF(WEEKDAY(Tableau1[[#This Row],[Date]],2)&lt;7,0,MAX(0,SUM(OFFSET(Tableau1[[#This Row],[Heures]],-6,,7))+SUM(OFFSET(Tableau1[[#This Row],[H_Abs]],-6,,7))-_HS))</f>
        <v>0</v>
      </c>
      <c r="N14" s="18" t="str">
        <f ca="1">IF(Tableau1[[#This Row],[HS]]&gt;0,IF(Tableau1[[#This Row],[HS]]*24&gt;8,8/24,Tableau1[[#This Row],[HS]]),"")</f>
        <v/>
      </c>
      <c r="O14" s="18" t="str">
        <f ca="1">IF(Tableau1[[#This Row],[HS]]*24&gt;8,Tableau1[[#This Row],[HS]]-Tableau1[[#This Row],[Dont
HS 30%]],"")</f>
        <v/>
      </c>
      <c r="P14" s="18" t="e">
        <f ca="1">Tableau1[[#This Row],[Dont
HS 30%]]*1.3</f>
        <v>#VALUE!</v>
      </c>
      <c r="Q14" s="18" t="e">
        <f ca="1">Tableau1[[#This Row],[Dont 
HS 50%]]*1.5</f>
        <v>#VALUE!</v>
      </c>
    </row>
    <row r="15" spans="1:17" hidden="1" x14ac:dyDescent="0.25">
      <c r="B15" s="37">
        <f>_xlfn.ISOWEEKNUM(Tableau1[[#This Row],[Date]])</f>
        <v>15</v>
      </c>
      <c r="C15" s="14">
        <f>debut+ROW()-ROW(Tableau1[[#Headers],[Date]])-1</f>
        <v>44662</v>
      </c>
      <c r="D15" s="16">
        <f>MONTH(Tableau1[[#This Row],[Date]])</f>
        <v>4</v>
      </c>
      <c r="E15" s="16">
        <f>YEAR(Tableau1[[#This Row],[Date]])</f>
        <v>2022</v>
      </c>
      <c r="F15" s="32"/>
      <c r="G15" s="32"/>
      <c r="H15" s="32"/>
      <c r="I15" s="32"/>
      <c r="J15" s="1"/>
      <c r="K15" s="19">
        <f>MOD(Tableau1[[#This Row],[Fin
apm]]-Tableau1[[#This Row],[Début
apm]],1)+MOD(Tableau1[[#This Row],[Fin
matin]]-Tableau1[[#This Row],[Début
matin]],1)</f>
        <v>0</v>
      </c>
      <c r="L15" s="19">
        <f>IFERROR(VLOOKUP(Tableau1[[#This Row],[Abs.]],Tmotif[],3,0),0)</f>
        <v>0</v>
      </c>
      <c r="M15" s="19">
        <f ca="1">IF(WEEKDAY(Tableau1[[#This Row],[Date]],2)&lt;7,0,MAX(0,SUM(OFFSET(Tableau1[[#This Row],[Heures]],-6,,7))+SUM(OFFSET(Tableau1[[#This Row],[H_Abs]],-6,,7))-_HS))</f>
        <v>0</v>
      </c>
      <c r="N15" s="18" t="str">
        <f ca="1">IF(Tableau1[[#This Row],[HS]]&gt;0,IF(Tableau1[[#This Row],[HS]]*24&gt;8,8/24,Tableau1[[#This Row],[HS]]),"")</f>
        <v/>
      </c>
      <c r="O15" s="18" t="str">
        <f ca="1">IF(Tableau1[[#This Row],[HS]]*24&gt;8,Tableau1[[#This Row],[HS]]-Tableau1[[#This Row],[Dont
HS 30%]],"")</f>
        <v/>
      </c>
      <c r="P15" s="18" t="e">
        <f ca="1">Tableau1[[#This Row],[Dont
HS 30%]]*1.3</f>
        <v>#VALUE!</v>
      </c>
      <c r="Q15" s="18" t="e">
        <f ca="1">Tableau1[[#This Row],[Dont 
HS 50%]]*1.5</f>
        <v>#VALUE!</v>
      </c>
    </row>
    <row r="16" spans="1:17" hidden="1" x14ac:dyDescent="0.25">
      <c r="B16" s="37">
        <f>_xlfn.ISOWEEKNUM(Tableau1[[#This Row],[Date]])</f>
        <v>15</v>
      </c>
      <c r="C16" s="14">
        <f>debut+ROW()-ROW(Tableau1[[#Headers],[Date]])-1</f>
        <v>44663</v>
      </c>
      <c r="D16" s="16">
        <f>MONTH(Tableau1[[#This Row],[Date]])</f>
        <v>4</v>
      </c>
      <c r="E16" s="16">
        <f>YEAR(Tableau1[[#This Row],[Date]])</f>
        <v>2022</v>
      </c>
      <c r="F16" s="32"/>
      <c r="G16" s="32"/>
      <c r="H16" s="32"/>
      <c r="I16" s="32"/>
      <c r="J16" s="1"/>
      <c r="K16" s="19">
        <f>MOD(Tableau1[[#This Row],[Fin
apm]]-Tableau1[[#This Row],[Début
apm]],1)+MOD(Tableau1[[#This Row],[Fin
matin]]-Tableau1[[#This Row],[Début
matin]],1)</f>
        <v>0</v>
      </c>
      <c r="L16" s="19">
        <f>IFERROR(VLOOKUP(Tableau1[[#This Row],[Abs.]],Tmotif[],3,0),0)</f>
        <v>0</v>
      </c>
      <c r="M16" s="19">
        <f ca="1">IF(WEEKDAY(Tableau1[[#This Row],[Date]],2)&lt;7,0,MAX(0,SUM(OFFSET(Tableau1[[#This Row],[Heures]],-6,,7))+SUM(OFFSET(Tableau1[[#This Row],[H_Abs]],-6,,7))-_HS))</f>
        <v>0</v>
      </c>
      <c r="N16" s="18" t="str">
        <f ca="1">IF(Tableau1[[#This Row],[HS]]&gt;0,IF(Tableau1[[#This Row],[HS]]*24&gt;8,8/24,Tableau1[[#This Row],[HS]]),"")</f>
        <v/>
      </c>
      <c r="O16" s="18" t="str">
        <f ca="1">IF(Tableau1[[#This Row],[HS]]*24&gt;8,Tableau1[[#This Row],[HS]]-Tableau1[[#This Row],[Dont
HS 30%]],"")</f>
        <v/>
      </c>
      <c r="P16" s="18" t="e">
        <f ca="1">Tableau1[[#This Row],[Dont
HS 30%]]*1.3</f>
        <v>#VALUE!</v>
      </c>
      <c r="Q16" s="18" t="e">
        <f ca="1">Tableau1[[#This Row],[Dont 
HS 50%]]*1.5</f>
        <v>#VALUE!</v>
      </c>
    </row>
    <row r="17" spans="2:17" hidden="1" x14ac:dyDescent="0.25">
      <c r="B17" s="37">
        <f>_xlfn.ISOWEEKNUM(Tableau1[[#This Row],[Date]])</f>
        <v>15</v>
      </c>
      <c r="C17" s="14">
        <f>debut+ROW()-ROW(Tableau1[[#Headers],[Date]])-1</f>
        <v>44664</v>
      </c>
      <c r="D17" s="16">
        <f>MONTH(Tableau1[[#This Row],[Date]])</f>
        <v>4</v>
      </c>
      <c r="E17" s="16">
        <f>YEAR(Tableau1[[#This Row],[Date]])</f>
        <v>2022</v>
      </c>
      <c r="F17" s="32"/>
      <c r="G17" s="32"/>
      <c r="H17" s="32"/>
      <c r="I17" s="32"/>
      <c r="J17" s="1"/>
      <c r="K17" s="19">
        <f>MOD(Tableau1[[#This Row],[Fin
apm]]-Tableau1[[#This Row],[Début
apm]],1)+MOD(Tableau1[[#This Row],[Fin
matin]]-Tableau1[[#This Row],[Début
matin]],1)</f>
        <v>0</v>
      </c>
      <c r="L17" s="19">
        <f>IFERROR(VLOOKUP(Tableau1[[#This Row],[Abs.]],Tmotif[],3,0),0)</f>
        <v>0</v>
      </c>
      <c r="M17" s="19">
        <f ca="1">IF(WEEKDAY(Tableau1[[#This Row],[Date]],2)&lt;7,0,MAX(0,SUM(OFFSET(Tableau1[[#This Row],[Heures]],-6,,7))+SUM(OFFSET(Tableau1[[#This Row],[H_Abs]],-6,,7))-_HS))</f>
        <v>0</v>
      </c>
      <c r="N17" s="18" t="str">
        <f ca="1">IF(Tableau1[[#This Row],[HS]]&gt;0,IF(Tableau1[[#This Row],[HS]]*24&gt;8,8/24,Tableau1[[#This Row],[HS]]),"")</f>
        <v/>
      </c>
      <c r="O17" s="18" t="str">
        <f ca="1">IF(Tableau1[[#This Row],[HS]]*24&gt;8,Tableau1[[#This Row],[HS]]-Tableau1[[#This Row],[Dont
HS 30%]],"")</f>
        <v/>
      </c>
      <c r="P17" s="18" t="e">
        <f ca="1">Tableau1[[#This Row],[Dont
HS 30%]]*1.3</f>
        <v>#VALUE!</v>
      </c>
      <c r="Q17" s="18" t="e">
        <f ca="1">Tableau1[[#This Row],[Dont 
HS 50%]]*1.5</f>
        <v>#VALUE!</v>
      </c>
    </row>
    <row r="18" spans="2:17" hidden="1" x14ac:dyDescent="0.25">
      <c r="B18" s="37">
        <f>_xlfn.ISOWEEKNUM(Tableau1[[#This Row],[Date]])</f>
        <v>15</v>
      </c>
      <c r="C18" s="14">
        <f>debut+ROW()-ROW(Tableau1[[#Headers],[Date]])-1</f>
        <v>44665</v>
      </c>
      <c r="D18" s="16">
        <f>MONTH(Tableau1[[#This Row],[Date]])</f>
        <v>4</v>
      </c>
      <c r="E18" s="16">
        <f>YEAR(Tableau1[[#This Row],[Date]])</f>
        <v>2022</v>
      </c>
      <c r="F18" s="32"/>
      <c r="G18" s="32"/>
      <c r="H18" s="32"/>
      <c r="I18" s="32"/>
      <c r="J18" s="3"/>
      <c r="K18" s="18">
        <f>MOD(Tableau1[[#This Row],[Fin
apm]]-Tableau1[[#This Row],[Début
apm]],1)+MOD(Tableau1[[#This Row],[Fin
matin]]-Tableau1[[#This Row],[Début
matin]],1)</f>
        <v>0</v>
      </c>
      <c r="L18" s="18">
        <f>IFERROR(VLOOKUP(Tableau1[[#This Row],[Abs.]],Tmotif[],3,0),0)</f>
        <v>0</v>
      </c>
      <c r="M18" s="18">
        <f ca="1">IF(WEEKDAY(Tableau1[[#This Row],[Date]],2)&lt;7,0,MAX(0,SUM(OFFSET(Tableau1[[#This Row],[Heures]],-6,,7))+SUM(OFFSET(Tableau1[[#This Row],[H_Abs]],-6,,7))-_HS))</f>
        <v>0</v>
      </c>
      <c r="N18" s="18" t="str">
        <f ca="1">IF(Tableau1[[#This Row],[HS]]&gt;0,IF(Tableau1[[#This Row],[HS]]*24&gt;8,8/24,Tableau1[[#This Row],[HS]]),"")</f>
        <v/>
      </c>
      <c r="O18" s="18" t="str">
        <f ca="1">IF(Tableau1[[#This Row],[HS]]*24&gt;8,Tableau1[[#This Row],[HS]]-Tableau1[[#This Row],[Dont
HS 30%]],"")</f>
        <v/>
      </c>
      <c r="P18" s="18" t="e">
        <f ca="1">Tableau1[[#This Row],[Dont
HS 30%]]*1.3</f>
        <v>#VALUE!</v>
      </c>
      <c r="Q18" s="18" t="e">
        <f ca="1">Tableau1[[#This Row],[Dont 
HS 50%]]*1.5</f>
        <v>#VALUE!</v>
      </c>
    </row>
    <row r="19" spans="2:17" hidden="1" x14ac:dyDescent="0.25">
      <c r="B19" s="37">
        <f>_xlfn.ISOWEEKNUM(Tableau1[[#This Row],[Date]])</f>
        <v>15</v>
      </c>
      <c r="C19" s="14">
        <f>debut+ROW()-ROW(Tableau1[[#Headers],[Date]])-1</f>
        <v>44666</v>
      </c>
      <c r="D19" s="16">
        <f>MONTH(Tableau1[[#This Row],[Date]])</f>
        <v>4</v>
      </c>
      <c r="E19" s="16">
        <f>YEAR(Tableau1[[#This Row],[Date]])</f>
        <v>2022</v>
      </c>
      <c r="F19" s="32"/>
      <c r="G19" s="32"/>
      <c r="H19" s="32"/>
      <c r="I19" s="32"/>
      <c r="J19" s="3"/>
      <c r="K19" s="18">
        <f>MOD(Tableau1[[#This Row],[Fin
apm]]-Tableau1[[#This Row],[Début
apm]],1)+MOD(Tableau1[[#This Row],[Fin
matin]]-Tableau1[[#This Row],[Début
matin]],1)</f>
        <v>0</v>
      </c>
      <c r="L19" s="18">
        <f>IFERROR(VLOOKUP(Tableau1[[#This Row],[Abs.]],Tmotif[],3,0),0)</f>
        <v>0</v>
      </c>
      <c r="M19" s="18">
        <f ca="1">IF(WEEKDAY(Tableau1[[#This Row],[Date]],2)&lt;7,0,MAX(0,SUM(OFFSET(Tableau1[[#This Row],[Heures]],-6,,7))+SUM(OFFSET(Tableau1[[#This Row],[H_Abs]],-6,,7))-_HS))</f>
        <v>0</v>
      </c>
      <c r="N19" s="18" t="str">
        <f ca="1">IF(Tableau1[[#This Row],[HS]]&gt;0,IF(Tableau1[[#This Row],[HS]]*24&gt;8,8/24,Tableau1[[#This Row],[HS]]),"")</f>
        <v/>
      </c>
      <c r="O19" s="18" t="str">
        <f ca="1">IF(Tableau1[[#This Row],[HS]]*24&gt;8,Tableau1[[#This Row],[HS]]-Tableau1[[#This Row],[Dont
HS 30%]],"")</f>
        <v/>
      </c>
      <c r="P19" s="18" t="e">
        <f ca="1">Tableau1[[#This Row],[Dont
HS 30%]]*1.3</f>
        <v>#VALUE!</v>
      </c>
      <c r="Q19" s="18" t="e">
        <f ca="1">Tableau1[[#This Row],[Dont 
HS 50%]]*1.5</f>
        <v>#VALUE!</v>
      </c>
    </row>
    <row r="20" spans="2:17" hidden="1" x14ac:dyDescent="0.25">
      <c r="B20" s="37">
        <f>_xlfn.ISOWEEKNUM(Tableau1[[#This Row],[Date]])</f>
        <v>15</v>
      </c>
      <c r="C20" s="14">
        <f>debut+ROW()-ROW(Tableau1[[#Headers],[Date]])-1</f>
        <v>44667</v>
      </c>
      <c r="D20" s="16">
        <f>MONTH(Tableau1[[#This Row],[Date]])</f>
        <v>4</v>
      </c>
      <c r="E20" s="16">
        <f>YEAR(Tableau1[[#This Row],[Date]])</f>
        <v>2022</v>
      </c>
      <c r="F20" s="32"/>
      <c r="G20" s="32"/>
      <c r="H20" s="32"/>
      <c r="I20" s="32"/>
      <c r="J20" s="3"/>
      <c r="K20" s="18">
        <f>MOD(Tableau1[[#This Row],[Fin
apm]]-Tableau1[[#This Row],[Début
apm]],1)+MOD(Tableau1[[#This Row],[Fin
matin]]-Tableau1[[#This Row],[Début
matin]],1)</f>
        <v>0</v>
      </c>
      <c r="L20" s="18">
        <f>IFERROR(VLOOKUP(Tableau1[[#This Row],[Abs.]],Tmotif[],3,0),0)</f>
        <v>0</v>
      </c>
      <c r="M20" s="18">
        <f ca="1">IF(WEEKDAY(Tableau1[[#This Row],[Date]],2)&lt;7,0,MAX(0,SUM(OFFSET(Tableau1[[#This Row],[Heures]],-6,,7))+SUM(OFFSET(Tableau1[[#This Row],[H_Abs]],-6,,7))-_HS))</f>
        <v>0</v>
      </c>
      <c r="N20" s="18" t="str">
        <f ca="1">IF(Tableau1[[#This Row],[HS]]&gt;0,IF(Tableau1[[#This Row],[HS]]*24&gt;8,8/24,Tableau1[[#This Row],[HS]]),"")</f>
        <v/>
      </c>
      <c r="O20" s="18" t="str">
        <f ca="1">IF(Tableau1[[#This Row],[HS]]*24&gt;8,Tableau1[[#This Row],[HS]]-Tableau1[[#This Row],[Dont
HS 30%]],"")</f>
        <v/>
      </c>
      <c r="P20" s="18" t="e">
        <f ca="1">Tableau1[[#This Row],[Dont
HS 30%]]*1.3</f>
        <v>#VALUE!</v>
      </c>
      <c r="Q20" s="18" t="e">
        <f ca="1">Tableau1[[#This Row],[Dont 
HS 50%]]*1.5</f>
        <v>#VALUE!</v>
      </c>
    </row>
    <row r="21" spans="2:17" hidden="1" x14ac:dyDescent="0.25">
      <c r="B21" s="37">
        <f>_xlfn.ISOWEEKNUM(Tableau1[[#This Row],[Date]])</f>
        <v>15</v>
      </c>
      <c r="C21" s="14">
        <f>debut+ROW()-ROW(Tableau1[[#Headers],[Date]])-1</f>
        <v>44668</v>
      </c>
      <c r="D21" s="16">
        <f>MONTH(Tableau1[[#This Row],[Date]])</f>
        <v>4</v>
      </c>
      <c r="E21" s="16">
        <f>YEAR(Tableau1[[#This Row],[Date]])</f>
        <v>2022</v>
      </c>
      <c r="F21" s="32"/>
      <c r="G21" s="32"/>
      <c r="H21" s="32"/>
      <c r="I21" s="32"/>
      <c r="J21" s="3"/>
      <c r="K21" s="18">
        <f>MOD(Tableau1[[#This Row],[Fin
apm]]-Tableau1[[#This Row],[Début
apm]],1)+MOD(Tableau1[[#This Row],[Fin
matin]]-Tableau1[[#This Row],[Début
matin]],1)</f>
        <v>0</v>
      </c>
      <c r="L21" s="18">
        <f>IFERROR(VLOOKUP(Tableau1[[#This Row],[Abs.]],Tmotif[],3,0),0)</f>
        <v>0</v>
      </c>
      <c r="M21" s="18">
        <f ca="1">IF(WEEKDAY(Tableau1[[#This Row],[Date]],2)&lt;7,0,MAX(0,SUM(OFFSET(Tableau1[[#This Row],[Heures]],-6,,7))+SUM(OFFSET(Tableau1[[#This Row],[H_Abs]],-6,,7))-_HS))</f>
        <v>0</v>
      </c>
      <c r="N21" s="18" t="str">
        <f ca="1">IF(Tableau1[[#This Row],[HS]]&gt;0,IF(Tableau1[[#This Row],[HS]]*24&gt;8,8/24,Tableau1[[#This Row],[HS]]),"")</f>
        <v/>
      </c>
      <c r="O21" s="18" t="str">
        <f ca="1">IF(Tableau1[[#This Row],[HS]]*24&gt;8,Tableau1[[#This Row],[HS]]-Tableau1[[#This Row],[Dont
HS 30%]],"")</f>
        <v/>
      </c>
      <c r="P21" s="18" t="e">
        <f ca="1">Tableau1[[#This Row],[Dont
HS 30%]]*1.3</f>
        <v>#VALUE!</v>
      </c>
      <c r="Q21" s="18" t="e">
        <f ca="1">Tableau1[[#This Row],[Dont 
HS 50%]]*1.5</f>
        <v>#VALUE!</v>
      </c>
    </row>
    <row r="22" spans="2:17" hidden="1" x14ac:dyDescent="0.25">
      <c r="B22" s="37">
        <f>_xlfn.ISOWEEKNUM(Tableau1[[#This Row],[Date]])</f>
        <v>16</v>
      </c>
      <c r="C22" s="14">
        <f>debut+ROW()-ROW(Tableau1[[#Headers],[Date]])-1</f>
        <v>44669</v>
      </c>
      <c r="D22" s="16">
        <f>MONTH(Tableau1[[#This Row],[Date]])</f>
        <v>4</v>
      </c>
      <c r="E22" s="16">
        <f>YEAR(Tableau1[[#This Row],[Date]])</f>
        <v>2022</v>
      </c>
      <c r="F22" s="32"/>
      <c r="G22" s="32"/>
      <c r="H22" s="32"/>
      <c r="I22" s="32"/>
      <c r="J22" s="3"/>
      <c r="K22" s="18">
        <f>MOD(Tableau1[[#This Row],[Fin
apm]]-Tableau1[[#This Row],[Début
apm]],1)+MOD(Tableau1[[#This Row],[Fin
matin]]-Tableau1[[#This Row],[Début
matin]],1)</f>
        <v>0</v>
      </c>
      <c r="L22" s="18">
        <f>IFERROR(VLOOKUP(Tableau1[[#This Row],[Abs.]],Tmotif[],3,0),0)</f>
        <v>0</v>
      </c>
      <c r="M22" s="18">
        <f ca="1">IF(WEEKDAY(Tableau1[[#This Row],[Date]],2)&lt;7,0,MAX(0,SUM(OFFSET(Tableau1[[#This Row],[Heures]],-6,,7))+SUM(OFFSET(Tableau1[[#This Row],[H_Abs]],-6,,7))-_HS))</f>
        <v>0</v>
      </c>
      <c r="N22" s="18" t="str">
        <f ca="1">IF(Tableau1[[#This Row],[HS]]&gt;0,IF(Tableau1[[#This Row],[HS]]*24&gt;8,8/24,Tableau1[[#This Row],[HS]]),"")</f>
        <v/>
      </c>
      <c r="O22" s="18" t="str">
        <f ca="1">IF(Tableau1[[#This Row],[HS]]*24&gt;8,Tableau1[[#This Row],[HS]]-Tableau1[[#This Row],[Dont
HS 30%]],"")</f>
        <v/>
      </c>
      <c r="P22" s="18" t="e">
        <f ca="1">Tableau1[[#This Row],[Dont
HS 30%]]*1.3</f>
        <v>#VALUE!</v>
      </c>
      <c r="Q22" s="18" t="e">
        <f ca="1">Tableau1[[#This Row],[Dont 
HS 50%]]*1.5</f>
        <v>#VALUE!</v>
      </c>
    </row>
    <row r="23" spans="2:17" hidden="1" x14ac:dyDescent="0.25">
      <c r="B23" s="37">
        <f>_xlfn.ISOWEEKNUM(Tableau1[[#This Row],[Date]])</f>
        <v>16</v>
      </c>
      <c r="C23" s="14">
        <f>debut+ROW()-ROW(Tableau1[[#Headers],[Date]])-1</f>
        <v>44670</v>
      </c>
      <c r="D23" s="16">
        <f>MONTH(Tableau1[[#This Row],[Date]])</f>
        <v>4</v>
      </c>
      <c r="E23" s="16">
        <f>YEAR(Tableau1[[#This Row],[Date]])</f>
        <v>2022</v>
      </c>
      <c r="F23" s="32"/>
      <c r="G23" s="32"/>
      <c r="H23" s="32"/>
      <c r="I23" s="32"/>
      <c r="J23" s="3"/>
      <c r="K23" s="18">
        <f>MOD(Tableau1[[#This Row],[Fin
apm]]-Tableau1[[#This Row],[Début
apm]],1)+MOD(Tableau1[[#This Row],[Fin
matin]]-Tableau1[[#This Row],[Début
matin]],1)</f>
        <v>0</v>
      </c>
      <c r="L23" s="18">
        <f>IFERROR(VLOOKUP(Tableau1[[#This Row],[Abs.]],Tmotif[],3,0),0)</f>
        <v>0</v>
      </c>
      <c r="M23" s="18">
        <f ca="1">IF(WEEKDAY(Tableau1[[#This Row],[Date]],2)&lt;7,0,MAX(0,SUM(OFFSET(Tableau1[[#This Row],[Heures]],-6,,7))+SUM(OFFSET(Tableau1[[#This Row],[H_Abs]],-6,,7))-_HS))</f>
        <v>0</v>
      </c>
      <c r="N23" s="18" t="str">
        <f ca="1">IF(Tableau1[[#This Row],[HS]]&gt;0,IF(Tableau1[[#This Row],[HS]]*24&gt;8,8/24,Tableau1[[#This Row],[HS]]),"")</f>
        <v/>
      </c>
      <c r="O23" s="18" t="str">
        <f ca="1">IF(Tableau1[[#This Row],[HS]]*24&gt;8,Tableau1[[#This Row],[HS]]-Tableau1[[#This Row],[Dont
HS 30%]],"")</f>
        <v/>
      </c>
      <c r="P23" s="18" t="e">
        <f ca="1">Tableau1[[#This Row],[Dont
HS 30%]]*1.3</f>
        <v>#VALUE!</v>
      </c>
      <c r="Q23" s="18" t="e">
        <f ca="1">Tableau1[[#This Row],[Dont 
HS 50%]]*1.5</f>
        <v>#VALUE!</v>
      </c>
    </row>
    <row r="24" spans="2:17" hidden="1" x14ac:dyDescent="0.25">
      <c r="B24" s="37">
        <f>_xlfn.ISOWEEKNUM(Tableau1[[#This Row],[Date]])</f>
        <v>16</v>
      </c>
      <c r="C24" s="14">
        <f>debut+ROW()-ROW(Tableau1[[#Headers],[Date]])-1</f>
        <v>44671</v>
      </c>
      <c r="D24" s="16">
        <f>MONTH(Tableau1[[#This Row],[Date]])</f>
        <v>4</v>
      </c>
      <c r="E24" s="16">
        <f>YEAR(Tableau1[[#This Row],[Date]])</f>
        <v>2022</v>
      </c>
      <c r="F24" s="32"/>
      <c r="G24" s="32"/>
      <c r="H24" s="32"/>
      <c r="I24" s="32"/>
      <c r="J24" s="3"/>
      <c r="K24" s="18">
        <f>MOD(Tableau1[[#This Row],[Fin
apm]]-Tableau1[[#This Row],[Début
apm]],1)+MOD(Tableau1[[#This Row],[Fin
matin]]-Tableau1[[#This Row],[Début
matin]],1)</f>
        <v>0</v>
      </c>
      <c r="L24" s="18">
        <f>IFERROR(VLOOKUP(Tableau1[[#This Row],[Abs.]],Tmotif[],3,0),0)</f>
        <v>0</v>
      </c>
      <c r="M24" s="18">
        <f ca="1">IF(WEEKDAY(Tableau1[[#This Row],[Date]],2)&lt;7,0,MAX(0,SUM(OFFSET(Tableau1[[#This Row],[Heures]],-6,,7))+SUM(OFFSET(Tableau1[[#This Row],[H_Abs]],-6,,7))-_HS))</f>
        <v>0</v>
      </c>
      <c r="N24" s="18" t="str">
        <f ca="1">IF(Tableau1[[#This Row],[HS]]&gt;0,IF(Tableau1[[#This Row],[HS]]*24&gt;8,8/24,Tableau1[[#This Row],[HS]]),"")</f>
        <v/>
      </c>
      <c r="O24" s="18" t="str">
        <f ca="1">IF(Tableau1[[#This Row],[HS]]*24&gt;8,Tableau1[[#This Row],[HS]]-Tableau1[[#This Row],[Dont
HS 30%]],"")</f>
        <v/>
      </c>
      <c r="P24" s="18" t="e">
        <f ca="1">Tableau1[[#This Row],[Dont
HS 30%]]*1.3</f>
        <v>#VALUE!</v>
      </c>
      <c r="Q24" s="18" t="e">
        <f ca="1">Tableau1[[#This Row],[Dont 
HS 50%]]*1.5</f>
        <v>#VALUE!</v>
      </c>
    </row>
    <row r="25" spans="2:17" hidden="1" x14ac:dyDescent="0.25">
      <c r="B25" s="37">
        <f>_xlfn.ISOWEEKNUM(Tableau1[[#This Row],[Date]])</f>
        <v>16</v>
      </c>
      <c r="C25" s="14">
        <f>debut+ROW()-ROW(Tableau1[[#Headers],[Date]])-1</f>
        <v>44672</v>
      </c>
      <c r="D25" s="16">
        <f>MONTH(Tableau1[[#This Row],[Date]])</f>
        <v>4</v>
      </c>
      <c r="E25" s="16">
        <f>YEAR(Tableau1[[#This Row],[Date]])</f>
        <v>2022</v>
      </c>
      <c r="F25" s="32"/>
      <c r="G25" s="32"/>
      <c r="H25" s="32"/>
      <c r="I25" s="32"/>
      <c r="J25" s="3"/>
      <c r="K25" s="18">
        <f>MOD(Tableau1[[#This Row],[Fin
apm]]-Tableau1[[#This Row],[Début
apm]],1)+MOD(Tableau1[[#This Row],[Fin
matin]]-Tableau1[[#This Row],[Début
matin]],1)</f>
        <v>0</v>
      </c>
      <c r="L25" s="18">
        <f>IFERROR(VLOOKUP(Tableau1[[#This Row],[Abs.]],Tmotif[],3,0),0)</f>
        <v>0</v>
      </c>
      <c r="M25" s="18">
        <f ca="1">IF(WEEKDAY(Tableau1[[#This Row],[Date]],2)&lt;7,0,MAX(0,SUM(OFFSET(Tableau1[[#This Row],[Heures]],-6,,7))+SUM(OFFSET(Tableau1[[#This Row],[H_Abs]],-6,,7))-_HS))</f>
        <v>0</v>
      </c>
      <c r="N25" s="18" t="str">
        <f ca="1">IF(Tableau1[[#This Row],[HS]]&gt;0,IF(Tableau1[[#This Row],[HS]]*24&gt;8,8/24,Tableau1[[#This Row],[HS]]),"")</f>
        <v/>
      </c>
      <c r="O25" s="18" t="str">
        <f ca="1">IF(Tableau1[[#This Row],[HS]]*24&gt;8,Tableau1[[#This Row],[HS]]-Tableau1[[#This Row],[Dont
HS 30%]],"")</f>
        <v/>
      </c>
      <c r="P25" s="18" t="e">
        <f ca="1">Tableau1[[#This Row],[Dont
HS 30%]]*1.3</f>
        <v>#VALUE!</v>
      </c>
      <c r="Q25" s="18" t="e">
        <f ca="1">Tableau1[[#This Row],[Dont 
HS 50%]]*1.5</f>
        <v>#VALUE!</v>
      </c>
    </row>
    <row r="26" spans="2:17" hidden="1" x14ac:dyDescent="0.25">
      <c r="B26" s="37">
        <f>_xlfn.ISOWEEKNUM(Tableau1[[#This Row],[Date]])</f>
        <v>16</v>
      </c>
      <c r="C26" s="14">
        <f>debut+ROW()-ROW(Tableau1[[#Headers],[Date]])-1</f>
        <v>44673</v>
      </c>
      <c r="D26" s="16">
        <f>MONTH(Tableau1[[#This Row],[Date]])</f>
        <v>4</v>
      </c>
      <c r="E26" s="16">
        <f>YEAR(Tableau1[[#This Row],[Date]])</f>
        <v>2022</v>
      </c>
      <c r="F26" s="32"/>
      <c r="G26" s="32"/>
      <c r="H26" s="32"/>
      <c r="I26" s="32"/>
      <c r="J26" s="3"/>
      <c r="K26" s="18">
        <f>MOD(Tableau1[[#This Row],[Fin
apm]]-Tableau1[[#This Row],[Début
apm]],1)+MOD(Tableau1[[#This Row],[Fin
matin]]-Tableau1[[#This Row],[Début
matin]],1)</f>
        <v>0</v>
      </c>
      <c r="L26" s="18">
        <f>IFERROR(VLOOKUP(Tableau1[[#This Row],[Abs.]],Tmotif[],3,0),0)</f>
        <v>0</v>
      </c>
      <c r="M26" s="18">
        <f ca="1">IF(WEEKDAY(Tableau1[[#This Row],[Date]],2)&lt;7,0,MAX(0,SUM(OFFSET(Tableau1[[#This Row],[Heures]],-6,,7))+SUM(OFFSET(Tableau1[[#This Row],[H_Abs]],-6,,7))-_HS))</f>
        <v>0</v>
      </c>
      <c r="N26" s="18" t="str">
        <f ca="1">IF(Tableau1[[#This Row],[HS]]&gt;0,IF(Tableau1[[#This Row],[HS]]*24&gt;8,8/24,Tableau1[[#This Row],[HS]]),"")</f>
        <v/>
      </c>
      <c r="O26" s="18" t="str">
        <f ca="1">IF(Tableau1[[#This Row],[HS]]*24&gt;8,Tableau1[[#This Row],[HS]]-Tableau1[[#This Row],[Dont
HS 30%]],"")</f>
        <v/>
      </c>
      <c r="P26" s="18" t="e">
        <f ca="1">Tableau1[[#This Row],[Dont
HS 30%]]*1.3</f>
        <v>#VALUE!</v>
      </c>
      <c r="Q26" s="18" t="e">
        <f ca="1">Tableau1[[#This Row],[Dont 
HS 50%]]*1.5</f>
        <v>#VALUE!</v>
      </c>
    </row>
    <row r="27" spans="2:17" hidden="1" x14ac:dyDescent="0.25">
      <c r="B27" s="37">
        <f>_xlfn.ISOWEEKNUM(Tableau1[[#This Row],[Date]])</f>
        <v>16</v>
      </c>
      <c r="C27" s="14">
        <f>debut+ROW()-ROW(Tableau1[[#Headers],[Date]])-1</f>
        <v>44674</v>
      </c>
      <c r="D27" s="16">
        <f>MONTH(Tableau1[[#This Row],[Date]])</f>
        <v>4</v>
      </c>
      <c r="E27" s="16">
        <f>YEAR(Tableau1[[#This Row],[Date]])</f>
        <v>2022</v>
      </c>
      <c r="F27" s="32"/>
      <c r="G27" s="32"/>
      <c r="H27" s="32"/>
      <c r="I27" s="32"/>
      <c r="J27" s="3"/>
      <c r="K27" s="18">
        <f>MOD(Tableau1[[#This Row],[Fin
apm]]-Tableau1[[#This Row],[Début
apm]],1)+MOD(Tableau1[[#This Row],[Fin
matin]]-Tableau1[[#This Row],[Début
matin]],1)</f>
        <v>0</v>
      </c>
      <c r="L27" s="18">
        <f>IFERROR(VLOOKUP(Tableau1[[#This Row],[Abs.]],Tmotif[],3,0),0)</f>
        <v>0</v>
      </c>
      <c r="M27" s="18">
        <f ca="1">IF(WEEKDAY(Tableau1[[#This Row],[Date]],2)&lt;7,0,MAX(0,SUM(OFFSET(Tableau1[[#This Row],[Heures]],-6,,7))+SUM(OFFSET(Tableau1[[#This Row],[H_Abs]],-6,,7))-_HS))</f>
        <v>0</v>
      </c>
      <c r="N27" s="18" t="str">
        <f ca="1">IF(Tableau1[[#This Row],[HS]]&gt;0,IF(Tableau1[[#This Row],[HS]]*24&gt;8,8/24,Tableau1[[#This Row],[HS]]),"")</f>
        <v/>
      </c>
      <c r="O27" s="18" t="str">
        <f ca="1">IF(Tableau1[[#This Row],[HS]]*24&gt;8,Tableau1[[#This Row],[HS]]-Tableau1[[#This Row],[Dont
HS 30%]],"")</f>
        <v/>
      </c>
      <c r="P27" s="18" t="e">
        <f ca="1">Tableau1[[#This Row],[Dont
HS 30%]]*1.3</f>
        <v>#VALUE!</v>
      </c>
      <c r="Q27" s="18" t="e">
        <f ca="1">Tableau1[[#This Row],[Dont 
HS 50%]]*1.5</f>
        <v>#VALUE!</v>
      </c>
    </row>
    <row r="28" spans="2:17" hidden="1" x14ac:dyDescent="0.25">
      <c r="B28" s="37">
        <f>_xlfn.ISOWEEKNUM(Tableau1[[#This Row],[Date]])</f>
        <v>16</v>
      </c>
      <c r="C28" s="14">
        <f>debut+ROW()-ROW(Tableau1[[#Headers],[Date]])-1</f>
        <v>44675</v>
      </c>
      <c r="D28" s="16">
        <f>MONTH(Tableau1[[#This Row],[Date]])</f>
        <v>4</v>
      </c>
      <c r="E28" s="16">
        <f>YEAR(Tableau1[[#This Row],[Date]])</f>
        <v>2022</v>
      </c>
      <c r="F28" s="32"/>
      <c r="G28" s="32"/>
      <c r="H28" s="32"/>
      <c r="I28" s="32"/>
      <c r="J28" s="3"/>
      <c r="K28" s="18">
        <f>MOD(Tableau1[[#This Row],[Fin
apm]]-Tableau1[[#This Row],[Début
apm]],1)+MOD(Tableau1[[#This Row],[Fin
matin]]-Tableau1[[#This Row],[Début
matin]],1)</f>
        <v>0</v>
      </c>
      <c r="L28" s="18">
        <f>IFERROR(VLOOKUP(Tableau1[[#This Row],[Abs.]],Tmotif[],3,0),0)</f>
        <v>0</v>
      </c>
      <c r="M28" s="18">
        <f ca="1">IF(WEEKDAY(Tableau1[[#This Row],[Date]],2)&lt;7,0,MAX(0,SUM(OFFSET(Tableau1[[#This Row],[Heures]],-6,,7))+SUM(OFFSET(Tableau1[[#This Row],[H_Abs]],-6,,7))-_HS))</f>
        <v>0</v>
      </c>
      <c r="N28" s="18" t="str">
        <f ca="1">IF(Tableau1[[#This Row],[HS]]&gt;0,IF(Tableau1[[#This Row],[HS]]*24&gt;8,8/24,Tableau1[[#This Row],[HS]]),"")</f>
        <v/>
      </c>
      <c r="O28" s="18" t="str">
        <f ca="1">IF(Tableau1[[#This Row],[HS]]*24&gt;8,Tableau1[[#This Row],[HS]]-Tableau1[[#This Row],[Dont
HS 30%]],"")</f>
        <v/>
      </c>
      <c r="P28" s="18" t="e">
        <f ca="1">Tableau1[[#This Row],[Dont
HS 30%]]*1.3</f>
        <v>#VALUE!</v>
      </c>
      <c r="Q28" s="18" t="e">
        <f ca="1">Tableau1[[#This Row],[Dont 
HS 50%]]*1.5</f>
        <v>#VALUE!</v>
      </c>
    </row>
    <row r="29" spans="2:17" hidden="1" x14ac:dyDescent="0.25">
      <c r="B29" s="37">
        <f>_xlfn.ISOWEEKNUM(Tableau1[[#This Row],[Date]])</f>
        <v>17</v>
      </c>
      <c r="C29" s="14">
        <f>debut+ROW()-ROW(Tableau1[[#Headers],[Date]])-1</f>
        <v>44676</v>
      </c>
      <c r="D29" s="16">
        <f>MONTH(Tableau1[[#This Row],[Date]])</f>
        <v>4</v>
      </c>
      <c r="E29" s="16">
        <f>YEAR(Tableau1[[#This Row],[Date]])</f>
        <v>2022</v>
      </c>
      <c r="F29" s="32"/>
      <c r="G29" s="32"/>
      <c r="H29" s="32"/>
      <c r="I29" s="32"/>
      <c r="J29" s="3"/>
      <c r="K29" s="18">
        <f>MOD(Tableau1[[#This Row],[Fin
apm]]-Tableau1[[#This Row],[Début
apm]],1)+MOD(Tableau1[[#This Row],[Fin
matin]]-Tableau1[[#This Row],[Début
matin]],1)</f>
        <v>0</v>
      </c>
      <c r="L29" s="18">
        <f>IFERROR(VLOOKUP(Tableau1[[#This Row],[Abs.]],Tmotif[],3,0),0)</f>
        <v>0</v>
      </c>
      <c r="M29" s="18">
        <f ca="1">IF(WEEKDAY(Tableau1[[#This Row],[Date]],2)&lt;7,0,MAX(0,SUM(OFFSET(Tableau1[[#This Row],[Heures]],-6,,7))+SUM(OFFSET(Tableau1[[#This Row],[H_Abs]],-6,,7))-_HS))</f>
        <v>0</v>
      </c>
      <c r="N29" s="18" t="str">
        <f ca="1">IF(Tableau1[[#This Row],[HS]]&gt;0,IF(Tableau1[[#This Row],[HS]]*24&gt;8,8/24,Tableau1[[#This Row],[HS]]),"")</f>
        <v/>
      </c>
      <c r="O29" s="18" t="str">
        <f ca="1">IF(Tableau1[[#This Row],[HS]]*24&gt;8,Tableau1[[#This Row],[HS]]-Tableau1[[#This Row],[Dont
HS 30%]],"")</f>
        <v/>
      </c>
      <c r="P29" s="18" t="e">
        <f ca="1">Tableau1[[#This Row],[Dont
HS 30%]]*1.3</f>
        <v>#VALUE!</v>
      </c>
      <c r="Q29" s="18" t="e">
        <f ca="1">Tableau1[[#This Row],[Dont 
HS 50%]]*1.5</f>
        <v>#VALUE!</v>
      </c>
    </row>
    <row r="30" spans="2:17" hidden="1" x14ac:dyDescent="0.25">
      <c r="B30" s="37">
        <f>_xlfn.ISOWEEKNUM(Tableau1[[#This Row],[Date]])</f>
        <v>17</v>
      </c>
      <c r="C30" s="14">
        <f>debut+ROW()-ROW(Tableau1[[#Headers],[Date]])-1</f>
        <v>44677</v>
      </c>
      <c r="D30" s="16">
        <f>MONTH(Tableau1[[#This Row],[Date]])</f>
        <v>4</v>
      </c>
      <c r="E30" s="16">
        <f>YEAR(Tableau1[[#This Row],[Date]])</f>
        <v>2022</v>
      </c>
      <c r="F30" s="32"/>
      <c r="G30" s="32"/>
      <c r="H30" s="32"/>
      <c r="I30" s="32"/>
      <c r="J30" s="3"/>
      <c r="K30" s="18">
        <f>MOD(Tableau1[[#This Row],[Fin
apm]]-Tableau1[[#This Row],[Début
apm]],1)+MOD(Tableau1[[#This Row],[Fin
matin]]-Tableau1[[#This Row],[Début
matin]],1)</f>
        <v>0</v>
      </c>
      <c r="L30" s="18">
        <f>IFERROR(VLOOKUP(Tableau1[[#This Row],[Abs.]],Tmotif[],3,0),0)</f>
        <v>0</v>
      </c>
      <c r="M30" s="18">
        <f ca="1">IF(WEEKDAY(Tableau1[[#This Row],[Date]],2)&lt;7,0,MAX(0,SUM(OFFSET(Tableau1[[#This Row],[Heures]],-6,,7))+SUM(OFFSET(Tableau1[[#This Row],[H_Abs]],-6,,7))-_HS))</f>
        <v>0</v>
      </c>
      <c r="N30" s="18" t="str">
        <f ca="1">IF(Tableau1[[#This Row],[HS]]&gt;0,IF(Tableau1[[#This Row],[HS]]*24&gt;8,8/24,Tableau1[[#This Row],[HS]]),"")</f>
        <v/>
      </c>
      <c r="O30" s="18" t="str">
        <f ca="1">IF(Tableau1[[#This Row],[HS]]*24&gt;8,Tableau1[[#This Row],[HS]]-Tableau1[[#This Row],[Dont
HS 30%]],"")</f>
        <v/>
      </c>
      <c r="P30" s="18" t="e">
        <f ca="1">Tableau1[[#This Row],[Dont
HS 30%]]*1.3</f>
        <v>#VALUE!</v>
      </c>
      <c r="Q30" s="18" t="e">
        <f ca="1">Tableau1[[#This Row],[Dont 
HS 50%]]*1.5</f>
        <v>#VALUE!</v>
      </c>
    </row>
    <row r="31" spans="2:17" hidden="1" x14ac:dyDescent="0.25">
      <c r="B31" s="37">
        <f>_xlfn.ISOWEEKNUM(Tableau1[[#This Row],[Date]])</f>
        <v>17</v>
      </c>
      <c r="C31" s="14">
        <f>debut+ROW()-ROW(Tableau1[[#Headers],[Date]])-1</f>
        <v>44678</v>
      </c>
      <c r="D31" s="16">
        <f>MONTH(Tableau1[[#This Row],[Date]])</f>
        <v>4</v>
      </c>
      <c r="E31" s="16">
        <f>YEAR(Tableau1[[#This Row],[Date]])</f>
        <v>2022</v>
      </c>
      <c r="F31" s="32"/>
      <c r="G31" s="32"/>
      <c r="H31" s="32"/>
      <c r="I31" s="32"/>
      <c r="J31" s="3"/>
      <c r="K31" s="18">
        <f>MOD(Tableau1[[#This Row],[Fin
apm]]-Tableau1[[#This Row],[Début
apm]],1)+MOD(Tableau1[[#This Row],[Fin
matin]]-Tableau1[[#This Row],[Début
matin]],1)</f>
        <v>0</v>
      </c>
      <c r="L31" s="18">
        <f>IFERROR(VLOOKUP(Tableau1[[#This Row],[Abs.]],Tmotif[],3,0),0)</f>
        <v>0</v>
      </c>
      <c r="M31" s="18">
        <f ca="1">IF(WEEKDAY(Tableau1[[#This Row],[Date]],2)&lt;7,0,MAX(0,SUM(OFFSET(Tableau1[[#This Row],[Heures]],-6,,7))+SUM(OFFSET(Tableau1[[#This Row],[H_Abs]],-6,,7))-_HS))</f>
        <v>0</v>
      </c>
      <c r="N31" s="18" t="str">
        <f ca="1">IF(Tableau1[[#This Row],[HS]]&gt;0,IF(Tableau1[[#This Row],[HS]]*24&gt;8,8/24,Tableau1[[#This Row],[HS]]),"")</f>
        <v/>
      </c>
      <c r="O31" s="18" t="str">
        <f ca="1">IF(Tableau1[[#This Row],[HS]]*24&gt;8,Tableau1[[#This Row],[HS]]-Tableau1[[#This Row],[Dont
HS 30%]],"")</f>
        <v/>
      </c>
      <c r="P31" s="18" t="e">
        <f ca="1">Tableau1[[#This Row],[Dont
HS 30%]]*1.3</f>
        <v>#VALUE!</v>
      </c>
      <c r="Q31" s="18" t="e">
        <f ca="1">Tableau1[[#This Row],[Dont 
HS 50%]]*1.5</f>
        <v>#VALUE!</v>
      </c>
    </row>
    <row r="32" spans="2:17" hidden="1" x14ac:dyDescent="0.25">
      <c r="B32" s="37">
        <f>_xlfn.ISOWEEKNUM(Tableau1[[#This Row],[Date]])</f>
        <v>17</v>
      </c>
      <c r="C32" s="14">
        <f>debut+ROW()-ROW(Tableau1[[#Headers],[Date]])-1</f>
        <v>44679</v>
      </c>
      <c r="D32" s="16">
        <f>MONTH(Tableau1[[#This Row],[Date]])</f>
        <v>4</v>
      </c>
      <c r="E32" s="16">
        <f>YEAR(Tableau1[[#This Row],[Date]])</f>
        <v>2022</v>
      </c>
      <c r="F32" s="32"/>
      <c r="G32" s="32"/>
      <c r="H32" s="32"/>
      <c r="I32" s="32"/>
      <c r="J32" s="3"/>
      <c r="K32" s="18">
        <f>MOD(Tableau1[[#This Row],[Fin
apm]]-Tableau1[[#This Row],[Début
apm]],1)+MOD(Tableau1[[#This Row],[Fin
matin]]-Tableau1[[#This Row],[Début
matin]],1)</f>
        <v>0</v>
      </c>
      <c r="L32" s="18">
        <f>IFERROR(VLOOKUP(Tableau1[[#This Row],[Abs.]],Tmotif[],3,0),0)</f>
        <v>0</v>
      </c>
      <c r="M32" s="18">
        <f ca="1">IF(WEEKDAY(Tableau1[[#This Row],[Date]],2)&lt;7,0,MAX(0,SUM(OFFSET(Tableau1[[#This Row],[Heures]],-6,,7))+SUM(OFFSET(Tableau1[[#This Row],[H_Abs]],-6,,7))-_HS))</f>
        <v>0</v>
      </c>
      <c r="N32" s="18" t="str">
        <f ca="1">IF(Tableau1[[#This Row],[HS]]&gt;0,IF(Tableau1[[#This Row],[HS]]*24&gt;8,8/24,Tableau1[[#This Row],[HS]]),"")</f>
        <v/>
      </c>
      <c r="O32" s="18" t="str">
        <f ca="1">IF(Tableau1[[#This Row],[HS]]*24&gt;8,Tableau1[[#This Row],[HS]]-Tableau1[[#This Row],[Dont
HS 30%]],"")</f>
        <v/>
      </c>
      <c r="P32" s="18" t="e">
        <f ca="1">Tableau1[[#This Row],[Dont
HS 30%]]*1.3</f>
        <v>#VALUE!</v>
      </c>
      <c r="Q32" s="18" t="e">
        <f ca="1">Tableau1[[#This Row],[Dont 
HS 50%]]*1.5</f>
        <v>#VALUE!</v>
      </c>
    </row>
    <row r="33" spans="2:17" hidden="1" x14ac:dyDescent="0.25">
      <c r="B33" s="37">
        <f>_xlfn.ISOWEEKNUM(Tableau1[[#This Row],[Date]])</f>
        <v>17</v>
      </c>
      <c r="C33" s="14">
        <f>debut+ROW()-ROW(Tableau1[[#Headers],[Date]])-1</f>
        <v>44680</v>
      </c>
      <c r="D33" s="16">
        <f>MONTH(Tableau1[[#This Row],[Date]])</f>
        <v>4</v>
      </c>
      <c r="E33" s="16">
        <f>YEAR(Tableau1[[#This Row],[Date]])</f>
        <v>2022</v>
      </c>
      <c r="F33" s="32"/>
      <c r="G33" s="32"/>
      <c r="H33" s="32"/>
      <c r="I33" s="32"/>
      <c r="J33" s="3"/>
      <c r="K33" s="18">
        <f>MOD(Tableau1[[#This Row],[Fin
apm]]-Tableau1[[#This Row],[Début
apm]],1)+MOD(Tableau1[[#This Row],[Fin
matin]]-Tableau1[[#This Row],[Début
matin]],1)</f>
        <v>0</v>
      </c>
      <c r="L33" s="18">
        <f>IFERROR(VLOOKUP(Tableau1[[#This Row],[Abs.]],Tmotif[],3,0),0)</f>
        <v>0</v>
      </c>
      <c r="M33" s="18">
        <f ca="1">IF(WEEKDAY(Tableau1[[#This Row],[Date]],2)&lt;7,0,MAX(0,SUM(OFFSET(Tableau1[[#This Row],[Heures]],-6,,7))+SUM(OFFSET(Tableau1[[#This Row],[H_Abs]],-6,,7))-_HS))</f>
        <v>0</v>
      </c>
      <c r="N33" s="18" t="str">
        <f ca="1">IF(Tableau1[[#This Row],[HS]]&gt;0,IF(Tableau1[[#This Row],[HS]]*24&gt;8,8/24,Tableau1[[#This Row],[HS]]),"")</f>
        <v/>
      </c>
      <c r="O33" s="18" t="str">
        <f ca="1">IF(Tableau1[[#This Row],[HS]]*24&gt;8,Tableau1[[#This Row],[HS]]-Tableau1[[#This Row],[Dont
HS 30%]],"")</f>
        <v/>
      </c>
      <c r="P33" s="18" t="e">
        <f ca="1">Tableau1[[#This Row],[Dont
HS 30%]]*1.3</f>
        <v>#VALUE!</v>
      </c>
      <c r="Q33" s="18" t="e">
        <f ca="1">Tableau1[[#This Row],[Dont 
HS 50%]]*1.5</f>
        <v>#VALUE!</v>
      </c>
    </row>
    <row r="34" spans="2:17" hidden="1" x14ac:dyDescent="0.25">
      <c r="B34" s="37">
        <f>_xlfn.ISOWEEKNUM(Tableau1[[#This Row],[Date]])</f>
        <v>17</v>
      </c>
      <c r="C34" s="14">
        <f>debut+ROW()-ROW(Tableau1[[#Headers],[Date]])-1</f>
        <v>44681</v>
      </c>
      <c r="D34" s="16">
        <f>MONTH(Tableau1[[#This Row],[Date]])</f>
        <v>4</v>
      </c>
      <c r="E34" s="16">
        <f>YEAR(Tableau1[[#This Row],[Date]])</f>
        <v>2022</v>
      </c>
      <c r="F34" s="32"/>
      <c r="G34" s="32"/>
      <c r="H34" s="32"/>
      <c r="I34" s="32"/>
      <c r="J34" s="3"/>
      <c r="K34" s="18">
        <f>MOD(Tableau1[[#This Row],[Fin
apm]]-Tableau1[[#This Row],[Début
apm]],1)+MOD(Tableau1[[#This Row],[Fin
matin]]-Tableau1[[#This Row],[Début
matin]],1)</f>
        <v>0</v>
      </c>
      <c r="L34" s="18">
        <f>IFERROR(VLOOKUP(Tableau1[[#This Row],[Abs.]],Tmotif[],3,0),0)</f>
        <v>0</v>
      </c>
      <c r="M34" s="18">
        <f ca="1">IF(WEEKDAY(Tableau1[[#This Row],[Date]],2)&lt;7,0,MAX(0,SUM(OFFSET(Tableau1[[#This Row],[Heures]],-6,,7))+SUM(OFFSET(Tableau1[[#This Row],[H_Abs]],-6,,7))-_HS))</f>
        <v>0</v>
      </c>
      <c r="N34" s="18" t="str">
        <f ca="1">IF(Tableau1[[#This Row],[HS]]&gt;0,IF(Tableau1[[#This Row],[HS]]*24&gt;8,8/24,Tableau1[[#This Row],[HS]]),"")</f>
        <v/>
      </c>
      <c r="O34" s="18" t="str">
        <f ca="1">IF(Tableau1[[#This Row],[HS]]*24&gt;8,Tableau1[[#This Row],[HS]]-Tableau1[[#This Row],[Dont
HS 30%]],"")</f>
        <v/>
      </c>
      <c r="P34" s="18" t="e">
        <f ca="1">Tableau1[[#This Row],[Dont
HS 30%]]*1.3</f>
        <v>#VALUE!</v>
      </c>
      <c r="Q34" s="18" t="e">
        <f ca="1">Tableau1[[#This Row],[Dont 
HS 50%]]*1.5</f>
        <v>#VALUE!</v>
      </c>
    </row>
    <row r="35" spans="2:17" x14ac:dyDescent="0.25">
      <c r="B35" s="37">
        <f>_xlfn.ISOWEEKNUM(Tableau1[[#This Row],[Date]])</f>
        <v>17</v>
      </c>
      <c r="C35" s="14">
        <f>debut+ROW()-ROW(Tableau1[[#Headers],[Date]])-1</f>
        <v>44682</v>
      </c>
      <c r="D35" s="16">
        <f>MONTH(Tableau1[[#This Row],[Date]])</f>
        <v>5</v>
      </c>
      <c r="E35" s="16">
        <f>YEAR(Tableau1[[#This Row],[Date]])</f>
        <v>2022</v>
      </c>
      <c r="F35" s="32"/>
      <c r="G35" s="32"/>
      <c r="H35" s="32"/>
      <c r="I35" s="32"/>
      <c r="J35" s="3"/>
      <c r="K35" s="18">
        <f>MOD(Tableau1[[#This Row],[Fin
apm]]-Tableau1[[#This Row],[Début
apm]],1)+MOD(Tableau1[[#This Row],[Fin
matin]]-Tableau1[[#This Row],[Début
matin]],1)</f>
        <v>0</v>
      </c>
      <c r="L35" s="18">
        <f>IFERROR(VLOOKUP(Tableau1[[#This Row],[Abs.]],Tmotif[],3,0),0)</f>
        <v>0</v>
      </c>
      <c r="M35" s="18">
        <f ca="1">IF(WEEKDAY(Tableau1[[#This Row],[Date]],2)&lt;7,0,MAX(0,SUM(OFFSET(Tableau1[[#This Row],[Heures]],-6,,7))+SUM(OFFSET(Tableau1[[#This Row],[H_Abs]],-6,,7))-_HS))</f>
        <v>0</v>
      </c>
      <c r="N35" s="18" t="str">
        <f ca="1">IF(Tableau1[[#This Row],[HS]]&gt;0,IF(Tableau1[[#This Row],[HS]]*24&gt;8,8/24,Tableau1[[#This Row],[HS]]),"")</f>
        <v/>
      </c>
      <c r="O35" s="18" t="str">
        <f ca="1">IF(Tableau1[[#This Row],[HS]]*24&gt;8,Tableau1[[#This Row],[HS]]-Tableau1[[#This Row],[Dont
HS 30%]],"")</f>
        <v/>
      </c>
      <c r="P35" s="18" t="e">
        <f ca="1">Tableau1[[#This Row],[Dont
HS 30%]]*1.3</f>
        <v>#VALUE!</v>
      </c>
      <c r="Q35" s="18" t="e">
        <f ca="1">Tableau1[[#This Row],[Dont 
HS 50%]]*1.5</f>
        <v>#VALUE!</v>
      </c>
    </row>
    <row r="36" spans="2:17" x14ac:dyDescent="0.25">
      <c r="B36" s="37">
        <f>_xlfn.ISOWEEKNUM(Tableau1[[#This Row],[Date]])</f>
        <v>18</v>
      </c>
      <c r="C36" s="14">
        <f>debut+ROW()-ROW(Tableau1[[#Headers],[Date]])-1</f>
        <v>44683</v>
      </c>
      <c r="D36" s="16">
        <f>MONTH(Tableau1[[#This Row],[Date]])</f>
        <v>5</v>
      </c>
      <c r="E36" s="16">
        <f>YEAR(Tableau1[[#This Row],[Date]])</f>
        <v>2022</v>
      </c>
      <c r="F36" s="32"/>
      <c r="G36" s="32"/>
      <c r="H36" s="32"/>
      <c r="I36" s="32"/>
      <c r="J36" s="3"/>
      <c r="K36" s="18"/>
      <c r="L36" s="18">
        <f>IFERROR(VLOOKUP(Tableau1[[#This Row],[Abs.]],Tmotif[],3,0),0)</f>
        <v>0</v>
      </c>
      <c r="M36" s="18"/>
      <c r="N36" s="18" t="str">
        <f>IF(Tableau1[[#This Row],[HS]]&gt;0,IF(Tableau1[[#This Row],[HS]]*24&gt;8,8/24,Tableau1[[#This Row],[HS]]),"")</f>
        <v/>
      </c>
      <c r="O36" s="18" t="str">
        <f>IF(Tableau1[[#This Row],[HS]]*24&gt;8,Tableau1[[#This Row],[HS]]-Tableau1[[#This Row],[Dont
HS 30%]],"")</f>
        <v/>
      </c>
      <c r="P36" s="18" t="e">
        <f>Tableau1[[#This Row],[Dont
HS 30%]]*1.3</f>
        <v>#VALUE!</v>
      </c>
      <c r="Q36" s="18" t="e">
        <f>Tableau1[[#This Row],[Dont 
HS 50%]]*1.5</f>
        <v>#VALUE!</v>
      </c>
    </row>
    <row r="37" spans="2:17" x14ac:dyDescent="0.25">
      <c r="B37" s="37">
        <f>_xlfn.ISOWEEKNUM(Tableau1[[#This Row],[Date]])</f>
        <v>18</v>
      </c>
      <c r="C37" s="14">
        <f>debut+ROW()-ROW(Tableau1[[#Headers],[Date]])-1</f>
        <v>44684</v>
      </c>
      <c r="D37" s="16">
        <f>MONTH(Tableau1[[#This Row],[Date]])</f>
        <v>5</v>
      </c>
      <c r="E37" s="16">
        <f>YEAR(Tableau1[[#This Row],[Date]])</f>
        <v>2022</v>
      </c>
      <c r="F37" s="32"/>
      <c r="G37" s="32"/>
      <c r="H37" s="32"/>
      <c r="I37" s="32"/>
      <c r="J37" s="3"/>
      <c r="K37" s="18"/>
      <c r="L37" s="18">
        <f>IFERROR(VLOOKUP(Tableau1[[#This Row],[Abs.]],Tmotif[],3,0),0)</f>
        <v>0</v>
      </c>
      <c r="M37" s="18"/>
      <c r="N37" s="18" t="str">
        <f>IF(Tableau1[[#This Row],[HS]]&gt;0,IF(Tableau1[[#This Row],[HS]]*24&gt;8,8/24,Tableau1[[#This Row],[HS]]),"")</f>
        <v/>
      </c>
      <c r="O37" s="18" t="str">
        <f>IF(Tableau1[[#This Row],[HS]]*24&gt;8,Tableau1[[#This Row],[HS]]-Tableau1[[#This Row],[Dont
HS 30%]],"")</f>
        <v/>
      </c>
      <c r="P37" s="18" t="e">
        <f>Tableau1[[#This Row],[Dont
HS 30%]]*1.3</f>
        <v>#VALUE!</v>
      </c>
      <c r="Q37" s="18" t="e">
        <f>Tableau1[[#This Row],[Dont 
HS 50%]]*1.5</f>
        <v>#VALUE!</v>
      </c>
    </row>
    <row r="38" spans="2:17" x14ac:dyDescent="0.25">
      <c r="B38" s="37">
        <f>_xlfn.ISOWEEKNUM(Tableau1[[#This Row],[Date]])</f>
        <v>18</v>
      </c>
      <c r="C38" s="14">
        <f>debut+ROW()-ROW(Tableau1[[#Headers],[Date]])-1</f>
        <v>44685</v>
      </c>
      <c r="D38" s="16">
        <f>MONTH(Tableau1[[#This Row],[Date]])</f>
        <v>5</v>
      </c>
      <c r="E38" s="16">
        <f>YEAR(Tableau1[[#This Row],[Date]])</f>
        <v>2022</v>
      </c>
      <c r="F38" s="32"/>
      <c r="G38" s="32"/>
      <c r="H38" s="32"/>
      <c r="I38" s="32"/>
      <c r="J38" s="3"/>
      <c r="K38" s="18"/>
      <c r="L38" s="18">
        <f>IFERROR(VLOOKUP(Tableau1[[#This Row],[Abs.]],Tmotif[],3,0),0)</f>
        <v>0</v>
      </c>
      <c r="M38" s="18"/>
      <c r="N38" s="18" t="str">
        <f>IF(Tableau1[[#This Row],[HS]]&gt;0,IF(Tableau1[[#This Row],[HS]]*24&gt;8,8/24,Tableau1[[#This Row],[HS]]),"")</f>
        <v/>
      </c>
      <c r="O38" s="18" t="str">
        <f>IF(Tableau1[[#This Row],[HS]]*24&gt;8,Tableau1[[#This Row],[HS]]-Tableau1[[#This Row],[Dont
HS 30%]],"")</f>
        <v/>
      </c>
      <c r="P38" s="18" t="e">
        <f>Tableau1[[#This Row],[Dont
HS 30%]]*1.3</f>
        <v>#VALUE!</v>
      </c>
      <c r="Q38" s="18" t="e">
        <f>Tableau1[[#This Row],[Dont 
HS 50%]]*1.5</f>
        <v>#VALUE!</v>
      </c>
    </row>
    <row r="39" spans="2:17" x14ac:dyDescent="0.25">
      <c r="B39" s="37">
        <f>_xlfn.ISOWEEKNUM(Tableau1[[#This Row],[Date]])</f>
        <v>18</v>
      </c>
      <c r="C39" s="14">
        <f>debut+ROW()-ROW(Tableau1[[#Headers],[Date]])-1</f>
        <v>44686</v>
      </c>
      <c r="D39" s="16">
        <f>MONTH(Tableau1[[#This Row],[Date]])</f>
        <v>5</v>
      </c>
      <c r="E39" s="16">
        <f>YEAR(Tableau1[[#This Row],[Date]])</f>
        <v>2022</v>
      </c>
      <c r="F39" s="32"/>
      <c r="G39" s="32"/>
      <c r="H39" s="32"/>
      <c r="I39" s="32"/>
      <c r="J39" s="3"/>
      <c r="K39" s="18"/>
      <c r="L39" s="18">
        <f>IFERROR(VLOOKUP(Tableau1[[#This Row],[Abs.]],Tmotif[],3,0),0)</f>
        <v>0</v>
      </c>
      <c r="M39" s="18"/>
      <c r="N39" s="18" t="str">
        <f>IF(Tableau1[[#This Row],[HS]]&gt;0,IF(Tableau1[[#This Row],[HS]]*24&gt;8,8/24,Tableau1[[#This Row],[HS]]),"")</f>
        <v/>
      </c>
      <c r="O39" s="18" t="str">
        <f>IF(Tableau1[[#This Row],[HS]]*24&gt;8,Tableau1[[#This Row],[HS]]-Tableau1[[#This Row],[Dont
HS 30%]],"")</f>
        <v/>
      </c>
      <c r="P39" s="18" t="e">
        <f>Tableau1[[#This Row],[Dont
HS 30%]]*1.3</f>
        <v>#VALUE!</v>
      </c>
      <c r="Q39" s="18" t="e">
        <f>Tableau1[[#This Row],[Dont 
HS 50%]]*1.5</f>
        <v>#VALUE!</v>
      </c>
    </row>
    <row r="40" spans="2:17" x14ac:dyDescent="0.25">
      <c r="B40" s="37">
        <f>_xlfn.ISOWEEKNUM(Tableau1[[#This Row],[Date]])</f>
        <v>18</v>
      </c>
      <c r="C40" s="14">
        <f>debut+ROW()-ROW(Tableau1[[#Headers],[Date]])-1</f>
        <v>44687</v>
      </c>
      <c r="D40" s="16">
        <f>MONTH(Tableau1[[#This Row],[Date]])</f>
        <v>5</v>
      </c>
      <c r="E40" s="16">
        <f>YEAR(Tableau1[[#This Row],[Date]])</f>
        <v>2022</v>
      </c>
      <c r="F40" s="32"/>
      <c r="G40" s="32"/>
      <c r="H40" s="32"/>
      <c r="I40" s="32"/>
      <c r="J40" s="3"/>
      <c r="K40" s="18"/>
      <c r="L40" s="18">
        <f>IFERROR(VLOOKUP(Tableau1[[#This Row],[Abs.]],Tmotif[],3,0),0)</f>
        <v>0</v>
      </c>
      <c r="M40" s="18"/>
      <c r="N40" s="18" t="str">
        <f>IF(Tableau1[[#This Row],[HS]]&gt;0,IF(Tableau1[[#This Row],[HS]]*24&gt;8,8/24,Tableau1[[#This Row],[HS]]),"")</f>
        <v/>
      </c>
      <c r="O40" s="18" t="str">
        <f>IF(Tableau1[[#This Row],[HS]]*24&gt;8,Tableau1[[#This Row],[HS]]-Tableau1[[#This Row],[Dont
HS 30%]],"")</f>
        <v/>
      </c>
      <c r="P40" s="18" t="e">
        <f>Tableau1[[#This Row],[Dont
HS 30%]]*1.3</f>
        <v>#VALUE!</v>
      </c>
      <c r="Q40" s="18" t="e">
        <f>Tableau1[[#This Row],[Dont 
HS 50%]]*1.5</f>
        <v>#VALUE!</v>
      </c>
    </row>
    <row r="41" spans="2:17" x14ac:dyDescent="0.25">
      <c r="B41" s="37">
        <f>_xlfn.ISOWEEKNUM(Tableau1[[#This Row],[Date]])</f>
        <v>18</v>
      </c>
      <c r="C41" s="14">
        <f>debut+ROW()-ROW(Tableau1[[#Headers],[Date]])-1</f>
        <v>44688</v>
      </c>
      <c r="D41" s="16">
        <f>MONTH(Tableau1[[#This Row],[Date]])</f>
        <v>5</v>
      </c>
      <c r="E41" s="16">
        <f>YEAR(Tableau1[[#This Row],[Date]])</f>
        <v>2022</v>
      </c>
      <c r="F41" s="32"/>
      <c r="G41" s="32"/>
      <c r="H41" s="32"/>
      <c r="I41" s="32"/>
      <c r="J41" s="3"/>
      <c r="K41" s="18"/>
      <c r="L41" s="18">
        <f>IFERROR(VLOOKUP(Tableau1[[#This Row],[Abs.]],Tmotif[],3,0),0)</f>
        <v>0</v>
      </c>
      <c r="M41" s="18"/>
      <c r="N41" s="18" t="str">
        <f>IF(Tableau1[[#This Row],[HS]]&gt;0,IF(Tableau1[[#This Row],[HS]]*24&gt;8,8/24,Tableau1[[#This Row],[HS]]),"")</f>
        <v/>
      </c>
      <c r="O41" s="18" t="str">
        <f>IF(Tableau1[[#This Row],[HS]]*24&gt;8,Tableau1[[#This Row],[HS]]-Tableau1[[#This Row],[Dont
HS 30%]],"")</f>
        <v/>
      </c>
      <c r="P41" s="18" t="e">
        <f>Tableau1[[#This Row],[Dont
HS 30%]]*1.3</f>
        <v>#VALUE!</v>
      </c>
      <c r="Q41" s="18" t="e">
        <f>Tableau1[[#This Row],[Dont 
HS 50%]]*1.5</f>
        <v>#VALUE!</v>
      </c>
    </row>
    <row r="42" spans="2:17" x14ac:dyDescent="0.25">
      <c r="B42" s="37">
        <f>_xlfn.ISOWEEKNUM(Tableau1[[#This Row],[Date]])</f>
        <v>18</v>
      </c>
      <c r="C42" s="14">
        <f>debut+ROW()-ROW(Tableau1[[#Headers],[Date]])-1</f>
        <v>44689</v>
      </c>
      <c r="D42" s="16">
        <f>MONTH(Tableau1[[#This Row],[Date]])</f>
        <v>5</v>
      </c>
      <c r="E42" s="16">
        <f>YEAR(Tableau1[[#This Row],[Date]])</f>
        <v>2022</v>
      </c>
      <c r="F42" s="32"/>
      <c r="G42" s="32"/>
      <c r="H42" s="32"/>
      <c r="I42" s="32"/>
      <c r="J42" s="3"/>
      <c r="K42" s="18"/>
      <c r="L42" s="18">
        <f>IFERROR(VLOOKUP(Tableau1[[#This Row],[Abs.]],Tmotif[],3,0),0)</f>
        <v>0</v>
      </c>
      <c r="M42" s="18"/>
      <c r="N42" s="18" t="str">
        <f>IF(Tableau1[[#This Row],[HS]]&gt;0,IF(Tableau1[[#This Row],[HS]]*24&gt;8,8/24,Tableau1[[#This Row],[HS]]),"")</f>
        <v/>
      </c>
      <c r="O42" s="18" t="str">
        <f>IF(Tableau1[[#This Row],[HS]]*24&gt;8,Tableau1[[#This Row],[HS]]-Tableau1[[#This Row],[Dont
HS 30%]],"")</f>
        <v/>
      </c>
      <c r="P42" s="18" t="e">
        <f>Tableau1[[#This Row],[Dont
HS 30%]]*1.3</f>
        <v>#VALUE!</v>
      </c>
      <c r="Q42" s="18" t="e">
        <f>Tableau1[[#This Row],[Dont 
HS 50%]]*1.5</f>
        <v>#VALUE!</v>
      </c>
    </row>
    <row r="43" spans="2:17" x14ac:dyDescent="0.25">
      <c r="B43" s="37">
        <f>_xlfn.ISOWEEKNUM(Tableau1[[#This Row],[Date]])</f>
        <v>19</v>
      </c>
      <c r="C43" s="14">
        <f>debut+ROW()-ROW(Tableau1[[#Headers],[Date]])-1</f>
        <v>44690</v>
      </c>
      <c r="D43" s="16">
        <f>MONTH(Tableau1[[#This Row],[Date]])</f>
        <v>5</v>
      </c>
      <c r="E43" s="16">
        <f>YEAR(Tableau1[[#This Row],[Date]])</f>
        <v>2022</v>
      </c>
      <c r="F43" s="32"/>
      <c r="G43" s="32"/>
      <c r="H43" s="32"/>
      <c r="I43" s="32"/>
      <c r="J43" s="3"/>
      <c r="K43" s="18">
        <f>MOD(Tableau1[[#This Row],[Fin
apm]]-Tableau1[[#This Row],[Début
apm]],1)+MOD(Tableau1[[#This Row],[Fin
matin]]-Tableau1[[#This Row],[Début
matin]],1)</f>
        <v>0</v>
      </c>
      <c r="L43" s="18">
        <f>IFERROR(VLOOKUP(Tableau1[[#This Row],[Abs.]],Tmotif[],3,0),0)</f>
        <v>0</v>
      </c>
      <c r="M43" s="18">
        <f ca="1">IF(WEEKDAY(Tableau1[[#This Row],[Date]],2)&lt;7,0,MAX(0,SUM(OFFSET(Tableau1[[#This Row],[Heures]],-6,,7))+SUM(OFFSET(Tableau1[[#This Row],[H_Abs]],-6,,7))-_HS))</f>
        <v>0</v>
      </c>
      <c r="N43" s="18" t="str">
        <f ca="1">IF(Tableau1[[#This Row],[HS]]&gt;0,IF(Tableau1[[#This Row],[HS]]*24&gt;8,8/24,Tableau1[[#This Row],[HS]]),"")</f>
        <v/>
      </c>
      <c r="O43" s="18" t="str">
        <f ca="1">IF(Tableau1[[#This Row],[HS]]*24&gt;8,Tableau1[[#This Row],[HS]]-Tableau1[[#This Row],[Dont
HS 30%]],"")</f>
        <v/>
      </c>
      <c r="P43" s="18" t="e">
        <f ca="1">Tableau1[[#This Row],[Dont
HS 30%]]*1.3</f>
        <v>#VALUE!</v>
      </c>
      <c r="Q43" s="18" t="e">
        <f ca="1">Tableau1[[#This Row],[Dont 
HS 50%]]*1.5</f>
        <v>#VALUE!</v>
      </c>
    </row>
    <row r="44" spans="2:17" x14ac:dyDescent="0.25">
      <c r="B44" s="37">
        <f>_xlfn.ISOWEEKNUM(Tableau1[[#This Row],[Date]])</f>
        <v>19</v>
      </c>
      <c r="C44" s="14">
        <f>debut+ROW()-ROW(Tableau1[[#Headers],[Date]])-1</f>
        <v>44691</v>
      </c>
      <c r="D44" s="16">
        <f>MONTH(Tableau1[[#This Row],[Date]])</f>
        <v>5</v>
      </c>
      <c r="E44" s="16">
        <f>YEAR(Tableau1[[#This Row],[Date]])</f>
        <v>2022</v>
      </c>
      <c r="F44" s="32"/>
      <c r="G44" s="32"/>
      <c r="H44" s="32"/>
      <c r="I44" s="32"/>
      <c r="J44" s="3"/>
      <c r="K44" s="18">
        <f>MOD(Tableau1[[#This Row],[Fin
apm]]-Tableau1[[#This Row],[Début
apm]],1)+MOD(Tableau1[[#This Row],[Fin
matin]]-Tableau1[[#This Row],[Début
matin]],1)</f>
        <v>0</v>
      </c>
      <c r="L44" s="18">
        <f>IFERROR(VLOOKUP(Tableau1[[#This Row],[Abs.]],Tmotif[],3,0),0)</f>
        <v>0</v>
      </c>
      <c r="M44" s="18">
        <f ca="1">IF(WEEKDAY(Tableau1[[#This Row],[Date]],2)&lt;7,0,MAX(0,SUM(OFFSET(Tableau1[[#This Row],[Heures]],-6,,7))+SUM(OFFSET(Tableau1[[#This Row],[H_Abs]],-6,,7))-_HS))</f>
        <v>0</v>
      </c>
      <c r="N44" s="18" t="str">
        <f ca="1">IF(Tableau1[[#This Row],[HS]]&gt;0,IF(Tableau1[[#This Row],[HS]]*24&gt;8,8/24,Tableau1[[#This Row],[HS]]),"")</f>
        <v/>
      </c>
      <c r="O44" s="18" t="str">
        <f ca="1">IF(Tableau1[[#This Row],[HS]]*24&gt;8,Tableau1[[#This Row],[HS]]-Tableau1[[#This Row],[Dont
HS 30%]],"")</f>
        <v/>
      </c>
      <c r="P44" s="18" t="e">
        <f ca="1">Tableau1[[#This Row],[Dont
HS 30%]]*1.3</f>
        <v>#VALUE!</v>
      </c>
      <c r="Q44" s="18" t="e">
        <f ca="1">Tableau1[[#This Row],[Dont 
HS 50%]]*1.5</f>
        <v>#VALUE!</v>
      </c>
    </row>
    <row r="45" spans="2:17" x14ac:dyDescent="0.25">
      <c r="B45" s="37">
        <f>_xlfn.ISOWEEKNUM(Tableau1[[#This Row],[Date]])</f>
        <v>19</v>
      </c>
      <c r="C45" s="14">
        <f>debut+ROW()-ROW(Tableau1[[#Headers],[Date]])-1</f>
        <v>44692</v>
      </c>
      <c r="D45" s="16">
        <f>MONTH(Tableau1[[#This Row],[Date]])</f>
        <v>5</v>
      </c>
      <c r="E45" s="16">
        <f>YEAR(Tableau1[[#This Row],[Date]])</f>
        <v>2022</v>
      </c>
      <c r="F45" s="32"/>
      <c r="G45" s="32"/>
      <c r="H45" s="32"/>
      <c r="I45" s="32"/>
      <c r="J45" s="3"/>
      <c r="K45" s="18">
        <f>MOD(Tableau1[[#This Row],[Fin
apm]]-Tableau1[[#This Row],[Début
apm]],1)+MOD(Tableau1[[#This Row],[Fin
matin]]-Tableau1[[#This Row],[Début
matin]],1)</f>
        <v>0</v>
      </c>
      <c r="L45" s="18">
        <f>IFERROR(VLOOKUP(Tableau1[[#This Row],[Abs.]],Tmotif[],3,0),0)</f>
        <v>0</v>
      </c>
      <c r="M45" s="18">
        <f ca="1">IF(WEEKDAY(Tableau1[[#This Row],[Date]],2)&lt;7,0,MAX(0,SUM(OFFSET(Tableau1[[#This Row],[Heures]],-6,,7))+SUM(OFFSET(Tableau1[[#This Row],[H_Abs]],-6,,7))-_HS))</f>
        <v>0</v>
      </c>
      <c r="N45" s="18" t="str">
        <f ca="1">IF(Tableau1[[#This Row],[HS]]&gt;0,IF(Tableau1[[#This Row],[HS]]*24&gt;8,8/24,Tableau1[[#This Row],[HS]]),"")</f>
        <v/>
      </c>
      <c r="O45" s="18" t="str">
        <f ca="1">IF(Tableau1[[#This Row],[HS]]*24&gt;8,Tableau1[[#This Row],[HS]]-Tableau1[[#This Row],[Dont
HS 30%]],"")</f>
        <v/>
      </c>
      <c r="P45" s="18" t="e">
        <f ca="1">Tableau1[[#This Row],[Dont
HS 30%]]*1.3</f>
        <v>#VALUE!</v>
      </c>
      <c r="Q45" s="18" t="e">
        <f ca="1">Tableau1[[#This Row],[Dont 
HS 50%]]*1.5</f>
        <v>#VALUE!</v>
      </c>
    </row>
    <row r="46" spans="2:17" x14ac:dyDescent="0.25">
      <c r="B46" s="37">
        <f>_xlfn.ISOWEEKNUM(Tableau1[[#This Row],[Date]])</f>
        <v>19</v>
      </c>
      <c r="C46" s="14">
        <f>debut+ROW()-ROW(Tableau1[[#Headers],[Date]])-1</f>
        <v>44693</v>
      </c>
      <c r="D46" s="16">
        <f>MONTH(Tableau1[[#This Row],[Date]])</f>
        <v>5</v>
      </c>
      <c r="E46" s="16">
        <f>YEAR(Tableau1[[#This Row],[Date]])</f>
        <v>2022</v>
      </c>
      <c r="F46" s="32"/>
      <c r="G46" s="32"/>
      <c r="H46" s="32"/>
      <c r="I46" s="32"/>
      <c r="J46" s="3"/>
      <c r="K46" s="18">
        <f>MOD(Tableau1[[#This Row],[Fin
apm]]-Tableau1[[#This Row],[Début
apm]],1)+MOD(Tableau1[[#This Row],[Fin
matin]]-Tableau1[[#This Row],[Début
matin]],1)</f>
        <v>0</v>
      </c>
      <c r="L46" s="18">
        <f>IFERROR(VLOOKUP(Tableau1[[#This Row],[Abs.]],Tmotif[],3,0),0)</f>
        <v>0</v>
      </c>
      <c r="M46" s="18">
        <f ca="1">IF(WEEKDAY(Tableau1[[#This Row],[Date]],2)&lt;7,0,MAX(0,SUM(OFFSET(Tableau1[[#This Row],[Heures]],-6,,7))+SUM(OFFSET(Tableau1[[#This Row],[H_Abs]],-6,,7))-_HS))</f>
        <v>0</v>
      </c>
      <c r="N46" s="18" t="str">
        <f ca="1">IF(Tableau1[[#This Row],[HS]]&gt;0,IF(Tableau1[[#This Row],[HS]]*24&gt;8,8/24,Tableau1[[#This Row],[HS]]),"")</f>
        <v/>
      </c>
      <c r="O46" s="18" t="str">
        <f ca="1">IF(Tableau1[[#This Row],[HS]]*24&gt;8,Tableau1[[#This Row],[HS]]-Tableau1[[#This Row],[Dont
HS 30%]],"")</f>
        <v/>
      </c>
      <c r="P46" s="18" t="e">
        <f ca="1">Tableau1[[#This Row],[Dont
HS 30%]]*1.3</f>
        <v>#VALUE!</v>
      </c>
      <c r="Q46" s="18" t="e">
        <f ca="1">Tableau1[[#This Row],[Dont 
HS 50%]]*1.5</f>
        <v>#VALUE!</v>
      </c>
    </row>
    <row r="47" spans="2:17" x14ac:dyDescent="0.25">
      <c r="B47" s="37">
        <f>_xlfn.ISOWEEKNUM(Tableau1[[#This Row],[Date]])</f>
        <v>19</v>
      </c>
      <c r="C47" s="14">
        <f>debut+ROW()-ROW(Tableau1[[#Headers],[Date]])-1</f>
        <v>44694</v>
      </c>
      <c r="D47" s="16">
        <f>MONTH(Tableau1[[#This Row],[Date]])</f>
        <v>5</v>
      </c>
      <c r="E47" s="16">
        <f>YEAR(Tableau1[[#This Row],[Date]])</f>
        <v>2022</v>
      </c>
      <c r="F47" s="32"/>
      <c r="G47" s="32"/>
      <c r="H47" s="32"/>
      <c r="I47" s="32"/>
      <c r="J47" s="3"/>
      <c r="K47" s="18">
        <f>MOD(Tableau1[[#This Row],[Fin
apm]]-Tableau1[[#This Row],[Début
apm]],1)+MOD(Tableau1[[#This Row],[Fin
matin]]-Tableau1[[#This Row],[Début
matin]],1)</f>
        <v>0</v>
      </c>
      <c r="L47" s="18">
        <f>IFERROR(VLOOKUP(Tableau1[[#This Row],[Abs.]],Tmotif[],3,0),0)</f>
        <v>0</v>
      </c>
      <c r="M47" s="18">
        <f ca="1">IF(WEEKDAY(Tableau1[[#This Row],[Date]],2)&lt;7,0,MAX(0,SUM(OFFSET(Tableau1[[#This Row],[Heures]],-6,,7))+SUM(OFFSET(Tableau1[[#This Row],[H_Abs]],-6,,7))-_HS))</f>
        <v>0</v>
      </c>
      <c r="N47" s="18" t="str">
        <f ca="1">IF(Tableau1[[#This Row],[HS]]&gt;0,IF(Tableau1[[#This Row],[HS]]*24&gt;8,8/24,Tableau1[[#This Row],[HS]]),"")</f>
        <v/>
      </c>
      <c r="O47" s="18" t="str">
        <f ca="1">IF(Tableau1[[#This Row],[HS]]*24&gt;8,Tableau1[[#This Row],[HS]]-Tableau1[[#This Row],[Dont
HS 30%]],"")</f>
        <v/>
      </c>
      <c r="P47" s="18" t="e">
        <f ca="1">Tableau1[[#This Row],[Dont
HS 30%]]*1.3</f>
        <v>#VALUE!</v>
      </c>
      <c r="Q47" s="18" t="e">
        <f ca="1">Tableau1[[#This Row],[Dont 
HS 50%]]*1.5</f>
        <v>#VALUE!</v>
      </c>
    </row>
    <row r="48" spans="2:17" x14ac:dyDescent="0.25">
      <c r="B48" s="37">
        <f>_xlfn.ISOWEEKNUM(Tableau1[[#This Row],[Date]])</f>
        <v>19</v>
      </c>
      <c r="C48" s="14">
        <f>debut+ROW()-ROW(Tableau1[[#Headers],[Date]])-1</f>
        <v>44695</v>
      </c>
      <c r="D48" s="16">
        <f>MONTH(Tableau1[[#This Row],[Date]])</f>
        <v>5</v>
      </c>
      <c r="E48" s="16">
        <f>YEAR(Tableau1[[#This Row],[Date]])</f>
        <v>2022</v>
      </c>
      <c r="F48" s="32"/>
      <c r="G48" s="32"/>
      <c r="H48" s="32"/>
      <c r="I48" s="32"/>
      <c r="J48" s="3"/>
      <c r="K48" s="18">
        <f>MOD(Tableau1[[#This Row],[Fin
apm]]-Tableau1[[#This Row],[Début
apm]],1)+MOD(Tableau1[[#This Row],[Fin
matin]]-Tableau1[[#This Row],[Début
matin]],1)</f>
        <v>0</v>
      </c>
      <c r="L48" s="18">
        <f>IFERROR(VLOOKUP(Tableau1[[#This Row],[Abs.]],Tmotif[],3,0),0)</f>
        <v>0</v>
      </c>
      <c r="M48" s="18">
        <f ca="1">IF(WEEKDAY(Tableau1[[#This Row],[Date]],2)&lt;7,0,MAX(0,SUM(OFFSET(Tableau1[[#This Row],[Heures]],-6,,7))+SUM(OFFSET(Tableau1[[#This Row],[H_Abs]],-6,,7))-_HS))</f>
        <v>0</v>
      </c>
      <c r="N48" s="18" t="str">
        <f ca="1">IF(Tableau1[[#This Row],[HS]]&gt;0,IF(Tableau1[[#This Row],[HS]]*24&gt;8,8/24,Tableau1[[#This Row],[HS]]),"")</f>
        <v/>
      </c>
      <c r="O48" s="18" t="str">
        <f ca="1">IF(Tableau1[[#This Row],[HS]]*24&gt;8,Tableau1[[#This Row],[HS]]-Tableau1[[#This Row],[Dont
HS 30%]],"")</f>
        <v/>
      </c>
      <c r="P48" s="18" t="e">
        <f ca="1">Tableau1[[#This Row],[Dont
HS 30%]]*1.3</f>
        <v>#VALUE!</v>
      </c>
      <c r="Q48" s="18" t="e">
        <f ca="1">Tableau1[[#This Row],[Dont 
HS 50%]]*1.5</f>
        <v>#VALUE!</v>
      </c>
    </row>
    <row r="49" spans="2:17" x14ac:dyDescent="0.25">
      <c r="B49" s="37">
        <f>_xlfn.ISOWEEKNUM(Tableau1[[#This Row],[Date]])</f>
        <v>19</v>
      </c>
      <c r="C49" s="14">
        <f>debut+ROW()-ROW(Tableau1[[#Headers],[Date]])-1</f>
        <v>44696</v>
      </c>
      <c r="D49" s="16">
        <f>MONTH(Tableau1[[#This Row],[Date]])</f>
        <v>5</v>
      </c>
      <c r="E49" s="16">
        <f>YEAR(Tableau1[[#This Row],[Date]])</f>
        <v>2022</v>
      </c>
      <c r="F49" s="32"/>
      <c r="G49" s="32"/>
      <c r="H49" s="32"/>
      <c r="I49" s="32"/>
      <c r="J49" s="3"/>
      <c r="K49" s="18">
        <f>MOD(Tableau1[[#This Row],[Fin
apm]]-Tableau1[[#This Row],[Début
apm]],1)+MOD(Tableau1[[#This Row],[Fin
matin]]-Tableau1[[#This Row],[Début
matin]],1)</f>
        <v>0</v>
      </c>
      <c r="L49" s="18">
        <f>IFERROR(VLOOKUP(Tableau1[[#This Row],[Abs.]],Tmotif[],3,0),0)</f>
        <v>0</v>
      </c>
      <c r="M49" s="18">
        <f ca="1">IF(WEEKDAY(Tableau1[[#This Row],[Date]],2)&lt;7,0,MAX(0,SUM(OFFSET(Tableau1[[#This Row],[Heures]],-6,,7))+SUM(OFFSET(Tableau1[[#This Row],[H_Abs]],-6,,7))-_HS))</f>
        <v>0</v>
      </c>
      <c r="N49" s="18" t="str">
        <f ca="1">IF(Tableau1[[#This Row],[HS]]&gt;0,IF(Tableau1[[#This Row],[HS]]*24&gt;8,8/24,Tableau1[[#This Row],[HS]]),"")</f>
        <v/>
      </c>
      <c r="O49" s="18" t="str">
        <f ca="1">IF(Tableau1[[#This Row],[HS]]*24&gt;8,Tableau1[[#This Row],[HS]]-Tableau1[[#This Row],[Dont
HS 30%]],"")</f>
        <v/>
      </c>
      <c r="P49" s="18" t="e">
        <f ca="1">Tableau1[[#This Row],[Dont
HS 30%]]*1.3</f>
        <v>#VALUE!</v>
      </c>
      <c r="Q49" s="18" t="e">
        <f ca="1">Tableau1[[#This Row],[Dont 
HS 50%]]*1.5</f>
        <v>#VALUE!</v>
      </c>
    </row>
    <row r="50" spans="2:17" x14ac:dyDescent="0.25">
      <c r="B50" s="37">
        <f>_xlfn.ISOWEEKNUM(Tableau1[[#This Row],[Date]])</f>
        <v>20</v>
      </c>
      <c r="C50" s="14">
        <f>debut+ROW()-ROW(Tableau1[[#Headers],[Date]])-1</f>
        <v>44697</v>
      </c>
      <c r="D50" s="16">
        <f>MONTH(Tableau1[[#This Row],[Date]])</f>
        <v>5</v>
      </c>
      <c r="E50" s="16">
        <f>YEAR(Tableau1[[#This Row],[Date]])</f>
        <v>2022</v>
      </c>
      <c r="F50" s="32"/>
      <c r="G50" s="32"/>
      <c r="H50" s="32"/>
      <c r="I50" s="32"/>
      <c r="J50" s="3"/>
      <c r="K50" s="18">
        <f>MOD(Tableau1[[#This Row],[Fin
apm]]-Tableau1[[#This Row],[Début
apm]],1)+MOD(Tableau1[[#This Row],[Fin
matin]]-Tableau1[[#This Row],[Début
matin]],1)</f>
        <v>0</v>
      </c>
      <c r="L50" s="18">
        <f>IFERROR(VLOOKUP(Tableau1[[#This Row],[Abs.]],Tmotif[],3,0),0)</f>
        <v>0</v>
      </c>
      <c r="M50" s="18">
        <f ca="1">IF(WEEKDAY(Tableau1[[#This Row],[Date]],2)&lt;7,0,MAX(0,SUM(OFFSET(Tableau1[[#This Row],[Heures]],-6,,7))+SUM(OFFSET(Tableau1[[#This Row],[H_Abs]],-6,,7))-_HS))</f>
        <v>0</v>
      </c>
      <c r="N50" s="18" t="str">
        <f ca="1">IF(Tableau1[[#This Row],[HS]]&gt;0,IF(Tableau1[[#This Row],[HS]]*24&gt;8,8/24,Tableau1[[#This Row],[HS]]),"")</f>
        <v/>
      </c>
      <c r="O50" s="18" t="str">
        <f ca="1">IF(Tableau1[[#This Row],[HS]]*24&gt;8,Tableau1[[#This Row],[HS]]-Tableau1[[#This Row],[Dont
HS 30%]],"")</f>
        <v/>
      </c>
      <c r="P50" s="18" t="e">
        <f ca="1">Tableau1[[#This Row],[Dont
HS 30%]]*1.3</f>
        <v>#VALUE!</v>
      </c>
      <c r="Q50" s="18" t="e">
        <f ca="1">Tableau1[[#This Row],[Dont 
HS 50%]]*1.5</f>
        <v>#VALUE!</v>
      </c>
    </row>
    <row r="51" spans="2:17" x14ac:dyDescent="0.25">
      <c r="B51" s="37">
        <f>_xlfn.ISOWEEKNUM(Tableau1[[#This Row],[Date]])</f>
        <v>20</v>
      </c>
      <c r="C51" s="14">
        <f>debut+ROW()-ROW(Tableau1[[#Headers],[Date]])-1</f>
        <v>44698</v>
      </c>
      <c r="D51" s="16">
        <f>MONTH(Tableau1[[#This Row],[Date]])</f>
        <v>5</v>
      </c>
      <c r="E51" s="16">
        <f>YEAR(Tableau1[[#This Row],[Date]])</f>
        <v>2022</v>
      </c>
      <c r="F51" s="32"/>
      <c r="G51" s="32"/>
      <c r="H51" s="32"/>
      <c r="I51" s="32"/>
      <c r="J51" s="3"/>
      <c r="K51" s="18">
        <f>MOD(Tableau1[[#This Row],[Fin
apm]]-Tableau1[[#This Row],[Début
apm]],1)+MOD(Tableau1[[#This Row],[Fin
matin]]-Tableau1[[#This Row],[Début
matin]],1)</f>
        <v>0</v>
      </c>
      <c r="L51" s="18">
        <f>IFERROR(VLOOKUP(Tableau1[[#This Row],[Abs.]],Tmotif[],3,0),0)</f>
        <v>0</v>
      </c>
      <c r="M51" s="18">
        <f ca="1">IF(WEEKDAY(Tableau1[[#This Row],[Date]],2)&lt;7,0,MAX(0,SUM(OFFSET(Tableau1[[#This Row],[Heures]],-6,,7))+SUM(OFFSET(Tableau1[[#This Row],[H_Abs]],-6,,7))-_HS))</f>
        <v>0</v>
      </c>
      <c r="N51" s="18" t="str">
        <f ca="1">IF(Tableau1[[#This Row],[HS]]&gt;0,IF(Tableau1[[#This Row],[HS]]*24&gt;8,8/24,Tableau1[[#This Row],[HS]]),"")</f>
        <v/>
      </c>
      <c r="O51" s="18" t="str">
        <f ca="1">IF(Tableau1[[#This Row],[HS]]*24&gt;8,Tableau1[[#This Row],[HS]]-Tableau1[[#This Row],[Dont
HS 30%]],"")</f>
        <v/>
      </c>
      <c r="P51" s="18" t="e">
        <f ca="1">Tableau1[[#This Row],[Dont
HS 30%]]*1.3</f>
        <v>#VALUE!</v>
      </c>
      <c r="Q51" s="18" t="e">
        <f ca="1">Tableau1[[#This Row],[Dont 
HS 50%]]*1.5</f>
        <v>#VALUE!</v>
      </c>
    </row>
    <row r="52" spans="2:17" x14ac:dyDescent="0.25">
      <c r="B52" s="37">
        <f>_xlfn.ISOWEEKNUM(Tableau1[[#This Row],[Date]])</f>
        <v>20</v>
      </c>
      <c r="C52" s="14">
        <f>debut+ROW()-ROW(Tableau1[[#Headers],[Date]])-1</f>
        <v>44699</v>
      </c>
      <c r="D52" s="16">
        <f>MONTH(Tableau1[[#This Row],[Date]])</f>
        <v>5</v>
      </c>
      <c r="E52" s="16">
        <f>YEAR(Tableau1[[#This Row],[Date]])</f>
        <v>2022</v>
      </c>
      <c r="F52" s="32"/>
      <c r="G52" s="32"/>
      <c r="H52" s="32"/>
      <c r="I52" s="32"/>
      <c r="J52" s="3"/>
      <c r="K52" s="18">
        <f>MOD(Tableau1[[#This Row],[Fin
apm]]-Tableau1[[#This Row],[Début
apm]],1)+MOD(Tableau1[[#This Row],[Fin
matin]]-Tableau1[[#This Row],[Début
matin]],1)</f>
        <v>0</v>
      </c>
      <c r="L52" s="18">
        <f>IFERROR(VLOOKUP(Tableau1[[#This Row],[Abs.]],Tmotif[],3,0),0)</f>
        <v>0</v>
      </c>
      <c r="M52" s="18">
        <f ca="1">IF(WEEKDAY(Tableau1[[#This Row],[Date]],2)&lt;7,0,MAX(0,SUM(OFFSET(Tableau1[[#This Row],[Heures]],-6,,7))+SUM(OFFSET(Tableau1[[#This Row],[H_Abs]],-6,,7))-_HS))</f>
        <v>0</v>
      </c>
      <c r="N52" s="18" t="str">
        <f ca="1">IF(Tableau1[[#This Row],[HS]]&gt;0,IF(Tableau1[[#This Row],[HS]]*24&gt;8,8/24,Tableau1[[#This Row],[HS]]),"")</f>
        <v/>
      </c>
      <c r="O52" s="18" t="str">
        <f ca="1">IF(Tableau1[[#This Row],[HS]]*24&gt;8,Tableau1[[#This Row],[HS]]-Tableau1[[#This Row],[Dont
HS 30%]],"")</f>
        <v/>
      </c>
      <c r="P52" s="18" t="e">
        <f ca="1">Tableau1[[#This Row],[Dont
HS 30%]]*1.3</f>
        <v>#VALUE!</v>
      </c>
      <c r="Q52" s="18" t="e">
        <f ca="1">Tableau1[[#This Row],[Dont 
HS 50%]]*1.5</f>
        <v>#VALUE!</v>
      </c>
    </row>
    <row r="53" spans="2:17" x14ac:dyDescent="0.25">
      <c r="B53" s="37">
        <f>_xlfn.ISOWEEKNUM(Tableau1[[#This Row],[Date]])</f>
        <v>20</v>
      </c>
      <c r="C53" s="14">
        <f>debut+ROW()-ROW(Tableau1[[#Headers],[Date]])-1</f>
        <v>44700</v>
      </c>
      <c r="D53" s="16">
        <f>MONTH(Tableau1[[#This Row],[Date]])</f>
        <v>5</v>
      </c>
      <c r="E53" s="16">
        <f>YEAR(Tableau1[[#This Row],[Date]])</f>
        <v>2022</v>
      </c>
      <c r="F53" s="32"/>
      <c r="G53" s="32"/>
      <c r="H53" s="32"/>
      <c r="I53" s="32"/>
      <c r="J53" s="3"/>
      <c r="K53" s="18">
        <f>MOD(Tableau1[[#This Row],[Fin
apm]]-Tableau1[[#This Row],[Début
apm]],1)+MOD(Tableau1[[#This Row],[Fin
matin]]-Tableau1[[#This Row],[Début
matin]],1)</f>
        <v>0</v>
      </c>
      <c r="L53" s="18">
        <f>IFERROR(VLOOKUP(Tableau1[[#This Row],[Abs.]],Tmotif[],3,0),0)</f>
        <v>0</v>
      </c>
      <c r="M53" s="18">
        <f ca="1">IF(WEEKDAY(Tableau1[[#This Row],[Date]],2)&lt;7,0,MAX(0,SUM(OFFSET(Tableau1[[#This Row],[Heures]],-6,,7))+SUM(OFFSET(Tableau1[[#This Row],[H_Abs]],-6,,7))-_HS))</f>
        <v>0</v>
      </c>
      <c r="N53" s="18" t="str">
        <f ca="1">IF(Tableau1[[#This Row],[HS]]&gt;0,IF(Tableau1[[#This Row],[HS]]*24&gt;8,8/24,Tableau1[[#This Row],[HS]]),"")</f>
        <v/>
      </c>
      <c r="O53" s="18" t="str">
        <f ca="1">IF(Tableau1[[#This Row],[HS]]*24&gt;8,Tableau1[[#This Row],[HS]]-Tableau1[[#This Row],[Dont
HS 30%]],"")</f>
        <v/>
      </c>
      <c r="P53" s="18" t="e">
        <f ca="1">Tableau1[[#This Row],[Dont
HS 30%]]*1.3</f>
        <v>#VALUE!</v>
      </c>
      <c r="Q53" s="18" t="e">
        <f ca="1">Tableau1[[#This Row],[Dont 
HS 50%]]*1.5</f>
        <v>#VALUE!</v>
      </c>
    </row>
    <row r="54" spans="2:17" x14ac:dyDescent="0.25">
      <c r="B54" s="37">
        <f>_xlfn.ISOWEEKNUM(Tableau1[[#This Row],[Date]])</f>
        <v>20</v>
      </c>
      <c r="C54" s="14">
        <f>debut+ROW()-ROW(Tableau1[[#Headers],[Date]])-1</f>
        <v>44701</v>
      </c>
      <c r="D54" s="16">
        <f>MONTH(Tableau1[[#This Row],[Date]])</f>
        <v>5</v>
      </c>
      <c r="E54" s="16">
        <f>YEAR(Tableau1[[#This Row],[Date]])</f>
        <v>2022</v>
      </c>
      <c r="F54" s="32"/>
      <c r="G54" s="32"/>
      <c r="H54" s="32"/>
      <c r="I54" s="32"/>
      <c r="J54" s="3"/>
      <c r="K54" s="18">
        <f>MOD(Tableau1[[#This Row],[Fin
apm]]-Tableau1[[#This Row],[Début
apm]],1)+MOD(Tableau1[[#This Row],[Fin
matin]]-Tableau1[[#This Row],[Début
matin]],1)</f>
        <v>0</v>
      </c>
      <c r="L54" s="18">
        <f>IFERROR(VLOOKUP(Tableau1[[#This Row],[Abs.]],Tmotif[],3,0),0)</f>
        <v>0</v>
      </c>
      <c r="M54" s="18">
        <f ca="1">IF(WEEKDAY(Tableau1[[#This Row],[Date]],2)&lt;7,0,MAX(0,SUM(OFFSET(Tableau1[[#This Row],[Heures]],-6,,7))+SUM(OFFSET(Tableau1[[#This Row],[H_Abs]],-6,,7))-_HS))</f>
        <v>0</v>
      </c>
      <c r="N54" s="18" t="str">
        <f ca="1">IF(Tableau1[[#This Row],[HS]]&gt;0,IF(Tableau1[[#This Row],[HS]]*24&gt;8,8/24,Tableau1[[#This Row],[HS]]),"")</f>
        <v/>
      </c>
      <c r="O54" s="18" t="str">
        <f ca="1">IF(Tableau1[[#This Row],[HS]]*24&gt;8,Tableau1[[#This Row],[HS]]-Tableau1[[#This Row],[Dont
HS 30%]],"")</f>
        <v/>
      </c>
      <c r="P54" s="18" t="e">
        <f ca="1">Tableau1[[#This Row],[Dont
HS 30%]]*1.3</f>
        <v>#VALUE!</v>
      </c>
      <c r="Q54" s="18" t="e">
        <f ca="1">Tableau1[[#This Row],[Dont 
HS 50%]]*1.5</f>
        <v>#VALUE!</v>
      </c>
    </row>
    <row r="55" spans="2:17" x14ac:dyDescent="0.25">
      <c r="B55" s="37">
        <f>_xlfn.ISOWEEKNUM(Tableau1[[#This Row],[Date]])</f>
        <v>20</v>
      </c>
      <c r="C55" s="14">
        <f>debut+ROW()-ROW(Tableau1[[#Headers],[Date]])-1</f>
        <v>44702</v>
      </c>
      <c r="D55" s="16">
        <f>MONTH(Tableau1[[#This Row],[Date]])</f>
        <v>5</v>
      </c>
      <c r="E55" s="16">
        <f>YEAR(Tableau1[[#This Row],[Date]])</f>
        <v>2022</v>
      </c>
      <c r="F55" s="32"/>
      <c r="G55" s="32"/>
      <c r="H55" s="32"/>
      <c r="I55" s="32"/>
      <c r="J55" s="3"/>
      <c r="K55" s="18">
        <f>MOD(Tableau1[[#This Row],[Fin
apm]]-Tableau1[[#This Row],[Début
apm]],1)+MOD(Tableau1[[#This Row],[Fin
matin]]-Tableau1[[#This Row],[Début
matin]],1)</f>
        <v>0</v>
      </c>
      <c r="L55" s="18">
        <f>IFERROR(VLOOKUP(Tableau1[[#This Row],[Abs.]],Tmotif[],3,0),0)</f>
        <v>0</v>
      </c>
      <c r="M55" s="18">
        <f ca="1">IF(WEEKDAY(Tableau1[[#This Row],[Date]],2)&lt;7,0,MAX(0,SUM(OFFSET(Tableau1[[#This Row],[Heures]],-6,,7))+SUM(OFFSET(Tableau1[[#This Row],[H_Abs]],-6,,7))-_HS))</f>
        <v>0</v>
      </c>
      <c r="N55" s="18" t="str">
        <f ca="1">IF(Tableau1[[#This Row],[HS]]&gt;0,IF(Tableau1[[#This Row],[HS]]*24&gt;8,8/24,Tableau1[[#This Row],[HS]]),"")</f>
        <v/>
      </c>
      <c r="O55" s="18" t="str">
        <f ca="1">IF(Tableau1[[#This Row],[HS]]*24&gt;8,Tableau1[[#This Row],[HS]]-Tableau1[[#This Row],[Dont
HS 30%]],"")</f>
        <v/>
      </c>
      <c r="P55" s="18" t="e">
        <f ca="1">Tableau1[[#This Row],[Dont
HS 30%]]*1.3</f>
        <v>#VALUE!</v>
      </c>
      <c r="Q55" s="18" t="e">
        <f ca="1">Tableau1[[#This Row],[Dont 
HS 50%]]*1.5</f>
        <v>#VALUE!</v>
      </c>
    </row>
    <row r="56" spans="2:17" x14ac:dyDescent="0.25">
      <c r="B56" s="37">
        <f>_xlfn.ISOWEEKNUM(Tableau1[[#This Row],[Date]])</f>
        <v>20</v>
      </c>
      <c r="C56" s="14">
        <f>debut+ROW()-ROW(Tableau1[[#Headers],[Date]])-1</f>
        <v>44703</v>
      </c>
      <c r="D56" s="16">
        <f>MONTH(Tableau1[[#This Row],[Date]])</f>
        <v>5</v>
      </c>
      <c r="E56" s="16">
        <f>YEAR(Tableau1[[#This Row],[Date]])</f>
        <v>2022</v>
      </c>
      <c r="F56" s="32"/>
      <c r="G56" s="32"/>
      <c r="H56" s="32"/>
      <c r="I56" s="32"/>
      <c r="J56" s="3"/>
      <c r="K56" s="18">
        <f>MOD(Tableau1[[#This Row],[Fin
apm]]-Tableau1[[#This Row],[Début
apm]],1)+MOD(Tableau1[[#This Row],[Fin
matin]]-Tableau1[[#This Row],[Début
matin]],1)</f>
        <v>0</v>
      </c>
      <c r="L56" s="18">
        <f>IFERROR(VLOOKUP(Tableau1[[#This Row],[Abs.]],Tmotif[],3,0),0)</f>
        <v>0</v>
      </c>
      <c r="M56" s="18">
        <f ca="1">IF(WEEKDAY(Tableau1[[#This Row],[Date]],2)&lt;7,0,MAX(0,SUM(OFFSET(Tableau1[[#This Row],[Heures]],-6,,7))+SUM(OFFSET(Tableau1[[#This Row],[H_Abs]],-6,,7))-_HS))</f>
        <v>0</v>
      </c>
      <c r="N56" s="18" t="str">
        <f ca="1">IF(Tableau1[[#This Row],[HS]]&gt;0,IF(Tableau1[[#This Row],[HS]]*24&gt;8,8/24,Tableau1[[#This Row],[HS]]),"")</f>
        <v/>
      </c>
      <c r="O56" s="18" t="str">
        <f ca="1">IF(Tableau1[[#This Row],[HS]]*24&gt;8,Tableau1[[#This Row],[HS]]-Tableau1[[#This Row],[Dont
HS 30%]],"")</f>
        <v/>
      </c>
      <c r="P56" s="18" t="e">
        <f ca="1">Tableau1[[#This Row],[Dont
HS 30%]]*1.3</f>
        <v>#VALUE!</v>
      </c>
      <c r="Q56" s="18" t="e">
        <f ca="1">Tableau1[[#This Row],[Dont 
HS 50%]]*1.5</f>
        <v>#VALUE!</v>
      </c>
    </row>
    <row r="57" spans="2:17" x14ac:dyDescent="0.25">
      <c r="B57" s="37">
        <f>_xlfn.ISOWEEKNUM(Tableau1[[#This Row],[Date]])</f>
        <v>21</v>
      </c>
      <c r="C57" s="14">
        <f>debut+ROW()-ROW(Tableau1[[#Headers],[Date]])-1</f>
        <v>44704</v>
      </c>
      <c r="D57" s="16">
        <f>MONTH(Tableau1[[#This Row],[Date]])</f>
        <v>5</v>
      </c>
      <c r="E57" s="16">
        <f>YEAR(Tableau1[[#This Row],[Date]])</f>
        <v>2022</v>
      </c>
      <c r="F57" s="32"/>
      <c r="G57" s="32"/>
      <c r="H57" s="32"/>
      <c r="I57" s="32"/>
      <c r="J57" s="3"/>
      <c r="K57" s="18">
        <f>MOD(Tableau1[[#This Row],[Fin
apm]]-Tableau1[[#This Row],[Début
apm]],1)+MOD(Tableau1[[#This Row],[Fin
matin]]-Tableau1[[#This Row],[Début
matin]],1)</f>
        <v>0</v>
      </c>
      <c r="L57" s="18">
        <f>IFERROR(VLOOKUP(Tableau1[[#This Row],[Abs.]],Tmotif[],3,0),0)</f>
        <v>0</v>
      </c>
      <c r="M57" s="18">
        <f ca="1">IF(WEEKDAY(Tableau1[[#This Row],[Date]],2)&lt;7,0,MAX(0,SUM(OFFSET(Tableau1[[#This Row],[Heures]],-6,,7))+SUM(OFFSET(Tableau1[[#This Row],[H_Abs]],-6,,7))-_HS))</f>
        <v>0</v>
      </c>
      <c r="N57" s="18" t="str">
        <f ca="1">IF(Tableau1[[#This Row],[HS]]&gt;0,IF(Tableau1[[#This Row],[HS]]*24&gt;8,8/24,Tableau1[[#This Row],[HS]]),"")</f>
        <v/>
      </c>
      <c r="O57" s="18" t="str">
        <f ca="1">IF(Tableau1[[#This Row],[HS]]*24&gt;8,Tableau1[[#This Row],[HS]]-Tableau1[[#This Row],[Dont
HS 30%]],"")</f>
        <v/>
      </c>
      <c r="P57" s="18" t="e">
        <f ca="1">Tableau1[[#This Row],[Dont
HS 30%]]*1.3</f>
        <v>#VALUE!</v>
      </c>
      <c r="Q57" s="18" t="e">
        <f ca="1">Tableau1[[#This Row],[Dont 
HS 50%]]*1.5</f>
        <v>#VALUE!</v>
      </c>
    </row>
    <row r="58" spans="2:17" x14ac:dyDescent="0.25">
      <c r="B58" s="37">
        <f>_xlfn.ISOWEEKNUM(Tableau1[[#This Row],[Date]])</f>
        <v>21</v>
      </c>
      <c r="C58" s="14">
        <f>debut+ROW()-ROW(Tableau1[[#Headers],[Date]])-1</f>
        <v>44705</v>
      </c>
      <c r="D58" s="16">
        <f>MONTH(Tableau1[[#This Row],[Date]])</f>
        <v>5</v>
      </c>
      <c r="E58" s="16">
        <f>YEAR(Tableau1[[#This Row],[Date]])</f>
        <v>2022</v>
      </c>
      <c r="F58" s="32"/>
      <c r="G58" s="32"/>
      <c r="H58" s="32"/>
      <c r="I58" s="32"/>
      <c r="J58" s="3"/>
      <c r="K58" s="18">
        <f>MOD(Tableau1[[#This Row],[Fin
apm]]-Tableau1[[#This Row],[Début
apm]],1)+MOD(Tableau1[[#This Row],[Fin
matin]]-Tableau1[[#This Row],[Début
matin]],1)</f>
        <v>0</v>
      </c>
      <c r="L58" s="18">
        <f>IFERROR(VLOOKUP(Tableau1[[#This Row],[Abs.]],Tmotif[],3,0),0)</f>
        <v>0</v>
      </c>
      <c r="M58" s="18">
        <f ca="1">IF(WEEKDAY(Tableau1[[#This Row],[Date]],2)&lt;7,0,MAX(0,SUM(OFFSET(Tableau1[[#This Row],[Heures]],-6,,7))+SUM(OFFSET(Tableau1[[#This Row],[H_Abs]],-6,,7))-_HS))</f>
        <v>0</v>
      </c>
      <c r="N58" s="18" t="str">
        <f ca="1">IF(Tableau1[[#This Row],[HS]]&gt;0,IF(Tableau1[[#This Row],[HS]]*24&gt;8,8/24,Tableau1[[#This Row],[HS]]),"")</f>
        <v/>
      </c>
      <c r="O58" s="18" t="str">
        <f ca="1">IF(Tableau1[[#This Row],[HS]]*24&gt;8,Tableau1[[#This Row],[HS]]-Tableau1[[#This Row],[Dont
HS 30%]],"")</f>
        <v/>
      </c>
      <c r="P58" s="18" t="e">
        <f ca="1">Tableau1[[#This Row],[Dont
HS 30%]]*1.3</f>
        <v>#VALUE!</v>
      </c>
      <c r="Q58" s="18" t="e">
        <f ca="1">Tableau1[[#This Row],[Dont 
HS 50%]]*1.5</f>
        <v>#VALUE!</v>
      </c>
    </row>
    <row r="59" spans="2:17" x14ac:dyDescent="0.25">
      <c r="B59" s="37">
        <f>_xlfn.ISOWEEKNUM(Tableau1[[#This Row],[Date]])</f>
        <v>21</v>
      </c>
      <c r="C59" s="14">
        <f>debut+ROW()-ROW(Tableau1[[#Headers],[Date]])-1</f>
        <v>44706</v>
      </c>
      <c r="D59" s="16">
        <f>MONTH(Tableau1[[#This Row],[Date]])</f>
        <v>5</v>
      </c>
      <c r="E59" s="16">
        <f>YEAR(Tableau1[[#This Row],[Date]])</f>
        <v>2022</v>
      </c>
      <c r="F59" s="32"/>
      <c r="G59" s="32"/>
      <c r="H59" s="32"/>
      <c r="I59" s="32"/>
      <c r="J59" s="3"/>
      <c r="K59" s="18">
        <f>MOD(Tableau1[[#This Row],[Fin
apm]]-Tableau1[[#This Row],[Début
apm]],1)+MOD(Tableau1[[#This Row],[Fin
matin]]-Tableau1[[#This Row],[Début
matin]],1)</f>
        <v>0</v>
      </c>
      <c r="L59" s="18">
        <f>IFERROR(VLOOKUP(Tableau1[[#This Row],[Abs.]],Tmotif[],3,0),0)</f>
        <v>0</v>
      </c>
      <c r="M59" s="18">
        <f ca="1">IF(WEEKDAY(Tableau1[[#This Row],[Date]],2)&lt;7,0,MAX(0,SUM(OFFSET(Tableau1[[#This Row],[Heures]],-6,,7))+SUM(OFFSET(Tableau1[[#This Row],[H_Abs]],-6,,7))-_HS))</f>
        <v>0</v>
      </c>
      <c r="N59" s="18" t="str">
        <f ca="1">IF(Tableau1[[#This Row],[HS]]&gt;0,IF(Tableau1[[#This Row],[HS]]*24&gt;8,8/24,Tableau1[[#This Row],[HS]]),"")</f>
        <v/>
      </c>
      <c r="O59" s="18" t="str">
        <f ca="1">IF(Tableau1[[#This Row],[HS]]*24&gt;8,Tableau1[[#This Row],[HS]]-Tableau1[[#This Row],[Dont
HS 30%]],"")</f>
        <v/>
      </c>
      <c r="P59" s="18" t="e">
        <f ca="1">Tableau1[[#This Row],[Dont
HS 30%]]*1.3</f>
        <v>#VALUE!</v>
      </c>
      <c r="Q59" s="18" t="e">
        <f ca="1">Tableau1[[#This Row],[Dont 
HS 50%]]*1.5</f>
        <v>#VALUE!</v>
      </c>
    </row>
    <row r="60" spans="2:17" x14ac:dyDescent="0.25">
      <c r="B60" s="37">
        <f>_xlfn.ISOWEEKNUM(Tableau1[[#This Row],[Date]])</f>
        <v>21</v>
      </c>
      <c r="C60" s="14">
        <f>debut+ROW()-ROW(Tableau1[[#Headers],[Date]])-1</f>
        <v>44707</v>
      </c>
      <c r="D60" s="16">
        <f>MONTH(Tableau1[[#This Row],[Date]])</f>
        <v>5</v>
      </c>
      <c r="E60" s="16">
        <f>YEAR(Tableau1[[#This Row],[Date]])</f>
        <v>2022</v>
      </c>
      <c r="F60" s="32"/>
      <c r="G60" s="32"/>
      <c r="H60" s="32"/>
      <c r="I60" s="32"/>
      <c r="J60" s="3"/>
      <c r="K60" s="18">
        <f>MOD(Tableau1[[#This Row],[Fin
apm]]-Tableau1[[#This Row],[Début
apm]],1)+MOD(Tableau1[[#This Row],[Fin
matin]]-Tableau1[[#This Row],[Début
matin]],1)</f>
        <v>0</v>
      </c>
      <c r="L60" s="18">
        <f>IFERROR(VLOOKUP(Tableau1[[#This Row],[Abs.]],Tmotif[],3,0),0)</f>
        <v>0</v>
      </c>
      <c r="M60" s="18">
        <f ca="1">IF(WEEKDAY(Tableau1[[#This Row],[Date]],2)&lt;7,0,MAX(0,SUM(OFFSET(Tableau1[[#This Row],[Heures]],-6,,7))+SUM(OFFSET(Tableau1[[#This Row],[H_Abs]],-6,,7))-_HS))</f>
        <v>0</v>
      </c>
      <c r="N60" s="18" t="str">
        <f ca="1">IF(Tableau1[[#This Row],[HS]]&gt;0,IF(Tableau1[[#This Row],[HS]]*24&gt;8,8/24,Tableau1[[#This Row],[HS]]),"")</f>
        <v/>
      </c>
      <c r="O60" s="18" t="str">
        <f ca="1">IF(Tableau1[[#This Row],[HS]]*24&gt;8,Tableau1[[#This Row],[HS]]-Tableau1[[#This Row],[Dont
HS 30%]],"")</f>
        <v/>
      </c>
      <c r="P60" s="18" t="e">
        <f ca="1">Tableau1[[#This Row],[Dont
HS 30%]]*1.3</f>
        <v>#VALUE!</v>
      </c>
      <c r="Q60" s="18" t="e">
        <f ca="1">Tableau1[[#This Row],[Dont 
HS 50%]]*1.5</f>
        <v>#VALUE!</v>
      </c>
    </row>
    <row r="61" spans="2:17" x14ac:dyDescent="0.25">
      <c r="B61" s="37">
        <f>_xlfn.ISOWEEKNUM(Tableau1[[#This Row],[Date]])</f>
        <v>21</v>
      </c>
      <c r="C61" s="14">
        <f>debut+ROW()-ROW(Tableau1[[#Headers],[Date]])-1</f>
        <v>44708</v>
      </c>
      <c r="D61" s="16">
        <f>MONTH(Tableau1[[#This Row],[Date]])</f>
        <v>5</v>
      </c>
      <c r="E61" s="16">
        <f>YEAR(Tableau1[[#This Row],[Date]])</f>
        <v>2022</v>
      </c>
      <c r="F61" s="32"/>
      <c r="G61" s="32"/>
      <c r="H61" s="32"/>
      <c r="I61" s="32"/>
      <c r="J61" s="3"/>
      <c r="K61" s="18">
        <f>MOD(Tableau1[[#This Row],[Fin
apm]]-Tableau1[[#This Row],[Début
apm]],1)+MOD(Tableau1[[#This Row],[Fin
matin]]-Tableau1[[#This Row],[Début
matin]],1)</f>
        <v>0</v>
      </c>
      <c r="L61" s="18">
        <f>IFERROR(VLOOKUP(Tableau1[[#This Row],[Abs.]],Tmotif[],3,0),0)</f>
        <v>0</v>
      </c>
      <c r="M61" s="18">
        <f ca="1">IF(WEEKDAY(Tableau1[[#This Row],[Date]],2)&lt;7,0,MAX(0,SUM(OFFSET(Tableau1[[#This Row],[Heures]],-6,,7))+SUM(OFFSET(Tableau1[[#This Row],[H_Abs]],-6,,7))-_HS))</f>
        <v>0</v>
      </c>
      <c r="N61" s="18" t="str">
        <f ca="1">IF(Tableau1[[#This Row],[HS]]&gt;0,IF(Tableau1[[#This Row],[HS]]*24&gt;8,8/24,Tableau1[[#This Row],[HS]]),"")</f>
        <v/>
      </c>
      <c r="O61" s="18" t="str">
        <f ca="1">IF(Tableau1[[#This Row],[HS]]*24&gt;8,Tableau1[[#This Row],[HS]]-Tableau1[[#This Row],[Dont
HS 30%]],"")</f>
        <v/>
      </c>
      <c r="P61" s="18" t="e">
        <f ca="1">Tableau1[[#This Row],[Dont
HS 30%]]*1.3</f>
        <v>#VALUE!</v>
      </c>
      <c r="Q61" s="18" t="e">
        <f ca="1">Tableau1[[#This Row],[Dont 
HS 50%]]*1.5</f>
        <v>#VALUE!</v>
      </c>
    </row>
    <row r="62" spans="2:17" x14ac:dyDescent="0.25">
      <c r="B62" s="37">
        <f>_xlfn.ISOWEEKNUM(Tableau1[[#This Row],[Date]])</f>
        <v>21</v>
      </c>
      <c r="C62" s="14">
        <f>debut+ROW()-ROW(Tableau1[[#Headers],[Date]])-1</f>
        <v>44709</v>
      </c>
      <c r="D62" s="16">
        <f>MONTH(Tableau1[[#This Row],[Date]])</f>
        <v>5</v>
      </c>
      <c r="E62" s="16">
        <f>YEAR(Tableau1[[#This Row],[Date]])</f>
        <v>2022</v>
      </c>
      <c r="F62" s="32"/>
      <c r="G62" s="32"/>
      <c r="H62" s="32"/>
      <c r="I62" s="32"/>
      <c r="J62" s="3"/>
      <c r="K62" s="18">
        <f>MOD(Tableau1[[#This Row],[Fin
apm]]-Tableau1[[#This Row],[Début
apm]],1)+MOD(Tableau1[[#This Row],[Fin
matin]]-Tableau1[[#This Row],[Début
matin]],1)</f>
        <v>0</v>
      </c>
      <c r="L62" s="18">
        <f>IFERROR(VLOOKUP(Tableau1[[#This Row],[Abs.]],Tmotif[],3,0),0)</f>
        <v>0</v>
      </c>
      <c r="M62" s="18">
        <f ca="1">IF(WEEKDAY(Tableau1[[#This Row],[Date]],2)&lt;7,0,MAX(0,SUM(OFFSET(Tableau1[[#This Row],[Heures]],-6,,7))+SUM(OFFSET(Tableau1[[#This Row],[H_Abs]],-6,,7))-_HS))</f>
        <v>0</v>
      </c>
      <c r="N62" s="18" t="str">
        <f ca="1">IF(Tableau1[[#This Row],[HS]]&gt;0,IF(Tableau1[[#This Row],[HS]]*24&gt;8,8/24,Tableau1[[#This Row],[HS]]),"")</f>
        <v/>
      </c>
      <c r="O62" s="18" t="str">
        <f ca="1">IF(Tableau1[[#This Row],[HS]]*24&gt;8,Tableau1[[#This Row],[HS]]-Tableau1[[#This Row],[Dont
HS 30%]],"")</f>
        <v/>
      </c>
      <c r="P62" s="18" t="e">
        <f ca="1">Tableau1[[#This Row],[Dont
HS 30%]]*1.3</f>
        <v>#VALUE!</v>
      </c>
      <c r="Q62" s="18" t="e">
        <f ca="1">Tableau1[[#This Row],[Dont 
HS 50%]]*1.5</f>
        <v>#VALUE!</v>
      </c>
    </row>
    <row r="63" spans="2:17" x14ac:dyDescent="0.25">
      <c r="B63" s="37">
        <f>_xlfn.ISOWEEKNUM(Tableau1[[#This Row],[Date]])</f>
        <v>21</v>
      </c>
      <c r="C63" s="14">
        <f>debut+ROW()-ROW(Tableau1[[#Headers],[Date]])-1</f>
        <v>44710</v>
      </c>
      <c r="D63" s="16">
        <f>MONTH(Tableau1[[#This Row],[Date]])</f>
        <v>5</v>
      </c>
      <c r="E63" s="16">
        <f>YEAR(Tableau1[[#This Row],[Date]])</f>
        <v>2022</v>
      </c>
      <c r="F63" s="32"/>
      <c r="G63" s="32"/>
      <c r="H63" s="32"/>
      <c r="I63" s="32"/>
      <c r="J63" s="3"/>
      <c r="K63" s="18">
        <f>MOD(Tableau1[[#This Row],[Fin
apm]]-Tableau1[[#This Row],[Début
apm]],1)+MOD(Tableau1[[#This Row],[Fin
matin]]-Tableau1[[#This Row],[Début
matin]],1)</f>
        <v>0</v>
      </c>
      <c r="L63" s="18">
        <f>IFERROR(VLOOKUP(Tableau1[[#This Row],[Abs.]],Tmotif[],3,0),0)</f>
        <v>0</v>
      </c>
      <c r="M63" s="18">
        <f ca="1">IF(WEEKDAY(Tableau1[[#This Row],[Date]],2)&lt;7,0,MAX(0,SUM(OFFSET(Tableau1[[#This Row],[Heures]],-6,,7))+SUM(OFFSET(Tableau1[[#This Row],[H_Abs]],-6,,7))-_HS))</f>
        <v>0</v>
      </c>
      <c r="N63" s="18" t="str">
        <f ca="1">IF(Tableau1[[#This Row],[HS]]&gt;0,IF(Tableau1[[#This Row],[HS]]*24&gt;8,8/24,Tableau1[[#This Row],[HS]]),"")</f>
        <v/>
      </c>
      <c r="O63" s="18" t="str">
        <f ca="1">IF(Tableau1[[#This Row],[HS]]*24&gt;8,Tableau1[[#This Row],[HS]]-Tableau1[[#This Row],[Dont
HS 30%]],"")</f>
        <v/>
      </c>
      <c r="P63" s="18" t="e">
        <f ca="1">Tableau1[[#This Row],[Dont
HS 30%]]*1.3</f>
        <v>#VALUE!</v>
      </c>
      <c r="Q63" s="18" t="e">
        <f ca="1">Tableau1[[#This Row],[Dont 
HS 50%]]*1.5</f>
        <v>#VALUE!</v>
      </c>
    </row>
    <row r="64" spans="2:17" x14ac:dyDescent="0.25">
      <c r="B64" s="37">
        <f>_xlfn.ISOWEEKNUM(Tableau1[[#This Row],[Date]])</f>
        <v>22</v>
      </c>
      <c r="C64" s="14">
        <f>debut+ROW()-ROW(Tableau1[[#Headers],[Date]])-1</f>
        <v>44711</v>
      </c>
      <c r="D64" s="16">
        <f>MONTH(Tableau1[[#This Row],[Date]])</f>
        <v>5</v>
      </c>
      <c r="E64" s="16">
        <f>YEAR(Tableau1[[#This Row],[Date]])</f>
        <v>2022</v>
      </c>
      <c r="F64" s="32"/>
      <c r="G64" s="32"/>
      <c r="H64" s="32"/>
      <c r="I64" s="32"/>
      <c r="J64" s="3"/>
      <c r="K64" s="18">
        <f>MOD(Tableau1[[#This Row],[Fin
apm]]-Tableau1[[#This Row],[Début
apm]],1)+MOD(Tableau1[[#This Row],[Fin
matin]]-Tableau1[[#This Row],[Début
matin]],1)</f>
        <v>0</v>
      </c>
      <c r="L64" s="18">
        <f>IFERROR(VLOOKUP(Tableau1[[#This Row],[Abs.]],Tmotif[],3,0),0)</f>
        <v>0</v>
      </c>
      <c r="M64" s="18">
        <f ca="1">IF(WEEKDAY(Tableau1[[#This Row],[Date]],2)&lt;7,0,MAX(0,SUM(OFFSET(Tableau1[[#This Row],[Heures]],-6,,7))+SUM(OFFSET(Tableau1[[#This Row],[H_Abs]],-6,,7))-_HS))</f>
        <v>0</v>
      </c>
      <c r="N64" s="18" t="str">
        <f ca="1">IF(Tableau1[[#This Row],[HS]]&gt;0,IF(Tableau1[[#This Row],[HS]]*24&gt;8,8/24,Tableau1[[#This Row],[HS]]),"")</f>
        <v/>
      </c>
      <c r="O64" s="18" t="str">
        <f ca="1">IF(Tableau1[[#This Row],[HS]]*24&gt;8,Tableau1[[#This Row],[HS]]-Tableau1[[#This Row],[Dont
HS 30%]],"")</f>
        <v/>
      </c>
      <c r="P64" s="18" t="e">
        <f ca="1">Tableau1[[#This Row],[Dont
HS 30%]]*1.3</f>
        <v>#VALUE!</v>
      </c>
      <c r="Q64" s="18" t="e">
        <f ca="1">Tableau1[[#This Row],[Dont 
HS 50%]]*1.5</f>
        <v>#VALUE!</v>
      </c>
    </row>
    <row r="65" spans="2:17" x14ac:dyDescent="0.25">
      <c r="B65" s="37">
        <f>_xlfn.ISOWEEKNUM(Tableau1[[#This Row],[Date]])</f>
        <v>22</v>
      </c>
      <c r="C65" s="14">
        <f>debut+ROW()-ROW(Tableau1[[#Headers],[Date]])-1</f>
        <v>44712</v>
      </c>
      <c r="D65" s="16">
        <f>MONTH(Tableau1[[#This Row],[Date]])</f>
        <v>5</v>
      </c>
      <c r="E65" s="16">
        <f>YEAR(Tableau1[[#This Row],[Date]])</f>
        <v>2022</v>
      </c>
      <c r="F65" s="32"/>
      <c r="G65" s="32"/>
      <c r="H65" s="32"/>
      <c r="I65" s="32"/>
      <c r="J65" s="3"/>
      <c r="K65" s="18">
        <f>MOD(Tableau1[[#This Row],[Fin
apm]]-Tableau1[[#This Row],[Début
apm]],1)+MOD(Tableau1[[#This Row],[Fin
matin]]-Tableau1[[#This Row],[Début
matin]],1)</f>
        <v>0</v>
      </c>
      <c r="L65" s="18">
        <f>IFERROR(VLOOKUP(Tableau1[[#This Row],[Abs.]],Tmotif[],3,0),0)</f>
        <v>0</v>
      </c>
      <c r="M65" s="18">
        <f ca="1">IF(WEEKDAY(Tableau1[[#This Row],[Date]],2)&lt;7,0,MAX(0,SUM(OFFSET(Tableau1[[#This Row],[Heures]],-6,,7))+SUM(OFFSET(Tableau1[[#This Row],[H_Abs]],-6,,7))-_HS))</f>
        <v>0</v>
      </c>
      <c r="N65" s="18" t="str">
        <f ca="1">IF(Tableau1[[#This Row],[HS]]&gt;0,IF(Tableau1[[#This Row],[HS]]*24&gt;8,8/24,Tableau1[[#This Row],[HS]]),"")</f>
        <v/>
      </c>
      <c r="O65" s="18" t="str">
        <f ca="1">IF(Tableau1[[#This Row],[HS]]*24&gt;8,Tableau1[[#This Row],[HS]]-Tableau1[[#This Row],[Dont
HS 30%]],"")</f>
        <v/>
      </c>
      <c r="P65" s="18" t="e">
        <f ca="1">Tableau1[[#This Row],[Dont
HS 30%]]*1.3</f>
        <v>#VALUE!</v>
      </c>
      <c r="Q65" s="18" t="e">
        <f ca="1">Tableau1[[#This Row],[Dont 
HS 50%]]*1.5</f>
        <v>#VALUE!</v>
      </c>
    </row>
    <row r="66" spans="2:17" hidden="1" x14ac:dyDescent="0.25">
      <c r="B66" s="37">
        <f>_xlfn.ISOWEEKNUM(Tableau1[[#This Row],[Date]])</f>
        <v>22</v>
      </c>
      <c r="C66" s="14">
        <f>debut+ROW()-ROW(Tableau1[[#Headers],[Date]])-1</f>
        <v>44713</v>
      </c>
      <c r="D66" s="16">
        <f>MONTH(Tableau1[[#This Row],[Date]])</f>
        <v>6</v>
      </c>
      <c r="E66" s="16">
        <f>YEAR(Tableau1[[#This Row],[Date]])</f>
        <v>2022</v>
      </c>
      <c r="F66" s="32"/>
      <c r="G66" s="32"/>
      <c r="H66" s="32"/>
      <c r="I66" s="32"/>
      <c r="J66" s="3"/>
      <c r="K66" s="18">
        <f>MOD(Tableau1[[#This Row],[Fin
apm]]-Tableau1[[#This Row],[Début
apm]],1)+MOD(Tableau1[[#This Row],[Fin
matin]]-Tableau1[[#This Row],[Début
matin]],1)</f>
        <v>0</v>
      </c>
      <c r="L66" s="18">
        <f>IFERROR(VLOOKUP(Tableau1[[#This Row],[Abs.]],Tmotif[],3,0),0)</f>
        <v>0</v>
      </c>
      <c r="M66" s="18">
        <f ca="1">IF(WEEKDAY(Tableau1[[#This Row],[Date]],2)&lt;7,0,MAX(0,SUM(OFFSET(Tableau1[[#This Row],[Heures]],-6,,7))+SUM(OFFSET(Tableau1[[#This Row],[H_Abs]],-6,,7))-_HS))</f>
        <v>0</v>
      </c>
      <c r="N66" s="18" t="str">
        <f ca="1">IF(Tableau1[[#This Row],[HS]]&gt;0,IF(Tableau1[[#This Row],[HS]]*24&gt;8,8/24,Tableau1[[#This Row],[HS]]),"")</f>
        <v/>
      </c>
      <c r="O66" s="18" t="str">
        <f ca="1">IF(Tableau1[[#This Row],[HS]]*24&gt;8,Tableau1[[#This Row],[HS]]-Tableau1[[#This Row],[Dont
HS 30%]],"")</f>
        <v/>
      </c>
      <c r="P66" s="18" t="e">
        <f ca="1">Tableau1[[#This Row],[Dont
HS 30%]]*1.3</f>
        <v>#VALUE!</v>
      </c>
      <c r="Q66" s="18" t="e">
        <f ca="1">Tableau1[[#This Row],[Dont 
HS 50%]]*1.5</f>
        <v>#VALUE!</v>
      </c>
    </row>
    <row r="67" spans="2:17" hidden="1" x14ac:dyDescent="0.25">
      <c r="B67" s="37">
        <f>_xlfn.ISOWEEKNUM(Tableau1[[#This Row],[Date]])</f>
        <v>22</v>
      </c>
      <c r="C67" s="14">
        <f>debut+ROW()-ROW(Tableau1[[#Headers],[Date]])-1</f>
        <v>44714</v>
      </c>
      <c r="D67" s="16">
        <f>MONTH(Tableau1[[#This Row],[Date]])</f>
        <v>6</v>
      </c>
      <c r="E67" s="16">
        <f>YEAR(Tableau1[[#This Row],[Date]])</f>
        <v>2022</v>
      </c>
      <c r="F67" s="32"/>
      <c r="G67" s="32"/>
      <c r="H67" s="32"/>
      <c r="I67" s="32"/>
      <c r="J67" s="3"/>
      <c r="K67" s="18">
        <f>MOD(Tableau1[[#This Row],[Fin
apm]]-Tableau1[[#This Row],[Début
apm]],1)+MOD(Tableau1[[#This Row],[Fin
matin]]-Tableau1[[#This Row],[Début
matin]],1)</f>
        <v>0</v>
      </c>
      <c r="L67" s="18">
        <f>IFERROR(VLOOKUP(Tableau1[[#This Row],[Abs.]],Tmotif[],3,0),0)</f>
        <v>0</v>
      </c>
      <c r="M67" s="18">
        <f ca="1">IF(WEEKDAY(Tableau1[[#This Row],[Date]],2)&lt;7,0,MAX(0,SUM(OFFSET(Tableau1[[#This Row],[Heures]],-6,,7))+SUM(OFFSET(Tableau1[[#This Row],[H_Abs]],-6,,7))-_HS))</f>
        <v>0</v>
      </c>
      <c r="N67" s="18" t="str">
        <f ca="1">IF(Tableau1[[#This Row],[HS]]&gt;0,IF(Tableau1[[#This Row],[HS]]*24&gt;8,8/24,Tableau1[[#This Row],[HS]]),"")</f>
        <v/>
      </c>
      <c r="O67" s="18" t="str">
        <f ca="1">IF(Tableau1[[#This Row],[HS]]*24&gt;8,Tableau1[[#This Row],[HS]]-Tableau1[[#This Row],[Dont
HS 30%]],"")</f>
        <v/>
      </c>
      <c r="P67" s="18" t="e">
        <f ca="1">Tableau1[[#This Row],[Dont
HS 30%]]*1.3</f>
        <v>#VALUE!</v>
      </c>
      <c r="Q67" s="18" t="e">
        <f ca="1">Tableau1[[#This Row],[Dont 
HS 50%]]*1.5</f>
        <v>#VALUE!</v>
      </c>
    </row>
    <row r="68" spans="2:17" hidden="1" x14ac:dyDescent="0.25">
      <c r="B68" s="37">
        <f>_xlfn.ISOWEEKNUM(Tableau1[[#This Row],[Date]])</f>
        <v>22</v>
      </c>
      <c r="C68" s="14">
        <f>debut+ROW()-ROW(Tableau1[[#Headers],[Date]])-1</f>
        <v>44715</v>
      </c>
      <c r="D68" s="16">
        <f>MONTH(Tableau1[[#This Row],[Date]])</f>
        <v>6</v>
      </c>
      <c r="E68" s="16">
        <f>YEAR(Tableau1[[#This Row],[Date]])</f>
        <v>2022</v>
      </c>
      <c r="F68" s="32"/>
      <c r="G68" s="32"/>
      <c r="H68" s="32"/>
      <c r="I68" s="32"/>
      <c r="J68" s="3"/>
      <c r="K68" s="18">
        <f>MOD(Tableau1[[#This Row],[Fin
apm]]-Tableau1[[#This Row],[Début
apm]],1)+MOD(Tableau1[[#This Row],[Fin
matin]]-Tableau1[[#This Row],[Début
matin]],1)</f>
        <v>0</v>
      </c>
      <c r="L68" s="18">
        <f>IFERROR(VLOOKUP(Tableau1[[#This Row],[Abs.]],Tmotif[],3,0),0)</f>
        <v>0</v>
      </c>
      <c r="M68" s="18">
        <f ca="1">IF(WEEKDAY(Tableau1[[#This Row],[Date]],2)&lt;7,0,MAX(0,SUM(OFFSET(Tableau1[[#This Row],[Heures]],-6,,7))+SUM(OFFSET(Tableau1[[#This Row],[H_Abs]],-6,,7))-_HS))</f>
        <v>0</v>
      </c>
      <c r="N68" s="18" t="str">
        <f ca="1">IF(Tableau1[[#This Row],[HS]]&gt;0,IF(Tableau1[[#This Row],[HS]]*24&gt;8,8/24,Tableau1[[#This Row],[HS]]),"")</f>
        <v/>
      </c>
      <c r="O68" s="18" t="str">
        <f ca="1">IF(Tableau1[[#This Row],[HS]]*24&gt;8,Tableau1[[#This Row],[HS]]-Tableau1[[#This Row],[Dont
HS 30%]],"")</f>
        <v/>
      </c>
      <c r="P68" s="18" t="e">
        <f ca="1">Tableau1[[#This Row],[Dont
HS 30%]]*1.3</f>
        <v>#VALUE!</v>
      </c>
      <c r="Q68" s="18" t="e">
        <f ca="1">Tableau1[[#This Row],[Dont 
HS 50%]]*1.5</f>
        <v>#VALUE!</v>
      </c>
    </row>
    <row r="69" spans="2:17" hidden="1" x14ac:dyDescent="0.25">
      <c r="B69" s="37">
        <f>_xlfn.ISOWEEKNUM(Tableau1[[#This Row],[Date]])</f>
        <v>22</v>
      </c>
      <c r="C69" s="14">
        <f>debut+ROW()-ROW(Tableau1[[#Headers],[Date]])-1</f>
        <v>44716</v>
      </c>
      <c r="D69" s="16">
        <f>MONTH(Tableau1[[#This Row],[Date]])</f>
        <v>6</v>
      </c>
      <c r="E69" s="16">
        <f>YEAR(Tableau1[[#This Row],[Date]])</f>
        <v>2022</v>
      </c>
      <c r="F69" s="32"/>
      <c r="G69" s="32"/>
      <c r="H69" s="32"/>
      <c r="I69" s="32"/>
      <c r="J69" s="3"/>
      <c r="K69" s="18">
        <f>MOD(Tableau1[[#This Row],[Fin
apm]]-Tableau1[[#This Row],[Début
apm]],1)+MOD(Tableau1[[#This Row],[Fin
matin]]-Tableau1[[#This Row],[Début
matin]],1)</f>
        <v>0</v>
      </c>
      <c r="L69" s="18">
        <f>IFERROR(VLOOKUP(Tableau1[[#This Row],[Abs.]],Tmotif[],3,0),0)</f>
        <v>0</v>
      </c>
      <c r="M69" s="18">
        <f ca="1">IF(WEEKDAY(Tableau1[[#This Row],[Date]],2)&lt;7,0,MAX(0,SUM(OFFSET(Tableau1[[#This Row],[Heures]],-6,,7))+SUM(OFFSET(Tableau1[[#This Row],[H_Abs]],-6,,7))-_HS))</f>
        <v>0</v>
      </c>
      <c r="N69" s="18" t="str">
        <f ca="1">IF(Tableau1[[#This Row],[HS]]&gt;0,IF(Tableau1[[#This Row],[HS]]*24&gt;8,8/24,Tableau1[[#This Row],[HS]]),"")</f>
        <v/>
      </c>
      <c r="O69" s="18" t="str">
        <f ca="1">IF(Tableau1[[#This Row],[HS]]*24&gt;8,Tableau1[[#This Row],[HS]]-Tableau1[[#This Row],[Dont
HS 30%]],"")</f>
        <v/>
      </c>
      <c r="P69" s="18" t="e">
        <f ca="1">Tableau1[[#This Row],[Dont
HS 30%]]*1.3</f>
        <v>#VALUE!</v>
      </c>
      <c r="Q69" s="18" t="e">
        <f ca="1">Tableau1[[#This Row],[Dont 
HS 50%]]*1.5</f>
        <v>#VALUE!</v>
      </c>
    </row>
    <row r="70" spans="2:17" hidden="1" x14ac:dyDescent="0.25">
      <c r="B70" s="37">
        <f>_xlfn.ISOWEEKNUM(Tableau1[[#This Row],[Date]])</f>
        <v>22</v>
      </c>
      <c r="C70" s="14">
        <f>debut+ROW()-ROW(Tableau1[[#Headers],[Date]])-1</f>
        <v>44717</v>
      </c>
      <c r="D70" s="16">
        <f>MONTH(Tableau1[[#This Row],[Date]])</f>
        <v>6</v>
      </c>
      <c r="E70" s="16">
        <f>YEAR(Tableau1[[#This Row],[Date]])</f>
        <v>2022</v>
      </c>
      <c r="F70" s="32"/>
      <c r="G70" s="32"/>
      <c r="H70" s="32"/>
      <c r="I70" s="32"/>
      <c r="J70" s="3"/>
      <c r="K70" s="18">
        <f>MOD(Tableau1[[#This Row],[Fin
apm]]-Tableau1[[#This Row],[Début
apm]],1)+MOD(Tableau1[[#This Row],[Fin
matin]]-Tableau1[[#This Row],[Début
matin]],1)</f>
        <v>0</v>
      </c>
      <c r="L70" s="18">
        <f>IFERROR(VLOOKUP(Tableau1[[#This Row],[Abs.]],Tmotif[],3,0),0)</f>
        <v>0</v>
      </c>
      <c r="M70" s="18">
        <f ca="1">IF(WEEKDAY(Tableau1[[#This Row],[Date]],2)&lt;7,0,MAX(0,SUM(OFFSET(Tableau1[[#This Row],[Heures]],-6,,7))+SUM(OFFSET(Tableau1[[#This Row],[H_Abs]],-6,,7))-_HS))</f>
        <v>0</v>
      </c>
      <c r="N70" s="18" t="str">
        <f ca="1">IF(Tableau1[[#This Row],[HS]]&gt;0,IF(Tableau1[[#This Row],[HS]]*24&gt;8,8/24,Tableau1[[#This Row],[HS]]),"")</f>
        <v/>
      </c>
      <c r="O70" s="18" t="str">
        <f ca="1">IF(Tableau1[[#This Row],[HS]]*24&gt;8,Tableau1[[#This Row],[HS]]-Tableau1[[#This Row],[Dont
HS 30%]],"")</f>
        <v/>
      </c>
      <c r="P70" s="18" t="e">
        <f ca="1">Tableau1[[#This Row],[Dont
HS 30%]]*1.3</f>
        <v>#VALUE!</v>
      </c>
      <c r="Q70" s="18" t="e">
        <f ca="1">Tableau1[[#This Row],[Dont 
HS 50%]]*1.5</f>
        <v>#VALUE!</v>
      </c>
    </row>
    <row r="71" spans="2:17" hidden="1" x14ac:dyDescent="0.25">
      <c r="B71" s="37">
        <f>_xlfn.ISOWEEKNUM(Tableau1[[#This Row],[Date]])</f>
        <v>23</v>
      </c>
      <c r="C71" s="14">
        <f>debut+ROW()-ROW(Tableau1[[#Headers],[Date]])-1</f>
        <v>44718</v>
      </c>
      <c r="D71" s="16">
        <f>MONTH(Tableau1[[#This Row],[Date]])</f>
        <v>6</v>
      </c>
      <c r="E71" s="16">
        <f>YEAR(Tableau1[[#This Row],[Date]])</f>
        <v>2022</v>
      </c>
      <c r="F71" s="32"/>
      <c r="G71" s="32"/>
      <c r="H71" s="32"/>
      <c r="I71" s="32"/>
      <c r="J71" s="3"/>
      <c r="K71" s="18">
        <f>MOD(Tableau1[[#This Row],[Fin
apm]]-Tableau1[[#This Row],[Début
apm]],1)+MOD(Tableau1[[#This Row],[Fin
matin]]-Tableau1[[#This Row],[Début
matin]],1)</f>
        <v>0</v>
      </c>
      <c r="L71" s="18">
        <f>IFERROR(VLOOKUP(Tableau1[[#This Row],[Abs.]],Tmotif[],3,0),0)</f>
        <v>0</v>
      </c>
      <c r="M71" s="18">
        <f ca="1">IF(WEEKDAY(Tableau1[[#This Row],[Date]],2)&lt;7,0,MAX(0,SUM(OFFSET(Tableau1[[#This Row],[Heures]],-6,,7))+SUM(OFFSET(Tableau1[[#This Row],[H_Abs]],-6,,7))-_HS))</f>
        <v>0</v>
      </c>
      <c r="N71" s="18" t="str">
        <f ca="1">IF(Tableau1[[#This Row],[HS]]&gt;0,IF(Tableau1[[#This Row],[HS]]*24&gt;8,8/24,Tableau1[[#This Row],[HS]]),"")</f>
        <v/>
      </c>
      <c r="O71" s="18" t="str">
        <f ca="1">IF(Tableau1[[#This Row],[HS]]*24&gt;8,Tableau1[[#This Row],[HS]]-Tableau1[[#This Row],[Dont
HS 30%]],"")</f>
        <v/>
      </c>
      <c r="P71" s="18" t="e">
        <f ca="1">Tableau1[[#This Row],[Dont
HS 30%]]*1.3</f>
        <v>#VALUE!</v>
      </c>
      <c r="Q71" s="18" t="e">
        <f ca="1">Tableau1[[#This Row],[Dont 
HS 50%]]*1.5</f>
        <v>#VALUE!</v>
      </c>
    </row>
    <row r="72" spans="2:17" hidden="1" x14ac:dyDescent="0.25">
      <c r="B72" s="37">
        <f>_xlfn.ISOWEEKNUM(Tableau1[[#This Row],[Date]])</f>
        <v>23</v>
      </c>
      <c r="C72" s="14">
        <f>debut+ROW()-ROW(Tableau1[[#Headers],[Date]])-1</f>
        <v>44719</v>
      </c>
      <c r="D72" s="16">
        <f>MONTH(Tableau1[[#This Row],[Date]])</f>
        <v>6</v>
      </c>
      <c r="E72" s="16">
        <f>YEAR(Tableau1[[#This Row],[Date]])</f>
        <v>2022</v>
      </c>
      <c r="F72" s="32"/>
      <c r="G72" s="32"/>
      <c r="H72" s="32"/>
      <c r="I72" s="32"/>
      <c r="J72" s="3"/>
      <c r="K72" s="18">
        <f>MOD(Tableau1[[#This Row],[Fin
apm]]-Tableau1[[#This Row],[Début
apm]],1)+MOD(Tableau1[[#This Row],[Fin
matin]]-Tableau1[[#This Row],[Début
matin]],1)</f>
        <v>0</v>
      </c>
      <c r="L72" s="18">
        <f>IFERROR(VLOOKUP(Tableau1[[#This Row],[Abs.]],Tmotif[],3,0),0)</f>
        <v>0</v>
      </c>
      <c r="M72" s="18">
        <f ca="1">IF(WEEKDAY(Tableau1[[#This Row],[Date]],2)&lt;7,0,MAX(0,SUM(OFFSET(Tableau1[[#This Row],[Heures]],-6,,7))+SUM(OFFSET(Tableau1[[#This Row],[H_Abs]],-6,,7))-_HS))</f>
        <v>0</v>
      </c>
      <c r="N72" s="18" t="str">
        <f ca="1">IF(Tableau1[[#This Row],[HS]]&gt;0,IF(Tableau1[[#This Row],[HS]]*24&gt;8,8/24,Tableau1[[#This Row],[HS]]),"")</f>
        <v/>
      </c>
      <c r="O72" s="18" t="str">
        <f ca="1">IF(Tableau1[[#This Row],[HS]]*24&gt;8,Tableau1[[#This Row],[HS]]-Tableau1[[#This Row],[Dont
HS 30%]],"")</f>
        <v/>
      </c>
      <c r="P72" s="18" t="e">
        <f ca="1">Tableau1[[#This Row],[Dont
HS 30%]]*1.3</f>
        <v>#VALUE!</v>
      </c>
      <c r="Q72" s="18" t="e">
        <f ca="1">Tableau1[[#This Row],[Dont 
HS 50%]]*1.5</f>
        <v>#VALUE!</v>
      </c>
    </row>
    <row r="73" spans="2:17" hidden="1" x14ac:dyDescent="0.25">
      <c r="B73" s="37">
        <f>_xlfn.ISOWEEKNUM(Tableau1[[#This Row],[Date]])</f>
        <v>23</v>
      </c>
      <c r="C73" s="14">
        <f>debut+ROW()-ROW(Tableau1[[#Headers],[Date]])-1</f>
        <v>44720</v>
      </c>
      <c r="D73" s="16">
        <f>MONTH(Tableau1[[#This Row],[Date]])</f>
        <v>6</v>
      </c>
      <c r="E73" s="16">
        <f>YEAR(Tableau1[[#This Row],[Date]])</f>
        <v>2022</v>
      </c>
      <c r="F73" s="32"/>
      <c r="G73" s="32"/>
      <c r="H73" s="32"/>
      <c r="I73" s="32"/>
      <c r="J73" s="3"/>
      <c r="K73" s="18">
        <f>MOD(Tableau1[[#This Row],[Fin
apm]]-Tableau1[[#This Row],[Début
apm]],1)+MOD(Tableau1[[#This Row],[Fin
matin]]-Tableau1[[#This Row],[Début
matin]],1)</f>
        <v>0</v>
      </c>
      <c r="L73" s="18">
        <f>IFERROR(VLOOKUP(Tableau1[[#This Row],[Abs.]],Tmotif[],3,0),0)</f>
        <v>0</v>
      </c>
      <c r="M73" s="18">
        <f ca="1">IF(WEEKDAY(Tableau1[[#This Row],[Date]],2)&lt;7,0,MAX(0,SUM(OFFSET(Tableau1[[#This Row],[Heures]],-6,,7))+SUM(OFFSET(Tableau1[[#This Row],[H_Abs]],-6,,7))-_HS))</f>
        <v>0</v>
      </c>
      <c r="N73" s="18" t="str">
        <f ca="1">IF(Tableau1[[#This Row],[HS]]&gt;0,IF(Tableau1[[#This Row],[HS]]*24&gt;8,8/24,Tableau1[[#This Row],[HS]]),"")</f>
        <v/>
      </c>
      <c r="O73" s="18" t="str">
        <f ca="1">IF(Tableau1[[#This Row],[HS]]*24&gt;8,Tableau1[[#This Row],[HS]]-Tableau1[[#This Row],[Dont
HS 30%]],"")</f>
        <v/>
      </c>
      <c r="P73" s="18" t="e">
        <f ca="1">Tableau1[[#This Row],[Dont
HS 30%]]*1.3</f>
        <v>#VALUE!</v>
      </c>
      <c r="Q73" s="18" t="e">
        <f ca="1">Tableau1[[#This Row],[Dont 
HS 50%]]*1.5</f>
        <v>#VALUE!</v>
      </c>
    </row>
    <row r="74" spans="2:17" hidden="1" x14ac:dyDescent="0.25">
      <c r="B74" s="37">
        <f>_xlfn.ISOWEEKNUM(Tableau1[[#This Row],[Date]])</f>
        <v>23</v>
      </c>
      <c r="C74" s="14">
        <f>debut+ROW()-ROW(Tableau1[[#Headers],[Date]])-1</f>
        <v>44721</v>
      </c>
      <c r="D74" s="16">
        <f>MONTH(Tableau1[[#This Row],[Date]])</f>
        <v>6</v>
      </c>
      <c r="E74" s="16">
        <f>YEAR(Tableau1[[#This Row],[Date]])</f>
        <v>2022</v>
      </c>
      <c r="F74" s="32"/>
      <c r="G74" s="32"/>
      <c r="H74" s="32"/>
      <c r="I74" s="32"/>
      <c r="J74" s="3"/>
      <c r="K74" s="18">
        <f>MOD(Tableau1[[#This Row],[Fin
apm]]-Tableau1[[#This Row],[Début
apm]],1)+MOD(Tableau1[[#This Row],[Fin
matin]]-Tableau1[[#This Row],[Début
matin]],1)</f>
        <v>0</v>
      </c>
      <c r="L74" s="18">
        <f>IFERROR(VLOOKUP(Tableau1[[#This Row],[Abs.]],Tmotif[],3,0),0)</f>
        <v>0</v>
      </c>
      <c r="M74" s="18">
        <f ca="1">IF(WEEKDAY(Tableau1[[#This Row],[Date]],2)&lt;7,0,MAX(0,SUM(OFFSET(Tableau1[[#This Row],[Heures]],-6,,7))+SUM(OFFSET(Tableau1[[#This Row],[H_Abs]],-6,,7))-_HS))</f>
        <v>0</v>
      </c>
      <c r="N74" s="18" t="str">
        <f ca="1">IF(Tableau1[[#This Row],[HS]]&gt;0,IF(Tableau1[[#This Row],[HS]]*24&gt;8,8/24,Tableau1[[#This Row],[HS]]),"")</f>
        <v/>
      </c>
      <c r="O74" s="18" t="str">
        <f ca="1">IF(Tableau1[[#This Row],[HS]]*24&gt;8,Tableau1[[#This Row],[HS]]-Tableau1[[#This Row],[Dont
HS 30%]],"")</f>
        <v/>
      </c>
      <c r="P74" s="18" t="e">
        <f ca="1">Tableau1[[#This Row],[Dont
HS 30%]]*1.3</f>
        <v>#VALUE!</v>
      </c>
      <c r="Q74" s="18" t="e">
        <f ca="1">Tableau1[[#This Row],[Dont 
HS 50%]]*1.5</f>
        <v>#VALUE!</v>
      </c>
    </row>
    <row r="75" spans="2:17" hidden="1" x14ac:dyDescent="0.25">
      <c r="B75" s="37">
        <f>_xlfn.ISOWEEKNUM(Tableau1[[#This Row],[Date]])</f>
        <v>23</v>
      </c>
      <c r="C75" s="14">
        <f>debut+ROW()-ROW(Tableau1[[#Headers],[Date]])-1</f>
        <v>44722</v>
      </c>
      <c r="D75" s="16">
        <f>MONTH(Tableau1[[#This Row],[Date]])</f>
        <v>6</v>
      </c>
      <c r="E75" s="16">
        <f>YEAR(Tableau1[[#This Row],[Date]])</f>
        <v>2022</v>
      </c>
      <c r="F75" s="32"/>
      <c r="G75" s="32"/>
      <c r="H75" s="32"/>
      <c r="I75" s="32"/>
      <c r="J75" s="3"/>
      <c r="K75" s="18">
        <f>MOD(Tableau1[[#This Row],[Fin
apm]]-Tableau1[[#This Row],[Début
apm]],1)+MOD(Tableau1[[#This Row],[Fin
matin]]-Tableau1[[#This Row],[Début
matin]],1)</f>
        <v>0</v>
      </c>
      <c r="L75" s="18">
        <f>IFERROR(VLOOKUP(Tableau1[[#This Row],[Abs.]],Tmotif[],3,0),0)</f>
        <v>0</v>
      </c>
      <c r="M75" s="18">
        <f ca="1">IF(WEEKDAY(Tableau1[[#This Row],[Date]],2)&lt;7,0,MAX(0,SUM(OFFSET(Tableau1[[#This Row],[Heures]],-6,,7))+SUM(OFFSET(Tableau1[[#This Row],[H_Abs]],-6,,7))-_HS))</f>
        <v>0</v>
      </c>
      <c r="N75" s="18" t="str">
        <f ca="1">IF(Tableau1[[#This Row],[HS]]&gt;0,IF(Tableau1[[#This Row],[HS]]*24&gt;8,8/24,Tableau1[[#This Row],[HS]]),"")</f>
        <v/>
      </c>
      <c r="O75" s="18" t="str">
        <f ca="1">IF(Tableau1[[#This Row],[HS]]*24&gt;8,Tableau1[[#This Row],[HS]]-Tableau1[[#This Row],[Dont
HS 30%]],"")</f>
        <v/>
      </c>
      <c r="P75" s="18" t="e">
        <f ca="1">Tableau1[[#This Row],[Dont
HS 30%]]*1.3</f>
        <v>#VALUE!</v>
      </c>
      <c r="Q75" s="18" t="e">
        <f ca="1">Tableau1[[#This Row],[Dont 
HS 50%]]*1.5</f>
        <v>#VALUE!</v>
      </c>
    </row>
    <row r="76" spans="2:17" hidden="1" x14ac:dyDescent="0.25">
      <c r="B76" s="37">
        <f>_xlfn.ISOWEEKNUM(Tableau1[[#This Row],[Date]])</f>
        <v>23</v>
      </c>
      <c r="C76" s="14">
        <f>debut+ROW()-ROW(Tableau1[[#Headers],[Date]])-1</f>
        <v>44723</v>
      </c>
      <c r="D76" s="16">
        <f>MONTH(Tableau1[[#This Row],[Date]])</f>
        <v>6</v>
      </c>
      <c r="E76" s="16">
        <f>YEAR(Tableau1[[#This Row],[Date]])</f>
        <v>2022</v>
      </c>
      <c r="F76" s="32"/>
      <c r="G76" s="32"/>
      <c r="H76" s="32"/>
      <c r="I76" s="32"/>
      <c r="J76" s="3"/>
      <c r="K76" s="18">
        <f>MOD(Tableau1[[#This Row],[Fin
apm]]-Tableau1[[#This Row],[Début
apm]],1)+MOD(Tableau1[[#This Row],[Fin
matin]]-Tableau1[[#This Row],[Début
matin]],1)</f>
        <v>0</v>
      </c>
      <c r="L76" s="18">
        <f>IFERROR(VLOOKUP(Tableau1[[#This Row],[Abs.]],Tmotif[],3,0),0)</f>
        <v>0</v>
      </c>
      <c r="M76" s="18">
        <f ca="1">IF(WEEKDAY(Tableau1[[#This Row],[Date]],2)&lt;7,0,MAX(0,SUM(OFFSET(Tableau1[[#This Row],[Heures]],-6,,7))+SUM(OFFSET(Tableau1[[#This Row],[H_Abs]],-6,,7))-_HS))</f>
        <v>0</v>
      </c>
      <c r="N76" s="18" t="str">
        <f ca="1">IF(Tableau1[[#This Row],[HS]]&gt;0,IF(Tableau1[[#This Row],[HS]]*24&gt;8,8/24,Tableau1[[#This Row],[HS]]),"")</f>
        <v/>
      </c>
      <c r="O76" s="18" t="str">
        <f ca="1">IF(Tableau1[[#This Row],[HS]]*24&gt;8,Tableau1[[#This Row],[HS]]-Tableau1[[#This Row],[Dont
HS 30%]],"")</f>
        <v/>
      </c>
      <c r="P76" s="18" t="e">
        <f ca="1">Tableau1[[#This Row],[Dont
HS 30%]]*1.3</f>
        <v>#VALUE!</v>
      </c>
      <c r="Q76" s="18" t="e">
        <f ca="1">Tableau1[[#This Row],[Dont 
HS 50%]]*1.5</f>
        <v>#VALUE!</v>
      </c>
    </row>
    <row r="77" spans="2:17" hidden="1" x14ac:dyDescent="0.25">
      <c r="B77" s="37">
        <f>_xlfn.ISOWEEKNUM(Tableau1[[#This Row],[Date]])</f>
        <v>23</v>
      </c>
      <c r="C77" s="14">
        <f>debut+ROW()-ROW(Tableau1[[#Headers],[Date]])-1</f>
        <v>44724</v>
      </c>
      <c r="D77" s="16">
        <f>MONTH(Tableau1[[#This Row],[Date]])</f>
        <v>6</v>
      </c>
      <c r="E77" s="16">
        <f>YEAR(Tableau1[[#This Row],[Date]])</f>
        <v>2022</v>
      </c>
      <c r="F77" s="32"/>
      <c r="G77" s="32"/>
      <c r="H77" s="32"/>
      <c r="I77" s="32"/>
      <c r="J77" s="3"/>
      <c r="K77" s="18">
        <f>MOD(Tableau1[[#This Row],[Fin
apm]]-Tableau1[[#This Row],[Début
apm]],1)+MOD(Tableau1[[#This Row],[Fin
matin]]-Tableau1[[#This Row],[Début
matin]],1)</f>
        <v>0</v>
      </c>
      <c r="L77" s="18">
        <f>IFERROR(VLOOKUP(Tableau1[[#This Row],[Abs.]],Tmotif[],3,0),0)</f>
        <v>0</v>
      </c>
      <c r="M77" s="18">
        <f ca="1">IF(WEEKDAY(Tableau1[[#This Row],[Date]],2)&lt;7,0,MAX(0,SUM(OFFSET(Tableau1[[#This Row],[Heures]],-6,,7))+SUM(OFFSET(Tableau1[[#This Row],[H_Abs]],-6,,7))-_HS))</f>
        <v>0</v>
      </c>
      <c r="N77" s="18" t="str">
        <f ca="1">IF(Tableau1[[#This Row],[HS]]&gt;0,IF(Tableau1[[#This Row],[HS]]*24&gt;8,8/24,Tableau1[[#This Row],[HS]]),"")</f>
        <v/>
      </c>
      <c r="O77" s="18" t="str">
        <f ca="1">IF(Tableau1[[#This Row],[HS]]*24&gt;8,Tableau1[[#This Row],[HS]]-Tableau1[[#This Row],[Dont
HS 30%]],"")</f>
        <v/>
      </c>
      <c r="P77" s="18" t="e">
        <f ca="1">Tableau1[[#This Row],[Dont
HS 30%]]*1.3</f>
        <v>#VALUE!</v>
      </c>
      <c r="Q77" s="18" t="e">
        <f ca="1">Tableau1[[#This Row],[Dont 
HS 50%]]*1.5</f>
        <v>#VALUE!</v>
      </c>
    </row>
    <row r="78" spans="2:17" hidden="1" x14ac:dyDescent="0.25">
      <c r="B78" s="37">
        <f>_xlfn.ISOWEEKNUM(Tableau1[[#This Row],[Date]])</f>
        <v>24</v>
      </c>
      <c r="C78" s="14">
        <f>debut+ROW()-ROW(Tableau1[[#Headers],[Date]])-1</f>
        <v>44725</v>
      </c>
      <c r="D78" s="16">
        <f>MONTH(Tableau1[[#This Row],[Date]])</f>
        <v>6</v>
      </c>
      <c r="E78" s="16">
        <f>YEAR(Tableau1[[#This Row],[Date]])</f>
        <v>2022</v>
      </c>
      <c r="F78" s="32"/>
      <c r="G78" s="32"/>
      <c r="H78" s="32"/>
      <c r="I78" s="32"/>
      <c r="J78" s="3"/>
      <c r="K78" s="18">
        <f>MOD(Tableau1[[#This Row],[Fin
apm]]-Tableau1[[#This Row],[Début
apm]],1)+MOD(Tableau1[[#This Row],[Fin
matin]]-Tableau1[[#This Row],[Début
matin]],1)</f>
        <v>0</v>
      </c>
      <c r="L78" s="18">
        <f>IFERROR(VLOOKUP(Tableau1[[#This Row],[Abs.]],Tmotif[],3,0),0)</f>
        <v>0</v>
      </c>
      <c r="M78" s="18">
        <f ca="1">IF(WEEKDAY(Tableau1[[#This Row],[Date]],2)&lt;7,0,MAX(0,SUM(OFFSET(Tableau1[[#This Row],[Heures]],-6,,7))+SUM(OFFSET(Tableau1[[#This Row],[H_Abs]],-6,,7))-_HS))</f>
        <v>0</v>
      </c>
      <c r="N78" s="18" t="str">
        <f ca="1">IF(Tableau1[[#This Row],[HS]]&gt;0,IF(Tableau1[[#This Row],[HS]]*24&gt;8,8/24,Tableau1[[#This Row],[HS]]),"")</f>
        <v/>
      </c>
      <c r="O78" s="18" t="str">
        <f ca="1">IF(Tableau1[[#This Row],[HS]]*24&gt;8,Tableau1[[#This Row],[HS]]-Tableau1[[#This Row],[Dont
HS 30%]],"")</f>
        <v/>
      </c>
      <c r="P78" s="18" t="e">
        <f ca="1">Tableau1[[#This Row],[Dont
HS 30%]]*1.3</f>
        <v>#VALUE!</v>
      </c>
      <c r="Q78" s="18" t="e">
        <f ca="1">Tableau1[[#This Row],[Dont 
HS 50%]]*1.5</f>
        <v>#VALUE!</v>
      </c>
    </row>
    <row r="79" spans="2:17" hidden="1" x14ac:dyDescent="0.25">
      <c r="B79" s="37">
        <f>_xlfn.ISOWEEKNUM(Tableau1[[#This Row],[Date]])</f>
        <v>24</v>
      </c>
      <c r="C79" s="14">
        <f>debut+ROW()-ROW(Tableau1[[#Headers],[Date]])-1</f>
        <v>44726</v>
      </c>
      <c r="D79" s="16">
        <f>MONTH(Tableau1[[#This Row],[Date]])</f>
        <v>6</v>
      </c>
      <c r="E79" s="16">
        <f>YEAR(Tableau1[[#This Row],[Date]])</f>
        <v>2022</v>
      </c>
      <c r="F79" s="32"/>
      <c r="G79" s="32"/>
      <c r="H79" s="32"/>
      <c r="I79" s="32"/>
      <c r="J79" s="3"/>
      <c r="K79" s="18">
        <f>MOD(Tableau1[[#This Row],[Fin
apm]]-Tableau1[[#This Row],[Début
apm]],1)+MOD(Tableau1[[#This Row],[Fin
matin]]-Tableau1[[#This Row],[Début
matin]],1)</f>
        <v>0</v>
      </c>
      <c r="L79" s="18">
        <f>IFERROR(VLOOKUP(Tableau1[[#This Row],[Abs.]],Tmotif[],3,0),0)</f>
        <v>0</v>
      </c>
      <c r="M79" s="18">
        <f ca="1">IF(WEEKDAY(Tableau1[[#This Row],[Date]],2)&lt;7,0,MAX(0,SUM(OFFSET(Tableau1[[#This Row],[Heures]],-6,,7))+SUM(OFFSET(Tableau1[[#This Row],[H_Abs]],-6,,7))-_HS))</f>
        <v>0</v>
      </c>
      <c r="N79" s="18" t="str">
        <f ca="1">IF(Tableau1[[#This Row],[HS]]&gt;0,IF(Tableau1[[#This Row],[HS]]*24&gt;8,8/24,Tableau1[[#This Row],[HS]]),"")</f>
        <v/>
      </c>
      <c r="O79" s="18" t="str">
        <f ca="1">IF(Tableau1[[#This Row],[HS]]*24&gt;8,Tableau1[[#This Row],[HS]]-Tableau1[[#This Row],[Dont
HS 30%]],"")</f>
        <v/>
      </c>
      <c r="P79" s="18" t="e">
        <f ca="1">Tableau1[[#This Row],[Dont
HS 30%]]*1.3</f>
        <v>#VALUE!</v>
      </c>
      <c r="Q79" s="18" t="e">
        <f ca="1">Tableau1[[#This Row],[Dont 
HS 50%]]*1.5</f>
        <v>#VALUE!</v>
      </c>
    </row>
    <row r="80" spans="2:17" hidden="1" x14ac:dyDescent="0.25">
      <c r="B80" s="37">
        <f>_xlfn.ISOWEEKNUM(Tableau1[[#This Row],[Date]])</f>
        <v>24</v>
      </c>
      <c r="C80" s="14">
        <f>debut+ROW()-ROW(Tableau1[[#Headers],[Date]])-1</f>
        <v>44727</v>
      </c>
      <c r="D80" s="16">
        <f>MONTH(Tableau1[[#This Row],[Date]])</f>
        <v>6</v>
      </c>
      <c r="E80" s="16">
        <f>YEAR(Tableau1[[#This Row],[Date]])</f>
        <v>2022</v>
      </c>
      <c r="F80" s="32"/>
      <c r="G80" s="32"/>
      <c r="H80" s="32"/>
      <c r="I80" s="32"/>
      <c r="J80" s="3"/>
      <c r="K80" s="18">
        <f>MOD(Tableau1[[#This Row],[Fin
apm]]-Tableau1[[#This Row],[Début
apm]],1)+MOD(Tableau1[[#This Row],[Fin
matin]]-Tableau1[[#This Row],[Début
matin]],1)</f>
        <v>0</v>
      </c>
      <c r="L80" s="18">
        <f>IFERROR(VLOOKUP(Tableau1[[#This Row],[Abs.]],Tmotif[],3,0),0)</f>
        <v>0</v>
      </c>
      <c r="M80" s="18">
        <f ca="1">IF(WEEKDAY(Tableau1[[#This Row],[Date]],2)&lt;7,0,MAX(0,SUM(OFFSET(Tableau1[[#This Row],[Heures]],-6,,7))+SUM(OFFSET(Tableau1[[#This Row],[H_Abs]],-6,,7))-_HS))</f>
        <v>0</v>
      </c>
      <c r="N80" s="18" t="str">
        <f ca="1">IF(Tableau1[[#This Row],[HS]]&gt;0,IF(Tableau1[[#This Row],[HS]]*24&gt;8,8/24,Tableau1[[#This Row],[HS]]),"")</f>
        <v/>
      </c>
      <c r="O80" s="18" t="str">
        <f ca="1">IF(Tableau1[[#This Row],[HS]]*24&gt;8,Tableau1[[#This Row],[HS]]-Tableau1[[#This Row],[Dont
HS 30%]],"")</f>
        <v/>
      </c>
      <c r="P80" s="18" t="e">
        <f ca="1">Tableau1[[#This Row],[Dont
HS 30%]]*1.3</f>
        <v>#VALUE!</v>
      </c>
      <c r="Q80" s="18" t="e">
        <f ca="1">Tableau1[[#This Row],[Dont 
HS 50%]]*1.5</f>
        <v>#VALUE!</v>
      </c>
    </row>
    <row r="81" spans="2:17" hidden="1" x14ac:dyDescent="0.25">
      <c r="B81" s="37">
        <f>_xlfn.ISOWEEKNUM(Tableau1[[#This Row],[Date]])</f>
        <v>24</v>
      </c>
      <c r="C81" s="14">
        <f>debut+ROW()-ROW(Tableau1[[#Headers],[Date]])-1</f>
        <v>44728</v>
      </c>
      <c r="D81" s="16">
        <f>MONTH(Tableau1[[#This Row],[Date]])</f>
        <v>6</v>
      </c>
      <c r="E81" s="16">
        <f>YEAR(Tableau1[[#This Row],[Date]])</f>
        <v>2022</v>
      </c>
      <c r="F81" s="32"/>
      <c r="G81" s="32"/>
      <c r="H81" s="32"/>
      <c r="I81" s="32"/>
      <c r="J81" s="3"/>
      <c r="K81" s="18">
        <f>MOD(Tableau1[[#This Row],[Fin
apm]]-Tableau1[[#This Row],[Début
apm]],1)+MOD(Tableau1[[#This Row],[Fin
matin]]-Tableau1[[#This Row],[Début
matin]],1)</f>
        <v>0</v>
      </c>
      <c r="L81" s="18">
        <f>IFERROR(VLOOKUP(Tableau1[[#This Row],[Abs.]],Tmotif[],3,0),0)</f>
        <v>0</v>
      </c>
      <c r="M81" s="18">
        <f ca="1">IF(WEEKDAY(Tableau1[[#This Row],[Date]],2)&lt;7,0,MAX(0,SUM(OFFSET(Tableau1[[#This Row],[Heures]],-6,,7))+SUM(OFFSET(Tableau1[[#This Row],[H_Abs]],-6,,7))-_HS))</f>
        <v>0</v>
      </c>
      <c r="N81" s="18" t="str">
        <f ca="1">IF(Tableau1[[#This Row],[HS]]&gt;0,IF(Tableau1[[#This Row],[HS]]*24&gt;8,8/24,Tableau1[[#This Row],[HS]]),"")</f>
        <v/>
      </c>
      <c r="O81" s="18" t="str">
        <f ca="1">IF(Tableau1[[#This Row],[HS]]*24&gt;8,Tableau1[[#This Row],[HS]]-Tableau1[[#This Row],[Dont
HS 30%]],"")</f>
        <v/>
      </c>
      <c r="P81" s="18" t="e">
        <f ca="1">Tableau1[[#This Row],[Dont
HS 30%]]*1.3</f>
        <v>#VALUE!</v>
      </c>
      <c r="Q81" s="18" t="e">
        <f ca="1">Tableau1[[#This Row],[Dont 
HS 50%]]*1.5</f>
        <v>#VALUE!</v>
      </c>
    </row>
    <row r="82" spans="2:17" hidden="1" x14ac:dyDescent="0.25">
      <c r="B82" s="37">
        <f>_xlfn.ISOWEEKNUM(Tableau1[[#This Row],[Date]])</f>
        <v>24</v>
      </c>
      <c r="C82" s="14">
        <f>debut+ROW()-ROW(Tableau1[[#Headers],[Date]])-1</f>
        <v>44729</v>
      </c>
      <c r="D82" s="16">
        <f>MONTH(Tableau1[[#This Row],[Date]])</f>
        <v>6</v>
      </c>
      <c r="E82" s="16">
        <f>YEAR(Tableau1[[#This Row],[Date]])</f>
        <v>2022</v>
      </c>
      <c r="F82" s="32"/>
      <c r="G82" s="32"/>
      <c r="H82" s="32"/>
      <c r="I82" s="32"/>
      <c r="J82" s="3"/>
      <c r="K82" s="18">
        <f>MOD(Tableau1[[#This Row],[Fin
apm]]-Tableau1[[#This Row],[Début
apm]],1)+MOD(Tableau1[[#This Row],[Fin
matin]]-Tableau1[[#This Row],[Début
matin]],1)</f>
        <v>0</v>
      </c>
      <c r="L82" s="18">
        <f>IFERROR(VLOOKUP(Tableau1[[#This Row],[Abs.]],Tmotif[],3,0),0)</f>
        <v>0</v>
      </c>
      <c r="M82" s="18">
        <f ca="1">IF(WEEKDAY(Tableau1[[#This Row],[Date]],2)&lt;7,0,MAX(0,SUM(OFFSET(Tableau1[[#This Row],[Heures]],-6,,7))+SUM(OFFSET(Tableau1[[#This Row],[H_Abs]],-6,,7))-_HS))</f>
        <v>0</v>
      </c>
      <c r="N82" s="18" t="str">
        <f ca="1">IF(Tableau1[[#This Row],[HS]]&gt;0,IF(Tableau1[[#This Row],[HS]]*24&gt;8,8/24,Tableau1[[#This Row],[HS]]),"")</f>
        <v/>
      </c>
      <c r="O82" s="18" t="str">
        <f ca="1">IF(Tableau1[[#This Row],[HS]]*24&gt;8,Tableau1[[#This Row],[HS]]-Tableau1[[#This Row],[Dont
HS 30%]],"")</f>
        <v/>
      </c>
      <c r="P82" s="18" t="e">
        <f ca="1">Tableau1[[#This Row],[Dont
HS 30%]]*1.3</f>
        <v>#VALUE!</v>
      </c>
      <c r="Q82" s="18" t="e">
        <f ca="1">Tableau1[[#This Row],[Dont 
HS 50%]]*1.5</f>
        <v>#VALUE!</v>
      </c>
    </row>
    <row r="83" spans="2:17" hidden="1" x14ac:dyDescent="0.25">
      <c r="B83" s="37">
        <f>_xlfn.ISOWEEKNUM(Tableau1[[#This Row],[Date]])</f>
        <v>24</v>
      </c>
      <c r="C83" s="14">
        <f>debut+ROW()-ROW(Tableau1[[#Headers],[Date]])-1</f>
        <v>44730</v>
      </c>
      <c r="D83" s="16">
        <f>MONTH(Tableau1[[#This Row],[Date]])</f>
        <v>6</v>
      </c>
      <c r="E83" s="16">
        <f>YEAR(Tableau1[[#This Row],[Date]])</f>
        <v>2022</v>
      </c>
      <c r="F83" s="32"/>
      <c r="G83" s="32"/>
      <c r="H83" s="32"/>
      <c r="I83" s="32"/>
      <c r="J83" s="3"/>
      <c r="K83" s="18">
        <f>MOD(Tableau1[[#This Row],[Fin
apm]]-Tableau1[[#This Row],[Début
apm]],1)+MOD(Tableau1[[#This Row],[Fin
matin]]-Tableau1[[#This Row],[Début
matin]],1)</f>
        <v>0</v>
      </c>
      <c r="L83" s="18">
        <f>IFERROR(VLOOKUP(Tableau1[[#This Row],[Abs.]],Tmotif[],3,0),0)</f>
        <v>0</v>
      </c>
      <c r="M83" s="18">
        <f ca="1">IF(WEEKDAY(Tableau1[[#This Row],[Date]],2)&lt;7,0,MAX(0,SUM(OFFSET(Tableau1[[#This Row],[Heures]],-6,,7))+SUM(OFFSET(Tableau1[[#This Row],[H_Abs]],-6,,7))-_HS))</f>
        <v>0</v>
      </c>
      <c r="N83" s="18" t="str">
        <f ca="1">IF(Tableau1[[#This Row],[HS]]&gt;0,IF(Tableau1[[#This Row],[HS]]*24&gt;8,8/24,Tableau1[[#This Row],[HS]]),"")</f>
        <v/>
      </c>
      <c r="O83" s="18" t="str">
        <f ca="1">IF(Tableau1[[#This Row],[HS]]*24&gt;8,Tableau1[[#This Row],[HS]]-Tableau1[[#This Row],[Dont
HS 30%]],"")</f>
        <v/>
      </c>
      <c r="P83" s="18" t="e">
        <f ca="1">Tableau1[[#This Row],[Dont
HS 30%]]*1.3</f>
        <v>#VALUE!</v>
      </c>
      <c r="Q83" s="18" t="e">
        <f ca="1">Tableau1[[#This Row],[Dont 
HS 50%]]*1.5</f>
        <v>#VALUE!</v>
      </c>
    </row>
    <row r="84" spans="2:17" hidden="1" x14ac:dyDescent="0.25">
      <c r="B84" s="37">
        <f>_xlfn.ISOWEEKNUM(Tableau1[[#This Row],[Date]])</f>
        <v>24</v>
      </c>
      <c r="C84" s="14">
        <f>debut+ROW()-ROW(Tableau1[[#Headers],[Date]])-1</f>
        <v>44731</v>
      </c>
      <c r="D84" s="16">
        <f>MONTH(Tableau1[[#This Row],[Date]])</f>
        <v>6</v>
      </c>
      <c r="E84" s="16">
        <f>YEAR(Tableau1[[#This Row],[Date]])</f>
        <v>2022</v>
      </c>
      <c r="F84" s="32"/>
      <c r="G84" s="32"/>
      <c r="H84" s="32"/>
      <c r="I84" s="32"/>
      <c r="J84" s="3"/>
      <c r="K84" s="18">
        <f>MOD(Tableau1[[#This Row],[Fin
apm]]-Tableau1[[#This Row],[Début
apm]],1)+MOD(Tableau1[[#This Row],[Fin
matin]]-Tableau1[[#This Row],[Début
matin]],1)</f>
        <v>0</v>
      </c>
      <c r="L84" s="18">
        <f>IFERROR(VLOOKUP(Tableau1[[#This Row],[Abs.]],Tmotif[],3,0),0)</f>
        <v>0</v>
      </c>
      <c r="M84" s="18">
        <f ca="1">IF(WEEKDAY(Tableau1[[#This Row],[Date]],2)&lt;7,0,MAX(0,SUM(OFFSET(Tableau1[[#This Row],[Heures]],-6,,7))+SUM(OFFSET(Tableau1[[#This Row],[H_Abs]],-6,,7))-_HS))</f>
        <v>0</v>
      </c>
      <c r="N84" s="18" t="str">
        <f ca="1">IF(Tableau1[[#This Row],[HS]]&gt;0,IF(Tableau1[[#This Row],[HS]]*24&gt;8,8/24,Tableau1[[#This Row],[HS]]),"")</f>
        <v/>
      </c>
      <c r="O84" s="18" t="str">
        <f ca="1">IF(Tableau1[[#This Row],[HS]]*24&gt;8,Tableau1[[#This Row],[HS]]-Tableau1[[#This Row],[Dont
HS 30%]],"")</f>
        <v/>
      </c>
      <c r="P84" s="18" t="e">
        <f ca="1">Tableau1[[#This Row],[Dont
HS 30%]]*1.3</f>
        <v>#VALUE!</v>
      </c>
      <c r="Q84" s="18" t="e">
        <f ca="1">Tableau1[[#This Row],[Dont 
HS 50%]]*1.5</f>
        <v>#VALUE!</v>
      </c>
    </row>
    <row r="85" spans="2:17" hidden="1" x14ac:dyDescent="0.25">
      <c r="B85" s="37">
        <f>_xlfn.ISOWEEKNUM(Tableau1[[#This Row],[Date]])</f>
        <v>25</v>
      </c>
      <c r="C85" s="14">
        <f>debut+ROW()-ROW(Tableau1[[#Headers],[Date]])-1</f>
        <v>44732</v>
      </c>
      <c r="D85" s="16">
        <f>MONTH(Tableau1[[#This Row],[Date]])</f>
        <v>6</v>
      </c>
      <c r="E85" s="16">
        <f>YEAR(Tableau1[[#This Row],[Date]])</f>
        <v>2022</v>
      </c>
      <c r="F85" s="32"/>
      <c r="G85" s="32"/>
      <c r="H85" s="32"/>
      <c r="I85" s="32"/>
      <c r="J85" s="3"/>
      <c r="K85" s="18">
        <f>MOD(Tableau1[[#This Row],[Fin
apm]]-Tableau1[[#This Row],[Début
apm]],1)+MOD(Tableau1[[#This Row],[Fin
matin]]-Tableau1[[#This Row],[Début
matin]],1)</f>
        <v>0</v>
      </c>
      <c r="L85" s="18">
        <f>IFERROR(VLOOKUP(Tableau1[[#This Row],[Abs.]],Tmotif[],3,0),0)</f>
        <v>0</v>
      </c>
      <c r="M85" s="18">
        <f ca="1">IF(WEEKDAY(Tableau1[[#This Row],[Date]],2)&lt;7,0,MAX(0,SUM(OFFSET(Tableau1[[#This Row],[Heures]],-6,,7))+SUM(OFFSET(Tableau1[[#This Row],[H_Abs]],-6,,7))-_HS))</f>
        <v>0</v>
      </c>
      <c r="N85" s="18" t="str">
        <f ca="1">IF(Tableau1[[#This Row],[HS]]&gt;0,IF(Tableau1[[#This Row],[HS]]*24&gt;8,8/24,Tableau1[[#This Row],[HS]]),"")</f>
        <v/>
      </c>
      <c r="O85" s="18" t="str">
        <f ca="1">IF(Tableau1[[#This Row],[HS]]*24&gt;8,Tableau1[[#This Row],[HS]]-Tableau1[[#This Row],[Dont
HS 30%]],"")</f>
        <v/>
      </c>
      <c r="P85" s="18" t="e">
        <f ca="1">Tableau1[[#This Row],[Dont
HS 30%]]*1.3</f>
        <v>#VALUE!</v>
      </c>
      <c r="Q85" s="18" t="e">
        <f ca="1">Tableau1[[#This Row],[Dont 
HS 50%]]*1.5</f>
        <v>#VALUE!</v>
      </c>
    </row>
    <row r="86" spans="2:17" hidden="1" x14ac:dyDescent="0.25">
      <c r="B86" s="37">
        <f>_xlfn.ISOWEEKNUM(Tableau1[[#This Row],[Date]])</f>
        <v>25</v>
      </c>
      <c r="C86" s="14">
        <f>debut+ROW()-ROW(Tableau1[[#Headers],[Date]])-1</f>
        <v>44733</v>
      </c>
      <c r="D86" s="16">
        <f>MONTH(Tableau1[[#This Row],[Date]])</f>
        <v>6</v>
      </c>
      <c r="E86" s="16">
        <f>YEAR(Tableau1[[#This Row],[Date]])</f>
        <v>2022</v>
      </c>
      <c r="F86" s="32"/>
      <c r="G86" s="32"/>
      <c r="H86" s="32"/>
      <c r="I86" s="32"/>
      <c r="J86" s="3"/>
      <c r="K86" s="18">
        <f>MOD(Tableau1[[#This Row],[Fin
apm]]-Tableau1[[#This Row],[Début
apm]],1)+MOD(Tableau1[[#This Row],[Fin
matin]]-Tableau1[[#This Row],[Début
matin]],1)</f>
        <v>0</v>
      </c>
      <c r="L86" s="18">
        <f>IFERROR(VLOOKUP(Tableau1[[#This Row],[Abs.]],Tmotif[],3,0),0)</f>
        <v>0</v>
      </c>
      <c r="M86" s="18">
        <f ca="1">IF(WEEKDAY(Tableau1[[#This Row],[Date]],2)&lt;7,0,MAX(0,SUM(OFFSET(Tableau1[[#This Row],[Heures]],-6,,7))+SUM(OFFSET(Tableau1[[#This Row],[H_Abs]],-6,,7))-_HS))</f>
        <v>0</v>
      </c>
      <c r="N86" s="18" t="str">
        <f ca="1">IF(Tableau1[[#This Row],[HS]]&gt;0,IF(Tableau1[[#This Row],[HS]]*24&gt;8,8/24,Tableau1[[#This Row],[HS]]),"")</f>
        <v/>
      </c>
      <c r="O86" s="18" t="str">
        <f ca="1">IF(Tableau1[[#This Row],[HS]]*24&gt;8,Tableau1[[#This Row],[HS]]-Tableau1[[#This Row],[Dont
HS 30%]],"")</f>
        <v/>
      </c>
      <c r="P86" s="18" t="e">
        <f ca="1">Tableau1[[#This Row],[Dont
HS 30%]]*1.3</f>
        <v>#VALUE!</v>
      </c>
      <c r="Q86" s="18" t="e">
        <f ca="1">Tableau1[[#This Row],[Dont 
HS 50%]]*1.5</f>
        <v>#VALUE!</v>
      </c>
    </row>
    <row r="87" spans="2:17" hidden="1" x14ac:dyDescent="0.25">
      <c r="B87" s="37">
        <f>_xlfn.ISOWEEKNUM(Tableau1[[#This Row],[Date]])</f>
        <v>25</v>
      </c>
      <c r="C87" s="14">
        <f>debut+ROW()-ROW(Tableau1[[#Headers],[Date]])-1</f>
        <v>44734</v>
      </c>
      <c r="D87" s="16">
        <f>MONTH(Tableau1[[#This Row],[Date]])</f>
        <v>6</v>
      </c>
      <c r="E87" s="16">
        <f>YEAR(Tableau1[[#This Row],[Date]])</f>
        <v>2022</v>
      </c>
      <c r="F87" s="32"/>
      <c r="G87" s="32"/>
      <c r="H87" s="32"/>
      <c r="I87" s="32"/>
      <c r="J87" s="3"/>
      <c r="K87" s="18">
        <f>MOD(Tableau1[[#This Row],[Fin
apm]]-Tableau1[[#This Row],[Début
apm]],1)+MOD(Tableau1[[#This Row],[Fin
matin]]-Tableau1[[#This Row],[Début
matin]],1)</f>
        <v>0</v>
      </c>
      <c r="L87" s="18">
        <f>IFERROR(VLOOKUP(Tableau1[[#This Row],[Abs.]],Tmotif[],3,0),0)</f>
        <v>0</v>
      </c>
      <c r="M87" s="18">
        <f ca="1">IF(WEEKDAY(Tableau1[[#This Row],[Date]],2)&lt;7,0,MAX(0,SUM(OFFSET(Tableau1[[#This Row],[Heures]],-6,,7))+SUM(OFFSET(Tableau1[[#This Row],[H_Abs]],-6,,7))-_HS))</f>
        <v>0</v>
      </c>
      <c r="N87" s="18" t="str">
        <f ca="1">IF(Tableau1[[#This Row],[HS]]&gt;0,IF(Tableau1[[#This Row],[HS]]*24&gt;8,8/24,Tableau1[[#This Row],[HS]]),"")</f>
        <v/>
      </c>
      <c r="O87" s="18" t="str">
        <f ca="1">IF(Tableau1[[#This Row],[HS]]*24&gt;8,Tableau1[[#This Row],[HS]]-Tableau1[[#This Row],[Dont
HS 30%]],"")</f>
        <v/>
      </c>
      <c r="P87" s="18" t="e">
        <f ca="1">Tableau1[[#This Row],[Dont
HS 30%]]*1.3</f>
        <v>#VALUE!</v>
      </c>
      <c r="Q87" s="18" t="e">
        <f ca="1">Tableau1[[#This Row],[Dont 
HS 50%]]*1.5</f>
        <v>#VALUE!</v>
      </c>
    </row>
    <row r="88" spans="2:17" hidden="1" x14ac:dyDescent="0.25">
      <c r="B88" s="37">
        <f>_xlfn.ISOWEEKNUM(Tableau1[[#This Row],[Date]])</f>
        <v>25</v>
      </c>
      <c r="C88" s="14">
        <f>debut+ROW()-ROW(Tableau1[[#Headers],[Date]])-1</f>
        <v>44735</v>
      </c>
      <c r="D88" s="16">
        <f>MONTH(Tableau1[[#This Row],[Date]])</f>
        <v>6</v>
      </c>
      <c r="E88" s="16">
        <f>YEAR(Tableau1[[#This Row],[Date]])</f>
        <v>2022</v>
      </c>
      <c r="F88" s="32"/>
      <c r="G88" s="32"/>
      <c r="H88" s="32"/>
      <c r="I88" s="32"/>
      <c r="J88" s="3"/>
      <c r="K88" s="18">
        <f>MOD(Tableau1[[#This Row],[Fin
apm]]-Tableau1[[#This Row],[Début
apm]],1)+MOD(Tableau1[[#This Row],[Fin
matin]]-Tableau1[[#This Row],[Début
matin]],1)</f>
        <v>0</v>
      </c>
      <c r="L88" s="18">
        <f>IFERROR(VLOOKUP(Tableau1[[#This Row],[Abs.]],Tmotif[],3,0),0)</f>
        <v>0</v>
      </c>
      <c r="M88" s="18">
        <f ca="1">IF(WEEKDAY(Tableau1[[#This Row],[Date]],2)&lt;7,0,MAX(0,SUM(OFFSET(Tableau1[[#This Row],[Heures]],-6,,7))+SUM(OFFSET(Tableau1[[#This Row],[H_Abs]],-6,,7))-_HS))</f>
        <v>0</v>
      </c>
      <c r="N88" s="18" t="str">
        <f ca="1">IF(Tableau1[[#This Row],[HS]]&gt;0,IF(Tableau1[[#This Row],[HS]]*24&gt;8,8/24,Tableau1[[#This Row],[HS]]),"")</f>
        <v/>
      </c>
      <c r="O88" s="18" t="str">
        <f ca="1">IF(Tableau1[[#This Row],[HS]]*24&gt;8,Tableau1[[#This Row],[HS]]-Tableau1[[#This Row],[Dont
HS 30%]],"")</f>
        <v/>
      </c>
      <c r="P88" s="18" t="e">
        <f ca="1">Tableau1[[#This Row],[Dont
HS 30%]]*1.3</f>
        <v>#VALUE!</v>
      </c>
      <c r="Q88" s="18" t="e">
        <f ca="1">Tableau1[[#This Row],[Dont 
HS 50%]]*1.5</f>
        <v>#VALUE!</v>
      </c>
    </row>
    <row r="89" spans="2:17" hidden="1" x14ac:dyDescent="0.25">
      <c r="B89" s="37">
        <f>_xlfn.ISOWEEKNUM(Tableau1[[#This Row],[Date]])</f>
        <v>25</v>
      </c>
      <c r="C89" s="14">
        <f>debut+ROW()-ROW(Tableau1[[#Headers],[Date]])-1</f>
        <v>44736</v>
      </c>
      <c r="D89" s="16">
        <f>MONTH(Tableau1[[#This Row],[Date]])</f>
        <v>6</v>
      </c>
      <c r="E89" s="16">
        <f>YEAR(Tableau1[[#This Row],[Date]])</f>
        <v>2022</v>
      </c>
      <c r="F89" s="32"/>
      <c r="G89" s="32"/>
      <c r="H89" s="32"/>
      <c r="I89" s="32"/>
      <c r="J89" s="3"/>
      <c r="K89" s="18">
        <f>MOD(Tableau1[[#This Row],[Fin
apm]]-Tableau1[[#This Row],[Début
apm]],1)+MOD(Tableau1[[#This Row],[Fin
matin]]-Tableau1[[#This Row],[Début
matin]],1)</f>
        <v>0</v>
      </c>
      <c r="L89" s="18">
        <f>IFERROR(VLOOKUP(Tableau1[[#This Row],[Abs.]],Tmotif[],3,0),0)</f>
        <v>0</v>
      </c>
      <c r="M89" s="18">
        <f ca="1">IF(WEEKDAY(Tableau1[[#This Row],[Date]],2)&lt;7,0,MAX(0,SUM(OFFSET(Tableau1[[#This Row],[Heures]],-6,,7))+SUM(OFFSET(Tableau1[[#This Row],[H_Abs]],-6,,7))-_HS))</f>
        <v>0</v>
      </c>
      <c r="N89" s="18" t="str">
        <f ca="1">IF(Tableau1[[#This Row],[HS]]&gt;0,IF(Tableau1[[#This Row],[HS]]*24&gt;8,8/24,Tableau1[[#This Row],[HS]]),"")</f>
        <v/>
      </c>
      <c r="O89" s="18" t="str">
        <f ca="1">IF(Tableau1[[#This Row],[HS]]*24&gt;8,Tableau1[[#This Row],[HS]]-Tableau1[[#This Row],[Dont
HS 30%]],"")</f>
        <v/>
      </c>
      <c r="P89" s="18" t="e">
        <f ca="1">Tableau1[[#This Row],[Dont
HS 30%]]*1.3</f>
        <v>#VALUE!</v>
      </c>
      <c r="Q89" s="18" t="e">
        <f ca="1">Tableau1[[#This Row],[Dont 
HS 50%]]*1.5</f>
        <v>#VALUE!</v>
      </c>
    </row>
    <row r="90" spans="2:17" hidden="1" x14ac:dyDescent="0.25">
      <c r="B90" s="37">
        <f>_xlfn.ISOWEEKNUM(Tableau1[[#This Row],[Date]])</f>
        <v>25</v>
      </c>
      <c r="C90" s="14">
        <f>debut+ROW()-ROW(Tableau1[[#Headers],[Date]])-1</f>
        <v>44737</v>
      </c>
      <c r="D90" s="16">
        <f>MONTH(Tableau1[[#This Row],[Date]])</f>
        <v>6</v>
      </c>
      <c r="E90" s="16">
        <f>YEAR(Tableau1[[#This Row],[Date]])</f>
        <v>2022</v>
      </c>
      <c r="F90" s="32"/>
      <c r="G90" s="32"/>
      <c r="H90" s="32"/>
      <c r="I90" s="32"/>
      <c r="J90" s="3"/>
      <c r="K90" s="18">
        <f>MOD(Tableau1[[#This Row],[Fin
apm]]-Tableau1[[#This Row],[Début
apm]],1)+MOD(Tableau1[[#This Row],[Fin
matin]]-Tableau1[[#This Row],[Début
matin]],1)</f>
        <v>0</v>
      </c>
      <c r="L90" s="18">
        <f>IFERROR(VLOOKUP(Tableau1[[#This Row],[Abs.]],Tmotif[],3,0),0)</f>
        <v>0</v>
      </c>
      <c r="M90" s="18">
        <f ca="1">IF(WEEKDAY(Tableau1[[#This Row],[Date]],2)&lt;7,0,MAX(0,SUM(OFFSET(Tableau1[[#This Row],[Heures]],-6,,7))+SUM(OFFSET(Tableau1[[#This Row],[H_Abs]],-6,,7))-_HS))</f>
        <v>0</v>
      </c>
      <c r="N90" s="18" t="str">
        <f ca="1">IF(Tableau1[[#This Row],[HS]]&gt;0,IF(Tableau1[[#This Row],[HS]]*24&gt;8,8/24,Tableau1[[#This Row],[HS]]),"")</f>
        <v/>
      </c>
      <c r="O90" s="18" t="str">
        <f ca="1">IF(Tableau1[[#This Row],[HS]]*24&gt;8,Tableau1[[#This Row],[HS]]-Tableau1[[#This Row],[Dont
HS 30%]],"")</f>
        <v/>
      </c>
      <c r="P90" s="18" t="e">
        <f ca="1">Tableau1[[#This Row],[Dont
HS 30%]]*1.3</f>
        <v>#VALUE!</v>
      </c>
      <c r="Q90" s="18" t="e">
        <f ca="1">Tableau1[[#This Row],[Dont 
HS 50%]]*1.5</f>
        <v>#VALUE!</v>
      </c>
    </row>
    <row r="91" spans="2:17" hidden="1" x14ac:dyDescent="0.25">
      <c r="B91" s="37">
        <f>_xlfn.ISOWEEKNUM(Tableau1[[#This Row],[Date]])</f>
        <v>25</v>
      </c>
      <c r="C91" s="14">
        <f>debut+ROW()-ROW(Tableau1[[#Headers],[Date]])-1</f>
        <v>44738</v>
      </c>
      <c r="D91" s="16">
        <f>MONTH(Tableau1[[#This Row],[Date]])</f>
        <v>6</v>
      </c>
      <c r="E91" s="16">
        <f>YEAR(Tableau1[[#This Row],[Date]])</f>
        <v>2022</v>
      </c>
      <c r="F91" s="32"/>
      <c r="G91" s="32"/>
      <c r="H91" s="32"/>
      <c r="I91" s="32"/>
      <c r="J91" s="3"/>
      <c r="K91" s="18">
        <f>MOD(Tableau1[[#This Row],[Fin
apm]]-Tableau1[[#This Row],[Début
apm]],1)+MOD(Tableau1[[#This Row],[Fin
matin]]-Tableau1[[#This Row],[Début
matin]],1)</f>
        <v>0</v>
      </c>
      <c r="L91" s="18">
        <f>IFERROR(VLOOKUP(Tableau1[[#This Row],[Abs.]],Tmotif[],3,0),0)</f>
        <v>0</v>
      </c>
      <c r="M91" s="18">
        <f ca="1">IF(WEEKDAY(Tableau1[[#This Row],[Date]],2)&lt;7,0,MAX(0,SUM(OFFSET(Tableau1[[#This Row],[Heures]],-6,,7))+SUM(OFFSET(Tableau1[[#This Row],[H_Abs]],-6,,7))-_HS))</f>
        <v>0</v>
      </c>
      <c r="N91" s="18" t="str">
        <f ca="1">IF(Tableau1[[#This Row],[HS]]&gt;0,IF(Tableau1[[#This Row],[HS]]*24&gt;8,8/24,Tableau1[[#This Row],[HS]]),"")</f>
        <v/>
      </c>
      <c r="O91" s="18" t="str">
        <f ca="1">IF(Tableau1[[#This Row],[HS]]*24&gt;8,Tableau1[[#This Row],[HS]]-Tableau1[[#This Row],[Dont
HS 30%]],"")</f>
        <v/>
      </c>
      <c r="P91" s="18" t="e">
        <f ca="1">Tableau1[[#This Row],[Dont
HS 30%]]*1.3</f>
        <v>#VALUE!</v>
      </c>
      <c r="Q91" s="18" t="e">
        <f ca="1">Tableau1[[#This Row],[Dont 
HS 50%]]*1.5</f>
        <v>#VALUE!</v>
      </c>
    </row>
    <row r="92" spans="2:17" hidden="1" x14ac:dyDescent="0.25">
      <c r="B92" s="37">
        <f>_xlfn.ISOWEEKNUM(Tableau1[[#This Row],[Date]])</f>
        <v>26</v>
      </c>
      <c r="C92" s="14">
        <f>debut+ROW()-ROW(Tableau1[[#Headers],[Date]])-1</f>
        <v>44739</v>
      </c>
      <c r="D92" s="16">
        <f>MONTH(Tableau1[[#This Row],[Date]])</f>
        <v>6</v>
      </c>
      <c r="E92" s="16">
        <f>YEAR(Tableau1[[#This Row],[Date]])</f>
        <v>2022</v>
      </c>
      <c r="F92" s="32"/>
      <c r="G92" s="32"/>
      <c r="H92" s="32"/>
      <c r="I92" s="32"/>
      <c r="J92" s="3"/>
      <c r="K92" s="18">
        <f>MOD(Tableau1[[#This Row],[Fin
apm]]-Tableau1[[#This Row],[Début
apm]],1)+MOD(Tableau1[[#This Row],[Fin
matin]]-Tableau1[[#This Row],[Début
matin]],1)</f>
        <v>0</v>
      </c>
      <c r="L92" s="18">
        <f>IFERROR(VLOOKUP(Tableau1[[#This Row],[Abs.]],Tmotif[],3,0),0)</f>
        <v>0</v>
      </c>
      <c r="M92" s="18">
        <f ca="1">IF(WEEKDAY(Tableau1[[#This Row],[Date]],2)&lt;7,0,MAX(0,SUM(OFFSET(Tableau1[[#This Row],[Heures]],-6,,7))+SUM(OFFSET(Tableau1[[#This Row],[H_Abs]],-6,,7))-_HS))</f>
        <v>0</v>
      </c>
      <c r="N92" s="18" t="str">
        <f ca="1">IF(Tableau1[[#This Row],[HS]]&gt;0,IF(Tableau1[[#This Row],[HS]]*24&gt;8,8/24,Tableau1[[#This Row],[HS]]),"")</f>
        <v/>
      </c>
      <c r="O92" s="18" t="str">
        <f ca="1">IF(Tableau1[[#This Row],[HS]]*24&gt;8,Tableau1[[#This Row],[HS]]-Tableau1[[#This Row],[Dont
HS 30%]],"")</f>
        <v/>
      </c>
      <c r="P92" s="18" t="e">
        <f ca="1">Tableau1[[#This Row],[Dont
HS 30%]]*1.3</f>
        <v>#VALUE!</v>
      </c>
      <c r="Q92" s="18" t="e">
        <f ca="1">Tableau1[[#This Row],[Dont 
HS 50%]]*1.5</f>
        <v>#VALUE!</v>
      </c>
    </row>
    <row r="93" spans="2:17" hidden="1" x14ac:dyDescent="0.25">
      <c r="B93" s="37">
        <f>_xlfn.ISOWEEKNUM(Tableau1[[#This Row],[Date]])</f>
        <v>26</v>
      </c>
      <c r="C93" s="14">
        <f>debut+ROW()-ROW(Tableau1[[#Headers],[Date]])-1</f>
        <v>44740</v>
      </c>
      <c r="D93" s="16">
        <f>MONTH(Tableau1[[#This Row],[Date]])</f>
        <v>6</v>
      </c>
      <c r="E93" s="16">
        <f>YEAR(Tableau1[[#This Row],[Date]])</f>
        <v>2022</v>
      </c>
      <c r="F93" s="32"/>
      <c r="G93" s="32"/>
      <c r="H93" s="32"/>
      <c r="I93" s="32"/>
      <c r="J93" s="3"/>
      <c r="K93" s="18">
        <f>MOD(Tableau1[[#This Row],[Fin
apm]]-Tableau1[[#This Row],[Début
apm]],1)+MOD(Tableau1[[#This Row],[Fin
matin]]-Tableau1[[#This Row],[Début
matin]],1)</f>
        <v>0</v>
      </c>
      <c r="L93" s="18">
        <f>IFERROR(VLOOKUP(Tableau1[[#This Row],[Abs.]],Tmotif[],3,0),0)</f>
        <v>0</v>
      </c>
      <c r="M93" s="18">
        <f ca="1">IF(WEEKDAY(Tableau1[[#This Row],[Date]],2)&lt;7,0,MAX(0,SUM(OFFSET(Tableau1[[#This Row],[Heures]],-6,,7))+SUM(OFFSET(Tableau1[[#This Row],[H_Abs]],-6,,7))-_HS))</f>
        <v>0</v>
      </c>
      <c r="N93" s="18" t="str">
        <f ca="1">IF(Tableau1[[#This Row],[HS]]&gt;0,IF(Tableau1[[#This Row],[HS]]*24&gt;8,8/24,Tableau1[[#This Row],[HS]]),"")</f>
        <v/>
      </c>
      <c r="O93" s="18" t="str">
        <f ca="1">IF(Tableau1[[#This Row],[HS]]*24&gt;8,Tableau1[[#This Row],[HS]]-Tableau1[[#This Row],[Dont
HS 30%]],"")</f>
        <v/>
      </c>
      <c r="P93" s="18" t="e">
        <f ca="1">Tableau1[[#This Row],[Dont
HS 30%]]*1.3</f>
        <v>#VALUE!</v>
      </c>
      <c r="Q93" s="18" t="e">
        <f ca="1">Tableau1[[#This Row],[Dont 
HS 50%]]*1.5</f>
        <v>#VALUE!</v>
      </c>
    </row>
    <row r="94" spans="2:17" hidden="1" x14ac:dyDescent="0.25">
      <c r="B94" s="37">
        <f>_xlfn.ISOWEEKNUM(Tableau1[[#This Row],[Date]])</f>
        <v>26</v>
      </c>
      <c r="C94" s="14">
        <f>debut+ROW()-ROW(Tableau1[[#Headers],[Date]])-1</f>
        <v>44741</v>
      </c>
      <c r="D94" s="16">
        <f>MONTH(Tableau1[[#This Row],[Date]])</f>
        <v>6</v>
      </c>
      <c r="E94" s="16">
        <f>YEAR(Tableau1[[#This Row],[Date]])</f>
        <v>2022</v>
      </c>
      <c r="F94" s="32"/>
      <c r="G94" s="32"/>
      <c r="H94" s="32"/>
      <c r="I94" s="32"/>
      <c r="J94" s="3"/>
      <c r="K94" s="18">
        <f>MOD(Tableau1[[#This Row],[Fin
apm]]-Tableau1[[#This Row],[Début
apm]],1)+MOD(Tableau1[[#This Row],[Fin
matin]]-Tableau1[[#This Row],[Début
matin]],1)</f>
        <v>0</v>
      </c>
      <c r="L94" s="18">
        <f>IFERROR(VLOOKUP(Tableau1[[#This Row],[Abs.]],Tmotif[],3,0),0)</f>
        <v>0</v>
      </c>
      <c r="M94" s="18">
        <f ca="1">IF(WEEKDAY(Tableau1[[#This Row],[Date]],2)&lt;7,0,MAX(0,SUM(OFFSET(Tableau1[[#This Row],[Heures]],-6,,7))+SUM(OFFSET(Tableau1[[#This Row],[H_Abs]],-6,,7))-_HS))</f>
        <v>0</v>
      </c>
      <c r="N94" s="18" t="str">
        <f ca="1">IF(Tableau1[[#This Row],[HS]]&gt;0,IF(Tableau1[[#This Row],[HS]]*24&gt;8,8/24,Tableau1[[#This Row],[HS]]),"")</f>
        <v/>
      </c>
      <c r="O94" s="18" t="str">
        <f ca="1">IF(Tableau1[[#This Row],[HS]]*24&gt;8,Tableau1[[#This Row],[HS]]-Tableau1[[#This Row],[Dont
HS 30%]],"")</f>
        <v/>
      </c>
      <c r="P94" s="18" t="e">
        <f ca="1">Tableau1[[#This Row],[Dont
HS 30%]]*1.3</f>
        <v>#VALUE!</v>
      </c>
      <c r="Q94" s="18" t="e">
        <f ca="1">Tableau1[[#This Row],[Dont 
HS 50%]]*1.5</f>
        <v>#VALUE!</v>
      </c>
    </row>
    <row r="95" spans="2:17" hidden="1" x14ac:dyDescent="0.25">
      <c r="B95" s="37">
        <f>_xlfn.ISOWEEKNUM(Tableau1[[#This Row],[Date]])</f>
        <v>26</v>
      </c>
      <c r="C95" s="14">
        <f>debut+ROW()-ROW(Tableau1[[#Headers],[Date]])-1</f>
        <v>44742</v>
      </c>
      <c r="D95" s="16">
        <f>MONTH(Tableau1[[#This Row],[Date]])</f>
        <v>6</v>
      </c>
      <c r="E95" s="16">
        <f>YEAR(Tableau1[[#This Row],[Date]])</f>
        <v>2022</v>
      </c>
      <c r="F95" s="32"/>
      <c r="G95" s="32"/>
      <c r="H95" s="32"/>
      <c r="I95" s="32"/>
      <c r="J95" s="3"/>
      <c r="K95" s="18">
        <f>MOD(Tableau1[[#This Row],[Fin
apm]]-Tableau1[[#This Row],[Début
apm]],1)+MOD(Tableau1[[#This Row],[Fin
matin]]-Tableau1[[#This Row],[Début
matin]],1)</f>
        <v>0</v>
      </c>
      <c r="L95" s="18">
        <f>IFERROR(VLOOKUP(Tableau1[[#This Row],[Abs.]],Tmotif[],3,0),0)</f>
        <v>0</v>
      </c>
      <c r="M95" s="18">
        <f ca="1">IF(WEEKDAY(Tableau1[[#This Row],[Date]],2)&lt;7,0,MAX(0,SUM(OFFSET(Tableau1[[#This Row],[Heures]],-6,,7))+SUM(OFFSET(Tableau1[[#This Row],[H_Abs]],-6,,7))-_HS))</f>
        <v>0</v>
      </c>
      <c r="N95" s="18" t="str">
        <f ca="1">IF(Tableau1[[#This Row],[HS]]&gt;0,IF(Tableau1[[#This Row],[HS]]*24&gt;8,8/24,Tableau1[[#This Row],[HS]]),"")</f>
        <v/>
      </c>
      <c r="O95" s="18" t="str">
        <f ca="1">IF(Tableau1[[#This Row],[HS]]*24&gt;8,Tableau1[[#This Row],[HS]]-Tableau1[[#This Row],[Dont
HS 30%]],"")</f>
        <v/>
      </c>
      <c r="P95" s="18" t="e">
        <f ca="1">Tableau1[[#This Row],[Dont
HS 30%]]*1.3</f>
        <v>#VALUE!</v>
      </c>
      <c r="Q95" s="18" t="e">
        <f ca="1">Tableau1[[#This Row],[Dont 
HS 50%]]*1.5</f>
        <v>#VALUE!</v>
      </c>
    </row>
    <row r="96" spans="2:17" hidden="1" x14ac:dyDescent="0.25">
      <c r="B96" s="37">
        <f>_xlfn.ISOWEEKNUM(Tableau1[[#This Row],[Date]])</f>
        <v>26</v>
      </c>
      <c r="C96" s="14">
        <f>debut+ROW()-ROW(Tableau1[[#Headers],[Date]])-1</f>
        <v>44743</v>
      </c>
      <c r="D96" s="16">
        <f>MONTH(Tableau1[[#This Row],[Date]])</f>
        <v>7</v>
      </c>
      <c r="E96" s="16">
        <f>YEAR(Tableau1[[#This Row],[Date]])</f>
        <v>2022</v>
      </c>
      <c r="F96" s="32"/>
      <c r="G96" s="32"/>
      <c r="H96" s="32"/>
      <c r="I96" s="32"/>
      <c r="J96" s="3"/>
      <c r="K96" s="18">
        <f>MOD(Tableau1[[#This Row],[Fin
apm]]-Tableau1[[#This Row],[Début
apm]],1)+MOD(Tableau1[[#This Row],[Fin
matin]]-Tableau1[[#This Row],[Début
matin]],1)</f>
        <v>0</v>
      </c>
      <c r="L96" s="18">
        <f>IFERROR(VLOOKUP(Tableau1[[#This Row],[Abs.]],Tmotif[],3,0),0)</f>
        <v>0</v>
      </c>
      <c r="M96" s="18">
        <f ca="1">IF(WEEKDAY(Tableau1[[#This Row],[Date]],2)&lt;7,0,MAX(0,SUM(OFFSET(Tableau1[[#This Row],[Heures]],-6,,7))+SUM(OFFSET(Tableau1[[#This Row],[H_Abs]],-6,,7))-_HS))</f>
        <v>0</v>
      </c>
      <c r="N96" s="18" t="str">
        <f ca="1">IF(Tableau1[[#This Row],[HS]]&gt;0,IF(Tableau1[[#This Row],[HS]]*24&gt;8,8/24,Tableau1[[#This Row],[HS]]),"")</f>
        <v/>
      </c>
      <c r="O96" s="18" t="str">
        <f ca="1">IF(Tableau1[[#This Row],[HS]]*24&gt;8,Tableau1[[#This Row],[HS]]-Tableau1[[#This Row],[Dont
HS 30%]],"")</f>
        <v/>
      </c>
      <c r="P96" s="18" t="e">
        <f ca="1">Tableau1[[#This Row],[Dont
HS 30%]]*1.3</f>
        <v>#VALUE!</v>
      </c>
      <c r="Q96" s="18" t="e">
        <f ca="1">Tableau1[[#This Row],[Dont 
HS 50%]]*1.5</f>
        <v>#VALUE!</v>
      </c>
    </row>
    <row r="97" spans="2:17" hidden="1" x14ac:dyDescent="0.25">
      <c r="B97" s="37">
        <f>_xlfn.ISOWEEKNUM(Tableau1[[#This Row],[Date]])</f>
        <v>26</v>
      </c>
      <c r="C97" s="14">
        <f>debut+ROW()-ROW(Tableau1[[#Headers],[Date]])-1</f>
        <v>44744</v>
      </c>
      <c r="D97" s="16">
        <f>MONTH(Tableau1[[#This Row],[Date]])</f>
        <v>7</v>
      </c>
      <c r="E97" s="16">
        <f>YEAR(Tableau1[[#This Row],[Date]])</f>
        <v>2022</v>
      </c>
      <c r="F97" s="32"/>
      <c r="G97" s="32"/>
      <c r="H97" s="32"/>
      <c r="I97" s="32"/>
      <c r="J97" s="3"/>
      <c r="K97" s="18">
        <f>MOD(Tableau1[[#This Row],[Fin
apm]]-Tableau1[[#This Row],[Début
apm]],1)+MOD(Tableau1[[#This Row],[Fin
matin]]-Tableau1[[#This Row],[Début
matin]],1)</f>
        <v>0</v>
      </c>
      <c r="L97" s="18">
        <f>IFERROR(VLOOKUP(Tableau1[[#This Row],[Abs.]],Tmotif[],3,0),0)</f>
        <v>0</v>
      </c>
      <c r="M97" s="18">
        <f ca="1">IF(WEEKDAY(Tableau1[[#This Row],[Date]],2)&lt;7,0,MAX(0,SUM(OFFSET(Tableau1[[#This Row],[Heures]],-6,,7))+SUM(OFFSET(Tableau1[[#This Row],[H_Abs]],-6,,7))-_HS))</f>
        <v>0</v>
      </c>
      <c r="N97" s="18" t="str">
        <f ca="1">IF(Tableau1[[#This Row],[HS]]&gt;0,IF(Tableau1[[#This Row],[HS]]*24&gt;8,8/24,Tableau1[[#This Row],[HS]]),"")</f>
        <v/>
      </c>
      <c r="O97" s="18" t="str">
        <f ca="1">IF(Tableau1[[#This Row],[HS]]*24&gt;8,Tableau1[[#This Row],[HS]]-Tableau1[[#This Row],[Dont
HS 30%]],"")</f>
        <v/>
      </c>
      <c r="P97" s="18" t="e">
        <f ca="1">Tableau1[[#This Row],[Dont
HS 30%]]*1.3</f>
        <v>#VALUE!</v>
      </c>
      <c r="Q97" s="18" t="e">
        <f ca="1">Tableau1[[#This Row],[Dont 
HS 50%]]*1.5</f>
        <v>#VALUE!</v>
      </c>
    </row>
    <row r="98" spans="2:17" hidden="1" x14ac:dyDescent="0.25">
      <c r="B98" s="37">
        <f>_xlfn.ISOWEEKNUM(Tableau1[[#This Row],[Date]])</f>
        <v>26</v>
      </c>
      <c r="C98" s="14">
        <f>debut+ROW()-ROW(Tableau1[[#Headers],[Date]])-1</f>
        <v>44745</v>
      </c>
      <c r="D98" s="16">
        <f>MONTH(Tableau1[[#This Row],[Date]])</f>
        <v>7</v>
      </c>
      <c r="E98" s="16">
        <f>YEAR(Tableau1[[#This Row],[Date]])</f>
        <v>2022</v>
      </c>
      <c r="F98" s="32"/>
      <c r="G98" s="32"/>
      <c r="H98" s="32"/>
      <c r="I98" s="32"/>
      <c r="J98" s="3"/>
      <c r="K98" s="18">
        <f>MOD(Tableau1[[#This Row],[Fin
apm]]-Tableau1[[#This Row],[Début
apm]],1)+MOD(Tableau1[[#This Row],[Fin
matin]]-Tableau1[[#This Row],[Début
matin]],1)</f>
        <v>0</v>
      </c>
      <c r="L98" s="18">
        <f>IFERROR(VLOOKUP(Tableau1[[#This Row],[Abs.]],Tmotif[],3,0),0)</f>
        <v>0</v>
      </c>
      <c r="M98" s="18">
        <f ca="1">IF(WEEKDAY(Tableau1[[#This Row],[Date]],2)&lt;7,0,MAX(0,SUM(OFFSET(Tableau1[[#This Row],[Heures]],-6,,7))+SUM(OFFSET(Tableau1[[#This Row],[H_Abs]],-6,,7))-_HS))</f>
        <v>0</v>
      </c>
      <c r="N98" s="18" t="str">
        <f ca="1">IF(Tableau1[[#This Row],[HS]]&gt;0,IF(Tableau1[[#This Row],[HS]]*24&gt;8,8/24,Tableau1[[#This Row],[HS]]),"")</f>
        <v/>
      </c>
      <c r="O98" s="18" t="str">
        <f ca="1">IF(Tableau1[[#This Row],[HS]]*24&gt;8,Tableau1[[#This Row],[HS]]-Tableau1[[#This Row],[Dont
HS 30%]],"")</f>
        <v/>
      </c>
      <c r="P98" s="18" t="e">
        <f ca="1">Tableau1[[#This Row],[Dont
HS 30%]]*1.3</f>
        <v>#VALUE!</v>
      </c>
      <c r="Q98" s="18" t="e">
        <f ca="1">Tableau1[[#This Row],[Dont 
HS 50%]]*1.5</f>
        <v>#VALUE!</v>
      </c>
    </row>
    <row r="99" spans="2:17" hidden="1" x14ac:dyDescent="0.25">
      <c r="B99" s="37">
        <f>_xlfn.ISOWEEKNUM(Tableau1[[#This Row],[Date]])</f>
        <v>27</v>
      </c>
      <c r="C99" s="14">
        <f>debut+ROW()-ROW(Tableau1[[#Headers],[Date]])-1</f>
        <v>44746</v>
      </c>
      <c r="D99" s="16">
        <f>MONTH(Tableau1[[#This Row],[Date]])</f>
        <v>7</v>
      </c>
      <c r="E99" s="16">
        <f>YEAR(Tableau1[[#This Row],[Date]])</f>
        <v>2022</v>
      </c>
      <c r="F99" s="32"/>
      <c r="G99" s="32"/>
      <c r="H99" s="32"/>
      <c r="I99" s="32"/>
      <c r="J99" s="3"/>
      <c r="K99" s="18">
        <f>MOD(Tableau1[[#This Row],[Fin
apm]]-Tableau1[[#This Row],[Début
apm]],1)+MOD(Tableau1[[#This Row],[Fin
matin]]-Tableau1[[#This Row],[Début
matin]],1)</f>
        <v>0</v>
      </c>
      <c r="L99" s="18">
        <f>IFERROR(VLOOKUP(Tableau1[[#This Row],[Abs.]],Tmotif[],3,0),0)</f>
        <v>0</v>
      </c>
      <c r="M99" s="18">
        <f ca="1">IF(WEEKDAY(Tableau1[[#This Row],[Date]],2)&lt;7,0,MAX(0,SUM(OFFSET(Tableau1[[#This Row],[Heures]],-6,,7))+SUM(OFFSET(Tableau1[[#This Row],[H_Abs]],-6,,7))-_HS))</f>
        <v>0</v>
      </c>
      <c r="N99" s="18" t="str">
        <f ca="1">IF(Tableau1[[#This Row],[HS]]&gt;0,IF(Tableau1[[#This Row],[HS]]*24&gt;8,8/24,Tableau1[[#This Row],[HS]]),"")</f>
        <v/>
      </c>
      <c r="O99" s="18" t="str">
        <f ca="1">IF(Tableau1[[#This Row],[HS]]*24&gt;8,Tableau1[[#This Row],[HS]]-Tableau1[[#This Row],[Dont
HS 30%]],"")</f>
        <v/>
      </c>
      <c r="P99" s="18" t="e">
        <f ca="1">Tableau1[[#This Row],[Dont
HS 30%]]*1.3</f>
        <v>#VALUE!</v>
      </c>
      <c r="Q99" s="18" t="e">
        <f ca="1">Tableau1[[#This Row],[Dont 
HS 50%]]*1.5</f>
        <v>#VALUE!</v>
      </c>
    </row>
    <row r="100" spans="2:17" hidden="1" x14ac:dyDescent="0.25">
      <c r="B100" s="37">
        <f>_xlfn.ISOWEEKNUM(Tableau1[[#This Row],[Date]])</f>
        <v>27</v>
      </c>
      <c r="C100" s="14">
        <f>debut+ROW()-ROW(Tableau1[[#Headers],[Date]])-1</f>
        <v>44747</v>
      </c>
      <c r="D100" s="16">
        <f>MONTH(Tableau1[[#This Row],[Date]])</f>
        <v>7</v>
      </c>
      <c r="E100" s="16">
        <f>YEAR(Tableau1[[#This Row],[Date]])</f>
        <v>2022</v>
      </c>
      <c r="F100" s="32"/>
      <c r="G100" s="32"/>
      <c r="H100" s="32"/>
      <c r="I100" s="32"/>
      <c r="J100" s="3"/>
      <c r="K100" s="18">
        <f>MOD(Tableau1[[#This Row],[Fin
apm]]-Tableau1[[#This Row],[Début
apm]],1)+MOD(Tableau1[[#This Row],[Fin
matin]]-Tableau1[[#This Row],[Début
matin]],1)</f>
        <v>0</v>
      </c>
      <c r="L100" s="18">
        <f>IFERROR(VLOOKUP(Tableau1[[#This Row],[Abs.]],Tmotif[],3,0),0)</f>
        <v>0</v>
      </c>
      <c r="M100" s="18">
        <f ca="1">IF(WEEKDAY(Tableau1[[#This Row],[Date]],2)&lt;7,0,MAX(0,SUM(OFFSET(Tableau1[[#This Row],[Heures]],-6,,7))+SUM(OFFSET(Tableau1[[#This Row],[H_Abs]],-6,,7))-_HS))</f>
        <v>0</v>
      </c>
      <c r="N100" s="18" t="str">
        <f ca="1">IF(Tableau1[[#This Row],[HS]]&gt;0,IF(Tableau1[[#This Row],[HS]]*24&gt;8,8/24,Tableau1[[#This Row],[HS]]),"")</f>
        <v/>
      </c>
      <c r="O100" s="18" t="str">
        <f ca="1">IF(Tableau1[[#This Row],[HS]]*24&gt;8,Tableau1[[#This Row],[HS]]-Tableau1[[#This Row],[Dont
HS 30%]],"")</f>
        <v/>
      </c>
      <c r="P100" s="18" t="e">
        <f ca="1">Tableau1[[#This Row],[Dont
HS 30%]]*1.3</f>
        <v>#VALUE!</v>
      </c>
      <c r="Q100" s="18" t="e">
        <f ca="1">Tableau1[[#This Row],[Dont 
HS 50%]]*1.5</f>
        <v>#VALUE!</v>
      </c>
    </row>
    <row r="101" spans="2:17" hidden="1" x14ac:dyDescent="0.25">
      <c r="B101" s="37">
        <f>_xlfn.ISOWEEKNUM(Tableau1[[#This Row],[Date]])</f>
        <v>27</v>
      </c>
      <c r="C101" s="14">
        <f>debut+ROW()-ROW(Tableau1[[#Headers],[Date]])-1</f>
        <v>44748</v>
      </c>
      <c r="D101" s="16">
        <f>MONTH(Tableau1[[#This Row],[Date]])</f>
        <v>7</v>
      </c>
      <c r="E101" s="16">
        <f>YEAR(Tableau1[[#This Row],[Date]])</f>
        <v>2022</v>
      </c>
      <c r="F101" s="32"/>
      <c r="G101" s="32"/>
      <c r="H101" s="32"/>
      <c r="I101" s="32"/>
      <c r="J101" s="3"/>
      <c r="K101" s="18">
        <f>MOD(Tableau1[[#This Row],[Fin
apm]]-Tableau1[[#This Row],[Début
apm]],1)+MOD(Tableau1[[#This Row],[Fin
matin]]-Tableau1[[#This Row],[Début
matin]],1)</f>
        <v>0</v>
      </c>
      <c r="L101" s="18">
        <f>IFERROR(VLOOKUP(Tableau1[[#This Row],[Abs.]],Tmotif[],3,0),0)</f>
        <v>0</v>
      </c>
      <c r="M101" s="18">
        <f ca="1">IF(WEEKDAY(Tableau1[[#This Row],[Date]],2)&lt;7,0,MAX(0,SUM(OFFSET(Tableau1[[#This Row],[Heures]],-6,,7))+SUM(OFFSET(Tableau1[[#This Row],[H_Abs]],-6,,7))-_HS))</f>
        <v>0</v>
      </c>
      <c r="N101" s="18" t="str">
        <f ca="1">IF(Tableau1[[#This Row],[HS]]&gt;0,IF(Tableau1[[#This Row],[HS]]*24&gt;8,8/24,Tableau1[[#This Row],[HS]]),"")</f>
        <v/>
      </c>
      <c r="O101" s="18" t="str">
        <f ca="1">IF(Tableau1[[#This Row],[HS]]*24&gt;8,Tableau1[[#This Row],[HS]]-Tableau1[[#This Row],[Dont
HS 30%]],"")</f>
        <v/>
      </c>
      <c r="P101" s="18" t="e">
        <f ca="1">Tableau1[[#This Row],[Dont
HS 30%]]*1.3</f>
        <v>#VALUE!</v>
      </c>
      <c r="Q101" s="18" t="e">
        <f ca="1">Tableau1[[#This Row],[Dont 
HS 50%]]*1.5</f>
        <v>#VALUE!</v>
      </c>
    </row>
    <row r="102" spans="2:17" hidden="1" x14ac:dyDescent="0.25">
      <c r="B102" s="37">
        <f>_xlfn.ISOWEEKNUM(Tableau1[[#This Row],[Date]])</f>
        <v>27</v>
      </c>
      <c r="C102" s="14">
        <f>debut+ROW()-ROW(Tableau1[[#Headers],[Date]])-1</f>
        <v>44749</v>
      </c>
      <c r="D102" s="16">
        <f>MONTH(Tableau1[[#This Row],[Date]])</f>
        <v>7</v>
      </c>
      <c r="E102" s="16">
        <f>YEAR(Tableau1[[#This Row],[Date]])</f>
        <v>2022</v>
      </c>
      <c r="F102" s="32"/>
      <c r="G102" s="32"/>
      <c r="H102" s="32"/>
      <c r="I102" s="32"/>
      <c r="J102" s="3"/>
      <c r="K102" s="18">
        <f>MOD(Tableau1[[#This Row],[Fin
apm]]-Tableau1[[#This Row],[Début
apm]],1)+MOD(Tableau1[[#This Row],[Fin
matin]]-Tableau1[[#This Row],[Début
matin]],1)</f>
        <v>0</v>
      </c>
      <c r="L102" s="18">
        <f>IFERROR(VLOOKUP(Tableau1[[#This Row],[Abs.]],Tmotif[],3,0),0)</f>
        <v>0</v>
      </c>
      <c r="M102" s="18">
        <f ca="1">IF(WEEKDAY(Tableau1[[#This Row],[Date]],2)&lt;7,0,MAX(0,SUM(OFFSET(Tableau1[[#This Row],[Heures]],-6,,7))+SUM(OFFSET(Tableau1[[#This Row],[H_Abs]],-6,,7))-_HS))</f>
        <v>0</v>
      </c>
      <c r="N102" s="18" t="str">
        <f ca="1">IF(Tableau1[[#This Row],[HS]]&gt;0,IF(Tableau1[[#This Row],[HS]]*24&gt;8,8/24,Tableau1[[#This Row],[HS]]),"")</f>
        <v/>
      </c>
      <c r="O102" s="18" t="str">
        <f ca="1">IF(Tableau1[[#This Row],[HS]]*24&gt;8,Tableau1[[#This Row],[HS]]-Tableau1[[#This Row],[Dont
HS 30%]],"")</f>
        <v/>
      </c>
      <c r="P102" s="18" t="e">
        <f ca="1">Tableau1[[#This Row],[Dont
HS 30%]]*1.3</f>
        <v>#VALUE!</v>
      </c>
      <c r="Q102" s="18" t="e">
        <f ca="1">Tableau1[[#This Row],[Dont 
HS 50%]]*1.5</f>
        <v>#VALUE!</v>
      </c>
    </row>
    <row r="103" spans="2:17" hidden="1" x14ac:dyDescent="0.25">
      <c r="B103" s="37">
        <f>_xlfn.ISOWEEKNUM(Tableau1[[#This Row],[Date]])</f>
        <v>27</v>
      </c>
      <c r="C103" s="14">
        <f>debut+ROW()-ROW(Tableau1[[#Headers],[Date]])-1</f>
        <v>44750</v>
      </c>
      <c r="D103" s="16">
        <f>MONTH(Tableau1[[#This Row],[Date]])</f>
        <v>7</v>
      </c>
      <c r="E103" s="16">
        <f>YEAR(Tableau1[[#This Row],[Date]])</f>
        <v>2022</v>
      </c>
      <c r="F103" s="32"/>
      <c r="G103" s="32"/>
      <c r="H103" s="32"/>
      <c r="I103" s="32"/>
      <c r="J103" s="3"/>
      <c r="K103" s="18">
        <f>MOD(Tableau1[[#This Row],[Fin
apm]]-Tableau1[[#This Row],[Début
apm]],1)+MOD(Tableau1[[#This Row],[Fin
matin]]-Tableau1[[#This Row],[Début
matin]],1)</f>
        <v>0</v>
      </c>
      <c r="L103" s="18">
        <f>IFERROR(VLOOKUP(Tableau1[[#This Row],[Abs.]],Tmotif[],3,0),0)</f>
        <v>0</v>
      </c>
      <c r="M103" s="18">
        <f ca="1">IF(WEEKDAY(Tableau1[[#This Row],[Date]],2)&lt;7,0,MAX(0,SUM(OFFSET(Tableau1[[#This Row],[Heures]],-6,,7))+SUM(OFFSET(Tableau1[[#This Row],[H_Abs]],-6,,7))-_HS))</f>
        <v>0</v>
      </c>
      <c r="N103" s="18" t="str">
        <f ca="1">IF(Tableau1[[#This Row],[HS]]&gt;0,IF(Tableau1[[#This Row],[HS]]*24&gt;8,8/24,Tableau1[[#This Row],[HS]]),"")</f>
        <v/>
      </c>
      <c r="O103" s="18" t="str">
        <f ca="1">IF(Tableau1[[#This Row],[HS]]*24&gt;8,Tableau1[[#This Row],[HS]]-Tableau1[[#This Row],[Dont
HS 30%]],"")</f>
        <v/>
      </c>
      <c r="P103" s="18" t="e">
        <f ca="1">Tableau1[[#This Row],[Dont
HS 30%]]*1.3</f>
        <v>#VALUE!</v>
      </c>
      <c r="Q103" s="18" t="e">
        <f ca="1">Tableau1[[#This Row],[Dont 
HS 50%]]*1.5</f>
        <v>#VALUE!</v>
      </c>
    </row>
    <row r="104" spans="2:17" hidden="1" x14ac:dyDescent="0.25">
      <c r="B104" s="37">
        <f>_xlfn.ISOWEEKNUM(Tableau1[[#This Row],[Date]])</f>
        <v>27</v>
      </c>
      <c r="C104" s="14">
        <f>debut+ROW()-ROW(Tableau1[[#Headers],[Date]])-1</f>
        <v>44751</v>
      </c>
      <c r="D104" s="16">
        <f>MONTH(Tableau1[[#This Row],[Date]])</f>
        <v>7</v>
      </c>
      <c r="E104" s="16">
        <f>YEAR(Tableau1[[#This Row],[Date]])</f>
        <v>2022</v>
      </c>
      <c r="F104" s="32"/>
      <c r="G104" s="32"/>
      <c r="H104" s="32"/>
      <c r="I104" s="32"/>
      <c r="J104" s="3"/>
      <c r="K104" s="18">
        <f>MOD(Tableau1[[#This Row],[Fin
apm]]-Tableau1[[#This Row],[Début
apm]],1)+MOD(Tableau1[[#This Row],[Fin
matin]]-Tableau1[[#This Row],[Début
matin]],1)</f>
        <v>0</v>
      </c>
      <c r="L104" s="18">
        <f>IFERROR(VLOOKUP(Tableau1[[#This Row],[Abs.]],Tmotif[],3,0),0)</f>
        <v>0</v>
      </c>
      <c r="M104" s="18">
        <f ca="1">IF(WEEKDAY(Tableau1[[#This Row],[Date]],2)&lt;7,0,MAX(0,SUM(OFFSET(Tableau1[[#This Row],[Heures]],-6,,7))+SUM(OFFSET(Tableau1[[#This Row],[H_Abs]],-6,,7))-_HS))</f>
        <v>0</v>
      </c>
      <c r="N104" s="18" t="str">
        <f ca="1">IF(Tableau1[[#This Row],[HS]]&gt;0,IF(Tableau1[[#This Row],[HS]]*24&gt;8,8/24,Tableau1[[#This Row],[HS]]),"")</f>
        <v/>
      </c>
      <c r="O104" s="18" t="str">
        <f ca="1">IF(Tableau1[[#This Row],[HS]]*24&gt;8,Tableau1[[#This Row],[HS]]-Tableau1[[#This Row],[Dont
HS 30%]],"")</f>
        <v/>
      </c>
      <c r="P104" s="18" t="e">
        <f ca="1">Tableau1[[#This Row],[Dont
HS 30%]]*1.3</f>
        <v>#VALUE!</v>
      </c>
      <c r="Q104" s="18" t="e">
        <f ca="1">Tableau1[[#This Row],[Dont 
HS 50%]]*1.5</f>
        <v>#VALUE!</v>
      </c>
    </row>
    <row r="105" spans="2:17" hidden="1" x14ac:dyDescent="0.25">
      <c r="B105" s="37">
        <f>_xlfn.ISOWEEKNUM(Tableau1[[#This Row],[Date]])</f>
        <v>27</v>
      </c>
      <c r="C105" s="14">
        <f>debut+ROW()-ROW(Tableau1[[#Headers],[Date]])-1</f>
        <v>44752</v>
      </c>
      <c r="D105" s="16">
        <f>MONTH(Tableau1[[#This Row],[Date]])</f>
        <v>7</v>
      </c>
      <c r="E105" s="16">
        <f>YEAR(Tableau1[[#This Row],[Date]])</f>
        <v>2022</v>
      </c>
      <c r="F105" s="32"/>
      <c r="G105" s="32"/>
      <c r="H105" s="32"/>
      <c r="I105" s="32"/>
      <c r="J105" s="3"/>
      <c r="K105" s="18">
        <f>MOD(Tableau1[[#This Row],[Fin
apm]]-Tableau1[[#This Row],[Début
apm]],1)+MOD(Tableau1[[#This Row],[Fin
matin]]-Tableau1[[#This Row],[Début
matin]],1)</f>
        <v>0</v>
      </c>
      <c r="L105" s="18">
        <f>IFERROR(VLOOKUP(Tableau1[[#This Row],[Abs.]],Tmotif[],3,0),0)</f>
        <v>0</v>
      </c>
      <c r="M105" s="18">
        <f ca="1">IF(WEEKDAY(Tableau1[[#This Row],[Date]],2)&lt;7,0,MAX(0,SUM(OFFSET(Tableau1[[#This Row],[Heures]],-6,,7))+SUM(OFFSET(Tableau1[[#This Row],[H_Abs]],-6,,7))-_HS))</f>
        <v>0</v>
      </c>
      <c r="N105" s="18" t="str">
        <f ca="1">IF(Tableau1[[#This Row],[HS]]&gt;0,IF(Tableau1[[#This Row],[HS]]*24&gt;8,8/24,Tableau1[[#This Row],[HS]]),"")</f>
        <v/>
      </c>
      <c r="O105" s="18" t="str">
        <f ca="1">IF(Tableau1[[#This Row],[HS]]*24&gt;8,Tableau1[[#This Row],[HS]]-Tableau1[[#This Row],[Dont
HS 30%]],"")</f>
        <v/>
      </c>
      <c r="P105" s="18" t="e">
        <f ca="1">Tableau1[[#This Row],[Dont
HS 30%]]*1.3</f>
        <v>#VALUE!</v>
      </c>
      <c r="Q105" s="18" t="e">
        <f ca="1">Tableau1[[#This Row],[Dont 
HS 50%]]*1.5</f>
        <v>#VALUE!</v>
      </c>
    </row>
    <row r="106" spans="2:17" hidden="1" x14ac:dyDescent="0.25">
      <c r="B106" s="37">
        <f>_xlfn.ISOWEEKNUM(Tableau1[[#This Row],[Date]])</f>
        <v>28</v>
      </c>
      <c r="C106" s="14">
        <f>debut+ROW()-ROW(Tableau1[[#Headers],[Date]])-1</f>
        <v>44753</v>
      </c>
      <c r="D106" s="16">
        <f>MONTH(Tableau1[[#This Row],[Date]])</f>
        <v>7</v>
      </c>
      <c r="E106" s="16">
        <f>YEAR(Tableau1[[#This Row],[Date]])</f>
        <v>2022</v>
      </c>
      <c r="F106" s="32"/>
      <c r="G106" s="32"/>
      <c r="H106" s="32"/>
      <c r="I106" s="32"/>
      <c r="J106" s="3"/>
      <c r="K106" s="18">
        <f>MOD(Tableau1[[#This Row],[Fin
apm]]-Tableau1[[#This Row],[Début
apm]],1)+MOD(Tableau1[[#This Row],[Fin
matin]]-Tableau1[[#This Row],[Début
matin]],1)</f>
        <v>0</v>
      </c>
      <c r="L106" s="18">
        <f>IFERROR(VLOOKUP(Tableau1[[#This Row],[Abs.]],Tmotif[],3,0),0)</f>
        <v>0</v>
      </c>
      <c r="M106" s="18">
        <f ca="1">IF(WEEKDAY(Tableau1[[#This Row],[Date]],2)&lt;7,0,MAX(0,SUM(OFFSET(Tableau1[[#This Row],[Heures]],-6,,7))+SUM(OFFSET(Tableau1[[#This Row],[H_Abs]],-6,,7))-_HS))</f>
        <v>0</v>
      </c>
      <c r="N106" s="18" t="str">
        <f ca="1">IF(Tableau1[[#This Row],[HS]]&gt;0,IF(Tableau1[[#This Row],[HS]]*24&gt;8,8/24,Tableau1[[#This Row],[HS]]),"")</f>
        <v/>
      </c>
      <c r="O106" s="18" t="str">
        <f ca="1">IF(Tableau1[[#This Row],[HS]]*24&gt;8,Tableau1[[#This Row],[HS]]-Tableau1[[#This Row],[Dont
HS 30%]],"")</f>
        <v/>
      </c>
      <c r="P106" s="18" t="e">
        <f ca="1">Tableau1[[#This Row],[Dont
HS 30%]]*1.3</f>
        <v>#VALUE!</v>
      </c>
      <c r="Q106" s="18" t="e">
        <f ca="1">Tableau1[[#This Row],[Dont 
HS 50%]]*1.5</f>
        <v>#VALUE!</v>
      </c>
    </row>
    <row r="107" spans="2:17" hidden="1" x14ac:dyDescent="0.25">
      <c r="B107" s="37">
        <f>_xlfn.ISOWEEKNUM(Tableau1[[#This Row],[Date]])</f>
        <v>28</v>
      </c>
      <c r="C107" s="14">
        <f>debut+ROW()-ROW(Tableau1[[#Headers],[Date]])-1</f>
        <v>44754</v>
      </c>
      <c r="D107" s="16">
        <f>MONTH(Tableau1[[#This Row],[Date]])</f>
        <v>7</v>
      </c>
      <c r="E107" s="16">
        <f>YEAR(Tableau1[[#This Row],[Date]])</f>
        <v>2022</v>
      </c>
      <c r="F107" s="32"/>
      <c r="G107" s="32"/>
      <c r="H107" s="32"/>
      <c r="I107" s="32"/>
      <c r="J107" s="3"/>
      <c r="K107" s="18">
        <f>MOD(Tableau1[[#This Row],[Fin
apm]]-Tableau1[[#This Row],[Début
apm]],1)+MOD(Tableau1[[#This Row],[Fin
matin]]-Tableau1[[#This Row],[Début
matin]],1)</f>
        <v>0</v>
      </c>
      <c r="L107" s="18">
        <f>IFERROR(VLOOKUP(Tableau1[[#This Row],[Abs.]],Tmotif[],3,0),0)</f>
        <v>0</v>
      </c>
      <c r="M107" s="18">
        <f ca="1">IF(WEEKDAY(Tableau1[[#This Row],[Date]],2)&lt;7,0,MAX(0,SUM(OFFSET(Tableau1[[#This Row],[Heures]],-6,,7))+SUM(OFFSET(Tableau1[[#This Row],[H_Abs]],-6,,7))-_HS))</f>
        <v>0</v>
      </c>
      <c r="N107" s="18" t="str">
        <f ca="1">IF(Tableau1[[#This Row],[HS]]&gt;0,IF(Tableau1[[#This Row],[HS]]*24&gt;8,8/24,Tableau1[[#This Row],[HS]]),"")</f>
        <v/>
      </c>
      <c r="O107" s="18" t="str">
        <f ca="1">IF(Tableau1[[#This Row],[HS]]*24&gt;8,Tableau1[[#This Row],[HS]]-Tableau1[[#This Row],[Dont
HS 30%]],"")</f>
        <v/>
      </c>
      <c r="P107" s="18" t="e">
        <f ca="1">Tableau1[[#This Row],[Dont
HS 30%]]*1.3</f>
        <v>#VALUE!</v>
      </c>
      <c r="Q107" s="18" t="e">
        <f ca="1">Tableau1[[#This Row],[Dont 
HS 50%]]*1.5</f>
        <v>#VALUE!</v>
      </c>
    </row>
    <row r="108" spans="2:17" hidden="1" x14ac:dyDescent="0.25">
      <c r="B108" s="37">
        <f>_xlfn.ISOWEEKNUM(Tableau1[[#This Row],[Date]])</f>
        <v>28</v>
      </c>
      <c r="C108" s="14">
        <f>debut+ROW()-ROW(Tableau1[[#Headers],[Date]])-1</f>
        <v>44755</v>
      </c>
      <c r="D108" s="16">
        <f>MONTH(Tableau1[[#This Row],[Date]])</f>
        <v>7</v>
      </c>
      <c r="E108" s="16">
        <f>YEAR(Tableau1[[#This Row],[Date]])</f>
        <v>2022</v>
      </c>
      <c r="F108" s="32"/>
      <c r="G108" s="32"/>
      <c r="H108" s="32"/>
      <c r="I108" s="32"/>
      <c r="J108" s="3"/>
      <c r="K108" s="18">
        <f>MOD(Tableau1[[#This Row],[Fin
apm]]-Tableau1[[#This Row],[Début
apm]],1)+MOD(Tableau1[[#This Row],[Fin
matin]]-Tableau1[[#This Row],[Début
matin]],1)</f>
        <v>0</v>
      </c>
      <c r="L108" s="18">
        <f>IFERROR(VLOOKUP(Tableau1[[#This Row],[Abs.]],Tmotif[],3,0),0)</f>
        <v>0</v>
      </c>
      <c r="M108" s="18">
        <f ca="1">IF(WEEKDAY(Tableau1[[#This Row],[Date]],2)&lt;7,0,MAX(0,SUM(OFFSET(Tableau1[[#This Row],[Heures]],-6,,7))+SUM(OFFSET(Tableau1[[#This Row],[H_Abs]],-6,,7))-_HS))</f>
        <v>0</v>
      </c>
      <c r="N108" s="18" t="str">
        <f ca="1">IF(Tableau1[[#This Row],[HS]]&gt;0,IF(Tableau1[[#This Row],[HS]]*24&gt;8,8/24,Tableau1[[#This Row],[HS]]),"")</f>
        <v/>
      </c>
      <c r="O108" s="18" t="str">
        <f ca="1">IF(Tableau1[[#This Row],[HS]]*24&gt;8,Tableau1[[#This Row],[HS]]-Tableau1[[#This Row],[Dont
HS 30%]],"")</f>
        <v/>
      </c>
      <c r="P108" s="18" t="e">
        <f ca="1">Tableau1[[#This Row],[Dont
HS 30%]]*1.3</f>
        <v>#VALUE!</v>
      </c>
      <c r="Q108" s="18" t="e">
        <f ca="1">Tableau1[[#This Row],[Dont 
HS 50%]]*1.5</f>
        <v>#VALUE!</v>
      </c>
    </row>
    <row r="109" spans="2:17" hidden="1" x14ac:dyDescent="0.25">
      <c r="B109" s="37">
        <f>_xlfn.ISOWEEKNUM(Tableau1[[#This Row],[Date]])</f>
        <v>28</v>
      </c>
      <c r="C109" s="14">
        <f>debut+ROW()-ROW(Tableau1[[#Headers],[Date]])-1</f>
        <v>44756</v>
      </c>
      <c r="D109" s="16">
        <f>MONTH(Tableau1[[#This Row],[Date]])</f>
        <v>7</v>
      </c>
      <c r="E109" s="16">
        <f>YEAR(Tableau1[[#This Row],[Date]])</f>
        <v>2022</v>
      </c>
      <c r="F109" s="32"/>
      <c r="G109" s="32"/>
      <c r="H109" s="32"/>
      <c r="I109" s="32"/>
      <c r="J109" s="3"/>
      <c r="K109" s="18">
        <f>MOD(Tableau1[[#This Row],[Fin
apm]]-Tableau1[[#This Row],[Début
apm]],1)+MOD(Tableau1[[#This Row],[Fin
matin]]-Tableau1[[#This Row],[Début
matin]],1)</f>
        <v>0</v>
      </c>
      <c r="L109" s="18">
        <f>IFERROR(VLOOKUP(Tableau1[[#This Row],[Abs.]],Tmotif[],3,0),0)</f>
        <v>0</v>
      </c>
      <c r="M109" s="18">
        <f ca="1">IF(WEEKDAY(Tableau1[[#This Row],[Date]],2)&lt;7,0,MAX(0,SUM(OFFSET(Tableau1[[#This Row],[Heures]],-6,,7))+SUM(OFFSET(Tableau1[[#This Row],[H_Abs]],-6,,7))-_HS))</f>
        <v>0</v>
      </c>
      <c r="N109" s="18" t="str">
        <f ca="1">IF(Tableau1[[#This Row],[HS]]&gt;0,IF(Tableau1[[#This Row],[HS]]*24&gt;8,8/24,Tableau1[[#This Row],[HS]]),"")</f>
        <v/>
      </c>
      <c r="O109" s="18" t="str">
        <f ca="1">IF(Tableau1[[#This Row],[HS]]*24&gt;8,Tableau1[[#This Row],[HS]]-Tableau1[[#This Row],[Dont
HS 30%]],"")</f>
        <v/>
      </c>
      <c r="P109" s="18" t="e">
        <f ca="1">Tableau1[[#This Row],[Dont
HS 30%]]*1.3</f>
        <v>#VALUE!</v>
      </c>
      <c r="Q109" s="18" t="e">
        <f ca="1">Tableau1[[#This Row],[Dont 
HS 50%]]*1.5</f>
        <v>#VALUE!</v>
      </c>
    </row>
    <row r="110" spans="2:17" hidden="1" x14ac:dyDescent="0.25">
      <c r="B110" s="37">
        <f>_xlfn.ISOWEEKNUM(Tableau1[[#This Row],[Date]])</f>
        <v>28</v>
      </c>
      <c r="C110" s="14">
        <f>debut+ROW()-ROW(Tableau1[[#Headers],[Date]])-1</f>
        <v>44757</v>
      </c>
      <c r="D110" s="16">
        <f>MONTH(Tableau1[[#This Row],[Date]])</f>
        <v>7</v>
      </c>
      <c r="E110" s="16">
        <f>YEAR(Tableau1[[#This Row],[Date]])</f>
        <v>2022</v>
      </c>
      <c r="F110" s="32"/>
      <c r="G110" s="32"/>
      <c r="H110" s="32"/>
      <c r="I110" s="32"/>
      <c r="J110" s="3"/>
      <c r="K110" s="18">
        <f>MOD(Tableau1[[#This Row],[Fin
apm]]-Tableau1[[#This Row],[Début
apm]],1)+MOD(Tableau1[[#This Row],[Fin
matin]]-Tableau1[[#This Row],[Début
matin]],1)</f>
        <v>0</v>
      </c>
      <c r="L110" s="18">
        <f>IFERROR(VLOOKUP(Tableau1[[#This Row],[Abs.]],Tmotif[],3,0),0)</f>
        <v>0</v>
      </c>
      <c r="M110" s="18">
        <f ca="1">IF(WEEKDAY(Tableau1[[#This Row],[Date]],2)&lt;7,0,MAX(0,SUM(OFFSET(Tableau1[[#This Row],[Heures]],-6,,7))+SUM(OFFSET(Tableau1[[#This Row],[H_Abs]],-6,,7))-_HS))</f>
        <v>0</v>
      </c>
      <c r="N110" s="18" t="str">
        <f ca="1">IF(Tableau1[[#This Row],[HS]]&gt;0,IF(Tableau1[[#This Row],[HS]]*24&gt;8,8/24,Tableau1[[#This Row],[HS]]),"")</f>
        <v/>
      </c>
      <c r="O110" s="18" t="str">
        <f ca="1">IF(Tableau1[[#This Row],[HS]]*24&gt;8,Tableau1[[#This Row],[HS]]-Tableau1[[#This Row],[Dont
HS 30%]],"")</f>
        <v/>
      </c>
      <c r="P110" s="18" t="e">
        <f ca="1">Tableau1[[#This Row],[Dont
HS 30%]]*1.3</f>
        <v>#VALUE!</v>
      </c>
      <c r="Q110" s="18" t="e">
        <f ca="1">Tableau1[[#This Row],[Dont 
HS 50%]]*1.5</f>
        <v>#VALUE!</v>
      </c>
    </row>
    <row r="111" spans="2:17" hidden="1" x14ac:dyDescent="0.25">
      <c r="B111" s="37">
        <f>_xlfn.ISOWEEKNUM(Tableau1[[#This Row],[Date]])</f>
        <v>28</v>
      </c>
      <c r="C111" s="14">
        <f>debut+ROW()-ROW(Tableau1[[#Headers],[Date]])-1</f>
        <v>44758</v>
      </c>
      <c r="D111" s="16">
        <f>MONTH(Tableau1[[#This Row],[Date]])</f>
        <v>7</v>
      </c>
      <c r="E111" s="16">
        <f>YEAR(Tableau1[[#This Row],[Date]])</f>
        <v>2022</v>
      </c>
      <c r="F111" s="32"/>
      <c r="G111" s="32"/>
      <c r="H111" s="32"/>
      <c r="I111" s="32"/>
      <c r="J111" s="3"/>
      <c r="K111" s="18">
        <f>MOD(Tableau1[[#This Row],[Fin
apm]]-Tableau1[[#This Row],[Début
apm]],1)+MOD(Tableau1[[#This Row],[Fin
matin]]-Tableau1[[#This Row],[Début
matin]],1)</f>
        <v>0</v>
      </c>
      <c r="L111" s="18">
        <f>IFERROR(VLOOKUP(Tableau1[[#This Row],[Abs.]],Tmotif[],3,0),0)</f>
        <v>0</v>
      </c>
      <c r="M111" s="18">
        <f ca="1">IF(WEEKDAY(Tableau1[[#This Row],[Date]],2)&lt;7,0,MAX(0,SUM(OFFSET(Tableau1[[#This Row],[Heures]],-6,,7))+SUM(OFFSET(Tableau1[[#This Row],[H_Abs]],-6,,7))-_HS))</f>
        <v>0</v>
      </c>
      <c r="N111" s="18" t="str">
        <f ca="1">IF(Tableau1[[#This Row],[HS]]&gt;0,IF(Tableau1[[#This Row],[HS]]*24&gt;8,8/24,Tableau1[[#This Row],[HS]]),"")</f>
        <v/>
      </c>
      <c r="O111" s="18" t="str">
        <f ca="1">IF(Tableau1[[#This Row],[HS]]*24&gt;8,Tableau1[[#This Row],[HS]]-Tableau1[[#This Row],[Dont
HS 30%]],"")</f>
        <v/>
      </c>
      <c r="P111" s="18" t="e">
        <f ca="1">Tableau1[[#This Row],[Dont
HS 30%]]*1.3</f>
        <v>#VALUE!</v>
      </c>
      <c r="Q111" s="18" t="e">
        <f ca="1">Tableau1[[#This Row],[Dont 
HS 50%]]*1.5</f>
        <v>#VALUE!</v>
      </c>
    </row>
    <row r="112" spans="2:17" hidden="1" x14ac:dyDescent="0.25">
      <c r="B112" s="37">
        <f>_xlfn.ISOWEEKNUM(Tableau1[[#This Row],[Date]])</f>
        <v>28</v>
      </c>
      <c r="C112" s="14">
        <f>debut+ROW()-ROW(Tableau1[[#Headers],[Date]])-1</f>
        <v>44759</v>
      </c>
      <c r="D112" s="16">
        <f>MONTH(Tableau1[[#This Row],[Date]])</f>
        <v>7</v>
      </c>
      <c r="E112" s="16">
        <f>YEAR(Tableau1[[#This Row],[Date]])</f>
        <v>2022</v>
      </c>
      <c r="F112" s="32"/>
      <c r="G112" s="32"/>
      <c r="H112" s="32"/>
      <c r="I112" s="32"/>
      <c r="J112" s="3"/>
      <c r="K112" s="18">
        <f>MOD(Tableau1[[#This Row],[Fin
apm]]-Tableau1[[#This Row],[Début
apm]],1)+MOD(Tableau1[[#This Row],[Fin
matin]]-Tableau1[[#This Row],[Début
matin]],1)</f>
        <v>0</v>
      </c>
      <c r="L112" s="18">
        <f>IFERROR(VLOOKUP(Tableau1[[#This Row],[Abs.]],Tmotif[],3,0),0)</f>
        <v>0</v>
      </c>
      <c r="M112" s="18">
        <f ca="1">IF(WEEKDAY(Tableau1[[#This Row],[Date]],2)&lt;7,0,MAX(0,SUM(OFFSET(Tableau1[[#This Row],[Heures]],-6,,7))+SUM(OFFSET(Tableau1[[#This Row],[H_Abs]],-6,,7))-_HS))</f>
        <v>0</v>
      </c>
      <c r="N112" s="18" t="str">
        <f ca="1">IF(Tableau1[[#This Row],[HS]]&gt;0,IF(Tableau1[[#This Row],[HS]]*24&gt;8,8/24,Tableau1[[#This Row],[HS]]),"")</f>
        <v/>
      </c>
      <c r="O112" s="18" t="str">
        <f ca="1">IF(Tableau1[[#This Row],[HS]]*24&gt;8,Tableau1[[#This Row],[HS]]-Tableau1[[#This Row],[Dont
HS 30%]],"")</f>
        <v/>
      </c>
      <c r="P112" s="18" t="e">
        <f ca="1">Tableau1[[#This Row],[Dont
HS 30%]]*1.3</f>
        <v>#VALUE!</v>
      </c>
      <c r="Q112" s="18" t="e">
        <f ca="1">Tableau1[[#This Row],[Dont 
HS 50%]]*1.5</f>
        <v>#VALUE!</v>
      </c>
    </row>
    <row r="113" spans="2:17" hidden="1" x14ac:dyDescent="0.25">
      <c r="B113" s="37">
        <f>_xlfn.ISOWEEKNUM(Tableau1[[#This Row],[Date]])</f>
        <v>29</v>
      </c>
      <c r="C113" s="14">
        <f>debut+ROW()-ROW(Tableau1[[#Headers],[Date]])-1</f>
        <v>44760</v>
      </c>
      <c r="D113" s="16">
        <f>MONTH(Tableau1[[#This Row],[Date]])</f>
        <v>7</v>
      </c>
      <c r="E113" s="16">
        <f>YEAR(Tableau1[[#This Row],[Date]])</f>
        <v>2022</v>
      </c>
      <c r="F113" s="32"/>
      <c r="G113" s="32"/>
      <c r="H113" s="32"/>
      <c r="I113" s="32"/>
      <c r="J113" s="3"/>
      <c r="K113" s="18">
        <f>MOD(Tableau1[[#This Row],[Fin
apm]]-Tableau1[[#This Row],[Début
apm]],1)+MOD(Tableau1[[#This Row],[Fin
matin]]-Tableau1[[#This Row],[Début
matin]],1)</f>
        <v>0</v>
      </c>
      <c r="L113" s="18">
        <f>IFERROR(VLOOKUP(Tableau1[[#This Row],[Abs.]],Tmotif[],3,0),0)</f>
        <v>0</v>
      </c>
      <c r="M113" s="18">
        <f ca="1">IF(WEEKDAY(Tableau1[[#This Row],[Date]],2)&lt;7,0,MAX(0,SUM(OFFSET(Tableau1[[#This Row],[Heures]],-6,,7))+SUM(OFFSET(Tableau1[[#This Row],[H_Abs]],-6,,7))-_HS))</f>
        <v>0</v>
      </c>
      <c r="N113" s="18" t="str">
        <f ca="1">IF(Tableau1[[#This Row],[HS]]&gt;0,IF(Tableau1[[#This Row],[HS]]*24&gt;8,8/24,Tableau1[[#This Row],[HS]]),"")</f>
        <v/>
      </c>
      <c r="O113" s="18" t="str">
        <f ca="1">IF(Tableau1[[#This Row],[HS]]*24&gt;8,Tableau1[[#This Row],[HS]]-Tableau1[[#This Row],[Dont
HS 30%]],"")</f>
        <v/>
      </c>
      <c r="P113" s="18" t="e">
        <f ca="1">Tableau1[[#This Row],[Dont
HS 30%]]*1.3</f>
        <v>#VALUE!</v>
      </c>
      <c r="Q113" s="18" t="e">
        <f ca="1">Tableau1[[#This Row],[Dont 
HS 50%]]*1.5</f>
        <v>#VALUE!</v>
      </c>
    </row>
    <row r="114" spans="2:17" hidden="1" x14ac:dyDescent="0.25">
      <c r="B114" s="37">
        <f>_xlfn.ISOWEEKNUM(Tableau1[[#This Row],[Date]])</f>
        <v>29</v>
      </c>
      <c r="C114" s="14">
        <f>debut+ROW()-ROW(Tableau1[[#Headers],[Date]])-1</f>
        <v>44761</v>
      </c>
      <c r="D114" s="16">
        <f>MONTH(Tableau1[[#This Row],[Date]])</f>
        <v>7</v>
      </c>
      <c r="E114" s="16">
        <f>YEAR(Tableau1[[#This Row],[Date]])</f>
        <v>2022</v>
      </c>
      <c r="F114" s="32"/>
      <c r="G114" s="32"/>
      <c r="H114" s="32"/>
      <c r="I114" s="32"/>
      <c r="J114" s="3"/>
      <c r="K114" s="18">
        <f>MOD(Tableau1[[#This Row],[Fin
apm]]-Tableau1[[#This Row],[Début
apm]],1)+MOD(Tableau1[[#This Row],[Fin
matin]]-Tableau1[[#This Row],[Début
matin]],1)</f>
        <v>0</v>
      </c>
      <c r="L114" s="18">
        <f>IFERROR(VLOOKUP(Tableau1[[#This Row],[Abs.]],Tmotif[],3,0),0)</f>
        <v>0</v>
      </c>
      <c r="M114" s="18">
        <f ca="1">IF(WEEKDAY(Tableau1[[#This Row],[Date]],2)&lt;7,0,MAX(0,SUM(OFFSET(Tableau1[[#This Row],[Heures]],-6,,7))+SUM(OFFSET(Tableau1[[#This Row],[H_Abs]],-6,,7))-_HS))</f>
        <v>0</v>
      </c>
      <c r="N114" s="18" t="str">
        <f ca="1">IF(Tableau1[[#This Row],[HS]]&gt;0,IF(Tableau1[[#This Row],[HS]]*24&gt;8,8/24,Tableau1[[#This Row],[HS]]),"")</f>
        <v/>
      </c>
      <c r="O114" s="18" t="str">
        <f ca="1">IF(Tableau1[[#This Row],[HS]]*24&gt;8,Tableau1[[#This Row],[HS]]-Tableau1[[#This Row],[Dont
HS 30%]],"")</f>
        <v/>
      </c>
      <c r="P114" s="18" t="e">
        <f ca="1">Tableau1[[#This Row],[Dont
HS 30%]]*1.3</f>
        <v>#VALUE!</v>
      </c>
      <c r="Q114" s="18" t="e">
        <f ca="1">Tableau1[[#This Row],[Dont 
HS 50%]]*1.5</f>
        <v>#VALUE!</v>
      </c>
    </row>
    <row r="115" spans="2:17" hidden="1" x14ac:dyDescent="0.25">
      <c r="B115" s="37">
        <f>_xlfn.ISOWEEKNUM(Tableau1[[#This Row],[Date]])</f>
        <v>29</v>
      </c>
      <c r="C115" s="14">
        <f>debut+ROW()-ROW(Tableau1[[#Headers],[Date]])-1</f>
        <v>44762</v>
      </c>
      <c r="D115" s="16">
        <f>MONTH(Tableau1[[#This Row],[Date]])</f>
        <v>7</v>
      </c>
      <c r="E115" s="16">
        <f>YEAR(Tableau1[[#This Row],[Date]])</f>
        <v>2022</v>
      </c>
      <c r="F115" s="32"/>
      <c r="G115" s="32"/>
      <c r="H115" s="32"/>
      <c r="I115" s="32"/>
      <c r="J115" s="3"/>
      <c r="K115" s="18">
        <f>MOD(Tableau1[[#This Row],[Fin
apm]]-Tableau1[[#This Row],[Début
apm]],1)+MOD(Tableau1[[#This Row],[Fin
matin]]-Tableau1[[#This Row],[Début
matin]],1)</f>
        <v>0</v>
      </c>
      <c r="L115" s="18">
        <f>IFERROR(VLOOKUP(Tableau1[[#This Row],[Abs.]],Tmotif[],3,0),0)</f>
        <v>0</v>
      </c>
      <c r="M115" s="18">
        <f ca="1">IF(WEEKDAY(Tableau1[[#This Row],[Date]],2)&lt;7,0,MAX(0,SUM(OFFSET(Tableau1[[#This Row],[Heures]],-6,,7))+SUM(OFFSET(Tableau1[[#This Row],[H_Abs]],-6,,7))-_HS))</f>
        <v>0</v>
      </c>
      <c r="N115" s="18" t="str">
        <f ca="1">IF(Tableau1[[#This Row],[HS]]&gt;0,IF(Tableau1[[#This Row],[HS]]*24&gt;8,8/24,Tableau1[[#This Row],[HS]]),"")</f>
        <v/>
      </c>
      <c r="O115" s="18" t="str">
        <f ca="1">IF(Tableau1[[#This Row],[HS]]*24&gt;8,Tableau1[[#This Row],[HS]]-Tableau1[[#This Row],[Dont
HS 30%]],"")</f>
        <v/>
      </c>
      <c r="P115" s="18" t="e">
        <f ca="1">Tableau1[[#This Row],[Dont
HS 30%]]*1.3</f>
        <v>#VALUE!</v>
      </c>
      <c r="Q115" s="18" t="e">
        <f ca="1">Tableau1[[#This Row],[Dont 
HS 50%]]*1.5</f>
        <v>#VALUE!</v>
      </c>
    </row>
    <row r="116" spans="2:17" hidden="1" x14ac:dyDescent="0.25">
      <c r="B116" s="37">
        <f>_xlfn.ISOWEEKNUM(Tableau1[[#This Row],[Date]])</f>
        <v>29</v>
      </c>
      <c r="C116" s="14">
        <f>debut+ROW()-ROW(Tableau1[[#Headers],[Date]])-1</f>
        <v>44763</v>
      </c>
      <c r="D116" s="16">
        <f>MONTH(Tableau1[[#This Row],[Date]])</f>
        <v>7</v>
      </c>
      <c r="E116" s="16">
        <f>YEAR(Tableau1[[#This Row],[Date]])</f>
        <v>2022</v>
      </c>
      <c r="F116" s="32"/>
      <c r="G116" s="32"/>
      <c r="H116" s="32"/>
      <c r="I116" s="32"/>
      <c r="J116" s="3"/>
      <c r="K116" s="18">
        <f>MOD(Tableau1[[#This Row],[Fin
apm]]-Tableau1[[#This Row],[Début
apm]],1)+MOD(Tableau1[[#This Row],[Fin
matin]]-Tableau1[[#This Row],[Début
matin]],1)</f>
        <v>0</v>
      </c>
      <c r="L116" s="18">
        <f>IFERROR(VLOOKUP(Tableau1[[#This Row],[Abs.]],Tmotif[],3,0),0)</f>
        <v>0</v>
      </c>
      <c r="M116" s="18">
        <f ca="1">IF(WEEKDAY(Tableau1[[#This Row],[Date]],2)&lt;7,0,MAX(0,SUM(OFFSET(Tableau1[[#This Row],[Heures]],-6,,7))+SUM(OFFSET(Tableau1[[#This Row],[H_Abs]],-6,,7))-_HS))</f>
        <v>0</v>
      </c>
      <c r="N116" s="18" t="str">
        <f ca="1">IF(Tableau1[[#This Row],[HS]]&gt;0,IF(Tableau1[[#This Row],[HS]]*24&gt;8,8/24,Tableau1[[#This Row],[HS]]),"")</f>
        <v/>
      </c>
      <c r="O116" s="18" t="str">
        <f ca="1">IF(Tableau1[[#This Row],[HS]]*24&gt;8,Tableau1[[#This Row],[HS]]-Tableau1[[#This Row],[Dont
HS 30%]],"")</f>
        <v/>
      </c>
      <c r="P116" s="18" t="e">
        <f ca="1">Tableau1[[#This Row],[Dont
HS 30%]]*1.3</f>
        <v>#VALUE!</v>
      </c>
      <c r="Q116" s="18" t="e">
        <f ca="1">Tableau1[[#This Row],[Dont 
HS 50%]]*1.5</f>
        <v>#VALUE!</v>
      </c>
    </row>
    <row r="117" spans="2:17" hidden="1" x14ac:dyDescent="0.25">
      <c r="B117" s="37">
        <f>_xlfn.ISOWEEKNUM(Tableau1[[#This Row],[Date]])</f>
        <v>29</v>
      </c>
      <c r="C117" s="14">
        <f>debut+ROW()-ROW(Tableau1[[#Headers],[Date]])-1</f>
        <v>44764</v>
      </c>
      <c r="D117" s="16">
        <f>MONTH(Tableau1[[#This Row],[Date]])</f>
        <v>7</v>
      </c>
      <c r="E117" s="16">
        <f>YEAR(Tableau1[[#This Row],[Date]])</f>
        <v>2022</v>
      </c>
      <c r="F117" s="32"/>
      <c r="G117" s="32"/>
      <c r="H117" s="32"/>
      <c r="I117" s="32"/>
      <c r="J117" s="3"/>
      <c r="K117" s="18">
        <f>MOD(Tableau1[[#This Row],[Fin
apm]]-Tableau1[[#This Row],[Début
apm]],1)+MOD(Tableau1[[#This Row],[Fin
matin]]-Tableau1[[#This Row],[Début
matin]],1)</f>
        <v>0</v>
      </c>
      <c r="L117" s="18">
        <f>IFERROR(VLOOKUP(Tableau1[[#This Row],[Abs.]],Tmotif[],3,0),0)</f>
        <v>0</v>
      </c>
      <c r="M117" s="18">
        <f ca="1">IF(WEEKDAY(Tableau1[[#This Row],[Date]],2)&lt;7,0,MAX(0,SUM(OFFSET(Tableau1[[#This Row],[Heures]],-6,,7))+SUM(OFFSET(Tableau1[[#This Row],[H_Abs]],-6,,7))-_HS))</f>
        <v>0</v>
      </c>
      <c r="N117" s="18" t="str">
        <f ca="1">IF(Tableau1[[#This Row],[HS]]&gt;0,IF(Tableau1[[#This Row],[HS]]*24&gt;8,8/24,Tableau1[[#This Row],[HS]]),"")</f>
        <v/>
      </c>
      <c r="O117" s="18" t="str">
        <f ca="1">IF(Tableau1[[#This Row],[HS]]*24&gt;8,Tableau1[[#This Row],[HS]]-Tableau1[[#This Row],[Dont
HS 30%]],"")</f>
        <v/>
      </c>
      <c r="P117" s="18" t="e">
        <f ca="1">Tableau1[[#This Row],[Dont
HS 30%]]*1.3</f>
        <v>#VALUE!</v>
      </c>
      <c r="Q117" s="18" t="e">
        <f ca="1">Tableau1[[#This Row],[Dont 
HS 50%]]*1.5</f>
        <v>#VALUE!</v>
      </c>
    </row>
    <row r="118" spans="2:17" hidden="1" x14ac:dyDescent="0.25">
      <c r="B118" s="37">
        <f>_xlfn.ISOWEEKNUM(Tableau1[[#This Row],[Date]])</f>
        <v>29</v>
      </c>
      <c r="C118" s="14">
        <f>debut+ROW()-ROW(Tableau1[[#Headers],[Date]])-1</f>
        <v>44765</v>
      </c>
      <c r="D118" s="16">
        <f>MONTH(Tableau1[[#This Row],[Date]])</f>
        <v>7</v>
      </c>
      <c r="E118" s="16">
        <f>YEAR(Tableau1[[#This Row],[Date]])</f>
        <v>2022</v>
      </c>
      <c r="F118" s="32"/>
      <c r="G118" s="32"/>
      <c r="H118" s="32"/>
      <c r="I118" s="32"/>
      <c r="J118" s="3"/>
      <c r="K118" s="18">
        <f>MOD(Tableau1[[#This Row],[Fin
apm]]-Tableau1[[#This Row],[Début
apm]],1)+MOD(Tableau1[[#This Row],[Fin
matin]]-Tableau1[[#This Row],[Début
matin]],1)</f>
        <v>0</v>
      </c>
      <c r="L118" s="18">
        <f>IFERROR(VLOOKUP(Tableau1[[#This Row],[Abs.]],Tmotif[],3,0),0)</f>
        <v>0</v>
      </c>
      <c r="M118" s="18">
        <f ca="1">IF(WEEKDAY(Tableau1[[#This Row],[Date]],2)&lt;7,0,MAX(0,SUM(OFFSET(Tableau1[[#This Row],[Heures]],-6,,7))+SUM(OFFSET(Tableau1[[#This Row],[H_Abs]],-6,,7))-_HS))</f>
        <v>0</v>
      </c>
      <c r="N118" s="18" t="str">
        <f ca="1">IF(Tableau1[[#This Row],[HS]]&gt;0,IF(Tableau1[[#This Row],[HS]]*24&gt;8,8/24,Tableau1[[#This Row],[HS]]),"")</f>
        <v/>
      </c>
      <c r="O118" s="18" t="str">
        <f ca="1">IF(Tableau1[[#This Row],[HS]]*24&gt;8,Tableau1[[#This Row],[HS]]-Tableau1[[#This Row],[Dont
HS 30%]],"")</f>
        <v/>
      </c>
      <c r="P118" s="18" t="e">
        <f ca="1">Tableau1[[#This Row],[Dont
HS 30%]]*1.3</f>
        <v>#VALUE!</v>
      </c>
      <c r="Q118" s="18" t="e">
        <f ca="1">Tableau1[[#This Row],[Dont 
HS 50%]]*1.5</f>
        <v>#VALUE!</v>
      </c>
    </row>
    <row r="119" spans="2:17" hidden="1" x14ac:dyDescent="0.25">
      <c r="B119" s="37">
        <f>_xlfn.ISOWEEKNUM(Tableau1[[#This Row],[Date]])</f>
        <v>29</v>
      </c>
      <c r="C119" s="14">
        <f>debut+ROW()-ROW(Tableau1[[#Headers],[Date]])-1</f>
        <v>44766</v>
      </c>
      <c r="D119" s="16">
        <f>MONTH(Tableau1[[#This Row],[Date]])</f>
        <v>7</v>
      </c>
      <c r="E119" s="16">
        <f>YEAR(Tableau1[[#This Row],[Date]])</f>
        <v>2022</v>
      </c>
      <c r="F119" s="32"/>
      <c r="G119" s="32"/>
      <c r="H119" s="32"/>
      <c r="I119" s="32"/>
      <c r="J119" s="3"/>
      <c r="K119" s="18">
        <f>MOD(Tableau1[[#This Row],[Fin
apm]]-Tableau1[[#This Row],[Début
apm]],1)+MOD(Tableau1[[#This Row],[Fin
matin]]-Tableau1[[#This Row],[Début
matin]],1)</f>
        <v>0</v>
      </c>
      <c r="L119" s="18">
        <f>IFERROR(VLOOKUP(Tableau1[[#This Row],[Abs.]],Tmotif[],3,0),0)</f>
        <v>0</v>
      </c>
      <c r="M119" s="18">
        <f ca="1">IF(WEEKDAY(Tableau1[[#This Row],[Date]],2)&lt;7,0,MAX(0,SUM(OFFSET(Tableau1[[#This Row],[Heures]],-6,,7))+SUM(OFFSET(Tableau1[[#This Row],[H_Abs]],-6,,7))-_HS))</f>
        <v>0</v>
      </c>
      <c r="N119" s="18" t="str">
        <f ca="1">IF(Tableau1[[#This Row],[HS]]&gt;0,IF(Tableau1[[#This Row],[HS]]*24&gt;8,8/24,Tableau1[[#This Row],[HS]]),"")</f>
        <v/>
      </c>
      <c r="O119" s="18" t="str">
        <f ca="1">IF(Tableau1[[#This Row],[HS]]*24&gt;8,Tableau1[[#This Row],[HS]]-Tableau1[[#This Row],[Dont
HS 30%]],"")</f>
        <v/>
      </c>
      <c r="P119" s="18" t="e">
        <f ca="1">Tableau1[[#This Row],[Dont
HS 30%]]*1.3</f>
        <v>#VALUE!</v>
      </c>
      <c r="Q119" s="18" t="e">
        <f ca="1">Tableau1[[#This Row],[Dont 
HS 50%]]*1.5</f>
        <v>#VALUE!</v>
      </c>
    </row>
    <row r="120" spans="2:17" hidden="1" x14ac:dyDescent="0.25">
      <c r="B120" s="37">
        <f>_xlfn.ISOWEEKNUM(Tableau1[[#This Row],[Date]])</f>
        <v>30</v>
      </c>
      <c r="C120" s="14">
        <f>debut+ROW()-ROW(Tableau1[[#Headers],[Date]])-1</f>
        <v>44767</v>
      </c>
      <c r="D120" s="16">
        <f>MONTH(Tableau1[[#This Row],[Date]])</f>
        <v>7</v>
      </c>
      <c r="E120" s="16">
        <f>YEAR(Tableau1[[#This Row],[Date]])</f>
        <v>2022</v>
      </c>
      <c r="F120" s="32"/>
      <c r="G120" s="32"/>
      <c r="H120" s="32"/>
      <c r="I120" s="32"/>
      <c r="J120" s="3"/>
      <c r="K120" s="18">
        <f>MOD(Tableau1[[#This Row],[Fin
apm]]-Tableau1[[#This Row],[Début
apm]],1)+MOD(Tableau1[[#This Row],[Fin
matin]]-Tableau1[[#This Row],[Début
matin]],1)</f>
        <v>0</v>
      </c>
      <c r="L120" s="18">
        <f>IFERROR(VLOOKUP(Tableau1[[#This Row],[Abs.]],Tmotif[],3,0),0)</f>
        <v>0</v>
      </c>
      <c r="M120" s="18">
        <f ca="1">IF(WEEKDAY(Tableau1[[#This Row],[Date]],2)&lt;7,0,MAX(0,SUM(OFFSET(Tableau1[[#This Row],[Heures]],-6,,7))+SUM(OFFSET(Tableau1[[#This Row],[H_Abs]],-6,,7))-_HS))</f>
        <v>0</v>
      </c>
      <c r="N120" s="18" t="str">
        <f ca="1">IF(Tableau1[[#This Row],[HS]]&gt;0,IF(Tableau1[[#This Row],[HS]]*24&gt;8,8/24,Tableau1[[#This Row],[HS]]),"")</f>
        <v/>
      </c>
      <c r="O120" s="18" t="str">
        <f ca="1">IF(Tableau1[[#This Row],[HS]]*24&gt;8,Tableau1[[#This Row],[HS]]-Tableau1[[#This Row],[Dont
HS 30%]],"")</f>
        <v/>
      </c>
      <c r="P120" s="18" t="e">
        <f ca="1">Tableau1[[#This Row],[Dont
HS 30%]]*1.3</f>
        <v>#VALUE!</v>
      </c>
      <c r="Q120" s="18" t="e">
        <f ca="1">Tableau1[[#This Row],[Dont 
HS 50%]]*1.5</f>
        <v>#VALUE!</v>
      </c>
    </row>
    <row r="121" spans="2:17" hidden="1" x14ac:dyDescent="0.25">
      <c r="B121" s="37">
        <f>_xlfn.ISOWEEKNUM(Tableau1[[#This Row],[Date]])</f>
        <v>30</v>
      </c>
      <c r="C121" s="14">
        <f>debut+ROW()-ROW(Tableau1[[#Headers],[Date]])-1</f>
        <v>44768</v>
      </c>
      <c r="D121" s="16">
        <f>MONTH(Tableau1[[#This Row],[Date]])</f>
        <v>7</v>
      </c>
      <c r="E121" s="16">
        <f>YEAR(Tableau1[[#This Row],[Date]])</f>
        <v>2022</v>
      </c>
      <c r="F121" s="32"/>
      <c r="G121" s="32"/>
      <c r="H121" s="32"/>
      <c r="I121" s="32"/>
      <c r="J121" s="3"/>
      <c r="K121" s="18">
        <f>MOD(Tableau1[[#This Row],[Fin
apm]]-Tableau1[[#This Row],[Début
apm]],1)+MOD(Tableau1[[#This Row],[Fin
matin]]-Tableau1[[#This Row],[Début
matin]],1)</f>
        <v>0</v>
      </c>
      <c r="L121" s="18">
        <f>IFERROR(VLOOKUP(Tableau1[[#This Row],[Abs.]],Tmotif[],3,0),0)</f>
        <v>0</v>
      </c>
      <c r="M121" s="18">
        <f ca="1">IF(WEEKDAY(Tableau1[[#This Row],[Date]],2)&lt;7,0,MAX(0,SUM(OFFSET(Tableau1[[#This Row],[Heures]],-6,,7))+SUM(OFFSET(Tableau1[[#This Row],[H_Abs]],-6,,7))-_HS))</f>
        <v>0</v>
      </c>
      <c r="N121" s="18" t="str">
        <f ca="1">IF(Tableau1[[#This Row],[HS]]&gt;0,IF(Tableau1[[#This Row],[HS]]*24&gt;8,8/24,Tableau1[[#This Row],[HS]]),"")</f>
        <v/>
      </c>
      <c r="O121" s="18" t="str">
        <f ca="1">IF(Tableau1[[#This Row],[HS]]*24&gt;8,Tableau1[[#This Row],[HS]]-Tableau1[[#This Row],[Dont
HS 30%]],"")</f>
        <v/>
      </c>
      <c r="P121" s="18" t="e">
        <f ca="1">Tableau1[[#This Row],[Dont
HS 30%]]*1.3</f>
        <v>#VALUE!</v>
      </c>
      <c r="Q121" s="18" t="e">
        <f ca="1">Tableau1[[#This Row],[Dont 
HS 50%]]*1.5</f>
        <v>#VALUE!</v>
      </c>
    </row>
    <row r="122" spans="2:17" hidden="1" x14ac:dyDescent="0.25">
      <c r="B122" s="37">
        <f>_xlfn.ISOWEEKNUM(Tableau1[[#This Row],[Date]])</f>
        <v>30</v>
      </c>
      <c r="C122" s="14">
        <f>debut+ROW()-ROW(Tableau1[[#Headers],[Date]])-1</f>
        <v>44769</v>
      </c>
      <c r="D122" s="16">
        <f>MONTH(Tableau1[[#This Row],[Date]])</f>
        <v>7</v>
      </c>
      <c r="E122" s="16">
        <f>YEAR(Tableau1[[#This Row],[Date]])</f>
        <v>2022</v>
      </c>
      <c r="F122" s="32"/>
      <c r="G122" s="32"/>
      <c r="H122" s="32"/>
      <c r="I122" s="32"/>
      <c r="J122" s="3"/>
      <c r="K122" s="18">
        <f>MOD(Tableau1[[#This Row],[Fin
apm]]-Tableau1[[#This Row],[Début
apm]],1)+MOD(Tableau1[[#This Row],[Fin
matin]]-Tableau1[[#This Row],[Début
matin]],1)</f>
        <v>0</v>
      </c>
      <c r="L122" s="18">
        <f>IFERROR(VLOOKUP(Tableau1[[#This Row],[Abs.]],Tmotif[],3,0),0)</f>
        <v>0</v>
      </c>
      <c r="M122" s="18">
        <f ca="1">IF(WEEKDAY(Tableau1[[#This Row],[Date]],2)&lt;7,0,MAX(0,SUM(OFFSET(Tableau1[[#This Row],[Heures]],-6,,7))+SUM(OFFSET(Tableau1[[#This Row],[H_Abs]],-6,,7))-_HS))</f>
        <v>0</v>
      </c>
      <c r="N122" s="18" t="str">
        <f ca="1">IF(Tableau1[[#This Row],[HS]]&gt;0,IF(Tableau1[[#This Row],[HS]]*24&gt;8,8/24,Tableau1[[#This Row],[HS]]),"")</f>
        <v/>
      </c>
      <c r="O122" s="18" t="str">
        <f ca="1">IF(Tableau1[[#This Row],[HS]]*24&gt;8,Tableau1[[#This Row],[HS]]-Tableau1[[#This Row],[Dont
HS 30%]],"")</f>
        <v/>
      </c>
      <c r="P122" s="18" t="e">
        <f ca="1">Tableau1[[#This Row],[Dont
HS 30%]]*1.3</f>
        <v>#VALUE!</v>
      </c>
      <c r="Q122" s="18" t="e">
        <f ca="1">Tableau1[[#This Row],[Dont 
HS 50%]]*1.5</f>
        <v>#VALUE!</v>
      </c>
    </row>
    <row r="123" spans="2:17" hidden="1" x14ac:dyDescent="0.25">
      <c r="B123" s="37">
        <f>_xlfn.ISOWEEKNUM(Tableau1[[#This Row],[Date]])</f>
        <v>30</v>
      </c>
      <c r="C123" s="14">
        <f>debut+ROW()-ROW(Tableau1[[#Headers],[Date]])-1</f>
        <v>44770</v>
      </c>
      <c r="D123" s="16">
        <f>MONTH(Tableau1[[#This Row],[Date]])</f>
        <v>7</v>
      </c>
      <c r="E123" s="16">
        <f>YEAR(Tableau1[[#This Row],[Date]])</f>
        <v>2022</v>
      </c>
      <c r="F123" s="32"/>
      <c r="G123" s="32"/>
      <c r="H123" s="32"/>
      <c r="I123" s="32"/>
      <c r="J123" s="3"/>
      <c r="K123" s="18">
        <f>MOD(Tableau1[[#This Row],[Fin
apm]]-Tableau1[[#This Row],[Début
apm]],1)+MOD(Tableau1[[#This Row],[Fin
matin]]-Tableau1[[#This Row],[Début
matin]],1)</f>
        <v>0</v>
      </c>
      <c r="L123" s="18">
        <f>IFERROR(VLOOKUP(Tableau1[[#This Row],[Abs.]],Tmotif[],3,0),0)</f>
        <v>0</v>
      </c>
      <c r="M123" s="18">
        <f ca="1">IF(WEEKDAY(Tableau1[[#This Row],[Date]],2)&lt;7,0,MAX(0,SUM(OFFSET(Tableau1[[#This Row],[Heures]],-6,,7))+SUM(OFFSET(Tableau1[[#This Row],[H_Abs]],-6,,7))-_HS))</f>
        <v>0</v>
      </c>
      <c r="N123" s="18" t="str">
        <f ca="1">IF(Tableau1[[#This Row],[HS]]&gt;0,IF(Tableau1[[#This Row],[HS]]*24&gt;8,8/24,Tableau1[[#This Row],[HS]]),"")</f>
        <v/>
      </c>
      <c r="O123" s="18" t="str">
        <f ca="1">IF(Tableau1[[#This Row],[HS]]*24&gt;8,Tableau1[[#This Row],[HS]]-Tableau1[[#This Row],[Dont
HS 30%]],"")</f>
        <v/>
      </c>
      <c r="P123" s="18" t="e">
        <f ca="1">Tableau1[[#This Row],[Dont
HS 30%]]*1.3</f>
        <v>#VALUE!</v>
      </c>
      <c r="Q123" s="18" t="e">
        <f ca="1">Tableau1[[#This Row],[Dont 
HS 50%]]*1.5</f>
        <v>#VALUE!</v>
      </c>
    </row>
    <row r="124" spans="2:17" hidden="1" x14ac:dyDescent="0.25">
      <c r="B124" s="37">
        <f>_xlfn.ISOWEEKNUM(Tableau1[[#This Row],[Date]])</f>
        <v>30</v>
      </c>
      <c r="C124" s="14">
        <f>debut+ROW()-ROW(Tableau1[[#Headers],[Date]])-1</f>
        <v>44771</v>
      </c>
      <c r="D124" s="16">
        <f>MONTH(Tableau1[[#This Row],[Date]])</f>
        <v>7</v>
      </c>
      <c r="E124" s="16">
        <f>YEAR(Tableau1[[#This Row],[Date]])</f>
        <v>2022</v>
      </c>
      <c r="F124" s="32"/>
      <c r="G124" s="32"/>
      <c r="H124" s="32"/>
      <c r="I124" s="32"/>
      <c r="J124" s="3"/>
      <c r="K124" s="18">
        <f>MOD(Tableau1[[#This Row],[Fin
apm]]-Tableau1[[#This Row],[Début
apm]],1)+MOD(Tableau1[[#This Row],[Fin
matin]]-Tableau1[[#This Row],[Début
matin]],1)</f>
        <v>0</v>
      </c>
      <c r="L124" s="18">
        <f>IFERROR(VLOOKUP(Tableau1[[#This Row],[Abs.]],Tmotif[],3,0),0)</f>
        <v>0</v>
      </c>
      <c r="M124" s="18">
        <f ca="1">IF(WEEKDAY(Tableau1[[#This Row],[Date]],2)&lt;7,0,MAX(0,SUM(OFFSET(Tableau1[[#This Row],[Heures]],-6,,7))+SUM(OFFSET(Tableau1[[#This Row],[H_Abs]],-6,,7))-_HS))</f>
        <v>0</v>
      </c>
      <c r="N124" s="18" t="str">
        <f ca="1">IF(Tableau1[[#This Row],[HS]]&gt;0,IF(Tableau1[[#This Row],[HS]]*24&gt;8,8/24,Tableau1[[#This Row],[HS]]),"")</f>
        <v/>
      </c>
      <c r="O124" s="18" t="str">
        <f ca="1">IF(Tableau1[[#This Row],[HS]]*24&gt;8,Tableau1[[#This Row],[HS]]-Tableau1[[#This Row],[Dont
HS 30%]],"")</f>
        <v/>
      </c>
      <c r="P124" s="18" t="e">
        <f ca="1">Tableau1[[#This Row],[Dont
HS 30%]]*1.3</f>
        <v>#VALUE!</v>
      </c>
      <c r="Q124" s="18" t="e">
        <f ca="1">Tableau1[[#This Row],[Dont 
HS 50%]]*1.5</f>
        <v>#VALUE!</v>
      </c>
    </row>
    <row r="125" spans="2:17" hidden="1" x14ac:dyDescent="0.25">
      <c r="B125" s="37">
        <f>_xlfn.ISOWEEKNUM(Tableau1[[#This Row],[Date]])</f>
        <v>30</v>
      </c>
      <c r="C125" s="14">
        <f>debut+ROW()-ROW(Tableau1[[#Headers],[Date]])-1</f>
        <v>44772</v>
      </c>
      <c r="D125" s="16">
        <f>MONTH(Tableau1[[#This Row],[Date]])</f>
        <v>7</v>
      </c>
      <c r="E125" s="16">
        <f>YEAR(Tableau1[[#This Row],[Date]])</f>
        <v>2022</v>
      </c>
      <c r="F125" s="32"/>
      <c r="G125" s="32"/>
      <c r="H125" s="32"/>
      <c r="I125" s="32"/>
      <c r="J125" s="3"/>
      <c r="K125" s="18">
        <f>MOD(Tableau1[[#This Row],[Fin
apm]]-Tableau1[[#This Row],[Début
apm]],1)+MOD(Tableau1[[#This Row],[Fin
matin]]-Tableau1[[#This Row],[Début
matin]],1)</f>
        <v>0</v>
      </c>
      <c r="L125" s="18">
        <f>IFERROR(VLOOKUP(Tableau1[[#This Row],[Abs.]],Tmotif[],3,0),0)</f>
        <v>0</v>
      </c>
      <c r="M125" s="18">
        <f ca="1">IF(WEEKDAY(Tableau1[[#This Row],[Date]],2)&lt;7,0,MAX(0,SUM(OFFSET(Tableau1[[#This Row],[Heures]],-6,,7))+SUM(OFFSET(Tableau1[[#This Row],[H_Abs]],-6,,7))-_HS))</f>
        <v>0</v>
      </c>
      <c r="N125" s="18" t="str">
        <f ca="1">IF(Tableau1[[#This Row],[HS]]&gt;0,IF(Tableau1[[#This Row],[HS]]*24&gt;8,8/24,Tableau1[[#This Row],[HS]]),"")</f>
        <v/>
      </c>
      <c r="O125" s="18" t="str">
        <f ca="1">IF(Tableau1[[#This Row],[HS]]*24&gt;8,Tableau1[[#This Row],[HS]]-Tableau1[[#This Row],[Dont
HS 30%]],"")</f>
        <v/>
      </c>
      <c r="P125" s="18" t="e">
        <f ca="1">Tableau1[[#This Row],[Dont
HS 30%]]*1.3</f>
        <v>#VALUE!</v>
      </c>
      <c r="Q125" s="18" t="e">
        <f ca="1">Tableau1[[#This Row],[Dont 
HS 50%]]*1.5</f>
        <v>#VALUE!</v>
      </c>
    </row>
    <row r="126" spans="2:17" hidden="1" x14ac:dyDescent="0.25">
      <c r="B126" s="37">
        <f>_xlfn.ISOWEEKNUM(Tableau1[[#This Row],[Date]])</f>
        <v>30</v>
      </c>
      <c r="C126" s="14">
        <f>debut+ROW()-ROW(Tableau1[[#Headers],[Date]])-1</f>
        <v>44773</v>
      </c>
      <c r="D126" s="16">
        <f>MONTH(Tableau1[[#This Row],[Date]])</f>
        <v>7</v>
      </c>
      <c r="E126" s="16">
        <f>YEAR(Tableau1[[#This Row],[Date]])</f>
        <v>2022</v>
      </c>
      <c r="F126" s="32"/>
      <c r="G126" s="32"/>
      <c r="H126" s="32"/>
      <c r="I126" s="32"/>
      <c r="J126" s="3"/>
      <c r="K126" s="18">
        <f>MOD(Tableau1[[#This Row],[Fin
apm]]-Tableau1[[#This Row],[Début
apm]],1)+MOD(Tableau1[[#This Row],[Fin
matin]]-Tableau1[[#This Row],[Début
matin]],1)</f>
        <v>0</v>
      </c>
      <c r="L126" s="18">
        <f>IFERROR(VLOOKUP(Tableau1[[#This Row],[Abs.]],Tmotif[],3,0),0)</f>
        <v>0</v>
      </c>
      <c r="M126" s="18">
        <f ca="1">IF(WEEKDAY(Tableau1[[#This Row],[Date]],2)&lt;7,0,MAX(0,SUM(OFFSET(Tableau1[[#This Row],[Heures]],-6,,7))+SUM(OFFSET(Tableau1[[#This Row],[H_Abs]],-6,,7))-_HS))</f>
        <v>0</v>
      </c>
      <c r="N126" s="18" t="str">
        <f ca="1">IF(Tableau1[[#This Row],[HS]]&gt;0,IF(Tableau1[[#This Row],[HS]]*24&gt;8,8/24,Tableau1[[#This Row],[HS]]),"")</f>
        <v/>
      </c>
      <c r="O126" s="18" t="str">
        <f ca="1">IF(Tableau1[[#This Row],[HS]]*24&gt;8,Tableau1[[#This Row],[HS]]-Tableau1[[#This Row],[Dont
HS 30%]],"")</f>
        <v/>
      </c>
      <c r="P126" s="18" t="e">
        <f ca="1">Tableau1[[#This Row],[Dont
HS 30%]]*1.3</f>
        <v>#VALUE!</v>
      </c>
      <c r="Q126" s="18" t="e">
        <f ca="1">Tableau1[[#This Row],[Dont 
HS 50%]]*1.5</f>
        <v>#VALUE!</v>
      </c>
    </row>
    <row r="127" spans="2:17" hidden="1" x14ac:dyDescent="0.25">
      <c r="B127" s="37">
        <f>_xlfn.ISOWEEKNUM(Tableau1[[#This Row],[Date]])</f>
        <v>31</v>
      </c>
      <c r="C127" s="14">
        <f>debut+ROW()-ROW(Tableau1[[#Headers],[Date]])-1</f>
        <v>44774</v>
      </c>
      <c r="D127" s="16">
        <f>MONTH(Tableau1[[#This Row],[Date]])</f>
        <v>8</v>
      </c>
      <c r="E127" s="16">
        <f>YEAR(Tableau1[[#This Row],[Date]])</f>
        <v>2022</v>
      </c>
      <c r="F127" s="32"/>
      <c r="G127" s="32"/>
      <c r="H127" s="32"/>
      <c r="I127" s="32"/>
      <c r="J127" s="3"/>
      <c r="K127" s="18">
        <f>MOD(Tableau1[[#This Row],[Fin
apm]]-Tableau1[[#This Row],[Début
apm]],1)+MOD(Tableau1[[#This Row],[Fin
matin]]-Tableau1[[#This Row],[Début
matin]],1)</f>
        <v>0</v>
      </c>
      <c r="L127" s="18">
        <f>IFERROR(VLOOKUP(Tableau1[[#This Row],[Abs.]],Tmotif[],3,0),0)</f>
        <v>0</v>
      </c>
      <c r="M127" s="18">
        <f ca="1">IF(WEEKDAY(Tableau1[[#This Row],[Date]],2)&lt;7,0,MAX(0,SUM(OFFSET(Tableau1[[#This Row],[Heures]],-6,,7))+SUM(OFFSET(Tableau1[[#This Row],[H_Abs]],-6,,7))-_HS))</f>
        <v>0</v>
      </c>
      <c r="N127" s="18" t="str">
        <f ca="1">IF(Tableau1[[#This Row],[HS]]&gt;0,IF(Tableau1[[#This Row],[HS]]*24&gt;8,8/24,Tableau1[[#This Row],[HS]]),"")</f>
        <v/>
      </c>
      <c r="O127" s="18" t="str">
        <f ca="1">IF(Tableau1[[#This Row],[HS]]*24&gt;8,Tableau1[[#This Row],[HS]]-Tableau1[[#This Row],[Dont
HS 30%]],"")</f>
        <v/>
      </c>
      <c r="P127" s="18" t="e">
        <f ca="1">Tableau1[[#This Row],[Dont
HS 30%]]*1.3</f>
        <v>#VALUE!</v>
      </c>
      <c r="Q127" s="18" t="e">
        <f ca="1">Tableau1[[#This Row],[Dont 
HS 50%]]*1.5</f>
        <v>#VALUE!</v>
      </c>
    </row>
    <row r="128" spans="2:17" hidden="1" x14ac:dyDescent="0.25">
      <c r="B128" s="37">
        <f>_xlfn.ISOWEEKNUM(Tableau1[[#This Row],[Date]])</f>
        <v>31</v>
      </c>
      <c r="C128" s="14">
        <f>debut+ROW()-ROW(Tableau1[[#Headers],[Date]])-1</f>
        <v>44775</v>
      </c>
      <c r="D128" s="16">
        <f>MONTH(Tableau1[[#This Row],[Date]])</f>
        <v>8</v>
      </c>
      <c r="E128" s="16">
        <f>YEAR(Tableau1[[#This Row],[Date]])</f>
        <v>2022</v>
      </c>
      <c r="F128" s="32"/>
      <c r="G128" s="32"/>
      <c r="H128" s="32"/>
      <c r="I128" s="32"/>
      <c r="J128" s="3"/>
      <c r="K128" s="18">
        <f>MOD(Tableau1[[#This Row],[Fin
apm]]-Tableau1[[#This Row],[Début
apm]],1)+MOD(Tableau1[[#This Row],[Fin
matin]]-Tableau1[[#This Row],[Début
matin]],1)</f>
        <v>0</v>
      </c>
      <c r="L128" s="18">
        <f>IFERROR(VLOOKUP(Tableau1[[#This Row],[Abs.]],Tmotif[],3,0),0)</f>
        <v>0</v>
      </c>
      <c r="M128" s="18">
        <f ca="1">IF(WEEKDAY(Tableau1[[#This Row],[Date]],2)&lt;7,0,MAX(0,SUM(OFFSET(Tableau1[[#This Row],[Heures]],-6,,7))+SUM(OFFSET(Tableau1[[#This Row],[H_Abs]],-6,,7))-_HS))</f>
        <v>0</v>
      </c>
      <c r="N128" s="18" t="str">
        <f ca="1">IF(Tableau1[[#This Row],[HS]]&gt;0,IF(Tableau1[[#This Row],[HS]]*24&gt;8,8/24,Tableau1[[#This Row],[HS]]),"")</f>
        <v/>
      </c>
      <c r="O128" s="18" t="str">
        <f ca="1">IF(Tableau1[[#This Row],[HS]]*24&gt;8,Tableau1[[#This Row],[HS]]-Tableau1[[#This Row],[Dont
HS 30%]],"")</f>
        <v/>
      </c>
      <c r="P128" s="18" t="e">
        <f ca="1">Tableau1[[#This Row],[Dont
HS 30%]]*1.3</f>
        <v>#VALUE!</v>
      </c>
      <c r="Q128" s="18" t="e">
        <f ca="1">Tableau1[[#This Row],[Dont 
HS 50%]]*1.5</f>
        <v>#VALUE!</v>
      </c>
    </row>
    <row r="129" spans="2:17" hidden="1" x14ac:dyDescent="0.25">
      <c r="B129" s="37">
        <f>_xlfn.ISOWEEKNUM(Tableau1[[#This Row],[Date]])</f>
        <v>31</v>
      </c>
      <c r="C129" s="14">
        <f>debut+ROW()-ROW(Tableau1[[#Headers],[Date]])-1</f>
        <v>44776</v>
      </c>
      <c r="D129" s="16">
        <f>MONTH(Tableau1[[#This Row],[Date]])</f>
        <v>8</v>
      </c>
      <c r="E129" s="16">
        <f>YEAR(Tableau1[[#This Row],[Date]])</f>
        <v>2022</v>
      </c>
      <c r="F129" s="32"/>
      <c r="G129" s="32"/>
      <c r="H129" s="32"/>
      <c r="I129" s="32"/>
      <c r="J129" s="3"/>
      <c r="K129" s="18">
        <f>MOD(Tableau1[[#This Row],[Fin
apm]]-Tableau1[[#This Row],[Début
apm]],1)+MOD(Tableau1[[#This Row],[Fin
matin]]-Tableau1[[#This Row],[Début
matin]],1)</f>
        <v>0</v>
      </c>
      <c r="L129" s="18">
        <f>IFERROR(VLOOKUP(Tableau1[[#This Row],[Abs.]],Tmotif[],3,0),0)</f>
        <v>0</v>
      </c>
      <c r="M129" s="18">
        <f ca="1">IF(WEEKDAY(Tableau1[[#This Row],[Date]],2)&lt;7,0,MAX(0,SUM(OFFSET(Tableau1[[#This Row],[Heures]],-6,,7))+SUM(OFFSET(Tableau1[[#This Row],[H_Abs]],-6,,7))-_HS))</f>
        <v>0</v>
      </c>
      <c r="N129" s="18" t="str">
        <f ca="1">IF(Tableau1[[#This Row],[HS]]&gt;0,IF(Tableau1[[#This Row],[HS]]*24&gt;8,8/24,Tableau1[[#This Row],[HS]]),"")</f>
        <v/>
      </c>
      <c r="O129" s="18" t="str">
        <f ca="1">IF(Tableau1[[#This Row],[HS]]*24&gt;8,Tableau1[[#This Row],[HS]]-Tableau1[[#This Row],[Dont
HS 30%]],"")</f>
        <v/>
      </c>
      <c r="P129" s="18" t="e">
        <f ca="1">Tableau1[[#This Row],[Dont
HS 30%]]*1.3</f>
        <v>#VALUE!</v>
      </c>
      <c r="Q129" s="18" t="e">
        <f ca="1">Tableau1[[#This Row],[Dont 
HS 50%]]*1.5</f>
        <v>#VALUE!</v>
      </c>
    </row>
    <row r="130" spans="2:17" hidden="1" x14ac:dyDescent="0.25">
      <c r="B130" s="37">
        <f>_xlfn.ISOWEEKNUM(Tableau1[[#This Row],[Date]])</f>
        <v>31</v>
      </c>
      <c r="C130" s="14">
        <f>debut+ROW()-ROW(Tableau1[[#Headers],[Date]])-1</f>
        <v>44777</v>
      </c>
      <c r="D130" s="16">
        <f>MONTH(Tableau1[[#This Row],[Date]])</f>
        <v>8</v>
      </c>
      <c r="E130" s="16">
        <f>YEAR(Tableau1[[#This Row],[Date]])</f>
        <v>2022</v>
      </c>
      <c r="F130" s="32"/>
      <c r="G130" s="32"/>
      <c r="H130" s="32"/>
      <c r="I130" s="32"/>
      <c r="J130" s="3"/>
      <c r="K130" s="18">
        <f>MOD(Tableau1[[#This Row],[Fin
apm]]-Tableau1[[#This Row],[Début
apm]],1)+MOD(Tableau1[[#This Row],[Fin
matin]]-Tableau1[[#This Row],[Début
matin]],1)</f>
        <v>0</v>
      </c>
      <c r="L130" s="18">
        <f>IFERROR(VLOOKUP(Tableau1[[#This Row],[Abs.]],Tmotif[],3,0),0)</f>
        <v>0</v>
      </c>
      <c r="M130" s="18">
        <f ca="1">IF(WEEKDAY(Tableau1[[#This Row],[Date]],2)&lt;7,0,MAX(0,SUM(OFFSET(Tableau1[[#This Row],[Heures]],-6,,7))+SUM(OFFSET(Tableau1[[#This Row],[H_Abs]],-6,,7))-_HS))</f>
        <v>0</v>
      </c>
      <c r="N130" s="18" t="str">
        <f ca="1">IF(Tableau1[[#This Row],[HS]]&gt;0,IF(Tableau1[[#This Row],[HS]]*24&gt;8,8/24,Tableau1[[#This Row],[HS]]),"")</f>
        <v/>
      </c>
      <c r="O130" s="18" t="str">
        <f ca="1">IF(Tableau1[[#This Row],[HS]]*24&gt;8,Tableau1[[#This Row],[HS]]-Tableau1[[#This Row],[Dont
HS 30%]],"")</f>
        <v/>
      </c>
      <c r="P130" s="18" t="e">
        <f ca="1">Tableau1[[#This Row],[Dont
HS 30%]]*1.3</f>
        <v>#VALUE!</v>
      </c>
      <c r="Q130" s="18" t="e">
        <f ca="1">Tableau1[[#This Row],[Dont 
HS 50%]]*1.5</f>
        <v>#VALUE!</v>
      </c>
    </row>
    <row r="131" spans="2:17" hidden="1" x14ac:dyDescent="0.25">
      <c r="B131" s="37">
        <f>_xlfn.ISOWEEKNUM(Tableau1[[#This Row],[Date]])</f>
        <v>31</v>
      </c>
      <c r="C131" s="14">
        <f>debut+ROW()-ROW(Tableau1[[#Headers],[Date]])-1</f>
        <v>44778</v>
      </c>
      <c r="D131" s="16">
        <f>MONTH(Tableau1[[#This Row],[Date]])</f>
        <v>8</v>
      </c>
      <c r="E131" s="16">
        <f>YEAR(Tableau1[[#This Row],[Date]])</f>
        <v>2022</v>
      </c>
      <c r="F131" s="32"/>
      <c r="G131" s="32"/>
      <c r="H131" s="32"/>
      <c r="I131" s="32"/>
      <c r="J131" s="3"/>
      <c r="K131" s="18">
        <f>MOD(Tableau1[[#This Row],[Fin
apm]]-Tableau1[[#This Row],[Début
apm]],1)+MOD(Tableau1[[#This Row],[Fin
matin]]-Tableau1[[#This Row],[Début
matin]],1)</f>
        <v>0</v>
      </c>
      <c r="L131" s="18">
        <f>IFERROR(VLOOKUP(Tableau1[[#This Row],[Abs.]],Tmotif[],3,0),0)</f>
        <v>0</v>
      </c>
      <c r="M131" s="18">
        <f ca="1">IF(WEEKDAY(Tableau1[[#This Row],[Date]],2)&lt;7,0,MAX(0,SUM(OFFSET(Tableau1[[#This Row],[Heures]],-6,,7))+SUM(OFFSET(Tableau1[[#This Row],[H_Abs]],-6,,7))-_HS))</f>
        <v>0</v>
      </c>
      <c r="N131" s="18" t="str">
        <f ca="1">IF(Tableau1[[#This Row],[HS]]&gt;0,IF(Tableau1[[#This Row],[HS]]*24&gt;8,8/24,Tableau1[[#This Row],[HS]]),"")</f>
        <v/>
      </c>
      <c r="O131" s="18" t="str">
        <f ca="1">IF(Tableau1[[#This Row],[HS]]*24&gt;8,Tableau1[[#This Row],[HS]]-Tableau1[[#This Row],[Dont
HS 30%]],"")</f>
        <v/>
      </c>
      <c r="P131" s="18" t="e">
        <f ca="1">Tableau1[[#This Row],[Dont
HS 30%]]*1.3</f>
        <v>#VALUE!</v>
      </c>
      <c r="Q131" s="18" t="e">
        <f ca="1">Tableau1[[#This Row],[Dont 
HS 50%]]*1.5</f>
        <v>#VALUE!</v>
      </c>
    </row>
    <row r="132" spans="2:17" hidden="1" x14ac:dyDescent="0.25">
      <c r="B132" s="37">
        <f>_xlfn.ISOWEEKNUM(Tableau1[[#This Row],[Date]])</f>
        <v>31</v>
      </c>
      <c r="C132" s="14">
        <f>debut+ROW()-ROW(Tableau1[[#Headers],[Date]])-1</f>
        <v>44779</v>
      </c>
      <c r="D132" s="16">
        <f>MONTH(Tableau1[[#This Row],[Date]])</f>
        <v>8</v>
      </c>
      <c r="E132" s="16">
        <f>YEAR(Tableau1[[#This Row],[Date]])</f>
        <v>2022</v>
      </c>
      <c r="F132" s="32"/>
      <c r="G132" s="32"/>
      <c r="H132" s="32"/>
      <c r="I132" s="32"/>
      <c r="J132" s="3"/>
      <c r="K132" s="18">
        <f>MOD(Tableau1[[#This Row],[Fin
apm]]-Tableau1[[#This Row],[Début
apm]],1)+MOD(Tableau1[[#This Row],[Fin
matin]]-Tableau1[[#This Row],[Début
matin]],1)</f>
        <v>0</v>
      </c>
      <c r="L132" s="18">
        <f>IFERROR(VLOOKUP(Tableau1[[#This Row],[Abs.]],Tmotif[],3,0),0)</f>
        <v>0</v>
      </c>
      <c r="M132" s="18">
        <f ca="1">IF(WEEKDAY(Tableau1[[#This Row],[Date]],2)&lt;7,0,MAX(0,SUM(OFFSET(Tableau1[[#This Row],[Heures]],-6,,7))+SUM(OFFSET(Tableau1[[#This Row],[H_Abs]],-6,,7))-_HS))</f>
        <v>0</v>
      </c>
      <c r="N132" s="18" t="str">
        <f ca="1">IF(Tableau1[[#This Row],[HS]]&gt;0,IF(Tableau1[[#This Row],[HS]]*24&gt;8,8/24,Tableau1[[#This Row],[HS]]),"")</f>
        <v/>
      </c>
      <c r="O132" s="18" t="str">
        <f ca="1">IF(Tableau1[[#This Row],[HS]]*24&gt;8,Tableau1[[#This Row],[HS]]-Tableau1[[#This Row],[Dont
HS 30%]],"")</f>
        <v/>
      </c>
      <c r="P132" s="18" t="e">
        <f ca="1">Tableau1[[#This Row],[Dont
HS 30%]]*1.3</f>
        <v>#VALUE!</v>
      </c>
      <c r="Q132" s="18" t="e">
        <f ca="1">Tableau1[[#This Row],[Dont 
HS 50%]]*1.5</f>
        <v>#VALUE!</v>
      </c>
    </row>
    <row r="133" spans="2:17" hidden="1" x14ac:dyDescent="0.25">
      <c r="B133" s="37">
        <f>_xlfn.ISOWEEKNUM(Tableau1[[#This Row],[Date]])</f>
        <v>31</v>
      </c>
      <c r="C133" s="14">
        <f>debut+ROW()-ROW(Tableau1[[#Headers],[Date]])-1</f>
        <v>44780</v>
      </c>
      <c r="D133" s="16">
        <f>MONTH(Tableau1[[#This Row],[Date]])</f>
        <v>8</v>
      </c>
      <c r="E133" s="16">
        <f>YEAR(Tableau1[[#This Row],[Date]])</f>
        <v>2022</v>
      </c>
      <c r="F133" s="32"/>
      <c r="G133" s="32"/>
      <c r="H133" s="32"/>
      <c r="I133" s="32"/>
      <c r="J133" s="3"/>
      <c r="K133" s="18">
        <f>MOD(Tableau1[[#This Row],[Fin
apm]]-Tableau1[[#This Row],[Début
apm]],1)+MOD(Tableau1[[#This Row],[Fin
matin]]-Tableau1[[#This Row],[Début
matin]],1)</f>
        <v>0</v>
      </c>
      <c r="L133" s="18">
        <f>IFERROR(VLOOKUP(Tableau1[[#This Row],[Abs.]],Tmotif[],3,0),0)</f>
        <v>0</v>
      </c>
      <c r="M133" s="18">
        <f ca="1">IF(WEEKDAY(Tableau1[[#This Row],[Date]],2)&lt;7,0,MAX(0,SUM(OFFSET(Tableau1[[#This Row],[Heures]],-6,,7))+SUM(OFFSET(Tableau1[[#This Row],[H_Abs]],-6,,7))-_HS))</f>
        <v>0</v>
      </c>
      <c r="N133" s="18" t="str">
        <f ca="1">IF(Tableau1[[#This Row],[HS]]&gt;0,IF(Tableau1[[#This Row],[HS]]*24&gt;8,8/24,Tableau1[[#This Row],[HS]]),"")</f>
        <v/>
      </c>
      <c r="O133" s="18" t="str">
        <f ca="1">IF(Tableau1[[#This Row],[HS]]*24&gt;8,Tableau1[[#This Row],[HS]]-Tableau1[[#This Row],[Dont
HS 30%]],"")</f>
        <v/>
      </c>
      <c r="P133" s="18" t="e">
        <f ca="1">Tableau1[[#This Row],[Dont
HS 30%]]*1.3</f>
        <v>#VALUE!</v>
      </c>
      <c r="Q133" s="18" t="e">
        <f ca="1">Tableau1[[#This Row],[Dont 
HS 50%]]*1.5</f>
        <v>#VALUE!</v>
      </c>
    </row>
    <row r="134" spans="2:17" hidden="1" x14ac:dyDescent="0.25">
      <c r="B134" s="37">
        <f>_xlfn.ISOWEEKNUM(Tableau1[[#This Row],[Date]])</f>
        <v>32</v>
      </c>
      <c r="C134" s="14">
        <f>debut+ROW()-ROW(Tableau1[[#Headers],[Date]])-1</f>
        <v>44781</v>
      </c>
      <c r="D134" s="16">
        <f>MONTH(Tableau1[[#This Row],[Date]])</f>
        <v>8</v>
      </c>
      <c r="E134" s="16">
        <f>YEAR(Tableau1[[#This Row],[Date]])</f>
        <v>2022</v>
      </c>
      <c r="F134" s="32"/>
      <c r="G134" s="32"/>
      <c r="H134" s="32"/>
      <c r="I134" s="32"/>
      <c r="J134" s="3"/>
      <c r="K134" s="18">
        <f>MOD(Tableau1[[#This Row],[Fin
apm]]-Tableau1[[#This Row],[Début
apm]],1)+MOD(Tableau1[[#This Row],[Fin
matin]]-Tableau1[[#This Row],[Début
matin]],1)</f>
        <v>0</v>
      </c>
      <c r="L134" s="18">
        <f>IFERROR(VLOOKUP(Tableau1[[#This Row],[Abs.]],Tmotif[],3,0),0)</f>
        <v>0</v>
      </c>
      <c r="M134" s="18">
        <f ca="1">IF(WEEKDAY(Tableau1[[#This Row],[Date]],2)&lt;7,0,MAX(0,SUM(OFFSET(Tableau1[[#This Row],[Heures]],-6,,7))+SUM(OFFSET(Tableau1[[#This Row],[H_Abs]],-6,,7))-_HS))</f>
        <v>0</v>
      </c>
      <c r="N134" s="18" t="str">
        <f ca="1">IF(Tableau1[[#This Row],[HS]]&gt;0,IF(Tableau1[[#This Row],[HS]]*24&gt;8,8/24,Tableau1[[#This Row],[HS]]),"")</f>
        <v/>
      </c>
      <c r="O134" s="18" t="str">
        <f ca="1">IF(Tableau1[[#This Row],[HS]]*24&gt;8,Tableau1[[#This Row],[HS]]-Tableau1[[#This Row],[Dont
HS 30%]],"")</f>
        <v/>
      </c>
      <c r="P134" s="18" t="e">
        <f ca="1">Tableau1[[#This Row],[Dont
HS 30%]]*1.3</f>
        <v>#VALUE!</v>
      </c>
      <c r="Q134" s="18" t="e">
        <f ca="1">Tableau1[[#This Row],[Dont 
HS 50%]]*1.5</f>
        <v>#VALUE!</v>
      </c>
    </row>
    <row r="135" spans="2:17" hidden="1" x14ac:dyDescent="0.25">
      <c r="B135" s="37">
        <f>_xlfn.ISOWEEKNUM(Tableau1[[#This Row],[Date]])</f>
        <v>32</v>
      </c>
      <c r="C135" s="14">
        <f>debut+ROW()-ROW(Tableau1[[#Headers],[Date]])-1</f>
        <v>44782</v>
      </c>
      <c r="D135" s="16">
        <f>MONTH(Tableau1[[#This Row],[Date]])</f>
        <v>8</v>
      </c>
      <c r="E135" s="16">
        <f>YEAR(Tableau1[[#This Row],[Date]])</f>
        <v>2022</v>
      </c>
      <c r="F135" s="32"/>
      <c r="G135" s="32"/>
      <c r="H135" s="32"/>
      <c r="I135" s="32"/>
      <c r="J135" s="3"/>
      <c r="K135" s="18">
        <f>MOD(Tableau1[[#This Row],[Fin
apm]]-Tableau1[[#This Row],[Début
apm]],1)+MOD(Tableau1[[#This Row],[Fin
matin]]-Tableau1[[#This Row],[Début
matin]],1)</f>
        <v>0</v>
      </c>
      <c r="L135" s="18">
        <f>IFERROR(VLOOKUP(Tableau1[[#This Row],[Abs.]],Tmotif[],3,0),0)</f>
        <v>0</v>
      </c>
      <c r="M135" s="18">
        <f ca="1">IF(WEEKDAY(Tableau1[[#This Row],[Date]],2)&lt;7,0,MAX(0,SUM(OFFSET(Tableau1[[#This Row],[Heures]],-6,,7))+SUM(OFFSET(Tableau1[[#This Row],[H_Abs]],-6,,7))-_HS))</f>
        <v>0</v>
      </c>
      <c r="N135" s="18" t="str">
        <f ca="1">IF(Tableau1[[#This Row],[HS]]&gt;0,IF(Tableau1[[#This Row],[HS]]*24&gt;8,8/24,Tableau1[[#This Row],[HS]]),"")</f>
        <v/>
      </c>
      <c r="O135" s="18" t="str">
        <f ca="1">IF(Tableau1[[#This Row],[HS]]*24&gt;8,Tableau1[[#This Row],[HS]]-Tableau1[[#This Row],[Dont
HS 30%]],"")</f>
        <v/>
      </c>
      <c r="P135" s="18" t="e">
        <f ca="1">Tableau1[[#This Row],[Dont
HS 30%]]*1.3</f>
        <v>#VALUE!</v>
      </c>
      <c r="Q135" s="18" t="e">
        <f ca="1">Tableau1[[#This Row],[Dont 
HS 50%]]*1.5</f>
        <v>#VALUE!</v>
      </c>
    </row>
    <row r="136" spans="2:17" hidden="1" x14ac:dyDescent="0.25">
      <c r="B136" s="37">
        <f>_xlfn.ISOWEEKNUM(Tableau1[[#This Row],[Date]])</f>
        <v>32</v>
      </c>
      <c r="C136" s="14">
        <f>debut+ROW()-ROW(Tableau1[[#Headers],[Date]])-1</f>
        <v>44783</v>
      </c>
      <c r="D136" s="16">
        <f>MONTH(Tableau1[[#This Row],[Date]])</f>
        <v>8</v>
      </c>
      <c r="E136" s="16">
        <f>YEAR(Tableau1[[#This Row],[Date]])</f>
        <v>2022</v>
      </c>
      <c r="F136" s="32"/>
      <c r="G136" s="32"/>
      <c r="H136" s="32"/>
      <c r="I136" s="32"/>
      <c r="J136" s="3"/>
      <c r="K136" s="18">
        <f>MOD(Tableau1[[#This Row],[Fin
apm]]-Tableau1[[#This Row],[Début
apm]],1)+MOD(Tableau1[[#This Row],[Fin
matin]]-Tableau1[[#This Row],[Début
matin]],1)</f>
        <v>0</v>
      </c>
      <c r="L136" s="18">
        <f>IFERROR(VLOOKUP(Tableau1[[#This Row],[Abs.]],Tmotif[],3,0),0)</f>
        <v>0</v>
      </c>
      <c r="M136" s="18">
        <f ca="1">IF(WEEKDAY(Tableau1[[#This Row],[Date]],2)&lt;7,0,MAX(0,SUM(OFFSET(Tableau1[[#This Row],[Heures]],-6,,7))+SUM(OFFSET(Tableau1[[#This Row],[H_Abs]],-6,,7))-_HS))</f>
        <v>0</v>
      </c>
      <c r="N136" s="18" t="str">
        <f ca="1">IF(Tableau1[[#This Row],[HS]]&gt;0,IF(Tableau1[[#This Row],[HS]]*24&gt;8,8/24,Tableau1[[#This Row],[HS]]),"")</f>
        <v/>
      </c>
      <c r="O136" s="18" t="str">
        <f ca="1">IF(Tableau1[[#This Row],[HS]]*24&gt;8,Tableau1[[#This Row],[HS]]-Tableau1[[#This Row],[Dont
HS 30%]],"")</f>
        <v/>
      </c>
      <c r="P136" s="18" t="e">
        <f ca="1">Tableau1[[#This Row],[Dont
HS 30%]]*1.3</f>
        <v>#VALUE!</v>
      </c>
      <c r="Q136" s="18" t="e">
        <f ca="1">Tableau1[[#This Row],[Dont 
HS 50%]]*1.5</f>
        <v>#VALUE!</v>
      </c>
    </row>
    <row r="137" spans="2:17" hidden="1" x14ac:dyDescent="0.25">
      <c r="B137" s="37">
        <f>_xlfn.ISOWEEKNUM(Tableau1[[#This Row],[Date]])</f>
        <v>32</v>
      </c>
      <c r="C137" s="14">
        <f>debut+ROW()-ROW(Tableau1[[#Headers],[Date]])-1</f>
        <v>44784</v>
      </c>
      <c r="D137" s="16">
        <f>MONTH(Tableau1[[#This Row],[Date]])</f>
        <v>8</v>
      </c>
      <c r="E137" s="16">
        <f>YEAR(Tableau1[[#This Row],[Date]])</f>
        <v>2022</v>
      </c>
      <c r="F137" s="32"/>
      <c r="G137" s="32"/>
      <c r="H137" s="32"/>
      <c r="I137" s="32"/>
      <c r="J137" s="3"/>
      <c r="K137" s="18">
        <f>MOD(Tableau1[[#This Row],[Fin
apm]]-Tableau1[[#This Row],[Début
apm]],1)+MOD(Tableau1[[#This Row],[Fin
matin]]-Tableau1[[#This Row],[Début
matin]],1)</f>
        <v>0</v>
      </c>
      <c r="L137" s="18">
        <f>IFERROR(VLOOKUP(Tableau1[[#This Row],[Abs.]],Tmotif[],3,0),0)</f>
        <v>0</v>
      </c>
      <c r="M137" s="18">
        <f ca="1">IF(WEEKDAY(Tableau1[[#This Row],[Date]],2)&lt;7,0,MAX(0,SUM(OFFSET(Tableau1[[#This Row],[Heures]],-6,,7))+SUM(OFFSET(Tableau1[[#This Row],[H_Abs]],-6,,7))-_HS))</f>
        <v>0</v>
      </c>
      <c r="N137" s="18" t="str">
        <f ca="1">IF(Tableau1[[#This Row],[HS]]&gt;0,IF(Tableau1[[#This Row],[HS]]*24&gt;8,8/24,Tableau1[[#This Row],[HS]]),"")</f>
        <v/>
      </c>
      <c r="O137" s="18" t="str">
        <f ca="1">IF(Tableau1[[#This Row],[HS]]*24&gt;8,Tableau1[[#This Row],[HS]]-Tableau1[[#This Row],[Dont
HS 30%]],"")</f>
        <v/>
      </c>
      <c r="P137" s="18" t="e">
        <f ca="1">Tableau1[[#This Row],[Dont
HS 30%]]*1.3</f>
        <v>#VALUE!</v>
      </c>
      <c r="Q137" s="18" t="e">
        <f ca="1">Tableau1[[#This Row],[Dont 
HS 50%]]*1.5</f>
        <v>#VALUE!</v>
      </c>
    </row>
    <row r="138" spans="2:17" hidden="1" x14ac:dyDescent="0.25">
      <c r="B138" s="37">
        <f>_xlfn.ISOWEEKNUM(Tableau1[[#This Row],[Date]])</f>
        <v>32</v>
      </c>
      <c r="C138" s="14">
        <f>debut+ROW()-ROW(Tableau1[[#Headers],[Date]])-1</f>
        <v>44785</v>
      </c>
      <c r="D138" s="16">
        <f>MONTH(Tableau1[[#This Row],[Date]])</f>
        <v>8</v>
      </c>
      <c r="E138" s="16">
        <f>YEAR(Tableau1[[#This Row],[Date]])</f>
        <v>2022</v>
      </c>
      <c r="F138" s="32"/>
      <c r="G138" s="32"/>
      <c r="H138" s="32"/>
      <c r="I138" s="32"/>
      <c r="J138" s="3"/>
      <c r="K138" s="18">
        <f>MOD(Tableau1[[#This Row],[Fin
apm]]-Tableau1[[#This Row],[Début
apm]],1)+MOD(Tableau1[[#This Row],[Fin
matin]]-Tableau1[[#This Row],[Début
matin]],1)</f>
        <v>0</v>
      </c>
      <c r="L138" s="18">
        <f>IFERROR(VLOOKUP(Tableau1[[#This Row],[Abs.]],Tmotif[],3,0),0)</f>
        <v>0</v>
      </c>
      <c r="M138" s="18">
        <f ca="1">IF(WEEKDAY(Tableau1[[#This Row],[Date]],2)&lt;7,0,MAX(0,SUM(OFFSET(Tableau1[[#This Row],[Heures]],-6,,7))+SUM(OFFSET(Tableau1[[#This Row],[H_Abs]],-6,,7))-_HS))</f>
        <v>0</v>
      </c>
      <c r="N138" s="18" t="str">
        <f ca="1">IF(Tableau1[[#This Row],[HS]]&gt;0,IF(Tableau1[[#This Row],[HS]]*24&gt;8,8/24,Tableau1[[#This Row],[HS]]),"")</f>
        <v/>
      </c>
      <c r="O138" s="18" t="str">
        <f ca="1">IF(Tableau1[[#This Row],[HS]]*24&gt;8,Tableau1[[#This Row],[HS]]-Tableau1[[#This Row],[Dont
HS 30%]],"")</f>
        <v/>
      </c>
      <c r="P138" s="18" t="e">
        <f ca="1">Tableau1[[#This Row],[Dont
HS 30%]]*1.3</f>
        <v>#VALUE!</v>
      </c>
      <c r="Q138" s="18" t="e">
        <f ca="1">Tableau1[[#This Row],[Dont 
HS 50%]]*1.5</f>
        <v>#VALUE!</v>
      </c>
    </row>
    <row r="139" spans="2:17" hidden="1" x14ac:dyDescent="0.25">
      <c r="B139" s="37">
        <f>_xlfn.ISOWEEKNUM(Tableau1[[#This Row],[Date]])</f>
        <v>32</v>
      </c>
      <c r="C139" s="14">
        <f>debut+ROW()-ROW(Tableau1[[#Headers],[Date]])-1</f>
        <v>44786</v>
      </c>
      <c r="D139" s="16">
        <f>MONTH(Tableau1[[#This Row],[Date]])</f>
        <v>8</v>
      </c>
      <c r="E139" s="16">
        <f>YEAR(Tableau1[[#This Row],[Date]])</f>
        <v>2022</v>
      </c>
      <c r="F139" s="32"/>
      <c r="G139" s="32"/>
      <c r="H139" s="32"/>
      <c r="I139" s="32"/>
      <c r="J139" s="3"/>
      <c r="K139" s="18">
        <f>MOD(Tableau1[[#This Row],[Fin
apm]]-Tableau1[[#This Row],[Début
apm]],1)+MOD(Tableau1[[#This Row],[Fin
matin]]-Tableau1[[#This Row],[Début
matin]],1)</f>
        <v>0</v>
      </c>
      <c r="L139" s="18">
        <f>IFERROR(VLOOKUP(Tableau1[[#This Row],[Abs.]],Tmotif[],3,0),0)</f>
        <v>0</v>
      </c>
      <c r="M139" s="18">
        <f ca="1">IF(WEEKDAY(Tableau1[[#This Row],[Date]],2)&lt;7,0,MAX(0,SUM(OFFSET(Tableau1[[#This Row],[Heures]],-6,,7))+SUM(OFFSET(Tableau1[[#This Row],[H_Abs]],-6,,7))-_HS))</f>
        <v>0</v>
      </c>
      <c r="N139" s="18" t="str">
        <f ca="1">IF(Tableau1[[#This Row],[HS]]&gt;0,IF(Tableau1[[#This Row],[HS]]*24&gt;8,8/24,Tableau1[[#This Row],[HS]]),"")</f>
        <v/>
      </c>
      <c r="O139" s="18" t="str">
        <f ca="1">IF(Tableau1[[#This Row],[HS]]*24&gt;8,Tableau1[[#This Row],[HS]]-Tableau1[[#This Row],[Dont
HS 30%]],"")</f>
        <v/>
      </c>
      <c r="P139" s="18" t="e">
        <f ca="1">Tableau1[[#This Row],[Dont
HS 30%]]*1.3</f>
        <v>#VALUE!</v>
      </c>
      <c r="Q139" s="18" t="e">
        <f ca="1">Tableau1[[#This Row],[Dont 
HS 50%]]*1.5</f>
        <v>#VALUE!</v>
      </c>
    </row>
    <row r="140" spans="2:17" hidden="1" x14ac:dyDescent="0.25">
      <c r="B140" s="37">
        <f>_xlfn.ISOWEEKNUM(Tableau1[[#This Row],[Date]])</f>
        <v>32</v>
      </c>
      <c r="C140" s="14">
        <f>debut+ROW()-ROW(Tableau1[[#Headers],[Date]])-1</f>
        <v>44787</v>
      </c>
      <c r="D140" s="16">
        <f>MONTH(Tableau1[[#This Row],[Date]])</f>
        <v>8</v>
      </c>
      <c r="E140" s="16">
        <f>YEAR(Tableau1[[#This Row],[Date]])</f>
        <v>2022</v>
      </c>
      <c r="F140" s="32"/>
      <c r="G140" s="32"/>
      <c r="H140" s="32"/>
      <c r="I140" s="32"/>
      <c r="J140" s="3"/>
      <c r="K140" s="18">
        <f>MOD(Tableau1[[#This Row],[Fin
apm]]-Tableau1[[#This Row],[Début
apm]],1)+MOD(Tableau1[[#This Row],[Fin
matin]]-Tableau1[[#This Row],[Début
matin]],1)</f>
        <v>0</v>
      </c>
      <c r="L140" s="18">
        <f>IFERROR(VLOOKUP(Tableau1[[#This Row],[Abs.]],Tmotif[],3,0),0)</f>
        <v>0</v>
      </c>
      <c r="M140" s="18">
        <f ca="1">IF(WEEKDAY(Tableau1[[#This Row],[Date]],2)&lt;7,0,MAX(0,SUM(OFFSET(Tableau1[[#This Row],[Heures]],-6,,7))+SUM(OFFSET(Tableau1[[#This Row],[H_Abs]],-6,,7))-_HS))</f>
        <v>0</v>
      </c>
      <c r="N140" s="18" t="str">
        <f ca="1">IF(Tableau1[[#This Row],[HS]]&gt;0,IF(Tableau1[[#This Row],[HS]]*24&gt;8,8/24,Tableau1[[#This Row],[HS]]),"")</f>
        <v/>
      </c>
      <c r="O140" s="18" t="str">
        <f ca="1">IF(Tableau1[[#This Row],[HS]]*24&gt;8,Tableau1[[#This Row],[HS]]-Tableau1[[#This Row],[Dont
HS 30%]],"")</f>
        <v/>
      </c>
      <c r="P140" s="18" t="e">
        <f ca="1">Tableau1[[#This Row],[Dont
HS 30%]]*1.3</f>
        <v>#VALUE!</v>
      </c>
      <c r="Q140" s="18" t="e">
        <f ca="1">Tableau1[[#This Row],[Dont 
HS 50%]]*1.5</f>
        <v>#VALUE!</v>
      </c>
    </row>
    <row r="141" spans="2:17" hidden="1" x14ac:dyDescent="0.25">
      <c r="B141" s="37">
        <f>_xlfn.ISOWEEKNUM(Tableau1[[#This Row],[Date]])</f>
        <v>33</v>
      </c>
      <c r="C141" s="14">
        <f>debut+ROW()-ROW(Tableau1[[#Headers],[Date]])-1</f>
        <v>44788</v>
      </c>
      <c r="D141" s="16">
        <f>MONTH(Tableau1[[#This Row],[Date]])</f>
        <v>8</v>
      </c>
      <c r="E141" s="16">
        <f>YEAR(Tableau1[[#This Row],[Date]])</f>
        <v>2022</v>
      </c>
      <c r="F141" s="32"/>
      <c r="G141" s="32"/>
      <c r="H141" s="32"/>
      <c r="I141" s="32"/>
      <c r="J141" s="3"/>
      <c r="K141" s="18">
        <f>MOD(Tableau1[[#This Row],[Fin
apm]]-Tableau1[[#This Row],[Début
apm]],1)+MOD(Tableau1[[#This Row],[Fin
matin]]-Tableau1[[#This Row],[Début
matin]],1)</f>
        <v>0</v>
      </c>
      <c r="L141" s="18">
        <f>IFERROR(VLOOKUP(Tableau1[[#This Row],[Abs.]],Tmotif[],3,0),0)</f>
        <v>0</v>
      </c>
      <c r="M141" s="18">
        <f ca="1">IF(WEEKDAY(Tableau1[[#This Row],[Date]],2)&lt;7,0,MAX(0,SUM(OFFSET(Tableau1[[#This Row],[Heures]],-6,,7))+SUM(OFFSET(Tableau1[[#This Row],[H_Abs]],-6,,7))-_HS))</f>
        <v>0</v>
      </c>
      <c r="N141" s="18" t="str">
        <f ca="1">IF(Tableau1[[#This Row],[HS]]&gt;0,IF(Tableau1[[#This Row],[HS]]*24&gt;8,8/24,Tableau1[[#This Row],[HS]]),"")</f>
        <v/>
      </c>
      <c r="O141" s="18" t="str">
        <f ca="1">IF(Tableau1[[#This Row],[HS]]*24&gt;8,Tableau1[[#This Row],[HS]]-Tableau1[[#This Row],[Dont
HS 30%]],"")</f>
        <v/>
      </c>
      <c r="P141" s="18" t="e">
        <f ca="1">Tableau1[[#This Row],[Dont
HS 30%]]*1.3</f>
        <v>#VALUE!</v>
      </c>
      <c r="Q141" s="18" t="e">
        <f ca="1">Tableau1[[#This Row],[Dont 
HS 50%]]*1.5</f>
        <v>#VALUE!</v>
      </c>
    </row>
    <row r="142" spans="2:17" hidden="1" x14ac:dyDescent="0.25">
      <c r="B142" s="37">
        <f>_xlfn.ISOWEEKNUM(Tableau1[[#This Row],[Date]])</f>
        <v>33</v>
      </c>
      <c r="C142" s="14">
        <f>debut+ROW()-ROW(Tableau1[[#Headers],[Date]])-1</f>
        <v>44789</v>
      </c>
      <c r="D142" s="16">
        <f>MONTH(Tableau1[[#This Row],[Date]])</f>
        <v>8</v>
      </c>
      <c r="E142" s="16">
        <f>YEAR(Tableau1[[#This Row],[Date]])</f>
        <v>2022</v>
      </c>
      <c r="F142" s="32"/>
      <c r="G142" s="32"/>
      <c r="H142" s="32"/>
      <c r="I142" s="32"/>
      <c r="J142" s="3"/>
      <c r="K142" s="18">
        <f>MOD(Tableau1[[#This Row],[Fin
apm]]-Tableau1[[#This Row],[Début
apm]],1)+MOD(Tableau1[[#This Row],[Fin
matin]]-Tableau1[[#This Row],[Début
matin]],1)</f>
        <v>0</v>
      </c>
      <c r="L142" s="18">
        <f>IFERROR(VLOOKUP(Tableau1[[#This Row],[Abs.]],Tmotif[],3,0),0)</f>
        <v>0</v>
      </c>
      <c r="M142" s="18">
        <f ca="1">IF(WEEKDAY(Tableau1[[#This Row],[Date]],2)&lt;7,0,MAX(0,SUM(OFFSET(Tableau1[[#This Row],[Heures]],-6,,7))+SUM(OFFSET(Tableau1[[#This Row],[H_Abs]],-6,,7))-_HS))</f>
        <v>0</v>
      </c>
      <c r="N142" s="18" t="str">
        <f ca="1">IF(Tableau1[[#This Row],[HS]]&gt;0,IF(Tableau1[[#This Row],[HS]]*24&gt;8,8/24,Tableau1[[#This Row],[HS]]),"")</f>
        <v/>
      </c>
      <c r="O142" s="18" t="str">
        <f ca="1">IF(Tableau1[[#This Row],[HS]]*24&gt;8,Tableau1[[#This Row],[HS]]-Tableau1[[#This Row],[Dont
HS 30%]],"")</f>
        <v/>
      </c>
      <c r="P142" s="18" t="e">
        <f ca="1">Tableau1[[#This Row],[Dont
HS 30%]]*1.3</f>
        <v>#VALUE!</v>
      </c>
      <c r="Q142" s="18" t="e">
        <f ca="1">Tableau1[[#This Row],[Dont 
HS 50%]]*1.5</f>
        <v>#VALUE!</v>
      </c>
    </row>
    <row r="143" spans="2:17" hidden="1" x14ac:dyDescent="0.25">
      <c r="B143" s="37">
        <f>_xlfn.ISOWEEKNUM(Tableau1[[#This Row],[Date]])</f>
        <v>33</v>
      </c>
      <c r="C143" s="14">
        <f>debut+ROW()-ROW(Tableau1[[#Headers],[Date]])-1</f>
        <v>44790</v>
      </c>
      <c r="D143" s="16">
        <f>MONTH(Tableau1[[#This Row],[Date]])</f>
        <v>8</v>
      </c>
      <c r="E143" s="16">
        <f>YEAR(Tableau1[[#This Row],[Date]])</f>
        <v>2022</v>
      </c>
      <c r="F143" s="32"/>
      <c r="G143" s="32"/>
      <c r="H143" s="32"/>
      <c r="I143" s="32"/>
      <c r="J143" s="3"/>
      <c r="K143" s="18">
        <f>MOD(Tableau1[[#This Row],[Fin
apm]]-Tableau1[[#This Row],[Début
apm]],1)+MOD(Tableau1[[#This Row],[Fin
matin]]-Tableau1[[#This Row],[Début
matin]],1)</f>
        <v>0</v>
      </c>
      <c r="L143" s="18">
        <f>IFERROR(VLOOKUP(Tableau1[[#This Row],[Abs.]],Tmotif[],3,0),0)</f>
        <v>0</v>
      </c>
      <c r="M143" s="18">
        <f ca="1">IF(WEEKDAY(Tableau1[[#This Row],[Date]],2)&lt;7,0,MAX(0,SUM(OFFSET(Tableau1[[#This Row],[Heures]],-6,,7))+SUM(OFFSET(Tableau1[[#This Row],[H_Abs]],-6,,7))-_HS))</f>
        <v>0</v>
      </c>
      <c r="N143" s="18" t="str">
        <f ca="1">IF(Tableau1[[#This Row],[HS]]&gt;0,IF(Tableau1[[#This Row],[HS]]*24&gt;8,8/24,Tableau1[[#This Row],[HS]]),"")</f>
        <v/>
      </c>
      <c r="O143" s="18" t="str">
        <f ca="1">IF(Tableau1[[#This Row],[HS]]*24&gt;8,Tableau1[[#This Row],[HS]]-Tableau1[[#This Row],[Dont
HS 30%]],"")</f>
        <v/>
      </c>
      <c r="P143" s="18" t="e">
        <f ca="1">Tableau1[[#This Row],[Dont
HS 30%]]*1.3</f>
        <v>#VALUE!</v>
      </c>
      <c r="Q143" s="18" t="e">
        <f ca="1">Tableau1[[#This Row],[Dont 
HS 50%]]*1.5</f>
        <v>#VALUE!</v>
      </c>
    </row>
    <row r="144" spans="2:17" hidden="1" x14ac:dyDescent="0.25">
      <c r="B144" s="37">
        <f>_xlfn.ISOWEEKNUM(Tableau1[[#This Row],[Date]])</f>
        <v>33</v>
      </c>
      <c r="C144" s="14">
        <f>debut+ROW()-ROW(Tableau1[[#Headers],[Date]])-1</f>
        <v>44791</v>
      </c>
      <c r="D144" s="16">
        <f>MONTH(Tableau1[[#This Row],[Date]])</f>
        <v>8</v>
      </c>
      <c r="E144" s="16">
        <f>YEAR(Tableau1[[#This Row],[Date]])</f>
        <v>2022</v>
      </c>
      <c r="F144" s="32"/>
      <c r="G144" s="32"/>
      <c r="H144" s="32"/>
      <c r="I144" s="32"/>
      <c r="J144" s="3"/>
      <c r="K144" s="18">
        <f>MOD(Tableau1[[#This Row],[Fin
apm]]-Tableau1[[#This Row],[Début
apm]],1)+MOD(Tableau1[[#This Row],[Fin
matin]]-Tableau1[[#This Row],[Début
matin]],1)</f>
        <v>0</v>
      </c>
      <c r="L144" s="18">
        <f>IFERROR(VLOOKUP(Tableau1[[#This Row],[Abs.]],Tmotif[],3,0),0)</f>
        <v>0</v>
      </c>
      <c r="M144" s="18">
        <f ca="1">IF(WEEKDAY(Tableau1[[#This Row],[Date]],2)&lt;7,0,MAX(0,SUM(OFFSET(Tableau1[[#This Row],[Heures]],-6,,7))+SUM(OFFSET(Tableau1[[#This Row],[H_Abs]],-6,,7))-_HS))</f>
        <v>0</v>
      </c>
      <c r="N144" s="18" t="str">
        <f ca="1">IF(Tableau1[[#This Row],[HS]]&gt;0,IF(Tableau1[[#This Row],[HS]]*24&gt;8,8/24,Tableau1[[#This Row],[HS]]),"")</f>
        <v/>
      </c>
      <c r="O144" s="18" t="str">
        <f ca="1">IF(Tableau1[[#This Row],[HS]]*24&gt;8,Tableau1[[#This Row],[HS]]-Tableau1[[#This Row],[Dont
HS 30%]],"")</f>
        <v/>
      </c>
      <c r="P144" s="18" t="e">
        <f ca="1">Tableau1[[#This Row],[Dont
HS 30%]]*1.3</f>
        <v>#VALUE!</v>
      </c>
      <c r="Q144" s="18" t="e">
        <f ca="1">Tableau1[[#This Row],[Dont 
HS 50%]]*1.5</f>
        <v>#VALUE!</v>
      </c>
    </row>
    <row r="145" spans="2:17" hidden="1" x14ac:dyDescent="0.25">
      <c r="B145" s="37">
        <f>_xlfn.ISOWEEKNUM(Tableau1[[#This Row],[Date]])</f>
        <v>33</v>
      </c>
      <c r="C145" s="14">
        <f>debut+ROW()-ROW(Tableau1[[#Headers],[Date]])-1</f>
        <v>44792</v>
      </c>
      <c r="D145" s="16">
        <f>MONTH(Tableau1[[#This Row],[Date]])</f>
        <v>8</v>
      </c>
      <c r="E145" s="16">
        <f>YEAR(Tableau1[[#This Row],[Date]])</f>
        <v>2022</v>
      </c>
      <c r="F145" s="32"/>
      <c r="G145" s="32"/>
      <c r="H145" s="32"/>
      <c r="I145" s="32"/>
      <c r="J145" s="3"/>
      <c r="K145" s="18">
        <f>MOD(Tableau1[[#This Row],[Fin
apm]]-Tableau1[[#This Row],[Début
apm]],1)+MOD(Tableau1[[#This Row],[Fin
matin]]-Tableau1[[#This Row],[Début
matin]],1)</f>
        <v>0</v>
      </c>
      <c r="L145" s="18">
        <f>IFERROR(VLOOKUP(Tableau1[[#This Row],[Abs.]],Tmotif[],3,0),0)</f>
        <v>0</v>
      </c>
      <c r="M145" s="18">
        <f ca="1">IF(WEEKDAY(Tableau1[[#This Row],[Date]],2)&lt;7,0,MAX(0,SUM(OFFSET(Tableau1[[#This Row],[Heures]],-6,,7))+SUM(OFFSET(Tableau1[[#This Row],[H_Abs]],-6,,7))-_HS))</f>
        <v>0</v>
      </c>
      <c r="N145" s="18" t="str">
        <f ca="1">IF(Tableau1[[#This Row],[HS]]&gt;0,IF(Tableau1[[#This Row],[HS]]*24&gt;8,8/24,Tableau1[[#This Row],[HS]]),"")</f>
        <v/>
      </c>
      <c r="O145" s="18" t="str">
        <f ca="1">IF(Tableau1[[#This Row],[HS]]*24&gt;8,Tableau1[[#This Row],[HS]]-Tableau1[[#This Row],[Dont
HS 30%]],"")</f>
        <v/>
      </c>
      <c r="P145" s="18" t="e">
        <f ca="1">Tableau1[[#This Row],[Dont
HS 30%]]*1.3</f>
        <v>#VALUE!</v>
      </c>
      <c r="Q145" s="18" t="e">
        <f ca="1">Tableau1[[#This Row],[Dont 
HS 50%]]*1.5</f>
        <v>#VALUE!</v>
      </c>
    </row>
    <row r="146" spans="2:17" hidden="1" x14ac:dyDescent="0.25">
      <c r="B146" s="37">
        <f>_xlfn.ISOWEEKNUM(Tableau1[[#This Row],[Date]])</f>
        <v>33</v>
      </c>
      <c r="C146" s="14">
        <f>debut+ROW()-ROW(Tableau1[[#Headers],[Date]])-1</f>
        <v>44793</v>
      </c>
      <c r="D146" s="16">
        <f>MONTH(Tableau1[[#This Row],[Date]])</f>
        <v>8</v>
      </c>
      <c r="E146" s="16">
        <f>YEAR(Tableau1[[#This Row],[Date]])</f>
        <v>2022</v>
      </c>
      <c r="F146" s="32"/>
      <c r="G146" s="32"/>
      <c r="H146" s="32"/>
      <c r="I146" s="32"/>
      <c r="J146" s="3"/>
      <c r="K146" s="18">
        <f>MOD(Tableau1[[#This Row],[Fin
apm]]-Tableau1[[#This Row],[Début
apm]],1)+MOD(Tableau1[[#This Row],[Fin
matin]]-Tableau1[[#This Row],[Début
matin]],1)</f>
        <v>0</v>
      </c>
      <c r="L146" s="18">
        <f>IFERROR(VLOOKUP(Tableau1[[#This Row],[Abs.]],Tmotif[],3,0),0)</f>
        <v>0</v>
      </c>
      <c r="M146" s="18">
        <f ca="1">IF(WEEKDAY(Tableau1[[#This Row],[Date]],2)&lt;7,0,MAX(0,SUM(OFFSET(Tableau1[[#This Row],[Heures]],-6,,7))+SUM(OFFSET(Tableau1[[#This Row],[H_Abs]],-6,,7))-_HS))</f>
        <v>0</v>
      </c>
      <c r="N146" s="18" t="str">
        <f ca="1">IF(Tableau1[[#This Row],[HS]]&gt;0,IF(Tableau1[[#This Row],[HS]]*24&gt;8,8/24,Tableau1[[#This Row],[HS]]),"")</f>
        <v/>
      </c>
      <c r="O146" s="18" t="str">
        <f ca="1">IF(Tableau1[[#This Row],[HS]]*24&gt;8,Tableau1[[#This Row],[HS]]-Tableau1[[#This Row],[Dont
HS 30%]],"")</f>
        <v/>
      </c>
      <c r="P146" s="18" t="e">
        <f ca="1">Tableau1[[#This Row],[Dont
HS 30%]]*1.3</f>
        <v>#VALUE!</v>
      </c>
      <c r="Q146" s="18" t="e">
        <f ca="1">Tableau1[[#This Row],[Dont 
HS 50%]]*1.5</f>
        <v>#VALUE!</v>
      </c>
    </row>
    <row r="147" spans="2:17" hidden="1" x14ac:dyDescent="0.25">
      <c r="B147" s="37">
        <f>_xlfn.ISOWEEKNUM(Tableau1[[#This Row],[Date]])</f>
        <v>33</v>
      </c>
      <c r="C147" s="14">
        <f>debut+ROW()-ROW(Tableau1[[#Headers],[Date]])-1</f>
        <v>44794</v>
      </c>
      <c r="D147" s="16">
        <f>MONTH(Tableau1[[#This Row],[Date]])</f>
        <v>8</v>
      </c>
      <c r="E147" s="16">
        <f>YEAR(Tableau1[[#This Row],[Date]])</f>
        <v>2022</v>
      </c>
      <c r="F147" s="32"/>
      <c r="G147" s="32"/>
      <c r="H147" s="32"/>
      <c r="I147" s="32"/>
      <c r="J147" s="3"/>
      <c r="K147" s="18">
        <f>MOD(Tableau1[[#This Row],[Fin
apm]]-Tableau1[[#This Row],[Début
apm]],1)+MOD(Tableau1[[#This Row],[Fin
matin]]-Tableau1[[#This Row],[Début
matin]],1)</f>
        <v>0</v>
      </c>
      <c r="L147" s="18">
        <f>IFERROR(VLOOKUP(Tableau1[[#This Row],[Abs.]],Tmotif[],3,0),0)</f>
        <v>0</v>
      </c>
      <c r="M147" s="18">
        <f ca="1">IF(WEEKDAY(Tableau1[[#This Row],[Date]],2)&lt;7,0,MAX(0,SUM(OFFSET(Tableau1[[#This Row],[Heures]],-6,,7))+SUM(OFFSET(Tableau1[[#This Row],[H_Abs]],-6,,7))-_HS))</f>
        <v>0</v>
      </c>
      <c r="N147" s="18" t="str">
        <f ca="1">IF(Tableau1[[#This Row],[HS]]&gt;0,IF(Tableau1[[#This Row],[HS]]*24&gt;8,8/24,Tableau1[[#This Row],[HS]]),"")</f>
        <v/>
      </c>
      <c r="O147" s="18" t="str">
        <f ca="1">IF(Tableau1[[#This Row],[HS]]*24&gt;8,Tableau1[[#This Row],[HS]]-Tableau1[[#This Row],[Dont
HS 30%]],"")</f>
        <v/>
      </c>
      <c r="P147" s="18" t="e">
        <f ca="1">Tableau1[[#This Row],[Dont
HS 30%]]*1.3</f>
        <v>#VALUE!</v>
      </c>
      <c r="Q147" s="18" t="e">
        <f ca="1">Tableau1[[#This Row],[Dont 
HS 50%]]*1.5</f>
        <v>#VALUE!</v>
      </c>
    </row>
    <row r="148" spans="2:17" hidden="1" x14ac:dyDescent="0.25">
      <c r="B148" s="37">
        <f>_xlfn.ISOWEEKNUM(Tableau1[[#This Row],[Date]])</f>
        <v>34</v>
      </c>
      <c r="C148" s="14">
        <f>debut+ROW()-ROW(Tableau1[[#Headers],[Date]])-1</f>
        <v>44795</v>
      </c>
      <c r="D148" s="16">
        <f>MONTH(Tableau1[[#This Row],[Date]])</f>
        <v>8</v>
      </c>
      <c r="E148" s="16">
        <f>YEAR(Tableau1[[#This Row],[Date]])</f>
        <v>2022</v>
      </c>
      <c r="F148" s="32"/>
      <c r="G148" s="32"/>
      <c r="H148" s="32"/>
      <c r="I148" s="32"/>
      <c r="J148" s="3"/>
      <c r="K148" s="18">
        <f>MOD(Tableau1[[#This Row],[Fin
apm]]-Tableau1[[#This Row],[Début
apm]],1)+MOD(Tableau1[[#This Row],[Fin
matin]]-Tableau1[[#This Row],[Début
matin]],1)</f>
        <v>0</v>
      </c>
      <c r="L148" s="18">
        <f>IFERROR(VLOOKUP(Tableau1[[#This Row],[Abs.]],Tmotif[],3,0),0)</f>
        <v>0</v>
      </c>
      <c r="M148" s="18">
        <f ca="1">IF(WEEKDAY(Tableau1[[#This Row],[Date]],2)&lt;7,0,MAX(0,SUM(OFFSET(Tableau1[[#This Row],[Heures]],-6,,7))+SUM(OFFSET(Tableau1[[#This Row],[H_Abs]],-6,,7))-_HS))</f>
        <v>0</v>
      </c>
      <c r="N148" s="18" t="str">
        <f ca="1">IF(Tableau1[[#This Row],[HS]]&gt;0,IF(Tableau1[[#This Row],[HS]]*24&gt;8,8/24,Tableau1[[#This Row],[HS]]),"")</f>
        <v/>
      </c>
      <c r="O148" s="18" t="str">
        <f ca="1">IF(Tableau1[[#This Row],[HS]]*24&gt;8,Tableau1[[#This Row],[HS]]-Tableau1[[#This Row],[Dont
HS 30%]],"")</f>
        <v/>
      </c>
      <c r="P148" s="18" t="e">
        <f ca="1">Tableau1[[#This Row],[Dont
HS 30%]]*1.3</f>
        <v>#VALUE!</v>
      </c>
      <c r="Q148" s="18" t="e">
        <f ca="1">Tableau1[[#This Row],[Dont 
HS 50%]]*1.5</f>
        <v>#VALUE!</v>
      </c>
    </row>
    <row r="149" spans="2:17" hidden="1" x14ac:dyDescent="0.25">
      <c r="B149" s="37">
        <f>_xlfn.ISOWEEKNUM(Tableau1[[#This Row],[Date]])</f>
        <v>34</v>
      </c>
      <c r="C149" s="14">
        <f>debut+ROW()-ROW(Tableau1[[#Headers],[Date]])-1</f>
        <v>44796</v>
      </c>
      <c r="D149" s="16">
        <f>MONTH(Tableau1[[#This Row],[Date]])</f>
        <v>8</v>
      </c>
      <c r="E149" s="16">
        <f>YEAR(Tableau1[[#This Row],[Date]])</f>
        <v>2022</v>
      </c>
      <c r="F149" s="32"/>
      <c r="G149" s="32"/>
      <c r="H149" s="32"/>
      <c r="I149" s="32"/>
      <c r="J149" s="3"/>
      <c r="K149" s="18">
        <f>MOD(Tableau1[[#This Row],[Fin
apm]]-Tableau1[[#This Row],[Début
apm]],1)+MOD(Tableau1[[#This Row],[Fin
matin]]-Tableau1[[#This Row],[Début
matin]],1)</f>
        <v>0</v>
      </c>
      <c r="L149" s="18">
        <f>IFERROR(VLOOKUP(Tableau1[[#This Row],[Abs.]],Tmotif[],3,0),0)</f>
        <v>0</v>
      </c>
      <c r="M149" s="18">
        <f ca="1">IF(WEEKDAY(Tableau1[[#This Row],[Date]],2)&lt;7,0,MAX(0,SUM(OFFSET(Tableau1[[#This Row],[Heures]],-6,,7))+SUM(OFFSET(Tableau1[[#This Row],[H_Abs]],-6,,7))-_HS))</f>
        <v>0</v>
      </c>
      <c r="N149" s="18" t="str">
        <f ca="1">IF(Tableau1[[#This Row],[HS]]&gt;0,IF(Tableau1[[#This Row],[HS]]*24&gt;8,8/24,Tableau1[[#This Row],[HS]]),"")</f>
        <v/>
      </c>
      <c r="O149" s="18" t="str">
        <f ca="1">IF(Tableau1[[#This Row],[HS]]*24&gt;8,Tableau1[[#This Row],[HS]]-Tableau1[[#This Row],[Dont
HS 30%]],"")</f>
        <v/>
      </c>
      <c r="P149" s="18" t="e">
        <f ca="1">Tableau1[[#This Row],[Dont
HS 30%]]*1.3</f>
        <v>#VALUE!</v>
      </c>
      <c r="Q149" s="18" t="e">
        <f ca="1">Tableau1[[#This Row],[Dont 
HS 50%]]*1.5</f>
        <v>#VALUE!</v>
      </c>
    </row>
    <row r="150" spans="2:17" hidden="1" x14ac:dyDescent="0.25">
      <c r="B150" s="37">
        <f>_xlfn.ISOWEEKNUM(Tableau1[[#This Row],[Date]])</f>
        <v>34</v>
      </c>
      <c r="C150" s="14">
        <f>debut+ROW()-ROW(Tableau1[[#Headers],[Date]])-1</f>
        <v>44797</v>
      </c>
      <c r="D150" s="16">
        <f>MONTH(Tableau1[[#This Row],[Date]])</f>
        <v>8</v>
      </c>
      <c r="E150" s="16">
        <f>YEAR(Tableau1[[#This Row],[Date]])</f>
        <v>2022</v>
      </c>
      <c r="F150" s="32"/>
      <c r="G150" s="32"/>
      <c r="H150" s="32"/>
      <c r="I150" s="32"/>
      <c r="J150" s="3"/>
      <c r="K150" s="18">
        <f>MOD(Tableau1[[#This Row],[Fin
apm]]-Tableau1[[#This Row],[Début
apm]],1)+MOD(Tableau1[[#This Row],[Fin
matin]]-Tableau1[[#This Row],[Début
matin]],1)</f>
        <v>0</v>
      </c>
      <c r="L150" s="18">
        <f>IFERROR(VLOOKUP(Tableau1[[#This Row],[Abs.]],Tmotif[],3,0),0)</f>
        <v>0</v>
      </c>
      <c r="M150" s="18">
        <f ca="1">IF(WEEKDAY(Tableau1[[#This Row],[Date]],2)&lt;7,0,MAX(0,SUM(OFFSET(Tableau1[[#This Row],[Heures]],-6,,7))+SUM(OFFSET(Tableau1[[#This Row],[H_Abs]],-6,,7))-_HS))</f>
        <v>0</v>
      </c>
      <c r="N150" s="18" t="str">
        <f ca="1">IF(Tableau1[[#This Row],[HS]]&gt;0,IF(Tableau1[[#This Row],[HS]]*24&gt;8,8/24,Tableau1[[#This Row],[HS]]),"")</f>
        <v/>
      </c>
      <c r="O150" s="18" t="str">
        <f ca="1">IF(Tableau1[[#This Row],[HS]]*24&gt;8,Tableau1[[#This Row],[HS]]-Tableau1[[#This Row],[Dont
HS 30%]],"")</f>
        <v/>
      </c>
      <c r="P150" s="18" t="e">
        <f ca="1">Tableau1[[#This Row],[Dont
HS 30%]]*1.3</f>
        <v>#VALUE!</v>
      </c>
      <c r="Q150" s="18" t="e">
        <f ca="1">Tableau1[[#This Row],[Dont 
HS 50%]]*1.5</f>
        <v>#VALUE!</v>
      </c>
    </row>
    <row r="151" spans="2:17" hidden="1" x14ac:dyDescent="0.25">
      <c r="B151" s="37">
        <f>_xlfn.ISOWEEKNUM(Tableau1[[#This Row],[Date]])</f>
        <v>34</v>
      </c>
      <c r="C151" s="14">
        <f>debut+ROW()-ROW(Tableau1[[#Headers],[Date]])-1</f>
        <v>44798</v>
      </c>
      <c r="D151" s="16">
        <f>MONTH(Tableau1[[#This Row],[Date]])</f>
        <v>8</v>
      </c>
      <c r="E151" s="16">
        <f>YEAR(Tableau1[[#This Row],[Date]])</f>
        <v>2022</v>
      </c>
      <c r="F151" s="32"/>
      <c r="G151" s="32"/>
      <c r="H151" s="32"/>
      <c r="I151" s="32"/>
      <c r="J151" s="3"/>
      <c r="K151" s="18">
        <f>MOD(Tableau1[[#This Row],[Fin
apm]]-Tableau1[[#This Row],[Début
apm]],1)+MOD(Tableau1[[#This Row],[Fin
matin]]-Tableau1[[#This Row],[Début
matin]],1)</f>
        <v>0</v>
      </c>
      <c r="L151" s="18">
        <f>IFERROR(VLOOKUP(Tableau1[[#This Row],[Abs.]],Tmotif[],3,0),0)</f>
        <v>0</v>
      </c>
      <c r="M151" s="18">
        <f ca="1">IF(WEEKDAY(Tableau1[[#This Row],[Date]],2)&lt;7,0,MAX(0,SUM(OFFSET(Tableau1[[#This Row],[Heures]],-6,,7))+SUM(OFFSET(Tableau1[[#This Row],[H_Abs]],-6,,7))-_HS))</f>
        <v>0</v>
      </c>
      <c r="N151" s="18" t="str">
        <f ca="1">IF(Tableau1[[#This Row],[HS]]&gt;0,IF(Tableau1[[#This Row],[HS]]*24&gt;8,8/24,Tableau1[[#This Row],[HS]]),"")</f>
        <v/>
      </c>
      <c r="O151" s="18" t="str">
        <f ca="1">IF(Tableau1[[#This Row],[HS]]*24&gt;8,Tableau1[[#This Row],[HS]]-Tableau1[[#This Row],[Dont
HS 30%]],"")</f>
        <v/>
      </c>
      <c r="P151" s="18" t="e">
        <f ca="1">Tableau1[[#This Row],[Dont
HS 30%]]*1.3</f>
        <v>#VALUE!</v>
      </c>
      <c r="Q151" s="18" t="e">
        <f ca="1">Tableau1[[#This Row],[Dont 
HS 50%]]*1.5</f>
        <v>#VALUE!</v>
      </c>
    </row>
    <row r="152" spans="2:17" hidden="1" x14ac:dyDescent="0.25">
      <c r="B152" s="37">
        <f>_xlfn.ISOWEEKNUM(Tableau1[[#This Row],[Date]])</f>
        <v>34</v>
      </c>
      <c r="C152" s="14">
        <f>debut+ROW()-ROW(Tableau1[[#Headers],[Date]])-1</f>
        <v>44799</v>
      </c>
      <c r="D152" s="16">
        <f>MONTH(Tableau1[[#This Row],[Date]])</f>
        <v>8</v>
      </c>
      <c r="E152" s="16">
        <f>YEAR(Tableau1[[#This Row],[Date]])</f>
        <v>2022</v>
      </c>
      <c r="F152" s="32"/>
      <c r="G152" s="32"/>
      <c r="H152" s="32"/>
      <c r="I152" s="32"/>
      <c r="J152" s="3"/>
      <c r="K152" s="18">
        <f>MOD(Tableau1[[#This Row],[Fin
apm]]-Tableau1[[#This Row],[Début
apm]],1)+MOD(Tableau1[[#This Row],[Fin
matin]]-Tableau1[[#This Row],[Début
matin]],1)</f>
        <v>0</v>
      </c>
      <c r="L152" s="18">
        <f>IFERROR(VLOOKUP(Tableau1[[#This Row],[Abs.]],Tmotif[],3,0),0)</f>
        <v>0</v>
      </c>
      <c r="M152" s="18">
        <f ca="1">IF(WEEKDAY(Tableau1[[#This Row],[Date]],2)&lt;7,0,MAX(0,SUM(OFFSET(Tableau1[[#This Row],[Heures]],-6,,7))+SUM(OFFSET(Tableau1[[#This Row],[H_Abs]],-6,,7))-_HS))</f>
        <v>0</v>
      </c>
      <c r="N152" s="18" t="str">
        <f ca="1">IF(Tableau1[[#This Row],[HS]]&gt;0,IF(Tableau1[[#This Row],[HS]]*24&gt;8,8/24,Tableau1[[#This Row],[HS]]),"")</f>
        <v/>
      </c>
      <c r="O152" s="18" t="str">
        <f ca="1">IF(Tableau1[[#This Row],[HS]]*24&gt;8,Tableau1[[#This Row],[HS]]-Tableau1[[#This Row],[Dont
HS 30%]],"")</f>
        <v/>
      </c>
      <c r="P152" s="18" t="e">
        <f ca="1">Tableau1[[#This Row],[Dont
HS 30%]]*1.3</f>
        <v>#VALUE!</v>
      </c>
      <c r="Q152" s="18" t="e">
        <f ca="1">Tableau1[[#This Row],[Dont 
HS 50%]]*1.5</f>
        <v>#VALUE!</v>
      </c>
    </row>
    <row r="153" spans="2:17" hidden="1" x14ac:dyDescent="0.25">
      <c r="B153" s="37">
        <f>_xlfn.ISOWEEKNUM(Tableau1[[#This Row],[Date]])</f>
        <v>34</v>
      </c>
      <c r="C153" s="14">
        <f>debut+ROW()-ROW(Tableau1[[#Headers],[Date]])-1</f>
        <v>44800</v>
      </c>
      <c r="D153" s="16">
        <f>MONTH(Tableau1[[#This Row],[Date]])</f>
        <v>8</v>
      </c>
      <c r="E153" s="16">
        <f>YEAR(Tableau1[[#This Row],[Date]])</f>
        <v>2022</v>
      </c>
      <c r="F153" s="32"/>
      <c r="G153" s="32"/>
      <c r="H153" s="32"/>
      <c r="I153" s="32"/>
      <c r="J153" s="3"/>
      <c r="K153" s="18">
        <f>MOD(Tableau1[[#This Row],[Fin
apm]]-Tableau1[[#This Row],[Début
apm]],1)+MOD(Tableau1[[#This Row],[Fin
matin]]-Tableau1[[#This Row],[Début
matin]],1)</f>
        <v>0</v>
      </c>
      <c r="L153" s="18">
        <f>IFERROR(VLOOKUP(Tableau1[[#This Row],[Abs.]],Tmotif[],3,0),0)</f>
        <v>0</v>
      </c>
      <c r="M153" s="18">
        <f ca="1">IF(WEEKDAY(Tableau1[[#This Row],[Date]],2)&lt;7,0,MAX(0,SUM(OFFSET(Tableau1[[#This Row],[Heures]],-6,,7))+SUM(OFFSET(Tableau1[[#This Row],[H_Abs]],-6,,7))-_HS))</f>
        <v>0</v>
      </c>
      <c r="N153" s="18" t="str">
        <f ca="1">IF(Tableau1[[#This Row],[HS]]&gt;0,IF(Tableau1[[#This Row],[HS]]*24&gt;8,8/24,Tableau1[[#This Row],[HS]]),"")</f>
        <v/>
      </c>
      <c r="O153" s="18" t="str">
        <f ca="1">IF(Tableau1[[#This Row],[HS]]*24&gt;8,Tableau1[[#This Row],[HS]]-Tableau1[[#This Row],[Dont
HS 30%]],"")</f>
        <v/>
      </c>
      <c r="P153" s="18" t="e">
        <f ca="1">Tableau1[[#This Row],[Dont
HS 30%]]*1.3</f>
        <v>#VALUE!</v>
      </c>
      <c r="Q153" s="18" t="e">
        <f ca="1">Tableau1[[#This Row],[Dont 
HS 50%]]*1.5</f>
        <v>#VALUE!</v>
      </c>
    </row>
    <row r="154" spans="2:17" hidden="1" x14ac:dyDescent="0.25">
      <c r="B154" s="37">
        <f>_xlfn.ISOWEEKNUM(Tableau1[[#This Row],[Date]])</f>
        <v>34</v>
      </c>
      <c r="C154" s="14">
        <f>debut+ROW()-ROW(Tableau1[[#Headers],[Date]])-1</f>
        <v>44801</v>
      </c>
      <c r="D154" s="16">
        <f>MONTH(Tableau1[[#This Row],[Date]])</f>
        <v>8</v>
      </c>
      <c r="E154" s="16">
        <f>YEAR(Tableau1[[#This Row],[Date]])</f>
        <v>2022</v>
      </c>
      <c r="F154" s="32"/>
      <c r="G154" s="32"/>
      <c r="H154" s="32"/>
      <c r="I154" s="32"/>
      <c r="J154" s="3"/>
      <c r="K154" s="18">
        <f>MOD(Tableau1[[#This Row],[Fin
apm]]-Tableau1[[#This Row],[Début
apm]],1)+MOD(Tableau1[[#This Row],[Fin
matin]]-Tableau1[[#This Row],[Début
matin]],1)</f>
        <v>0</v>
      </c>
      <c r="L154" s="18">
        <f>IFERROR(VLOOKUP(Tableau1[[#This Row],[Abs.]],Tmotif[],3,0),0)</f>
        <v>0</v>
      </c>
      <c r="M154" s="18">
        <f ca="1">IF(WEEKDAY(Tableau1[[#This Row],[Date]],2)&lt;7,0,MAX(0,SUM(OFFSET(Tableau1[[#This Row],[Heures]],-6,,7))+SUM(OFFSET(Tableau1[[#This Row],[H_Abs]],-6,,7))-_HS))</f>
        <v>0</v>
      </c>
      <c r="N154" s="18" t="str">
        <f ca="1">IF(Tableau1[[#This Row],[HS]]&gt;0,IF(Tableau1[[#This Row],[HS]]*24&gt;8,8/24,Tableau1[[#This Row],[HS]]),"")</f>
        <v/>
      </c>
      <c r="O154" s="18" t="str">
        <f ca="1">IF(Tableau1[[#This Row],[HS]]*24&gt;8,Tableau1[[#This Row],[HS]]-Tableau1[[#This Row],[Dont
HS 30%]],"")</f>
        <v/>
      </c>
      <c r="P154" s="18" t="e">
        <f ca="1">Tableau1[[#This Row],[Dont
HS 30%]]*1.3</f>
        <v>#VALUE!</v>
      </c>
      <c r="Q154" s="18" t="e">
        <f ca="1">Tableau1[[#This Row],[Dont 
HS 50%]]*1.5</f>
        <v>#VALUE!</v>
      </c>
    </row>
    <row r="155" spans="2:17" hidden="1" x14ac:dyDescent="0.25">
      <c r="B155" s="37">
        <f>_xlfn.ISOWEEKNUM(Tableau1[[#This Row],[Date]])</f>
        <v>35</v>
      </c>
      <c r="C155" s="14">
        <f>debut+ROW()-ROW(Tableau1[[#Headers],[Date]])-1</f>
        <v>44802</v>
      </c>
      <c r="D155" s="16">
        <f>MONTH(Tableau1[[#This Row],[Date]])</f>
        <v>8</v>
      </c>
      <c r="E155" s="16">
        <f>YEAR(Tableau1[[#This Row],[Date]])</f>
        <v>2022</v>
      </c>
      <c r="F155" s="32"/>
      <c r="G155" s="32"/>
      <c r="H155" s="32"/>
      <c r="I155" s="32"/>
      <c r="J155" s="3"/>
      <c r="K155" s="18">
        <f>MOD(Tableau1[[#This Row],[Fin
apm]]-Tableau1[[#This Row],[Début
apm]],1)+MOD(Tableau1[[#This Row],[Fin
matin]]-Tableau1[[#This Row],[Début
matin]],1)</f>
        <v>0</v>
      </c>
      <c r="L155" s="18">
        <f>IFERROR(VLOOKUP(Tableau1[[#This Row],[Abs.]],Tmotif[],3,0),0)</f>
        <v>0</v>
      </c>
      <c r="M155" s="18">
        <f ca="1">IF(WEEKDAY(Tableau1[[#This Row],[Date]],2)&lt;7,0,MAX(0,SUM(OFFSET(Tableau1[[#This Row],[Heures]],-6,,7))+SUM(OFFSET(Tableau1[[#This Row],[H_Abs]],-6,,7))-_HS))</f>
        <v>0</v>
      </c>
      <c r="N155" s="18" t="str">
        <f ca="1">IF(Tableau1[[#This Row],[HS]]&gt;0,IF(Tableau1[[#This Row],[HS]]*24&gt;8,8/24,Tableau1[[#This Row],[HS]]),"")</f>
        <v/>
      </c>
      <c r="O155" s="18" t="str">
        <f ca="1">IF(Tableau1[[#This Row],[HS]]*24&gt;8,Tableau1[[#This Row],[HS]]-Tableau1[[#This Row],[Dont
HS 30%]],"")</f>
        <v/>
      </c>
      <c r="P155" s="18" t="e">
        <f ca="1">Tableau1[[#This Row],[Dont
HS 30%]]*1.3</f>
        <v>#VALUE!</v>
      </c>
      <c r="Q155" s="18" t="e">
        <f ca="1">Tableau1[[#This Row],[Dont 
HS 50%]]*1.5</f>
        <v>#VALUE!</v>
      </c>
    </row>
    <row r="156" spans="2:17" hidden="1" x14ac:dyDescent="0.25">
      <c r="B156" s="37">
        <f>_xlfn.ISOWEEKNUM(Tableau1[[#This Row],[Date]])</f>
        <v>35</v>
      </c>
      <c r="C156" s="14">
        <f>debut+ROW()-ROW(Tableau1[[#Headers],[Date]])-1</f>
        <v>44803</v>
      </c>
      <c r="D156" s="16">
        <f>MONTH(Tableau1[[#This Row],[Date]])</f>
        <v>8</v>
      </c>
      <c r="E156" s="16">
        <f>YEAR(Tableau1[[#This Row],[Date]])</f>
        <v>2022</v>
      </c>
      <c r="F156" s="32"/>
      <c r="G156" s="32"/>
      <c r="H156" s="32"/>
      <c r="I156" s="32"/>
      <c r="J156" s="3"/>
      <c r="K156" s="18">
        <f>MOD(Tableau1[[#This Row],[Fin
apm]]-Tableau1[[#This Row],[Début
apm]],1)+MOD(Tableau1[[#This Row],[Fin
matin]]-Tableau1[[#This Row],[Début
matin]],1)</f>
        <v>0</v>
      </c>
      <c r="L156" s="18">
        <f>IFERROR(VLOOKUP(Tableau1[[#This Row],[Abs.]],Tmotif[],3,0),0)</f>
        <v>0</v>
      </c>
      <c r="M156" s="18">
        <f ca="1">IF(WEEKDAY(Tableau1[[#This Row],[Date]],2)&lt;7,0,MAX(0,SUM(OFFSET(Tableau1[[#This Row],[Heures]],-6,,7))+SUM(OFFSET(Tableau1[[#This Row],[H_Abs]],-6,,7))-_HS))</f>
        <v>0</v>
      </c>
      <c r="N156" s="18" t="str">
        <f ca="1">IF(Tableau1[[#This Row],[HS]]&gt;0,IF(Tableau1[[#This Row],[HS]]*24&gt;8,8/24,Tableau1[[#This Row],[HS]]),"")</f>
        <v/>
      </c>
      <c r="O156" s="18" t="str">
        <f ca="1">IF(Tableau1[[#This Row],[HS]]*24&gt;8,Tableau1[[#This Row],[HS]]-Tableau1[[#This Row],[Dont
HS 30%]],"")</f>
        <v/>
      </c>
      <c r="P156" s="18" t="e">
        <f ca="1">Tableau1[[#This Row],[Dont
HS 30%]]*1.3</f>
        <v>#VALUE!</v>
      </c>
      <c r="Q156" s="18" t="e">
        <f ca="1">Tableau1[[#This Row],[Dont 
HS 50%]]*1.5</f>
        <v>#VALUE!</v>
      </c>
    </row>
    <row r="157" spans="2:17" hidden="1" x14ac:dyDescent="0.25">
      <c r="B157" s="37">
        <f>_xlfn.ISOWEEKNUM(Tableau1[[#This Row],[Date]])</f>
        <v>35</v>
      </c>
      <c r="C157" s="14">
        <f>debut+ROW()-ROW(Tableau1[[#Headers],[Date]])-1</f>
        <v>44804</v>
      </c>
      <c r="D157" s="16">
        <f>MONTH(Tableau1[[#This Row],[Date]])</f>
        <v>8</v>
      </c>
      <c r="E157" s="16">
        <f>YEAR(Tableau1[[#This Row],[Date]])</f>
        <v>2022</v>
      </c>
      <c r="F157" s="32"/>
      <c r="G157" s="32"/>
      <c r="H157" s="32"/>
      <c r="I157" s="32"/>
      <c r="J157" s="3"/>
      <c r="K157" s="18">
        <f>MOD(Tableau1[[#This Row],[Fin
apm]]-Tableau1[[#This Row],[Début
apm]],1)+MOD(Tableau1[[#This Row],[Fin
matin]]-Tableau1[[#This Row],[Début
matin]],1)</f>
        <v>0</v>
      </c>
      <c r="L157" s="18">
        <f>IFERROR(VLOOKUP(Tableau1[[#This Row],[Abs.]],Tmotif[],3,0),0)</f>
        <v>0</v>
      </c>
      <c r="M157" s="18">
        <f ca="1">IF(WEEKDAY(Tableau1[[#This Row],[Date]],2)&lt;7,0,MAX(0,SUM(OFFSET(Tableau1[[#This Row],[Heures]],-6,,7))+SUM(OFFSET(Tableau1[[#This Row],[H_Abs]],-6,,7))-_HS))</f>
        <v>0</v>
      </c>
      <c r="N157" s="18" t="str">
        <f ca="1">IF(Tableau1[[#This Row],[HS]]&gt;0,IF(Tableau1[[#This Row],[HS]]*24&gt;8,8/24,Tableau1[[#This Row],[HS]]),"")</f>
        <v/>
      </c>
      <c r="O157" s="18" t="str">
        <f ca="1">IF(Tableau1[[#This Row],[HS]]*24&gt;8,Tableau1[[#This Row],[HS]]-Tableau1[[#This Row],[Dont
HS 30%]],"")</f>
        <v/>
      </c>
      <c r="P157" s="18" t="e">
        <f ca="1">Tableau1[[#This Row],[Dont
HS 30%]]*1.3</f>
        <v>#VALUE!</v>
      </c>
      <c r="Q157" s="18" t="e">
        <f ca="1">Tableau1[[#This Row],[Dont 
HS 50%]]*1.5</f>
        <v>#VALUE!</v>
      </c>
    </row>
    <row r="158" spans="2:17" hidden="1" x14ac:dyDescent="0.25">
      <c r="B158" s="37">
        <f>_xlfn.ISOWEEKNUM(Tableau1[[#This Row],[Date]])</f>
        <v>35</v>
      </c>
      <c r="C158" s="14">
        <f>debut+ROW()-ROW(Tableau1[[#Headers],[Date]])-1</f>
        <v>44805</v>
      </c>
      <c r="D158" s="16">
        <f>MONTH(Tableau1[[#This Row],[Date]])</f>
        <v>9</v>
      </c>
      <c r="E158" s="16">
        <f>YEAR(Tableau1[[#This Row],[Date]])</f>
        <v>2022</v>
      </c>
      <c r="F158" s="32"/>
      <c r="G158" s="32"/>
      <c r="H158" s="32"/>
      <c r="I158" s="32"/>
      <c r="J158" s="3"/>
      <c r="K158" s="18">
        <f>MOD(Tableau1[[#This Row],[Fin
apm]]-Tableau1[[#This Row],[Début
apm]],1)+MOD(Tableau1[[#This Row],[Fin
matin]]-Tableau1[[#This Row],[Début
matin]],1)</f>
        <v>0</v>
      </c>
      <c r="L158" s="18">
        <f>IFERROR(VLOOKUP(Tableau1[[#This Row],[Abs.]],Tmotif[],3,0),0)</f>
        <v>0</v>
      </c>
      <c r="M158" s="18">
        <f ca="1">IF(WEEKDAY(Tableau1[[#This Row],[Date]],2)&lt;7,0,MAX(0,SUM(OFFSET(Tableau1[[#This Row],[Heures]],-6,,7))+SUM(OFFSET(Tableau1[[#This Row],[H_Abs]],-6,,7))-_HS))</f>
        <v>0</v>
      </c>
      <c r="N158" s="18" t="str">
        <f ca="1">IF(Tableau1[[#This Row],[HS]]&gt;0,IF(Tableau1[[#This Row],[HS]]*24&gt;8,8/24,Tableau1[[#This Row],[HS]]),"")</f>
        <v/>
      </c>
      <c r="O158" s="18" t="str">
        <f ca="1">IF(Tableau1[[#This Row],[HS]]*24&gt;8,Tableau1[[#This Row],[HS]]-Tableau1[[#This Row],[Dont
HS 30%]],"")</f>
        <v/>
      </c>
      <c r="P158" s="18" t="e">
        <f ca="1">Tableau1[[#This Row],[Dont
HS 30%]]*1.3</f>
        <v>#VALUE!</v>
      </c>
      <c r="Q158" s="18" t="e">
        <f ca="1">Tableau1[[#This Row],[Dont 
HS 50%]]*1.5</f>
        <v>#VALUE!</v>
      </c>
    </row>
    <row r="159" spans="2:17" hidden="1" x14ac:dyDescent="0.25">
      <c r="B159" s="37">
        <f>_xlfn.ISOWEEKNUM(Tableau1[[#This Row],[Date]])</f>
        <v>35</v>
      </c>
      <c r="C159" s="14">
        <f>debut+ROW()-ROW(Tableau1[[#Headers],[Date]])-1</f>
        <v>44806</v>
      </c>
      <c r="D159" s="16">
        <f>MONTH(Tableau1[[#This Row],[Date]])</f>
        <v>9</v>
      </c>
      <c r="E159" s="16">
        <f>YEAR(Tableau1[[#This Row],[Date]])</f>
        <v>2022</v>
      </c>
      <c r="F159" s="32"/>
      <c r="G159" s="32"/>
      <c r="H159" s="32"/>
      <c r="I159" s="32"/>
      <c r="J159" s="3"/>
      <c r="K159" s="18">
        <f>MOD(Tableau1[[#This Row],[Fin
apm]]-Tableau1[[#This Row],[Début
apm]],1)+MOD(Tableau1[[#This Row],[Fin
matin]]-Tableau1[[#This Row],[Début
matin]],1)</f>
        <v>0</v>
      </c>
      <c r="L159" s="18">
        <f>IFERROR(VLOOKUP(Tableau1[[#This Row],[Abs.]],Tmotif[],3,0),0)</f>
        <v>0</v>
      </c>
      <c r="M159" s="18">
        <f ca="1">IF(WEEKDAY(Tableau1[[#This Row],[Date]],2)&lt;7,0,MAX(0,SUM(OFFSET(Tableau1[[#This Row],[Heures]],-6,,7))+SUM(OFFSET(Tableau1[[#This Row],[H_Abs]],-6,,7))-_HS))</f>
        <v>0</v>
      </c>
      <c r="N159" s="18" t="str">
        <f ca="1">IF(Tableau1[[#This Row],[HS]]&gt;0,IF(Tableau1[[#This Row],[HS]]*24&gt;8,8/24,Tableau1[[#This Row],[HS]]),"")</f>
        <v/>
      </c>
      <c r="O159" s="18" t="str">
        <f ca="1">IF(Tableau1[[#This Row],[HS]]*24&gt;8,Tableau1[[#This Row],[HS]]-Tableau1[[#This Row],[Dont
HS 30%]],"")</f>
        <v/>
      </c>
      <c r="P159" s="18" t="e">
        <f ca="1">Tableau1[[#This Row],[Dont
HS 30%]]*1.3</f>
        <v>#VALUE!</v>
      </c>
      <c r="Q159" s="18" t="e">
        <f ca="1">Tableau1[[#This Row],[Dont 
HS 50%]]*1.5</f>
        <v>#VALUE!</v>
      </c>
    </row>
    <row r="160" spans="2:17" hidden="1" x14ac:dyDescent="0.25">
      <c r="B160" s="37">
        <f>_xlfn.ISOWEEKNUM(Tableau1[[#This Row],[Date]])</f>
        <v>35</v>
      </c>
      <c r="C160" s="14">
        <f>debut+ROW()-ROW(Tableau1[[#Headers],[Date]])-1</f>
        <v>44807</v>
      </c>
      <c r="D160" s="16">
        <f>MONTH(Tableau1[[#This Row],[Date]])</f>
        <v>9</v>
      </c>
      <c r="E160" s="16">
        <f>YEAR(Tableau1[[#This Row],[Date]])</f>
        <v>2022</v>
      </c>
      <c r="F160" s="32"/>
      <c r="G160" s="32"/>
      <c r="H160" s="32"/>
      <c r="I160" s="32"/>
      <c r="J160" s="3"/>
      <c r="K160" s="18">
        <f>MOD(Tableau1[[#This Row],[Fin
apm]]-Tableau1[[#This Row],[Début
apm]],1)+MOD(Tableau1[[#This Row],[Fin
matin]]-Tableau1[[#This Row],[Début
matin]],1)</f>
        <v>0</v>
      </c>
      <c r="L160" s="18">
        <f>IFERROR(VLOOKUP(Tableau1[[#This Row],[Abs.]],Tmotif[],3,0),0)</f>
        <v>0</v>
      </c>
      <c r="M160" s="18">
        <f ca="1">IF(WEEKDAY(Tableau1[[#This Row],[Date]],2)&lt;7,0,MAX(0,SUM(OFFSET(Tableau1[[#This Row],[Heures]],-6,,7))+SUM(OFFSET(Tableau1[[#This Row],[H_Abs]],-6,,7))-_HS))</f>
        <v>0</v>
      </c>
      <c r="N160" s="18" t="str">
        <f ca="1">IF(Tableau1[[#This Row],[HS]]&gt;0,IF(Tableau1[[#This Row],[HS]]*24&gt;8,8/24,Tableau1[[#This Row],[HS]]),"")</f>
        <v/>
      </c>
      <c r="O160" s="18" t="str">
        <f ca="1">IF(Tableau1[[#This Row],[HS]]*24&gt;8,Tableau1[[#This Row],[HS]]-Tableau1[[#This Row],[Dont
HS 30%]],"")</f>
        <v/>
      </c>
      <c r="P160" s="18" t="e">
        <f ca="1">Tableau1[[#This Row],[Dont
HS 30%]]*1.3</f>
        <v>#VALUE!</v>
      </c>
      <c r="Q160" s="18" t="e">
        <f ca="1">Tableau1[[#This Row],[Dont 
HS 50%]]*1.5</f>
        <v>#VALUE!</v>
      </c>
    </row>
    <row r="161" spans="2:17" hidden="1" x14ac:dyDescent="0.25">
      <c r="B161" s="37">
        <f>_xlfn.ISOWEEKNUM(Tableau1[[#This Row],[Date]])</f>
        <v>35</v>
      </c>
      <c r="C161" s="14">
        <f>debut+ROW()-ROW(Tableau1[[#Headers],[Date]])-1</f>
        <v>44808</v>
      </c>
      <c r="D161" s="16">
        <f>MONTH(Tableau1[[#This Row],[Date]])</f>
        <v>9</v>
      </c>
      <c r="E161" s="16">
        <f>YEAR(Tableau1[[#This Row],[Date]])</f>
        <v>2022</v>
      </c>
      <c r="F161" s="32"/>
      <c r="G161" s="32"/>
      <c r="H161" s="32"/>
      <c r="I161" s="32"/>
      <c r="J161" s="3"/>
      <c r="K161" s="18">
        <f>MOD(Tableau1[[#This Row],[Fin
apm]]-Tableau1[[#This Row],[Début
apm]],1)+MOD(Tableau1[[#This Row],[Fin
matin]]-Tableau1[[#This Row],[Début
matin]],1)</f>
        <v>0</v>
      </c>
      <c r="L161" s="18">
        <f>IFERROR(VLOOKUP(Tableau1[[#This Row],[Abs.]],Tmotif[],3,0),0)</f>
        <v>0</v>
      </c>
      <c r="M161" s="18">
        <f ca="1">IF(WEEKDAY(Tableau1[[#This Row],[Date]],2)&lt;7,0,MAX(0,SUM(OFFSET(Tableau1[[#This Row],[Heures]],-6,,7))+SUM(OFFSET(Tableau1[[#This Row],[H_Abs]],-6,,7))-_HS))</f>
        <v>0</v>
      </c>
      <c r="N161" s="18" t="str">
        <f ca="1">IF(Tableau1[[#This Row],[HS]]&gt;0,IF(Tableau1[[#This Row],[HS]]*24&gt;8,8/24,Tableau1[[#This Row],[HS]]),"")</f>
        <v/>
      </c>
      <c r="O161" s="18" t="str">
        <f ca="1">IF(Tableau1[[#This Row],[HS]]*24&gt;8,Tableau1[[#This Row],[HS]]-Tableau1[[#This Row],[Dont
HS 30%]],"")</f>
        <v/>
      </c>
      <c r="P161" s="18" t="e">
        <f ca="1">Tableau1[[#This Row],[Dont
HS 30%]]*1.3</f>
        <v>#VALUE!</v>
      </c>
      <c r="Q161" s="18" t="e">
        <f ca="1">Tableau1[[#This Row],[Dont 
HS 50%]]*1.5</f>
        <v>#VALUE!</v>
      </c>
    </row>
    <row r="162" spans="2:17" hidden="1" x14ac:dyDescent="0.25">
      <c r="B162" s="37">
        <f>_xlfn.ISOWEEKNUM(Tableau1[[#This Row],[Date]])</f>
        <v>36</v>
      </c>
      <c r="C162" s="14">
        <f>debut+ROW()-ROW(Tableau1[[#Headers],[Date]])-1</f>
        <v>44809</v>
      </c>
      <c r="D162" s="16">
        <f>MONTH(Tableau1[[#This Row],[Date]])</f>
        <v>9</v>
      </c>
      <c r="E162" s="16">
        <f>YEAR(Tableau1[[#This Row],[Date]])</f>
        <v>2022</v>
      </c>
      <c r="F162" s="32"/>
      <c r="G162" s="32"/>
      <c r="H162" s="32"/>
      <c r="I162" s="32"/>
      <c r="J162" s="3"/>
      <c r="K162" s="18">
        <f>MOD(Tableau1[[#This Row],[Fin
apm]]-Tableau1[[#This Row],[Début
apm]],1)+MOD(Tableau1[[#This Row],[Fin
matin]]-Tableau1[[#This Row],[Début
matin]],1)</f>
        <v>0</v>
      </c>
      <c r="L162" s="18">
        <f>IFERROR(VLOOKUP(Tableau1[[#This Row],[Abs.]],Tmotif[],3,0),0)</f>
        <v>0</v>
      </c>
      <c r="M162" s="18">
        <f ca="1">IF(WEEKDAY(Tableau1[[#This Row],[Date]],2)&lt;7,0,MAX(0,SUM(OFFSET(Tableau1[[#This Row],[Heures]],-6,,7))+SUM(OFFSET(Tableau1[[#This Row],[H_Abs]],-6,,7))-_HS))</f>
        <v>0</v>
      </c>
      <c r="N162" s="18" t="str">
        <f ca="1">IF(Tableau1[[#This Row],[HS]]&gt;0,IF(Tableau1[[#This Row],[HS]]*24&gt;8,8/24,Tableau1[[#This Row],[HS]]),"")</f>
        <v/>
      </c>
      <c r="O162" s="18" t="str">
        <f ca="1">IF(Tableau1[[#This Row],[HS]]*24&gt;8,Tableau1[[#This Row],[HS]]-Tableau1[[#This Row],[Dont
HS 30%]],"")</f>
        <v/>
      </c>
      <c r="P162" s="18" t="e">
        <f ca="1">Tableau1[[#This Row],[Dont
HS 30%]]*1.3</f>
        <v>#VALUE!</v>
      </c>
      <c r="Q162" s="18" t="e">
        <f ca="1">Tableau1[[#This Row],[Dont 
HS 50%]]*1.5</f>
        <v>#VALUE!</v>
      </c>
    </row>
    <row r="163" spans="2:17" hidden="1" x14ac:dyDescent="0.25">
      <c r="B163" s="37">
        <f>_xlfn.ISOWEEKNUM(Tableau1[[#This Row],[Date]])</f>
        <v>36</v>
      </c>
      <c r="C163" s="14">
        <f>debut+ROW()-ROW(Tableau1[[#Headers],[Date]])-1</f>
        <v>44810</v>
      </c>
      <c r="D163" s="16">
        <f>MONTH(Tableau1[[#This Row],[Date]])</f>
        <v>9</v>
      </c>
      <c r="E163" s="16">
        <f>YEAR(Tableau1[[#This Row],[Date]])</f>
        <v>2022</v>
      </c>
      <c r="F163" s="32"/>
      <c r="G163" s="32"/>
      <c r="H163" s="32"/>
      <c r="I163" s="32"/>
      <c r="J163" s="3"/>
      <c r="K163" s="18">
        <f>MOD(Tableau1[[#This Row],[Fin
apm]]-Tableau1[[#This Row],[Début
apm]],1)+MOD(Tableau1[[#This Row],[Fin
matin]]-Tableau1[[#This Row],[Début
matin]],1)</f>
        <v>0</v>
      </c>
      <c r="L163" s="18">
        <f>IFERROR(VLOOKUP(Tableau1[[#This Row],[Abs.]],Tmotif[],3,0),0)</f>
        <v>0</v>
      </c>
      <c r="M163" s="18">
        <f ca="1">IF(WEEKDAY(Tableau1[[#This Row],[Date]],2)&lt;7,0,MAX(0,SUM(OFFSET(Tableau1[[#This Row],[Heures]],-6,,7))+SUM(OFFSET(Tableau1[[#This Row],[H_Abs]],-6,,7))-_HS))</f>
        <v>0</v>
      </c>
      <c r="N163" s="18" t="str">
        <f ca="1">IF(Tableau1[[#This Row],[HS]]&gt;0,IF(Tableau1[[#This Row],[HS]]*24&gt;8,8/24,Tableau1[[#This Row],[HS]]),"")</f>
        <v/>
      </c>
      <c r="O163" s="18" t="str">
        <f ca="1">IF(Tableau1[[#This Row],[HS]]*24&gt;8,Tableau1[[#This Row],[HS]]-Tableau1[[#This Row],[Dont
HS 30%]],"")</f>
        <v/>
      </c>
      <c r="P163" s="18" t="e">
        <f ca="1">Tableau1[[#This Row],[Dont
HS 30%]]*1.3</f>
        <v>#VALUE!</v>
      </c>
      <c r="Q163" s="18" t="e">
        <f ca="1">Tableau1[[#This Row],[Dont 
HS 50%]]*1.5</f>
        <v>#VALUE!</v>
      </c>
    </row>
    <row r="164" spans="2:17" hidden="1" x14ac:dyDescent="0.25">
      <c r="B164" s="37">
        <f>_xlfn.ISOWEEKNUM(Tableau1[[#This Row],[Date]])</f>
        <v>36</v>
      </c>
      <c r="C164" s="14">
        <f>debut+ROW()-ROW(Tableau1[[#Headers],[Date]])-1</f>
        <v>44811</v>
      </c>
      <c r="D164" s="16">
        <f>MONTH(Tableau1[[#This Row],[Date]])</f>
        <v>9</v>
      </c>
      <c r="E164" s="16">
        <f>YEAR(Tableau1[[#This Row],[Date]])</f>
        <v>2022</v>
      </c>
      <c r="F164" s="32"/>
      <c r="G164" s="32"/>
      <c r="H164" s="32"/>
      <c r="I164" s="32"/>
      <c r="J164" s="3"/>
      <c r="K164" s="18">
        <f>MOD(Tableau1[[#This Row],[Fin
apm]]-Tableau1[[#This Row],[Début
apm]],1)+MOD(Tableau1[[#This Row],[Fin
matin]]-Tableau1[[#This Row],[Début
matin]],1)</f>
        <v>0</v>
      </c>
      <c r="L164" s="18">
        <f>IFERROR(VLOOKUP(Tableau1[[#This Row],[Abs.]],Tmotif[],3,0),0)</f>
        <v>0</v>
      </c>
      <c r="M164" s="18">
        <f ca="1">IF(WEEKDAY(Tableau1[[#This Row],[Date]],2)&lt;7,0,MAX(0,SUM(OFFSET(Tableau1[[#This Row],[Heures]],-6,,7))+SUM(OFFSET(Tableau1[[#This Row],[H_Abs]],-6,,7))-_HS))</f>
        <v>0</v>
      </c>
      <c r="N164" s="18" t="str">
        <f ca="1">IF(Tableau1[[#This Row],[HS]]&gt;0,IF(Tableau1[[#This Row],[HS]]*24&gt;8,8/24,Tableau1[[#This Row],[HS]]),"")</f>
        <v/>
      </c>
      <c r="O164" s="18" t="str">
        <f ca="1">IF(Tableau1[[#This Row],[HS]]*24&gt;8,Tableau1[[#This Row],[HS]]-Tableau1[[#This Row],[Dont
HS 30%]],"")</f>
        <v/>
      </c>
      <c r="P164" s="18" t="e">
        <f ca="1">Tableau1[[#This Row],[Dont
HS 30%]]*1.3</f>
        <v>#VALUE!</v>
      </c>
      <c r="Q164" s="18" t="e">
        <f ca="1">Tableau1[[#This Row],[Dont 
HS 50%]]*1.5</f>
        <v>#VALUE!</v>
      </c>
    </row>
    <row r="165" spans="2:17" hidden="1" x14ac:dyDescent="0.25">
      <c r="B165" s="37">
        <f>_xlfn.ISOWEEKNUM(Tableau1[[#This Row],[Date]])</f>
        <v>36</v>
      </c>
      <c r="C165" s="14">
        <f>debut+ROW()-ROW(Tableau1[[#Headers],[Date]])-1</f>
        <v>44812</v>
      </c>
      <c r="D165" s="16">
        <f>MONTH(Tableau1[[#This Row],[Date]])</f>
        <v>9</v>
      </c>
      <c r="E165" s="16">
        <f>YEAR(Tableau1[[#This Row],[Date]])</f>
        <v>2022</v>
      </c>
      <c r="F165" s="32"/>
      <c r="G165" s="32"/>
      <c r="H165" s="32"/>
      <c r="I165" s="32"/>
      <c r="J165" s="3"/>
      <c r="K165" s="18">
        <f>MOD(Tableau1[[#This Row],[Fin
apm]]-Tableau1[[#This Row],[Début
apm]],1)+MOD(Tableau1[[#This Row],[Fin
matin]]-Tableau1[[#This Row],[Début
matin]],1)</f>
        <v>0</v>
      </c>
      <c r="L165" s="18">
        <f>IFERROR(VLOOKUP(Tableau1[[#This Row],[Abs.]],Tmotif[],3,0),0)</f>
        <v>0</v>
      </c>
      <c r="M165" s="18">
        <f ca="1">IF(WEEKDAY(Tableau1[[#This Row],[Date]],2)&lt;7,0,MAX(0,SUM(OFFSET(Tableau1[[#This Row],[Heures]],-6,,7))+SUM(OFFSET(Tableau1[[#This Row],[H_Abs]],-6,,7))-_HS))</f>
        <v>0</v>
      </c>
      <c r="N165" s="18" t="str">
        <f ca="1">IF(Tableau1[[#This Row],[HS]]&gt;0,IF(Tableau1[[#This Row],[HS]]*24&gt;8,8/24,Tableau1[[#This Row],[HS]]),"")</f>
        <v/>
      </c>
      <c r="O165" s="18" t="str">
        <f ca="1">IF(Tableau1[[#This Row],[HS]]*24&gt;8,Tableau1[[#This Row],[HS]]-Tableau1[[#This Row],[Dont
HS 30%]],"")</f>
        <v/>
      </c>
      <c r="P165" s="18" t="e">
        <f ca="1">Tableau1[[#This Row],[Dont
HS 30%]]*1.3</f>
        <v>#VALUE!</v>
      </c>
      <c r="Q165" s="18" t="e">
        <f ca="1">Tableau1[[#This Row],[Dont 
HS 50%]]*1.5</f>
        <v>#VALUE!</v>
      </c>
    </row>
    <row r="166" spans="2:17" hidden="1" x14ac:dyDescent="0.25">
      <c r="B166" s="37">
        <f>_xlfn.ISOWEEKNUM(Tableau1[[#This Row],[Date]])</f>
        <v>36</v>
      </c>
      <c r="C166" s="14">
        <f>debut+ROW()-ROW(Tableau1[[#Headers],[Date]])-1</f>
        <v>44813</v>
      </c>
      <c r="D166" s="16">
        <f>MONTH(Tableau1[[#This Row],[Date]])</f>
        <v>9</v>
      </c>
      <c r="E166" s="16">
        <f>YEAR(Tableau1[[#This Row],[Date]])</f>
        <v>2022</v>
      </c>
      <c r="F166" s="32"/>
      <c r="G166" s="32"/>
      <c r="H166" s="32"/>
      <c r="I166" s="32"/>
      <c r="J166" s="3"/>
      <c r="K166" s="18">
        <f>MOD(Tableau1[[#This Row],[Fin
apm]]-Tableau1[[#This Row],[Début
apm]],1)+MOD(Tableau1[[#This Row],[Fin
matin]]-Tableau1[[#This Row],[Début
matin]],1)</f>
        <v>0</v>
      </c>
      <c r="L166" s="18">
        <f>IFERROR(VLOOKUP(Tableau1[[#This Row],[Abs.]],Tmotif[],3,0),0)</f>
        <v>0</v>
      </c>
      <c r="M166" s="18">
        <f ca="1">IF(WEEKDAY(Tableau1[[#This Row],[Date]],2)&lt;7,0,MAX(0,SUM(OFFSET(Tableau1[[#This Row],[Heures]],-6,,7))+SUM(OFFSET(Tableau1[[#This Row],[H_Abs]],-6,,7))-_HS))</f>
        <v>0</v>
      </c>
      <c r="N166" s="18" t="str">
        <f ca="1">IF(Tableau1[[#This Row],[HS]]&gt;0,IF(Tableau1[[#This Row],[HS]]*24&gt;8,8/24,Tableau1[[#This Row],[HS]]),"")</f>
        <v/>
      </c>
      <c r="O166" s="18" t="str">
        <f ca="1">IF(Tableau1[[#This Row],[HS]]*24&gt;8,Tableau1[[#This Row],[HS]]-Tableau1[[#This Row],[Dont
HS 30%]],"")</f>
        <v/>
      </c>
      <c r="P166" s="18" t="e">
        <f ca="1">Tableau1[[#This Row],[Dont
HS 30%]]*1.3</f>
        <v>#VALUE!</v>
      </c>
      <c r="Q166" s="18" t="e">
        <f ca="1">Tableau1[[#This Row],[Dont 
HS 50%]]*1.5</f>
        <v>#VALUE!</v>
      </c>
    </row>
    <row r="167" spans="2:17" hidden="1" x14ac:dyDescent="0.25">
      <c r="B167" s="37">
        <f>_xlfn.ISOWEEKNUM(Tableau1[[#This Row],[Date]])</f>
        <v>36</v>
      </c>
      <c r="C167" s="14">
        <f>debut+ROW()-ROW(Tableau1[[#Headers],[Date]])-1</f>
        <v>44814</v>
      </c>
      <c r="D167" s="16">
        <f>MONTH(Tableau1[[#This Row],[Date]])</f>
        <v>9</v>
      </c>
      <c r="E167" s="16">
        <f>YEAR(Tableau1[[#This Row],[Date]])</f>
        <v>2022</v>
      </c>
      <c r="F167" s="32"/>
      <c r="G167" s="32"/>
      <c r="H167" s="32"/>
      <c r="I167" s="32"/>
      <c r="J167" s="3"/>
      <c r="K167" s="18">
        <f>MOD(Tableau1[[#This Row],[Fin
apm]]-Tableau1[[#This Row],[Début
apm]],1)+MOD(Tableau1[[#This Row],[Fin
matin]]-Tableau1[[#This Row],[Début
matin]],1)</f>
        <v>0</v>
      </c>
      <c r="L167" s="18">
        <f>IFERROR(VLOOKUP(Tableau1[[#This Row],[Abs.]],Tmotif[],3,0),0)</f>
        <v>0</v>
      </c>
      <c r="M167" s="18">
        <f ca="1">IF(WEEKDAY(Tableau1[[#This Row],[Date]],2)&lt;7,0,MAX(0,SUM(OFFSET(Tableau1[[#This Row],[Heures]],-6,,7))+SUM(OFFSET(Tableau1[[#This Row],[H_Abs]],-6,,7))-_HS))</f>
        <v>0</v>
      </c>
      <c r="N167" s="18" t="str">
        <f ca="1">IF(Tableau1[[#This Row],[HS]]&gt;0,IF(Tableau1[[#This Row],[HS]]*24&gt;8,8/24,Tableau1[[#This Row],[HS]]),"")</f>
        <v/>
      </c>
      <c r="O167" s="18" t="str">
        <f ca="1">IF(Tableau1[[#This Row],[HS]]*24&gt;8,Tableau1[[#This Row],[HS]]-Tableau1[[#This Row],[Dont
HS 30%]],"")</f>
        <v/>
      </c>
      <c r="P167" s="18" t="e">
        <f ca="1">Tableau1[[#This Row],[Dont
HS 30%]]*1.3</f>
        <v>#VALUE!</v>
      </c>
      <c r="Q167" s="18" t="e">
        <f ca="1">Tableau1[[#This Row],[Dont 
HS 50%]]*1.5</f>
        <v>#VALUE!</v>
      </c>
    </row>
    <row r="168" spans="2:17" hidden="1" x14ac:dyDescent="0.25">
      <c r="B168" s="37">
        <f>_xlfn.ISOWEEKNUM(Tableau1[[#This Row],[Date]])</f>
        <v>36</v>
      </c>
      <c r="C168" s="14">
        <f>debut+ROW()-ROW(Tableau1[[#Headers],[Date]])-1</f>
        <v>44815</v>
      </c>
      <c r="D168" s="16">
        <f>MONTH(Tableau1[[#This Row],[Date]])</f>
        <v>9</v>
      </c>
      <c r="E168" s="16">
        <f>YEAR(Tableau1[[#This Row],[Date]])</f>
        <v>2022</v>
      </c>
      <c r="F168" s="32"/>
      <c r="G168" s="32"/>
      <c r="H168" s="32"/>
      <c r="I168" s="32"/>
      <c r="J168" s="3"/>
      <c r="K168" s="18">
        <f>MOD(Tableau1[[#This Row],[Fin
apm]]-Tableau1[[#This Row],[Début
apm]],1)+MOD(Tableau1[[#This Row],[Fin
matin]]-Tableau1[[#This Row],[Début
matin]],1)</f>
        <v>0</v>
      </c>
      <c r="L168" s="18">
        <f>IFERROR(VLOOKUP(Tableau1[[#This Row],[Abs.]],Tmotif[],3,0),0)</f>
        <v>0</v>
      </c>
      <c r="M168" s="18">
        <f ca="1">IF(WEEKDAY(Tableau1[[#This Row],[Date]],2)&lt;7,0,MAX(0,SUM(OFFSET(Tableau1[[#This Row],[Heures]],-6,,7))+SUM(OFFSET(Tableau1[[#This Row],[H_Abs]],-6,,7))-_HS))</f>
        <v>0</v>
      </c>
      <c r="N168" s="18" t="str">
        <f ca="1">IF(Tableau1[[#This Row],[HS]]&gt;0,IF(Tableau1[[#This Row],[HS]]*24&gt;8,8/24,Tableau1[[#This Row],[HS]]),"")</f>
        <v/>
      </c>
      <c r="O168" s="18" t="str">
        <f ca="1">IF(Tableau1[[#This Row],[HS]]*24&gt;8,Tableau1[[#This Row],[HS]]-Tableau1[[#This Row],[Dont
HS 30%]],"")</f>
        <v/>
      </c>
      <c r="P168" s="18" t="e">
        <f ca="1">Tableau1[[#This Row],[Dont
HS 30%]]*1.3</f>
        <v>#VALUE!</v>
      </c>
      <c r="Q168" s="18" t="e">
        <f ca="1">Tableau1[[#This Row],[Dont 
HS 50%]]*1.5</f>
        <v>#VALUE!</v>
      </c>
    </row>
    <row r="169" spans="2:17" hidden="1" x14ac:dyDescent="0.25">
      <c r="B169" s="37">
        <f>_xlfn.ISOWEEKNUM(Tableau1[[#This Row],[Date]])</f>
        <v>37</v>
      </c>
      <c r="C169" s="14">
        <f>debut+ROW()-ROW(Tableau1[[#Headers],[Date]])-1</f>
        <v>44816</v>
      </c>
      <c r="D169" s="16">
        <f>MONTH(Tableau1[[#This Row],[Date]])</f>
        <v>9</v>
      </c>
      <c r="E169" s="16">
        <f>YEAR(Tableau1[[#This Row],[Date]])</f>
        <v>2022</v>
      </c>
      <c r="F169" s="32"/>
      <c r="G169" s="32"/>
      <c r="H169" s="32"/>
      <c r="I169" s="32"/>
      <c r="J169" s="3"/>
      <c r="K169" s="18">
        <f>MOD(Tableau1[[#This Row],[Fin
apm]]-Tableau1[[#This Row],[Début
apm]],1)+MOD(Tableau1[[#This Row],[Fin
matin]]-Tableau1[[#This Row],[Début
matin]],1)</f>
        <v>0</v>
      </c>
      <c r="L169" s="18">
        <f>IFERROR(VLOOKUP(Tableau1[[#This Row],[Abs.]],Tmotif[],3,0),0)</f>
        <v>0</v>
      </c>
      <c r="M169" s="18">
        <f ca="1">IF(WEEKDAY(Tableau1[[#This Row],[Date]],2)&lt;7,0,MAX(0,SUM(OFFSET(Tableau1[[#This Row],[Heures]],-6,,7))+SUM(OFFSET(Tableau1[[#This Row],[H_Abs]],-6,,7))-_HS))</f>
        <v>0</v>
      </c>
      <c r="N169" s="18" t="str">
        <f ca="1">IF(Tableau1[[#This Row],[HS]]&gt;0,IF(Tableau1[[#This Row],[HS]]*24&gt;8,8/24,Tableau1[[#This Row],[HS]]),"")</f>
        <v/>
      </c>
      <c r="O169" s="18" t="str">
        <f ca="1">IF(Tableau1[[#This Row],[HS]]*24&gt;8,Tableau1[[#This Row],[HS]]-Tableau1[[#This Row],[Dont
HS 30%]],"")</f>
        <v/>
      </c>
      <c r="P169" s="18" t="e">
        <f ca="1">Tableau1[[#This Row],[Dont
HS 30%]]*1.3</f>
        <v>#VALUE!</v>
      </c>
      <c r="Q169" s="18" t="e">
        <f ca="1">Tableau1[[#This Row],[Dont 
HS 50%]]*1.5</f>
        <v>#VALUE!</v>
      </c>
    </row>
    <row r="170" spans="2:17" hidden="1" x14ac:dyDescent="0.25">
      <c r="B170" s="37">
        <f>_xlfn.ISOWEEKNUM(Tableau1[[#This Row],[Date]])</f>
        <v>37</v>
      </c>
      <c r="C170" s="14">
        <f>debut+ROW()-ROW(Tableau1[[#Headers],[Date]])-1</f>
        <v>44817</v>
      </c>
      <c r="D170" s="16">
        <f>MONTH(Tableau1[[#This Row],[Date]])</f>
        <v>9</v>
      </c>
      <c r="E170" s="16">
        <f>YEAR(Tableau1[[#This Row],[Date]])</f>
        <v>2022</v>
      </c>
      <c r="F170" s="32"/>
      <c r="G170" s="32"/>
      <c r="H170" s="32"/>
      <c r="I170" s="32"/>
      <c r="J170" s="3"/>
      <c r="K170" s="18">
        <f>MOD(Tableau1[[#This Row],[Fin
apm]]-Tableau1[[#This Row],[Début
apm]],1)+MOD(Tableau1[[#This Row],[Fin
matin]]-Tableau1[[#This Row],[Début
matin]],1)</f>
        <v>0</v>
      </c>
      <c r="L170" s="18">
        <f>IFERROR(VLOOKUP(Tableau1[[#This Row],[Abs.]],Tmotif[],3,0),0)</f>
        <v>0</v>
      </c>
      <c r="M170" s="18">
        <f ca="1">IF(WEEKDAY(Tableau1[[#This Row],[Date]],2)&lt;7,0,MAX(0,SUM(OFFSET(Tableau1[[#This Row],[Heures]],-6,,7))+SUM(OFFSET(Tableau1[[#This Row],[H_Abs]],-6,,7))-_HS))</f>
        <v>0</v>
      </c>
      <c r="N170" s="18" t="str">
        <f ca="1">IF(Tableau1[[#This Row],[HS]]&gt;0,IF(Tableau1[[#This Row],[HS]]*24&gt;8,8/24,Tableau1[[#This Row],[HS]]),"")</f>
        <v/>
      </c>
      <c r="O170" s="18" t="str">
        <f ca="1">IF(Tableau1[[#This Row],[HS]]*24&gt;8,Tableau1[[#This Row],[HS]]-Tableau1[[#This Row],[Dont
HS 30%]],"")</f>
        <v/>
      </c>
      <c r="P170" s="18" t="e">
        <f ca="1">Tableau1[[#This Row],[Dont
HS 30%]]*1.3</f>
        <v>#VALUE!</v>
      </c>
      <c r="Q170" s="18" t="e">
        <f ca="1">Tableau1[[#This Row],[Dont 
HS 50%]]*1.5</f>
        <v>#VALUE!</v>
      </c>
    </row>
    <row r="171" spans="2:17" hidden="1" x14ac:dyDescent="0.25">
      <c r="B171" s="37">
        <f>_xlfn.ISOWEEKNUM(Tableau1[[#This Row],[Date]])</f>
        <v>37</v>
      </c>
      <c r="C171" s="14">
        <f>debut+ROW()-ROW(Tableau1[[#Headers],[Date]])-1</f>
        <v>44818</v>
      </c>
      <c r="D171" s="16">
        <f>MONTH(Tableau1[[#This Row],[Date]])</f>
        <v>9</v>
      </c>
      <c r="E171" s="16">
        <f>YEAR(Tableau1[[#This Row],[Date]])</f>
        <v>2022</v>
      </c>
      <c r="F171" s="32"/>
      <c r="G171" s="32"/>
      <c r="H171" s="32"/>
      <c r="I171" s="32"/>
      <c r="J171" s="3"/>
      <c r="K171" s="18">
        <f>MOD(Tableau1[[#This Row],[Fin
apm]]-Tableau1[[#This Row],[Début
apm]],1)+MOD(Tableau1[[#This Row],[Fin
matin]]-Tableau1[[#This Row],[Début
matin]],1)</f>
        <v>0</v>
      </c>
      <c r="L171" s="18">
        <f>IFERROR(VLOOKUP(Tableau1[[#This Row],[Abs.]],Tmotif[],3,0),0)</f>
        <v>0</v>
      </c>
      <c r="M171" s="18">
        <f ca="1">IF(WEEKDAY(Tableau1[[#This Row],[Date]],2)&lt;7,0,MAX(0,SUM(OFFSET(Tableau1[[#This Row],[Heures]],-6,,7))+SUM(OFFSET(Tableau1[[#This Row],[H_Abs]],-6,,7))-_HS))</f>
        <v>0</v>
      </c>
      <c r="N171" s="18" t="str">
        <f ca="1">IF(Tableau1[[#This Row],[HS]]&gt;0,IF(Tableau1[[#This Row],[HS]]*24&gt;8,8/24,Tableau1[[#This Row],[HS]]),"")</f>
        <v/>
      </c>
      <c r="O171" s="18" t="str">
        <f ca="1">IF(Tableau1[[#This Row],[HS]]*24&gt;8,Tableau1[[#This Row],[HS]]-Tableau1[[#This Row],[Dont
HS 30%]],"")</f>
        <v/>
      </c>
      <c r="P171" s="18" t="e">
        <f ca="1">Tableau1[[#This Row],[Dont
HS 30%]]*1.3</f>
        <v>#VALUE!</v>
      </c>
      <c r="Q171" s="18" t="e">
        <f ca="1">Tableau1[[#This Row],[Dont 
HS 50%]]*1.5</f>
        <v>#VALUE!</v>
      </c>
    </row>
    <row r="172" spans="2:17" hidden="1" x14ac:dyDescent="0.25">
      <c r="B172" s="37">
        <f>_xlfn.ISOWEEKNUM(Tableau1[[#This Row],[Date]])</f>
        <v>37</v>
      </c>
      <c r="C172" s="14">
        <f>debut+ROW()-ROW(Tableau1[[#Headers],[Date]])-1</f>
        <v>44819</v>
      </c>
      <c r="D172" s="16">
        <f>MONTH(Tableau1[[#This Row],[Date]])</f>
        <v>9</v>
      </c>
      <c r="E172" s="16">
        <f>YEAR(Tableau1[[#This Row],[Date]])</f>
        <v>2022</v>
      </c>
      <c r="F172" s="32"/>
      <c r="G172" s="32"/>
      <c r="H172" s="32"/>
      <c r="I172" s="32"/>
      <c r="J172" s="3"/>
      <c r="K172" s="18">
        <f>MOD(Tableau1[[#This Row],[Fin
apm]]-Tableau1[[#This Row],[Début
apm]],1)+MOD(Tableau1[[#This Row],[Fin
matin]]-Tableau1[[#This Row],[Début
matin]],1)</f>
        <v>0</v>
      </c>
      <c r="L172" s="18">
        <f>IFERROR(VLOOKUP(Tableau1[[#This Row],[Abs.]],Tmotif[],3,0),0)</f>
        <v>0</v>
      </c>
      <c r="M172" s="18">
        <f ca="1">IF(WEEKDAY(Tableau1[[#This Row],[Date]],2)&lt;7,0,MAX(0,SUM(OFFSET(Tableau1[[#This Row],[Heures]],-6,,7))+SUM(OFFSET(Tableau1[[#This Row],[H_Abs]],-6,,7))-_HS))</f>
        <v>0</v>
      </c>
      <c r="N172" s="18" t="str">
        <f ca="1">IF(Tableau1[[#This Row],[HS]]&gt;0,IF(Tableau1[[#This Row],[HS]]*24&gt;8,8/24,Tableau1[[#This Row],[HS]]),"")</f>
        <v/>
      </c>
      <c r="O172" s="18" t="str">
        <f ca="1">IF(Tableau1[[#This Row],[HS]]*24&gt;8,Tableau1[[#This Row],[HS]]-Tableau1[[#This Row],[Dont
HS 30%]],"")</f>
        <v/>
      </c>
      <c r="P172" s="18" t="e">
        <f ca="1">Tableau1[[#This Row],[Dont
HS 30%]]*1.3</f>
        <v>#VALUE!</v>
      </c>
      <c r="Q172" s="18" t="e">
        <f ca="1">Tableau1[[#This Row],[Dont 
HS 50%]]*1.5</f>
        <v>#VALUE!</v>
      </c>
    </row>
    <row r="173" spans="2:17" hidden="1" x14ac:dyDescent="0.25">
      <c r="B173" s="37">
        <f>_xlfn.ISOWEEKNUM(Tableau1[[#This Row],[Date]])</f>
        <v>37</v>
      </c>
      <c r="C173" s="14">
        <f>debut+ROW()-ROW(Tableau1[[#Headers],[Date]])-1</f>
        <v>44820</v>
      </c>
      <c r="D173" s="16">
        <f>MONTH(Tableau1[[#This Row],[Date]])</f>
        <v>9</v>
      </c>
      <c r="E173" s="16">
        <f>YEAR(Tableau1[[#This Row],[Date]])</f>
        <v>2022</v>
      </c>
      <c r="F173" s="32"/>
      <c r="G173" s="32"/>
      <c r="H173" s="32"/>
      <c r="I173" s="32"/>
      <c r="J173" s="3"/>
      <c r="K173" s="18">
        <f>MOD(Tableau1[[#This Row],[Fin
apm]]-Tableau1[[#This Row],[Début
apm]],1)+MOD(Tableau1[[#This Row],[Fin
matin]]-Tableau1[[#This Row],[Début
matin]],1)</f>
        <v>0</v>
      </c>
      <c r="L173" s="18">
        <f>IFERROR(VLOOKUP(Tableau1[[#This Row],[Abs.]],Tmotif[],3,0),0)</f>
        <v>0</v>
      </c>
      <c r="M173" s="18">
        <f ca="1">IF(WEEKDAY(Tableau1[[#This Row],[Date]],2)&lt;7,0,MAX(0,SUM(OFFSET(Tableau1[[#This Row],[Heures]],-6,,7))+SUM(OFFSET(Tableau1[[#This Row],[H_Abs]],-6,,7))-_HS))</f>
        <v>0</v>
      </c>
      <c r="N173" s="18" t="str">
        <f ca="1">IF(Tableau1[[#This Row],[HS]]&gt;0,IF(Tableau1[[#This Row],[HS]]*24&gt;8,8/24,Tableau1[[#This Row],[HS]]),"")</f>
        <v/>
      </c>
      <c r="O173" s="18" t="str">
        <f ca="1">IF(Tableau1[[#This Row],[HS]]*24&gt;8,Tableau1[[#This Row],[HS]]-Tableau1[[#This Row],[Dont
HS 30%]],"")</f>
        <v/>
      </c>
      <c r="P173" s="18" t="e">
        <f ca="1">Tableau1[[#This Row],[Dont
HS 30%]]*1.3</f>
        <v>#VALUE!</v>
      </c>
      <c r="Q173" s="18" t="e">
        <f ca="1">Tableau1[[#This Row],[Dont 
HS 50%]]*1.5</f>
        <v>#VALUE!</v>
      </c>
    </row>
    <row r="174" spans="2:17" hidden="1" x14ac:dyDescent="0.25">
      <c r="B174" s="37">
        <f>_xlfn.ISOWEEKNUM(Tableau1[[#This Row],[Date]])</f>
        <v>37</v>
      </c>
      <c r="C174" s="14">
        <f>debut+ROW()-ROW(Tableau1[[#Headers],[Date]])-1</f>
        <v>44821</v>
      </c>
      <c r="D174" s="16">
        <f>MONTH(Tableau1[[#This Row],[Date]])</f>
        <v>9</v>
      </c>
      <c r="E174" s="16">
        <f>YEAR(Tableau1[[#This Row],[Date]])</f>
        <v>2022</v>
      </c>
      <c r="F174" s="32"/>
      <c r="G174" s="32"/>
      <c r="H174" s="32"/>
      <c r="I174" s="32"/>
      <c r="J174" s="3"/>
      <c r="K174" s="18">
        <f>MOD(Tableau1[[#This Row],[Fin
apm]]-Tableau1[[#This Row],[Début
apm]],1)+MOD(Tableau1[[#This Row],[Fin
matin]]-Tableau1[[#This Row],[Début
matin]],1)</f>
        <v>0</v>
      </c>
      <c r="L174" s="18">
        <f>IFERROR(VLOOKUP(Tableau1[[#This Row],[Abs.]],Tmotif[],3,0),0)</f>
        <v>0</v>
      </c>
      <c r="M174" s="18">
        <f ca="1">IF(WEEKDAY(Tableau1[[#This Row],[Date]],2)&lt;7,0,MAX(0,SUM(OFFSET(Tableau1[[#This Row],[Heures]],-6,,7))+SUM(OFFSET(Tableau1[[#This Row],[H_Abs]],-6,,7))-_HS))</f>
        <v>0</v>
      </c>
      <c r="N174" s="18" t="str">
        <f ca="1">IF(Tableau1[[#This Row],[HS]]&gt;0,IF(Tableau1[[#This Row],[HS]]*24&gt;8,8/24,Tableau1[[#This Row],[HS]]),"")</f>
        <v/>
      </c>
      <c r="O174" s="18" t="str">
        <f ca="1">IF(Tableau1[[#This Row],[HS]]*24&gt;8,Tableau1[[#This Row],[HS]]-Tableau1[[#This Row],[Dont
HS 30%]],"")</f>
        <v/>
      </c>
      <c r="P174" s="18" t="e">
        <f ca="1">Tableau1[[#This Row],[Dont
HS 30%]]*1.3</f>
        <v>#VALUE!</v>
      </c>
      <c r="Q174" s="18" t="e">
        <f ca="1">Tableau1[[#This Row],[Dont 
HS 50%]]*1.5</f>
        <v>#VALUE!</v>
      </c>
    </row>
    <row r="175" spans="2:17" hidden="1" x14ac:dyDescent="0.25">
      <c r="B175" s="37">
        <f>_xlfn.ISOWEEKNUM(Tableau1[[#This Row],[Date]])</f>
        <v>37</v>
      </c>
      <c r="C175" s="14">
        <f>debut+ROW()-ROW(Tableau1[[#Headers],[Date]])-1</f>
        <v>44822</v>
      </c>
      <c r="D175" s="16">
        <f>MONTH(Tableau1[[#This Row],[Date]])</f>
        <v>9</v>
      </c>
      <c r="E175" s="16">
        <f>YEAR(Tableau1[[#This Row],[Date]])</f>
        <v>2022</v>
      </c>
      <c r="F175" s="32"/>
      <c r="G175" s="32"/>
      <c r="H175" s="32"/>
      <c r="I175" s="32"/>
      <c r="J175" s="3"/>
      <c r="K175" s="18">
        <f>MOD(Tableau1[[#This Row],[Fin
apm]]-Tableau1[[#This Row],[Début
apm]],1)+MOD(Tableau1[[#This Row],[Fin
matin]]-Tableau1[[#This Row],[Début
matin]],1)</f>
        <v>0</v>
      </c>
      <c r="L175" s="18">
        <f>IFERROR(VLOOKUP(Tableau1[[#This Row],[Abs.]],Tmotif[],3,0),0)</f>
        <v>0</v>
      </c>
      <c r="M175" s="18">
        <f ca="1">IF(WEEKDAY(Tableau1[[#This Row],[Date]],2)&lt;7,0,MAX(0,SUM(OFFSET(Tableau1[[#This Row],[Heures]],-6,,7))+SUM(OFFSET(Tableau1[[#This Row],[H_Abs]],-6,,7))-_HS))</f>
        <v>0</v>
      </c>
      <c r="N175" s="18" t="str">
        <f ca="1">IF(Tableau1[[#This Row],[HS]]&gt;0,IF(Tableau1[[#This Row],[HS]]*24&gt;8,8/24,Tableau1[[#This Row],[HS]]),"")</f>
        <v/>
      </c>
      <c r="O175" s="18" t="str">
        <f ca="1">IF(Tableau1[[#This Row],[HS]]*24&gt;8,Tableau1[[#This Row],[HS]]-Tableau1[[#This Row],[Dont
HS 30%]],"")</f>
        <v/>
      </c>
      <c r="P175" s="18" t="e">
        <f ca="1">Tableau1[[#This Row],[Dont
HS 30%]]*1.3</f>
        <v>#VALUE!</v>
      </c>
      <c r="Q175" s="18" t="e">
        <f ca="1">Tableau1[[#This Row],[Dont 
HS 50%]]*1.5</f>
        <v>#VALUE!</v>
      </c>
    </row>
    <row r="176" spans="2:17" hidden="1" x14ac:dyDescent="0.25">
      <c r="B176" s="37">
        <f>_xlfn.ISOWEEKNUM(Tableau1[[#This Row],[Date]])</f>
        <v>38</v>
      </c>
      <c r="C176" s="14">
        <f>debut+ROW()-ROW(Tableau1[[#Headers],[Date]])-1</f>
        <v>44823</v>
      </c>
      <c r="D176" s="16">
        <f>MONTH(Tableau1[[#This Row],[Date]])</f>
        <v>9</v>
      </c>
      <c r="E176" s="16">
        <f>YEAR(Tableau1[[#This Row],[Date]])</f>
        <v>2022</v>
      </c>
      <c r="F176" s="32"/>
      <c r="G176" s="32"/>
      <c r="H176" s="32"/>
      <c r="I176" s="32"/>
      <c r="J176" s="3"/>
      <c r="K176" s="18">
        <f>MOD(Tableau1[[#This Row],[Fin
apm]]-Tableau1[[#This Row],[Début
apm]],1)+MOD(Tableau1[[#This Row],[Fin
matin]]-Tableau1[[#This Row],[Début
matin]],1)</f>
        <v>0</v>
      </c>
      <c r="L176" s="18">
        <f>IFERROR(VLOOKUP(Tableau1[[#This Row],[Abs.]],Tmotif[],3,0),0)</f>
        <v>0</v>
      </c>
      <c r="M176" s="18">
        <f ca="1">IF(WEEKDAY(Tableau1[[#This Row],[Date]],2)&lt;7,0,MAX(0,SUM(OFFSET(Tableau1[[#This Row],[Heures]],-6,,7))+SUM(OFFSET(Tableau1[[#This Row],[H_Abs]],-6,,7))-_HS))</f>
        <v>0</v>
      </c>
      <c r="N176" s="18" t="str">
        <f ca="1">IF(Tableau1[[#This Row],[HS]]&gt;0,IF(Tableau1[[#This Row],[HS]]*24&gt;8,8/24,Tableau1[[#This Row],[HS]]),"")</f>
        <v/>
      </c>
      <c r="O176" s="18" t="str">
        <f ca="1">IF(Tableau1[[#This Row],[HS]]*24&gt;8,Tableau1[[#This Row],[HS]]-Tableau1[[#This Row],[Dont
HS 30%]],"")</f>
        <v/>
      </c>
      <c r="P176" s="18" t="e">
        <f ca="1">Tableau1[[#This Row],[Dont
HS 30%]]*1.3</f>
        <v>#VALUE!</v>
      </c>
      <c r="Q176" s="18" t="e">
        <f ca="1">Tableau1[[#This Row],[Dont 
HS 50%]]*1.5</f>
        <v>#VALUE!</v>
      </c>
    </row>
    <row r="177" spans="2:17" hidden="1" x14ac:dyDescent="0.25">
      <c r="B177" s="37">
        <f>_xlfn.ISOWEEKNUM(Tableau1[[#This Row],[Date]])</f>
        <v>38</v>
      </c>
      <c r="C177" s="14">
        <f>debut+ROW()-ROW(Tableau1[[#Headers],[Date]])-1</f>
        <v>44824</v>
      </c>
      <c r="D177" s="16">
        <f>MONTH(Tableau1[[#This Row],[Date]])</f>
        <v>9</v>
      </c>
      <c r="E177" s="16">
        <f>YEAR(Tableau1[[#This Row],[Date]])</f>
        <v>2022</v>
      </c>
      <c r="F177" s="32"/>
      <c r="G177" s="32"/>
      <c r="H177" s="32"/>
      <c r="I177" s="32"/>
      <c r="J177" s="3"/>
      <c r="K177" s="18">
        <f>MOD(Tableau1[[#This Row],[Fin
apm]]-Tableau1[[#This Row],[Début
apm]],1)+MOD(Tableau1[[#This Row],[Fin
matin]]-Tableau1[[#This Row],[Début
matin]],1)</f>
        <v>0</v>
      </c>
      <c r="L177" s="18">
        <f>IFERROR(VLOOKUP(Tableau1[[#This Row],[Abs.]],Tmotif[],3,0),0)</f>
        <v>0</v>
      </c>
      <c r="M177" s="18">
        <f ca="1">IF(WEEKDAY(Tableau1[[#This Row],[Date]],2)&lt;7,0,MAX(0,SUM(OFFSET(Tableau1[[#This Row],[Heures]],-6,,7))+SUM(OFFSET(Tableau1[[#This Row],[H_Abs]],-6,,7))-_HS))</f>
        <v>0</v>
      </c>
      <c r="N177" s="18" t="str">
        <f ca="1">IF(Tableau1[[#This Row],[HS]]&gt;0,IF(Tableau1[[#This Row],[HS]]*24&gt;8,8/24,Tableau1[[#This Row],[HS]]),"")</f>
        <v/>
      </c>
      <c r="O177" s="18" t="str">
        <f ca="1">IF(Tableau1[[#This Row],[HS]]*24&gt;8,Tableau1[[#This Row],[HS]]-Tableau1[[#This Row],[Dont
HS 30%]],"")</f>
        <v/>
      </c>
      <c r="P177" s="18" t="e">
        <f ca="1">Tableau1[[#This Row],[Dont
HS 30%]]*1.3</f>
        <v>#VALUE!</v>
      </c>
      <c r="Q177" s="18" t="e">
        <f ca="1">Tableau1[[#This Row],[Dont 
HS 50%]]*1.5</f>
        <v>#VALUE!</v>
      </c>
    </row>
    <row r="178" spans="2:17" hidden="1" x14ac:dyDescent="0.25">
      <c r="B178" s="37">
        <f>_xlfn.ISOWEEKNUM(Tableau1[[#This Row],[Date]])</f>
        <v>38</v>
      </c>
      <c r="C178" s="14">
        <f>debut+ROW()-ROW(Tableau1[[#Headers],[Date]])-1</f>
        <v>44825</v>
      </c>
      <c r="D178" s="16">
        <f>MONTH(Tableau1[[#This Row],[Date]])</f>
        <v>9</v>
      </c>
      <c r="E178" s="16">
        <f>YEAR(Tableau1[[#This Row],[Date]])</f>
        <v>2022</v>
      </c>
      <c r="F178" s="32"/>
      <c r="G178" s="32"/>
      <c r="H178" s="32"/>
      <c r="I178" s="32"/>
      <c r="J178" s="3"/>
      <c r="K178" s="18">
        <f>MOD(Tableau1[[#This Row],[Fin
apm]]-Tableau1[[#This Row],[Début
apm]],1)+MOD(Tableau1[[#This Row],[Fin
matin]]-Tableau1[[#This Row],[Début
matin]],1)</f>
        <v>0</v>
      </c>
      <c r="L178" s="18">
        <f>IFERROR(VLOOKUP(Tableau1[[#This Row],[Abs.]],Tmotif[],3,0),0)</f>
        <v>0</v>
      </c>
      <c r="M178" s="18">
        <f ca="1">IF(WEEKDAY(Tableau1[[#This Row],[Date]],2)&lt;7,0,MAX(0,SUM(OFFSET(Tableau1[[#This Row],[Heures]],-6,,7))+SUM(OFFSET(Tableau1[[#This Row],[H_Abs]],-6,,7))-_HS))</f>
        <v>0</v>
      </c>
      <c r="N178" s="18" t="str">
        <f ca="1">IF(Tableau1[[#This Row],[HS]]&gt;0,IF(Tableau1[[#This Row],[HS]]*24&gt;8,8/24,Tableau1[[#This Row],[HS]]),"")</f>
        <v/>
      </c>
      <c r="O178" s="18" t="str">
        <f ca="1">IF(Tableau1[[#This Row],[HS]]*24&gt;8,Tableau1[[#This Row],[HS]]-Tableau1[[#This Row],[Dont
HS 30%]],"")</f>
        <v/>
      </c>
      <c r="P178" s="18" t="e">
        <f ca="1">Tableau1[[#This Row],[Dont
HS 30%]]*1.3</f>
        <v>#VALUE!</v>
      </c>
      <c r="Q178" s="18" t="e">
        <f ca="1">Tableau1[[#This Row],[Dont 
HS 50%]]*1.5</f>
        <v>#VALUE!</v>
      </c>
    </row>
    <row r="179" spans="2:17" hidden="1" x14ac:dyDescent="0.25">
      <c r="B179" s="37">
        <f>_xlfn.ISOWEEKNUM(Tableau1[[#This Row],[Date]])</f>
        <v>38</v>
      </c>
      <c r="C179" s="14">
        <f>debut+ROW()-ROW(Tableau1[[#Headers],[Date]])-1</f>
        <v>44826</v>
      </c>
      <c r="D179" s="16">
        <f>MONTH(Tableau1[[#This Row],[Date]])</f>
        <v>9</v>
      </c>
      <c r="E179" s="16">
        <f>YEAR(Tableau1[[#This Row],[Date]])</f>
        <v>2022</v>
      </c>
      <c r="F179" s="32"/>
      <c r="G179" s="32"/>
      <c r="H179" s="32"/>
      <c r="I179" s="32"/>
      <c r="J179" s="3"/>
      <c r="K179" s="18">
        <f>MOD(Tableau1[[#This Row],[Fin
apm]]-Tableau1[[#This Row],[Début
apm]],1)+MOD(Tableau1[[#This Row],[Fin
matin]]-Tableau1[[#This Row],[Début
matin]],1)</f>
        <v>0</v>
      </c>
      <c r="L179" s="18">
        <f>IFERROR(VLOOKUP(Tableau1[[#This Row],[Abs.]],Tmotif[],3,0),0)</f>
        <v>0</v>
      </c>
      <c r="M179" s="18">
        <f ca="1">IF(WEEKDAY(Tableau1[[#This Row],[Date]],2)&lt;7,0,MAX(0,SUM(OFFSET(Tableau1[[#This Row],[Heures]],-6,,7))+SUM(OFFSET(Tableau1[[#This Row],[H_Abs]],-6,,7))-_HS))</f>
        <v>0</v>
      </c>
      <c r="N179" s="18" t="str">
        <f ca="1">IF(Tableau1[[#This Row],[HS]]&gt;0,IF(Tableau1[[#This Row],[HS]]*24&gt;8,8/24,Tableau1[[#This Row],[HS]]),"")</f>
        <v/>
      </c>
      <c r="O179" s="18" t="str">
        <f ca="1">IF(Tableau1[[#This Row],[HS]]*24&gt;8,Tableau1[[#This Row],[HS]]-Tableau1[[#This Row],[Dont
HS 30%]],"")</f>
        <v/>
      </c>
      <c r="P179" s="18" t="e">
        <f ca="1">Tableau1[[#This Row],[Dont
HS 30%]]*1.3</f>
        <v>#VALUE!</v>
      </c>
      <c r="Q179" s="18" t="e">
        <f ca="1">Tableau1[[#This Row],[Dont 
HS 50%]]*1.5</f>
        <v>#VALUE!</v>
      </c>
    </row>
    <row r="180" spans="2:17" hidden="1" x14ac:dyDescent="0.25">
      <c r="B180" s="37">
        <f>_xlfn.ISOWEEKNUM(Tableau1[[#This Row],[Date]])</f>
        <v>38</v>
      </c>
      <c r="C180" s="14">
        <f>debut+ROW()-ROW(Tableau1[[#Headers],[Date]])-1</f>
        <v>44827</v>
      </c>
      <c r="D180" s="16">
        <f>MONTH(Tableau1[[#This Row],[Date]])</f>
        <v>9</v>
      </c>
      <c r="E180" s="16">
        <f>YEAR(Tableau1[[#This Row],[Date]])</f>
        <v>2022</v>
      </c>
      <c r="F180" s="32"/>
      <c r="G180" s="32"/>
      <c r="H180" s="32"/>
      <c r="I180" s="32"/>
      <c r="J180" s="3"/>
      <c r="K180" s="18">
        <f>MOD(Tableau1[[#This Row],[Fin
apm]]-Tableau1[[#This Row],[Début
apm]],1)+MOD(Tableau1[[#This Row],[Fin
matin]]-Tableau1[[#This Row],[Début
matin]],1)</f>
        <v>0</v>
      </c>
      <c r="L180" s="18">
        <f>IFERROR(VLOOKUP(Tableau1[[#This Row],[Abs.]],Tmotif[],3,0),0)</f>
        <v>0</v>
      </c>
      <c r="M180" s="18">
        <f ca="1">IF(WEEKDAY(Tableau1[[#This Row],[Date]],2)&lt;7,0,MAX(0,SUM(OFFSET(Tableau1[[#This Row],[Heures]],-6,,7))+SUM(OFFSET(Tableau1[[#This Row],[H_Abs]],-6,,7))-_HS))</f>
        <v>0</v>
      </c>
      <c r="N180" s="18" t="str">
        <f ca="1">IF(Tableau1[[#This Row],[HS]]&gt;0,IF(Tableau1[[#This Row],[HS]]*24&gt;8,8/24,Tableau1[[#This Row],[HS]]),"")</f>
        <v/>
      </c>
      <c r="O180" s="18" t="str">
        <f ca="1">IF(Tableau1[[#This Row],[HS]]*24&gt;8,Tableau1[[#This Row],[HS]]-Tableau1[[#This Row],[Dont
HS 30%]],"")</f>
        <v/>
      </c>
      <c r="P180" s="18" t="e">
        <f ca="1">Tableau1[[#This Row],[Dont
HS 30%]]*1.3</f>
        <v>#VALUE!</v>
      </c>
      <c r="Q180" s="18" t="e">
        <f ca="1">Tableau1[[#This Row],[Dont 
HS 50%]]*1.5</f>
        <v>#VALUE!</v>
      </c>
    </row>
    <row r="181" spans="2:17" hidden="1" x14ac:dyDescent="0.25">
      <c r="B181" s="37">
        <f>_xlfn.ISOWEEKNUM(Tableau1[[#This Row],[Date]])</f>
        <v>38</v>
      </c>
      <c r="C181" s="14">
        <f>debut+ROW()-ROW(Tableau1[[#Headers],[Date]])-1</f>
        <v>44828</v>
      </c>
      <c r="D181" s="16">
        <f>MONTH(Tableau1[[#This Row],[Date]])</f>
        <v>9</v>
      </c>
      <c r="E181" s="16">
        <f>YEAR(Tableau1[[#This Row],[Date]])</f>
        <v>2022</v>
      </c>
      <c r="F181" s="32"/>
      <c r="G181" s="32"/>
      <c r="H181" s="32"/>
      <c r="I181" s="32"/>
      <c r="J181" s="3"/>
      <c r="K181" s="18">
        <f>MOD(Tableau1[[#This Row],[Fin
apm]]-Tableau1[[#This Row],[Début
apm]],1)+MOD(Tableau1[[#This Row],[Fin
matin]]-Tableau1[[#This Row],[Début
matin]],1)</f>
        <v>0</v>
      </c>
      <c r="L181" s="18">
        <f>IFERROR(VLOOKUP(Tableau1[[#This Row],[Abs.]],Tmotif[],3,0),0)</f>
        <v>0</v>
      </c>
      <c r="M181" s="18">
        <f ca="1">IF(WEEKDAY(Tableau1[[#This Row],[Date]],2)&lt;7,0,MAX(0,SUM(OFFSET(Tableau1[[#This Row],[Heures]],-6,,7))+SUM(OFFSET(Tableau1[[#This Row],[H_Abs]],-6,,7))-_HS))</f>
        <v>0</v>
      </c>
      <c r="N181" s="18" t="str">
        <f ca="1">IF(Tableau1[[#This Row],[HS]]&gt;0,IF(Tableau1[[#This Row],[HS]]*24&gt;8,8/24,Tableau1[[#This Row],[HS]]),"")</f>
        <v/>
      </c>
      <c r="O181" s="18" t="str">
        <f ca="1">IF(Tableau1[[#This Row],[HS]]*24&gt;8,Tableau1[[#This Row],[HS]]-Tableau1[[#This Row],[Dont
HS 30%]],"")</f>
        <v/>
      </c>
      <c r="P181" s="18" t="e">
        <f ca="1">Tableau1[[#This Row],[Dont
HS 30%]]*1.3</f>
        <v>#VALUE!</v>
      </c>
      <c r="Q181" s="18" t="e">
        <f ca="1">Tableau1[[#This Row],[Dont 
HS 50%]]*1.5</f>
        <v>#VALUE!</v>
      </c>
    </row>
    <row r="182" spans="2:17" hidden="1" x14ac:dyDescent="0.25">
      <c r="B182" s="37">
        <f>_xlfn.ISOWEEKNUM(Tableau1[[#This Row],[Date]])</f>
        <v>38</v>
      </c>
      <c r="C182" s="14">
        <f>debut+ROW()-ROW(Tableau1[[#Headers],[Date]])-1</f>
        <v>44829</v>
      </c>
      <c r="D182" s="16">
        <f>MONTH(Tableau1[[#This Row],[Date]])</f>
        <v>9</v>
      </c>
      <c r="E182" s="16">
        <f>YEAR(Tableau1[[#This Row],[Date]])</f>
        <v>2022</v>
      </c>
      <c r="F182" s="32"/>
      <c r="G182" s="32"/>
      <c r="H182" s="32"/>
      <c r="I182" s="32"/>
      <c r="J182" s="3"/>
      <c r="K182" s="18">
        <f>MOD(Tableau1[[#This Row],[Fin
apm]]-Tableau1[[#This Row],[Début
apm]],1)+MOD(Tableau1[[#This Row],[Fin
matin]]-Tableau1[[#This Row],[Début
matin]],1)</f>
        <v>0</v>
      </c>
      <c r="L182" s="18">
        <f>IFERROR(VLOOKUP(Tableau1[[#This Row],[Abs.]],Tmotif[],3,0),0)</f>
        <v>0</v>
      </c>
      <c r="M182" s="18">
        <f ca="1">IF(WEEKDAY(Tableau1[[#This Row],[Date]],2)&lt;7,0,MAX(0,SUM(OFFSET(Tableau1[[#This Row],[Heures]],-6,,7))+SUM(OFFSET(Tableau1[[#This Row],[H_Abs]],-6,,7))-_HS))</f>
        <v>0</v>
      </c>
      <c r="N182" s="18" t="str">
        <f ca="1">IF(Tableau1[[#This Row],[HS]]&gt;0,IF(Tableau1[[#This Row],[HS]]*24&gt;8,8/24,Tableau1[[#This Row],[HS]]),"")</f>
        <v/>
      </c>
      <c r="O182" s="18" t="str">
        <f ca="1">IF(Tableau1[[#This Row],[HS]]*24&gt;8,Tableau1[[#This Row],[HS]]-Tableau1[[#This Row],[Dont
HS 30%]],"")</f>
        <v/>
      </c>
      <c r="P182" s="18" t="e">
        <f ca="1">Tableau1[[#This Row],[Dont
HS 30%]]*1.3</f>
        <v>#VALUE!</v>
      </c>
      <c r="Q182" s="18" t="e">
        <f ca="1">Tableau1[[#This Row],[Dont 
HS 50%]]*1.5</f>
        <v>#VALUE!</v>
      </c>
    </row>
    <row r="183" spans="2:17" hidden="1" x14ac:dyDescent="0.25">
      <c r="B183" s="37">
        <f>_xlfn.ISOWEEKNUM(Tableau1[[#This Row],[Date]])</f>
        <v>39</v>
      </c>
      <c r="C183" s="14">
        <f>debut+ROW()-ROW(Tableau1[[#Headers],[Date]])-1</f>
        <v>44830</v>
      </c>
      <c r="D183" s="16">
        <f>MONTH(Tableau1[[#This Row],[Date]])</f>
        <v>9</v>
      </c>
      <c r="E183" s="16">
        <f>YEAR(Tableau1[[#This Row],[Date]])</f>
        <v>2022</v>
      </c>
      <c r="F183" s="32"/>
      <c r="G183" s="32"/>
      <c r="H183" s="32"/>
      <c r="I183" s="32"/>
      <c r="J183" s="3"/>
      <c r="K183" s="18">
        <f>MOD(Tableau1[[#This Row],[Fin
apm]]-Tableau1[[#This Row],[Début
apm]],1)+MOD(Tableau1[[#This Row],[Fin
matin]]-Tableau1[[#This Row],[Début
matin]],1)</f>
        <v>0</v>
      </c>
      <c r="L183" s="18">
        <f>IFERROR(VLOOKUP(Tableau1[[#This Row],[Abs.]],Tmotif[],3,0),0)</f>
        <v>0</v>
      </c>
      <c r="M183" s="18">
        <f ca="1">IF(WEEKDAY(Tableau1[[#This Row],[Date]],2)&lt;7,0,MAX(0,SUM(OFFSET(Tableau1[[#This Row],[Heures]],-6,,7))+SUM(OFFSET(Tableau1[[#This Row],[H_Abs]],-6,,7))-_HS))</f>
        <v>0</v>
      </c>
      <c r="N183" s="18" t="str">
        <f ca="1">IF(Tableau1[[#This Row],[HS]]&gt;0,IF(Tableau1[[#This Row],[HS]]*24&gt;8,8/24,Tableau1[[#This Row],[HS]]),"")</f>
        <v/>
      </c>
      <c r="O183" s="18" t="str">
        <f ca="1">IF(Tableau1[[#This Row],[HS]]*24&gt;8,Tableau1[[#This Row],[HS]]-Tableau1[[#This Row],[Dont
HS 30%]],"")</f>
        <v/>
      </c>
      <c r="P183" s="18" t="e">
        <f ca="1">Tableau1[[#This Row],[Dont
HS 30%]]*1.3</f>
        <v>#VALUE!</v>
      </c>
      <c r="Q183" s="18" t="e">
        <f ca="1">Tableau1[[#This Row],[Dont 
HS 50%]]*1.5</f>
        <v>#VALUE!</v>
      </c>
    </row>
    <row r="184" spans="2:17" hidden="1" x14ac:dyDescent="0.25">
      <c r="B184" s="37">
        <f>_xlfn.ISOWEEKNUM(Tableau1[[#This Row],[Date]])</f>
        <v>39</v>
      </c>
      <c r="C184" s="14">
        <f>debut+ROW()-ROW(Tableau1[[#Headers],[Date]])-1</f>
        <v>44831</v>
      </c>
      <c r="D184" s="16">
        <f>MONTH(Tableau1[[#This Row],[Date]])</f>
        <v>9</v>
      </c>
      <c r="E184" s="16">
        <f>YEAR(Tableau1[[#This Row],[Date]])</f>
        <v>2022</v>
      </c>
      <c r="F184" s="32"/>
      <c r="G184" s="32"/>
      <c r="H184" s="32"/>
      <c r="I184" s="32"/>
      <c r="J184" s="3"/>
      <c r="K184" s="18">
        <f>MOD(Tableau1[[#This Row],[Fin
apm]]-Tableau1[[#This Row],[Début
apm]],1)+MOD(Tableau1[[#This Row],[Fin
matin]]-Tableau1[[#This Row],[Début
matin]],1)</f>
        <v>0</v>
      </c>
      <c r="L184" s="18">
        <f>IFERROR(VLOOKUP(Tableau1[[#This Row],[Abs.]],Tmotif[],3,0),0)</f>
        <v>0</v>
      </c>
      <c r="M184" s="18">
        <f ca="1">IF(WEEKDAY(Tableau1[[#This Row],[Date]],2)&lt;7,0,MAX(0,SUM(OFFSET(Tableau1[[#This Row],[Heures]],-6,,7))+SUM(OFFSET(Tableau1[[#This Row],[H_Abs]],-6,,7))-_HS))</f>
        <v>0</v>
      </c>
      <c r="N184" s="18" t="str">
        <f ca="1">IF(Tableau1[[#This Row],[HS]]&gt;0,IF(Tableau1[[#This Row],[HS]]*24&gt;8,8/24,Tableau1[[#This Row],[HS]]),"")</f>
        <v/>
      </c>
      <c r="O184" s="18" t="str">
        <f ca="1">IF(Tableau1[[#This Row],[HS]]*24&gt;8,Tableau1[[#This Row],[HS]]-Tableau1[[#This Row],[Dont
HS 30%]],"")</f>
        <v/>
      </c>
      <c r="P184" s="18" t="e">
        <f ca="1">Tableau1[[#This Row],[Dont
HS 30%]]*1.3</f>
        <v>#VALUE!</v>
      </c>
      <c r="Q184" s="18" t="e">
        <f ca="1">Tableau1[[#This Row],[Dont 
HS 50%]]*1.5</f>
        <v>#VALUE!</v>
      </c>
    </row>
    <row r="185" spans="2:17" hidden="1" x14ac:dyDescent="0.25">
      <c r="B185" s="37">
        <f>_xlfn.ISOWEEKNUM(Tableau1[[#This Row],[Date]])</f>
        <v>39</v>
      </c>
      <c r="C185" s="14">
        <f>debut+ROW()-ROW(Tableau1[[#Headers],[Date]])-1</f>
        <v>44832</v>
      </c>
      <c r="D185" s="16">
        <f>MONTH(Tableau1[[#This Row],[Date]])</f>
        <v>9</v>
      </c>
      <c r="E185" s="16">
        <f>YEAR(Tableau1[[#This Row],[Date]])</f>
        <v>2022</v>
      </c>
      <c r="F185" s="32"/>
      <c r="G185" s="32"/>
      <c r="H185" s="32"/>
      <c r="I185" s="32"/>
      <c r="J185" s="3"/>
      <c r="K185" s="18">
        <f>MOD(Tableau1[[#This Row],[Fin
apm]]-Tableau1[[#This Row],[Début
apm]],1)+MOD(Tableau1[[#This Row],[Fin
matin]]-Tableau1[[#This Row],[Début
matin]],1)</f>
        <v>0</v>
      </c>
      <c r="L185" s="18">
        <f>IFERROR(VLOOKUP(Tableau1[[#This Row],[Abs.]],Tmotif[],3,0),0)</f>
        <v>0</v>
      </c>
      <c r="M185" s="18">
        <f ca="1">IF(WEEKDAY(Tableau1[[#This Row],[Date]],2)&lt;7,0,MAX(0,SUM(OFFSET(Tableau1[[#This Row],[Heures]],-6,,7))+SUM(OFFSET(Tableau1[[#This Row],[H_Abs]],-6,,7))-_HS))</f>
        <v>0</v>
      </c>
      <c r="N185" s="18" t="str">
        <f ca="1">IF(Tableau1[[#This Row],[HS]]&gt;0,IF(Tableau1[[#This Row],[HS]]*24&gt;8,8/24,Tableau1[[#This Row],[HS]]),"")</f>
        <v/>
      </c>
      <c r="O185" s="18" t="str">
        <f ca="1">IF(Tableau1[[#This Row],[HS]]*24&gt;8,Tableau1[[#This Row],[HS]]-Tableau1[[#This Row],[Dont
HS 30%]],"")</f>
        <v/>
      </c>
      <c r="P185" s="18" t="e">
        <f ca="1">Tableau1[[#This Row],[Dont
HS 30%]]*1.3</f>
        <v>#VALUE!</v>
      </c>
      <c r="Q185" s="18" t="e">
        <f ca="1">Tableau1[[#This Row],[Dont 
HS 50%]]*1.5</f>
        <v>#VALUE!</v>
      </c>
    </row>
    <row r="186" spans="2:17" hidden="1" x14ac:dyDescent="0.25">
      <c r="B186" s="37">
        <f>_xlfn.ISOWEEKNUM(Tableau1[[#This Row],[Date]])</f>
        <v>39</v>
      </c>
      <c r="C186" s="14">
        <f>debut+ROW()-ROW(Tableau1[[#Headers],[Date]])-1</f>
        <v>44833</v>
      </c>
      <c r="D186" s="16">
        <f>MONTH(Tableau1[[#This Row],[Date]])</f>
        <v>9</v>
      </c>
      <c r="E186" s="16">
        <f>YEAR(Tableau1[[#This Row],[Date]])</f>
        <v>2022</v>
      </c>
      <c r="F186" s="32"/>
      <c r="G186" s="32"/>
      <c r="H186" s="32"/>
      <c r="I186" s="32"/>
      <c r="J186" s="3"/>
      <c r="K186" s="18">
        <f>MOD(Tableau1[[#This Row],[Fin
apm]]-Tableau1[[#This Row],[Début
apm]],1)+MOD(Tableau1[[#This Row],[Fin
matin]]-Tableau1[[#This Row],[Début
matin]],1)</f>
        <v>0</v>
      </c>
      <c r="L186" s="18">
        <f>IFERROR(VLOOKUP(Tableau1[[#This Row],[Abs.]],Tmotif[],3,0),0)</f>
        <v>0</v>
      </c>
      <c r="M186" s="18">
        <f ca="1">IF(WEEKDAY(Tableau1[[#This Row],[Date]],2)&lt;7,0,MAX(0,SUM(OFFSET(Tableau1[[#This Row],[Heures]],-6,,7))+SUM(OFFSET(Tableau1[[#This Row],[H_Abs]],-6,,7))-_HS))</f>
        <v>0</v>
      </c>
      <c r="N186" s="18" t="str">
        <f ca="1">IF(Tableau1[[#This Row],[HS]]&gt;0,IF(Tableau1[[#This Row],[HS]]*24&gt;8,8/24,Tableau1[[#This Row],[HS]]),"")</f>
        <v/>
      </c>
      <c r="O186" s="18" t="str">
        <f ca="1">IF(Tableau1[[#This Row],[HS]]*24&gt;8,Tableau1[[#This Row],[HS]]-Tableau1[[#This Row],[Dont
HS 30%]],"")</f>
        <v/>
      </c>
      <c r="P186" s="18" t="e">
        <f ca="1">Tableau1[[#This Row],[Dont
HS 30%]]*1.3</f>
        <v>#VALUE!</v>
      </c>
      <c r="Q186" s="18" t="e">
        <f ca="1">Tableau1[[#This Row],[Dont 
HS 50%]]*1.5</f>
        <v>#VALUE!</v>
      </c>
    </row>
    <row r="187" spans="2:17" hidden="1" x14ac:dyDescent="0.25">
      <c r="B187" s="37">
        <f>_xlfn.ISOWEEKNUM(Tableau1[[#This Row],[Date]])</f>
        <v>39</v>
      </c>
      <c r="C187" s="14">
        <f>debut+ROW()-ROW(Tableau1[[#Headers],[Date]])-1</f>
        <v>44834</v>
      </c>
      <c r="D187" s="16">
        <f>MONTH(Tableau1[[#This Row],[Date]])</f>
        <v>9</v>
      </c>
      <c r="E187" s="16">
        <f>YEAR(Tableau1[[#This Row],[Date]])</f>
        <v>2022</v>
      </c>
      <c r="F187" s="32"/>
      <c r="G187" s="32"/>
      <c r="H187" s="32"/>
      <c r="I187" s="32"/>
      <c r="J187" s="3"/>
      <c r="K187" s="18">
        <f>MOD(Tableau1[[#This Row],[Fin
apm]]-Tableau1[[#This Row],[Début
apm]],1)+MOD(Tableau1[[#This Row],[Fin
matin]]-Tableau1[[#This Row],[Début
matin]],1)</f>
        <v>0</v>
      </c>
      <c r="L187" s="18">
        <f>IFERROR(VLOOKUP(Tableau1[[#This Row],[Abs.]],Tmotif[],3,0),0)</f>
        <v>0</v>
      </c>
      <c r="M187" s="18">
        <f ca="1">IF(WEEKDAY(Tableau1[[#This Row],[Date]],2)&lt;7,0,MAX(0,SUM(OFFSET(Tableau1[[#This Row],[Heures]],-6,,7))+SUM(OFFSET(Tableau1[[#This Row],[H_Abs]],-6,,7))-_HS))</f>
        <v>0</v>
      </c>
      <c r="N187" s="18" t="str">
        <f ca="1">IF(Tableau1[[#This Row],[HS]]&gt;0,IF(Tableau1[[#This Row],[HS]]*24&gt;8,8/24,Tableau1[[#This Row],[HS]]),"")</f>
        <v/>
      </c>
      <c r="O187" s="18" t="str">
        <f ca="1">IF(Tableau1[[#This Row],[HS]]*24&gt;8,Tableau1[[#This Row],[HS]]-Tableau1[[#This Row],[Dont
HS 30%]],"")</f>
        <v/>
      </c>
      <c r="P187" s="18" t="e">
        <f ca="1">Tableau1[[#This Row],[Dont
HS 30%]]*1.3</f>
        <v>#VALUE!</v>
      </c>
      <c r="Q187" s="18" t="e">
        <f ca="1">Tableau1[[#This Row],[Dont 
HS 50%]]*1.5</f>
        <v>#VALUE!</v>
      </c>
    </row>
    <row r="188" spans="2:17" hidden="1" x14ac:dyDescent="0.25">
      <c r="B188" s="37">
        <f>_xlfn.ISOWEEKNUM(Tableau1[[#This Row],[Date]])</f>
        <v>39</v>
      </c>
      <c r="C188" s="14">
        <f>debut+ROW()-ROW(Tableau1[[#Headers],[Date]])-1</f>
        <v>44835</v>
      </c>
      <c r="D188" s="16">
        <f>MONTH(Tableau1[[#This Row],[Date]])</f>
        <v>10</v>
      </c>
      <c r="E188" s="16">
        <f>YEAR(Tableau1[[#This Row],[Date]])</f>
        <v>2022</v>
      </c>
      <c r="F188" s="32"/>
      <c r="G188" s="32"/>
      <c r="H188" s="32"/>
      <c r="I188" s="32"/>
      <c r="J188" s="3"/>
      <c r="K188" s="18">
        <f>MOD(Tableau1[[#This Row],[Fin
apm]]-Tableau1[[#This Row],[Début
apm]],1)+MOD(Tableau1[[#This Row],[Fin
matin]]-Tableau1[[#This Row],[Début
matin]],1)</f>
        <v>0</v>
      </c>
      <c r="L188" s="18">
        <f>IFERROR(VLOOKUP(Tableau1[[#This Row],[Abs.]],Tmotif[],3,0),0)</f>
        <v>0</v>
      </c>
      <c r="M188" s="18">
        <f ca="1">IF(WEEKDAY(Tableau1[[#This Row],[Date]],2)&lt;7,0,MAX(0,SUM(OFFSET(Tableau1[[#This Row],[Heures]],-6,,7))+SUM(OFFSET(Tableau1[[#This Row],[H_Abs]],-6,,7))-_HS))</f>
        <v>0</v>
      </c>
      <c r="N188" s="18" t="str">
        <f ca="1">IF(Tableau1[[#This Row],[HS]]&gt;0,IF(Tableau1[[#This Row],[HS]]*24&gt;8,8/24,Tableau1[[#This Row],[HS]]),"")</f>
        <v/>
      </c>
      <c r="O188" s="18" t="str">
        <f ca="1">IF(Tableau1[[#This Row],[HS]]*24&gt;8,Tableau1[[#This Row],[HS]]-Tableau1[[#This Row],[Dont
HS 30%]],"")</f>
        <v/>
      </c>
      <c r="P188" s="18" t="e">
        <f ca="1">Tableau1[[#This Row],[Dont
HS 30%]]*1.3</f>
        <v>#VALUE!</v>
      </c>
      <c r="Q188" s="18" t="e">
        <f ca="1">Tableau1[[#This Row],[Dont 
HS 50%]]*1.5</f>
        <v>#VALUE!</v>
      </c>
    </row>
    <row r="189" spans="2:17" hidden="1" x14ac:dyDescent="0.25">
      <c r="B189" s="37">
        <f>_xlfn.ISOWEEKNUM(Tableau1[[#This Row],[Date]])</f>
        <v>39</v>
      </c>
      <c r="C189" s="14">
        <f>debut+ROW()-ROW(Tableau1[[#Headers],[Date]])-1</f>
        <v>44836</v>
      </c>
      <c r="D189" s="16">
        <f>MONTH(Tableau1[[#This Row],[Date]])</f>
        <v>10</v>
      </c>
      <c r="E189" s="16">
        <f>YEAR(Tableau1[[#This Row],[Date]])</f>
        <v>2022</v>
      </c>
      <c r="F189" s="32"/>
      <c r="G189" s="32"/>
      <c r="H189" s="32"/>
      <c r="I189" s="32"/>
      <c r="J189" s="3"/>
      <c r="K189" s="18">
        <f>MOD(Tableau1[[#This Row],[Fin
apm]]-Tableau1[[#This Row],[Début
apm]],1)+MOD(Tableau1[[#This Row],[Fin
matin]]-Tableau1[[#This Row],[Début
matin]],1)</f>
        <v>0</v>
      </c>
      <c r="L189" s="18">
        <f>IFERROR(VLOOKUP(Tableau1[[#This Row],[Abs.]],Tmotif[],3,0),0)</f>
        <v>0</v>
      </c>
      <c r="M189" s="18">
        <f ca="1">IF(WEEKDAY(Tableau1[[#This Row],[Date]],2)&lt;7,0,MAX(0,SUM(OFFSET(Tableau1[[#This Row],[Heures]],-6,,7))+SUM(OFFSET(Tableau1[[#This Row],[H_Abs]],-6,,7))-_HS))</f>
        <v>0</v>
      </c>
      <c r="N189" s="18" t="str">
        <f ca="1">IF(Tableau1[[#This Row],[HS]]&gt;0,IF(Tableau1[[#This Row],[HS]]*24&gt;8,8/24,Tableau1[[#This Row],[HS]]),"")</f>
        <v/>
      </c>
      <c r="O189" s="18" t="str">
        <f ca="1">IF(Tableau1[[#This Row],[HS]]*24&gt;8,Tableau1[[#This Row],[HS]]-Tableau1[[#This Row],[Dont
HS 30%]],"")</f>
        <v/>
      </c>
      <c r="P189" s="18" t="e">
        <f ca="1">Tableau1[[#This Row],[Dont
HS 30%]]*1.3</f>
        <v>#VALUE!</v>
      </c>
      <c r="Q189" s="18" t="e">
        <f ca="1">Tableau1[[#This Row],[Dont 
HS 50%]]*1.5</f>
        <v>#VALUE!</v>
      </c>
    </row>
    <row r="190" spans="2:17" hidden="1" x14ac:dyDescent="0.25">
      <c r="B190" s="37">
        <f>_xlfn.ISOWEEKNUM(Tableau1[[#This Row],[Date]])</f>
        <v>40</v>
      </c>
      <c r="C190" s="14">
        <f>debut+ROW()-ROW(Tableau1[[#Headers],[Date]])-1</f>
        <v>44837</v>
      </c>
      <c r="D190" s="16">
        <f>MONTH(Tableau1[[#This Row],[Date]])</f>
        <v>10</v>
      </c>
      <c r="E190" s="16">
        <f>YEAR(Tableau1[[#This Row],[Date]])</f>
        <v>2022</v>
      </c>
      <c r="F190" s="32"/>
      <c r="G190" s="32"/>
      <c r="H190" s="32"/>
      <c r="I190" s="32"/>
      <c r="J190" s="3"/>
      <c r="K190" s="18">
        <f>MOD(Tableau1[[#This Row],[Fin
apm]]-Tableau1[[#This Row],[Début
apm]],1)+MOD(Tableau1[[#This Row],[Fin
matin]]-Tableau1[[#This Row],[Début
matin]],1)</f>
        <v>0</v>
      </c>
      <c r="L190" s="18">
        <f>IFERROR(VLOOKUP(Tableau1[[#This Row],[Abs.]],Tmotif[],3,0),0)</f>
        <v>0</v>
      </c>
      <c r="M190" s="18">
        <f ca="1">IF(WEEKDAY(Tableau1[[#This Row],[Date]],2)&lt;7,0,MAX(0,SUM(OFFSET(Tableau1[[#This Row],[Heures]],-6,,7))+SUM(OFFSET(Tableau1[[#This Row],[H_Abs]],-6,,7))-_HS))</f>
        <v>0</v>
      </c>
      <c r="N190" s="18" t="str">
        <f ca="1">IF(Tableau1[[#This Row],[HS]]&gt;0,IF(Tableau1[[#This Row],[HS]]*24&gt;8,8/24,Tableau1[[#This Row],[HS]]),"")</f>
        <v/>
      </c>
      <c r="O190" s="18" t="str">
        <f ca="1">IF(Tableau1[[#This Row],[HS]]*24&gt;8,Tableau1[[#This Row],[HS]]-Tableau1[[#This Row],[Dont
HS 30%]],"")</f>
        <v/>
      </c>
      <c r="P190" s="18" t="e">
        <f ca="1">Tableau1[[#This Row],[Dont
HS 30%]]*1.3</f>
        <v>#VALUE!</v>
      </c>
      <c r="Q190" s="18" t="e">
        <f ca="1">Tableau1[[#This Row],[Dont 
HS 50%]]*1.5</f>
        <v>#VALUE!</v>
      </c>
    </row>
    <row r="191" spans="2:17" hidden="1" x14ac:dyDescent="0.25">
      <c r="B191" s="37">
        <f>_xlfn.ISOWEEKNUM(Tableau1[[#This Row],[Date]])</f>
        <v>40</v>
      </c>
      <c r="C191" s="14">
        <f>debut+ROW()-ROW(Tableau1[[#Headers],[Date]])-1</f>
        <v>44838</v>
      </c>
      <c r="D191" s="16">
        <f>MONTH(Tableau1[[#This Row],[Date]])</f>
        <v>10</v>
      </c>
      <c r="E191" s="16">
        <f>YEAR(Tableau1[[#This Row],[Date]])</f>
        <v>2022</v>
      </c>
      <c r="F191" s="32"/>
      <c r="G191" s="32"/>
      <c r="H191" s="32"/>
      <c r="I191" s="32"/>
      <c r="J191" s="3"/>
      <c r="K191" s="18">
        <f>MOD(Tableau1[[#This Row],[Fin
apm]]-Tableau1[[#This Row],[Début
apm]],1)+MOD(Tableau1[[#This Row],[Fin
matin]]-Tableau1[[#This Row],[Début
matin]],1)</f>
        <v>0</v>
      </c>
      <c r="L191" s="18">
        <f>IFERROR(VLOOKUP(Tableau1[[#This Row],[Abs.]],Tmotif[],3,0),0)</f>
        <v>0</v>
      </c>
      <c r="M191" s="18">
        <f ca="1">IF(WEEKDAY(Tableau1[[#This Row],[Date]],2)&lt;7,0,MAX(0,SUM(OFFSET(Tableau1[[#This Row],[Heures]],-6,,7))+SUM(OFFSET(Tableau1[[#This Row],[H_Abs]],-6,,7))-_HS))</f>
        <v>0</v>
      </c>
      <c r="N191" s="18" t="str">
        <f ca="1">IF(Tableau1[[#This Row],[HS]]&gt;0,IF(Tableau1[[#This Row],[HS]]*24&gt;8,8/24,Tableau1[[#This Row],[HS]]),"")</f>
        <v/>
      </c>
      <c r="O191" s="18" t="str">
        <f ca="1">IF(Tableau1[[#This Row],[HS]]*24&gt;8,Tableau1[[#This Row],[HS]]-Tableau1[[#This Row],[Dont
HS 30%]],"")</f>
        <v/>
      </c>
      <c r="P191" s="18" t="e">
        <f ca="1">Tableau1[[#This Row],[Dont
HS 30%]]*1.3</f>
        <v>#VALUE!</v>
      </c>
      <c r="Q191" s="18" t="e">
        <f ca="1">Tableau1[[#This Row],[Dont 
HS 50%]]*1.5</f>
        <v>#VALUE!</v>
      </c>
    </row>
    <row r="192" spans="2:17" hidden="1" x14ac:dyDescent="0.25">
      <c r="B192" s="37">
        <f>_xlfn.ISOWEEKNUM(Tableau1[[#This Row],[Date]])</f>
        <v>40</v>
      </c>
      <c r="C192" s="14">
        <f>debut+ROW()-ROW(Tableau1[[#Headers],[Date]])-1</f>
        <v>44839</v>
      </c>
      <c r="D192" s="16">
        <f>MONTH(Tableau1[[#This Row],[Date]])</f>
        <v>10</v>
      </c>
      <c r="E192" s="16">
        <f>YEAR(Tableau1[[#This Row],[Date]])</f>
        <v>2022</v>
      </c>
      <c r="F192" s="32"/>
      <c r="G192" s="32"/>
      <c r="H192" s="32"/>
      <c r="I192" s="32"/>
      <c r="J192" s="3"/>
      <c r="K192" s="18">
        <f>MOD(Tableau1[[#This Row],[Fin
apm]]-Tableau1[[#This Row],[Début
apm]],1)+MOD(Tableau1[[#This Row],[Fin
matin]]-Tableau1[[#This Row],[Début
matin]],1)</f>
        <v>0</v>
      </c>
      <c r="L192" s="18">
        <f>IFERROR(VLOOKUP(Tableau1[[#This Row],[Abs.]],Tmotif[],3,0),0)</f>
        <v>0</v>
      </c>
      <c r="M192" s="18">
        <f ca="1">IF(WEEKDAY(Tableau1[[#This Row],[Date]],2)&lt;7,0,MAX(0,SUM(OFFSET(Tableau1[[#This Row],[Heures]],-6,,7))+SUM(OFFSET(Tableau1[[#This Row],[H_Abs]],-6,,7))-_HS))</f>
        <v>0</v>
      </c>
      <c r="N192" s="18" t="str">
        <f ca="1">IF(Tableau1[[#This Row],[HS]]&gt;0,IF(Tableau1[[#This Row],[HS]]*24&gt;8,8/24,Tableau1[[#This Row],[HS]]),"")</f>
        <v/>
      </c>
      <c r="O192" s="18" t="str">
        <f ca="1">IF(Tableau1[[#This Row],[HS]]*24&gt;8,Tableau1[[#This Row],[HS]]-Tableau1[[#This Row],[Dont
HS 30%]],"")</f>
        <v/>
      </c>
      <c r="P192" s="18" t="e">
        <f ca="1">Tableau1[[#This Row],[Dont
HS 30%]]*1.3</f>
        <v>#VALUE!</v>
      </c>
      <c r="Q192" s="18" t="e">
        <f ca="1">Tableau1[[#This Row],[Dont 
HS 50%]]*1.5</f>
        <v>#VALUE!</v>
      </c>
    </row>
    <row r="193" spans="2:17" hidden="1" x14ac:dyDescent="0.25">
      <c r="B193" s="37">
        <f>_xlfn.ISOWEEKNUM(Tableau1[[#This Row],[Date]])</f>
        <v>40</v>
      </c>
      <c r="C193" s="14">
        <f>debut+ROW()-ROW(Tableau1[[#Headers],[Date]])-1</f>
        <v>44840</v>
      </c>
      <c r="D193" s="16">
        <f>MONTH(Tableau1[[#This Row],[Date]])</f>
        <v>10</v>
      </c>
      <c r="E193" s="16">
        <f>YEAR(Tableau1[[#This Row],[Date]])</f>
        <v>2022</v>
      </c>
      <c r="F193" s="32"/>
      <c r="G193" s="32"/>
      <c r="H193" s="32"/>
      <c r="I193" s="32"/>
      <c r="J193" s="3"/>
      <c r="K193" s="18">
        <f>MOD(Tableau1[[#This Row],[Fin
apm]]-Tableau1[[#This Row],[Début
apm]],1)+MOD(Tableau1[[#This Row],[Fin
matin]]-Tableau1[[#This Row],[Début
matin]],1)</f>
        <v>0</v>
      </c>
      <c r="L193" s="18">
        <f>IFERROR(VLOOKUP(Tableau1[[#This Row],[Abs.]],Tmotif[],3,0),0)</f>
        <v>0</v>
      </c>
      <c r="M193" s="18">
        <f ca="1">IF(WEEKDAY(Tableau1[[#This Row],[Date]],2)&lt;7,0,MAX(0,SUM(OFFSET(Tableau1[[#This Row],[Heures]],-6,,7))+SUM(OFFSET(Tableau1[[#This Row],[H_Abs]],-6,,7))-_HS))</f>
        <v>0</v>
      </c>
      <c r="N193" s="18" t="str">
        <f ca="1">IF(Tableau1[[#This Row],[HS]]&gt;0,IF(Tableau1[[#This Row],[HS]]*24&gt;8,8/24,Tableau1[[#This Row],[HS]]),"")</f>
        <v/>
      </c>
      <c r="O193" s="18" t="str">
        <f ca="1">IF(Tableau1[[#This Row],[HS]]*24&gt;8,Tableau1[[#This Row],[HS]]-Tableau1[[#This Row],[Dont
HS 30%]],"")</f>
        <v/>
      </c>
      <c r="P193" s="18" t="e">
        <f ca="1">Tableau1[[#This Row],[Dont
HS 30%]]*1.3</f>
        <v>#VALUE!</v>
      </c>
      <c r="Q193" s="18" t="e">
        <f ca="1">Tableau1[[#This Row],[Dont 
HS 50%]]*1.5</f>
        <v>#VALUE!</v>
      </c>
    </row>
    <row r="194" spans="2:17" hidden="1" x14ac:dyDescent="0.25">
      <c r="B194" s="37">
        <f>_xlfn.ISOWEEKNUM(Tableau1[[#This Row],[Date]])</f>
        <v>40</v>
      </c>
      <c r="C194" s="14">
        <f>debut+ROW()-ROW(Tableau1[[#Headers],[Date]])-1</f>
        <v>44841</v>
      </c>
      <c r="D194" s="16">
        <f>MONTH(Tableau1[[#This Row],[Date]])</f>
        <v>10</v>
      </c>
      <c r="E194" s="16">
        <f>YEAR(Tableau1[[#This Row],[Date]])</f>
        <v>2022</v>
      </c>
      <c r="F194" s="32"/>
      <c r="G194" s="32"/>
      <c r="H194" s="32"/>
      <c r="I194" s="32"/>
      <c r="J194" s="3"/>
      <c r="K194" s="18">
        <f>MOD(Tableau1[[#This Row],[Fin
apm]]-Tableau1[[#This Row],[Début
apm]],1)+MOD(Tableau1[[#This Row],[Fin
matin]]-Tableau1[[#This Row],[Début
matin]],1)</f>
        <v>0</v>
      </c>
      <c r="L194" s="18">
        <f>IFERROR(VLOOKUP(Tableau1[[#This Row],[Abs.]],Tmotif[],3,0),0)</f>
        <v>0</v>
      </c>
      <c r="M194" s="18">
        <f ca="1">IF(WEEKDAY(Tableau1[[#This Row],[Date]],2)&lt;7,0,MAX(0,SUM(OFFSET(Tableau1[[#This Row],[Heures]],-6,,7))+SUM(OFFSET(Tableau1[[#This Row],[H_Abs]],-6,,7))-_HS))</f>
        <v>0</v>
      </c>
      <c r="N194" s="18" t="str">
        <f ca="1">IF(Tableau1[[#This Row],[HS]]&gt;0,IF(Tableau1[[#This Row],[HS]]*24&gt;8,8/24,Tableau1[[#This Row],[HS]]),"")</f>
        <v/>
      </c>
      <c r="O194" s="18" t="str">
        <f ca="1">IF(Tableau1[[#This Row],[HS]]*24&gt;8,Tableau1[[#This Row],[HS]]-Tableau1[[#This Row],[Dont
HS 30%]],"")</f>
        <v/>
      </c>
      <c r="P194" s="18" t="e">
        <f ca="1">Tableau1[[#This Row],[Dont
HS 30%]]*1.3</f>
        <v>#VALUE!</v>
      </c>
      <c r="Q194" s="18" t="e">
        <f ca="1">Tableau1[[#This Row],[Dont 
HS 50%]]*1.5</f>
        <v>#VALUE!</v>
      </c>
    </row>
    <row r="195" spans="2:17" hidden="1" x14ac:dyDescent="0.25">
      <c r="B195" s="37">
        <f>_xlfn.ISOWEEKNUM(Tableau1[[#This Row],[Date]])</f>
        <v>40</v>
      </c>
      <c r="C195" s="14">
        <f>debut+ROW()-ROW(Tableau1[[#Headers],[Date]])-1</f>
        <v>44842</v>
      </c>
      <c r="D195" s="16">
        <f>MONTH(Tableau1[[#This Row],[Date]])</f>
        <v>10</v>
      </c>
      <c r="E195" s="16">
        <f>YEAR(Tableau1[[#This Row],[Date]])</f>
        <v>2022</v>
      </c>
      <c r="F195" s="32"/>
      <c r="G195" s="32"/>
      <c r="H195" s="32"/>
      <c r="I195" s="32"/>
      <c r="J195" s="3"/>
      <c r="K195" s="18">
        <f>MOD(Tableau1[[#This Row],[Fin
apm]]-Tableau1[[#This Row],[Début
apm]],1)+MOD(Tableau1[[#This Row],[Fin
matin]]-Tableau1[[#This Row],[Début
matin]],1)</f>
        <v>0</v>
      </c>
      <c r="L195" s="18">
        <f>IFERROR(VLOOKUP(Tableau1[[#This Row],[Abs.]],Tmotif[],3,0),0)</f>
        <v>0</v>
      </c>
      <c r="M195" s="18">
        <f ca="1">IF(WEEKDAY(Tableau1[[#This Row],[Date]],2)&lt;7,0,MAX(0,SUM(OFFSET(Tableau1[[#This Row],[Heures]],-6,,7))+SUM(OFFSET(Tableau1[[#This Row],[H_Abs]],-6,,7))-_HS))</f>
        <v>0</v>
      </c>
      <c r="N195" s="18" t="str">
        <f ca="1">IF(Tableau1[[#This Row],[HS]]&gt;0,IF(Tableau1[[#This Row],[HS]]*24&gt;8,8/24,Tableau1[[#This Row],[HS]]),"")</f>
        <v/>
      </c>
      <c r="O195" s="18" t="str">
        <f ca="1">IF(Tableau1[[#This Row],[HS]]*24&gt;8,Tableau1[[#This Row],[HS]]-Tableau1[[#This Row],[Dont
HS 30%]],"")</f>
        <v/>
      </c>
      <c r="P195" s="18" t="e">
        <f ca="1">Tableau1[[#This Row],[Dont
HS 30%]]*1.3</f>
        <v>#VALUE!</v>
      </c>
      <c r="Q195" s="18" t="e">
        <f ca="1">Tableau1[[#This Row],[Dont 
HS 50%]]*1.5</f>
        <v>#VALUE!</v>
      </c>
    </row>
    <row r="196" spans="2:17" hidden="1" x14ac:dyDescent="0.25">
      <c r="B196" s="37">
        <f>_xlfn.ISOWEEKNUM(Tableau1[[#This Row],[Date]])</f>
        <v>40</v>
      </c>
      <c r="C196" s="14">
        <f>debut+ROW()-ROW(Tableau1[[#Headers],[Date]])-1</f>
        <v>44843</v>
      </c>
      <c r="D196" s="16">
        <f>MONTH(Tableau1[[#This Row],[Date]])</f>
        <v>10</v>
      </c>
      <c r="E196" s="16">
        <f>YEAR(Tableau1[[#This Row],[Date]])</f>
        <v>2022</v>
      </c>
      <c r="F196" s="32"/>
      <c r="G196" s="32"/>
      <c r="H196" s="32"/>
      <c r="I196" s="32"/>
      <c r="J196" s="3"/>
      <c r="K196" s="18">
        <f>MOD(Tableau1[[#This Row],[Fin
apm]]-Tableau1[[#This Row],[Début
apm]],1)+MOD(Tableau1[[#This Row],[Fin
matin]]-Tableau1[[#This Row],[Début
matin]],1)</f>
        <v>0</v>
      </c>
      <c r="L196" s="18">
        <f>IFERROR(VLOOKUP(Tableau1[[#This Row],[Abs.]],Tmotif[],3,0),0)</f>
        <v>0</v>
      </c>
      <c r="M196" s="18">
        <f ca="1">IF(WEEKDAY(Tableau1[[#This Row],[Date]],2)&lt;7,0,MAX(0,SUM(OFFSET(Tableau1[[#This Row],[Heures]],-6,,7))+SUM(OFFSET(Tableau1[[#This Row],[H_Abs]],-6,,7))-_HS))</f>
        <v>0</v>
      </c>
      <c r="N196" s="18" t="str">
        <f ca="1">IF(Tableau1[[#This Row],[HS]]&gt;0,IF(Tableau1[[#This Row],[HS]]*24&gt;8,8/24,Tableau1[[#This Row],[HS]]),"")</f>
        <v/>
      </c>
      <c r="O196" s="18" t="str">
        <f ca="1">IF(Tableau1[[#This Row],[HS]]*24&gt;8,Tableau1[[#This Row],[HS]]-Tableau1[[#This Row],[Dont
HS 30%]],"")</f>
        <v/>
      </c>
      <c r="P196" s="18" t="e">
        <f ca="1">Tableau1[[#This Row],[Dont
HS 30%]]*1.3</f>
        <v>#VALUE!</v>
      </c>
      <c r="Q196" s="18" t="e">
        <f ca="1">Tableau1[[#This Row],[Dont 
HS 50%]]*1.5</f>
        <v>#VALUE!</v>
      </c>
    </row>
    <row r="197" spans="2:17" hidden="1" x14ac:dyDescent="0.25">
      <c r="B197" s="37">
        <f>_xlfn.ISOWEEKNUM(Tableau1[[#This Row],[Date]])</f>
        <v>41</v>
      </c>
      <c r="C197" s="14">
        <f>debut+ROW()-ROW(Tableau1[[#Headers],[Date]])-1</f>
        <v>44844</v>
      </c>
      <c r="D197" s="16">
        <f>MONTH(Tableau1[[#This Row],[Date]])</f>
        <v>10</v>
      </c>
      <c r="E197" s="16">
        <f>YEAR(Tableau1[[#This Row],[Date]])</f>
        <v>2022</v>
      </c>
      <c r="F197" s="32"/>
      <c r="G197" s="32"/>
      <c r="H197" s="32"/>
      <c r="I197" s="32"/>
      <c r="J197" s="3"/>
      <c r="K197" s="18">
        <f>MOD(Tableau1[[#This Row],[Fin
apm]]-Tableau1[[#This Row],[Début
apm]],1)+MOD(Tableau1[[#This Row],[Fin
matin]]-Tableau1[[#This Row],[Début
matin]],1)</f>
        <v>0</v>
      </c>
      <c r="L197" s="18">
        <f>IFERROR(VLOOKUP(Tableau1[[#This Row],[Abs.]],Tmotif[],3,0),0)</f>
        <v>0</v>
      </c>
      <c r="M197" s="18">
        <f ca="1">IF(WEEKDAY(Tableau1[[#This Row],[Date]],2)&lt;7,0,MAX(0,SUM(OFFSET(Tableau1[[#This Row],[Heures]],-6,,7))+SUM(OFFSET(Tableau1[[#This Row],[H_Abs]],-6,,7))-_HS))</f>
        <v>0</v>
      </c>
      <c r="N197" s="18" t="str">
        <f ca="1">IF(Tableau1[[#This Row],[HS]]&gt;0,IF(Tableau1[[#This Row],[HS]]*24&gt;8,8/24,Tableau1[[#This Row],[HS]]),"")</f>
        <v/>
      </c>
      <c r="O197" s="18" t="str">
        <f ca="1">IF(Tableau1[[#This Row],[HS]]*24&gt;8,Tableau1[[#This Row],[HS]]-Tableau1[[#This Row],[Dont
HS 30%]],"")</f>
        <v/>
      </c>
      <c r="P197" s="18" t="e">
        <f ca="1">Tableau1[[#This Row],[Dont
HS 30%]]*1.3</f>
        <v>#VALUE!</v>
      </c>
      <c r="Q197" s="18" t="e">
        <f ca="1">Tableau1[[#This Row],[Dont 
HS 50%]]*1.5</f>
        <v>#VALUE!</v>
      </c>
    </row>
    <row r="198" spans="2:17" hidden="1" x14ac:dyDescent="0.25">
      <c r="B198" s="37">
        <f>_xlfn.ISOWEEKNUM(Tableau1[[#This Row],[Date]])</f>
        <v>41</v>
      </c>
      <c r="C198" s="14">
        <f>debut+ROW()-ROW(Tableau1[[#Headers],[Date]])-1</f>
        <v>44845</v>
      </c>
      <c r="D198" s="16">
        <f>MONTH(Tableau1[[#This Row],[Date]])</f>
        <v>10</v>
      </c>
      <c r="E198" s="16">
        <f>YEAR(Tableau1[[#This Row],[Date]])</f>
        <v>2022</v>
      </c>
      <c r="F198" s="32"/>
      <c r="G198" s="32"/>
      <c r="H198" s="32"/>
      <c r="I198" s="32"/>
      <c r="J198" s="3"/>
      <c r="K198" s="18">
        <f>MOD(Tableau1[[#This Row],[Fin
apm]]-Tableau1[[#This Row],[Début
apm]],1)+MOD(Tableau1[[#This Row],[Fin
matin]]-Tableau1[[#This Row],[Début
matin]],1)</f>
        <v>0</v>
      </c>
      <c r="L198" s="18">
        <f>IFERROR(VLOOKUP(Tableau1[[#This Row],[Abs.]],Tmotif[],3,0),0)</f>
        <v>0</v>
      </c>
      <c r="M198" s="18">
        <f ca="1">IF(WEEKDAY(Tableau1[[#This Row],[Date]],2)&lt;7,0,MAX(0,SUM(OFFSET(Tableau1[[#This Row],[Heures]],-6,,7))+SUM(OFFSET(Tableau1[[#This Row],[H_Abs]],-6,,7))-_HS))</f>
        <v>0</v>
      </c>
      <c r="N198" s="18" t="str">
        <f ca="1">IF(Tableau1[[#This Row],[HS]]&gt;0,IF(Tableau1[[#This Row],[HS]]*24&gt;8,8/24,Tableau1[[#This Row],[HS]]),"")</f>
        <v/>
      </c>
      <c r="O198" s="18" t="str">
        <f ca="1">IF(Tableau1[[#This Row],[HS]]*24&gt;8,Tableau1[[#This Row],[HS]]-Tableau1[[#This Row],[Dont
HS 30%]],"")</f>
        <v/>
      </c>
      <c r="P198" s="18" t="e">
        <f ca="1">Tableau1[[#This Row],[Dont
HS 30%]]*1.3</f>
        <v>#VALUE!</v>
      </c>
      <c r="Q198" s="18" t="e">
        <f ca="1">Tableau1[[#This Row],[Dont 
HS 50%]]*1.5</f>
        <v>#VALUE!</v>
      </c>
    </row>
    <row r="199" spans="2:17" hidden="1" x14ac:dyDescent="0.25">
      <c r="B199" s="37">
        <f>_xlfn.ISOWEEKNUM(Tableau1[[#This Row],[Date]])</f>
        <v>41</v>
      </c>
      <c r="C199" s="14">
        <f>debut+ROW()-ROW(Tableau1[[#Headers],[Date]])-1</f>
        <v>44846</v>
      </c>
      <c r="D199" s="16">
        <f>MONTH(Tableau1[[#This Row],[Date]])</f>
        <v>10</v>
      </c>
      <c r="E199" s="16">
        <f>YEAR(Tableau1[[#This Row],[Date]])</f>
        <v>2022</v>
      </c>
      <c r="F199" s="32"/>
      <c r="G199" s="32"/>
      <c r="H199" s="32"/>
      <c r="I199" s="32"/>
      <c r="J199" s="3"/>
      <c r="K199" s="18">
        <f>MOD(Tableau1[[#This Row],[Fin
apm]]-Tableau1[[#This Row],[Début
apm]],1)+MOD(Tableau1[[#This Row],[Fin
matin]]-Tableau1[[#This Row],[Début
matin]],1)</f>
        <v>0</v>
      </c>
      <c r="L199" s="18">
        <f>IFERROR(VLOOKUP(Tableau1[[#This Row],[Abs.]],Tmotif[],3,0),0)</f>
        <v>0</v>
      </c>
      <c r="M199" s="18">
        <f ca="1">IF(WEEKDAY(Tableau1[[#This Row],[Date]],2)&lt;7,0,MAX(0,SUM(OFFSET(Tableau1[[#This Row],[Heures]],-6,,7))+SUM(OFFSET(Tableau1[[#This Row],[H_Abs]],-6,,7))-_HS))</f>
        <v>0</v>
      </c>
      <c r="N199" s="18" t="str">
        <f ca="1">IF(Tableau1[[#This Row],[HS]]&gt;0,IF(Tableau1[[#This Row],[HS]]*24&gt;8,8/24,Tableau1[[#This Row],[HS]]),"")</f>
        <v/>
      </c>
      <c r="O199" s="18" t="str">
        <f ca="1">IF(Tableau1[[#This Row],[HS]]*24&gt;8,Tableau1[[#This Row],[HS]]-Tableau1[[#This Row],[Dont
HS 30%]],"")</f>
        <v/>
      </c>
      <c r="P199" s="18" t="e">
        <f ca="1">Tableau1[[#This Row],[Dont
HS 30%]]*1.3</f>
        <v>#VALUE!</v>
      </c>
      <c r="Q199" s="18" t="e">
        <f ca="1">Tableau1[[#This Row],[Dont 
HS 50%]]*1.5</f>
        <v>#VALUE!</v>
      </c>
    </row>
    <row r="200" spans="2:17" hidden="1" x14ac:dyDescent="0.25">
      <c r="B200" s="37">
        <f>_xlfn.ISOWEEKNUM(Tableau1[[#This Row],[Date]])</f>
        <v>41</v>
      </c>
      <c r="C200" s="14">
        <f>debut+ROW()-ROW(Tableau1[[#Headers],[Date]])-1</f>
        <v>44847</v>
      </c>
      <c r="D200" s="16">
        <f>MONTH(Tableau1[[#This Row],[Date]])</f>
        <v>10</v>
      </c>
      <c r="E200" s="16">
        <f>YEAR(Tableau1[[#This Row],[Date]])</f>
        <v>2022</v>
      </c>
      <c r="F200" s="32"/>
      <c r="G200" s="32"/>
      <c r="H200" s="32"/>
      <c r="I200" s="32"/>
      <c r="J200" s="3"/>
      <c r="K200" s="18">
        <f>MOD(Tableau1[[#This Row],[Fin
apm]]-Tableau1[[#This Row],[Début
apm]],1)+MOD(Tableau1[[#This Row],[Fin
matin]]-Tableau1[[#This Row],[Début
matin]],1)</f>
        <v>0</v>
      </c>
      <c r="L200" s="18">
        <f>IFERROR(VLOOKUP(Tableau1[[#This Row],[Abs.]],Tmotif[],3,0),0)</f>
        <v>0</v>
      </c>
      <c r="M200" s="18">
        <f ca="1">IF(WEEKDAY(Tableau1[[#This Row],[Date]],2)&lt;7,0,MAX(0,SUM(OFFSET(Tableau1[[#This Row],[Heures]],-6,,7))+SUM(OFFSET(Tableau1[[#This Row],[H_Abs]],-6,,7))-_HS))</f>
        <v>0</v>
      </c>
      <c r="N200" s="18" t="str">
        <f ca="1">IF(Tableau1[[#This Row],[HS]]&gt;0,IF(Tableau1[[#This Row],[HS]]*24&gt;8,8/24,Tableau1[[#This Row],[HS]]),"")</f>
        <v/>
      </c>
      <c r="O200" s="18" t="str">
        <f ca="1">IF(Tableau1[[#This Row],[HS]]*24&gt;8,Tableau1[[#This Row],[HS]]-Tableau1[[#This Row],[Dont
HS 30%]],"")</f>
        <v/>
      </c>
      <c r="P200" s="18" t="e">
        <f ca="1">Tableau1[[#This Row],[Dont
HS 30%]]*1.3</f>
        <v>#VALUE!</v>
      </c>
      <c r="Q200" s="18" t="e">
        <f ca="1">Tableau1[[#This Row],[Dont 
HS 50%]]*1.5</f>
        <v>#VALUE!</v>
      </c>
    </row>
    <row r="201" spans="2:17" hidden="1" x14ac:dyDescent="0.25">
      <c r="B201" s="37">
        <f>_xlfn.ISOWEEKNUM(Tableau1[[#This Row],[Date]])</f>
        <v>41</v>
      </c>
      <c r="C201" s="14">
        <f>debut+ROW()-ROW(Tableau1[[#Headers],[Date]])-1</f>
        <v>44848</v>
      </c>
      <c r="D201" s="16">
        <f>MONTH(Tableau1[[#This Row],[Date]])</f>
        <v>10</v>
      </c>
      <c r="E201" s="16">
        <f>YEAR(Tableau1[[#This Row],[Date]])</f>
        <v>2022</v>
      </c>
      <c r="F201" s="32"/>
      <c r="G201" s="32"/>
      <c r="H201" s="32"/>
      <c r="I201" s="32"/>
      <c r="J201" s="3"/>
      <c r="K201" s="18">
        <f>MOD(Tableau1[[#This Row],[Fin
apm]]-Tableau1[[#This Row],[Début
apm]],1)+MOD(Tableau1[[#This Row],[Fin
matin]]-Tableau1[[#This Row],[Début
matin]],1)</f>
        <v>0</v>
      </c>
      <c r="L201" s="18">
        <f>IFERROR(VLOOKUP(Tableau1[[#This Row],[Abs.]],Tmotif[],3,0),0)</f>
        <v>0</v>
      </c>
      <c r="M201" s="18">
        <f ca="1">IF(WEEKDAY(Tableau1[[#This Row],[Date]],2)&lt;7,0,MAX(0,SUM(OFFSET(Tableau1[[#This Row],[Heures]],-6,,7))+SUM(OFFSET(Tableau1[[#This Row],[H_Abs]],-6,,7))-_HS))</f>
        <v>0</v>
      </c>
      <c r="N201" s="18" t="str">
        <f ca="1">IF(Tableau1[[#This Row],[HS]]&gt;0,IF(Tableau1[[#This Row],[HS]]*24&gt;8,8/24,Tableau1[[#This Row],[HS]]),"")</f>
        <v/>
      </c>
      <c r="O201" s="18" t="str">
        <f ca="1">IF(Tableau1[[#This Row],[HS]]*24&gt;8,Tableau1[[#This Row],[HS]]-Tableau1[[#This Row],[Dont
HS 30%]],"")</f>
        <v/>
      </c>
      <c r="P201" s="18" t="e">
        <f ca="1">Tableau1[[#This Row],[Dont
HS 30%]]*1.3</f>
        <v>#VALUE!</v>
      </c>
      <c r="Q201" s="18" t="e">
        <f ca="1">Tableau1[[#This Row],[Dont 
HS 50%]]*1.5</f>
        <v>#VALUE!</v>
      </c>
    </row>
    <row r="202" spans="2:17" hidden="1" x14ac:dyDescent="0.25">
      <c r="B202" s="37">
        <f>_xlfn.ISOWEEKNUM(Tableau1[[#This Row],[Date]])</f>
        <v>41</v>
      </c>
      <c r="C202" s="14">
        <f>debut+ROW()-ROW(Tableau1[[#Headers],[Date]])-1</f>
        <v>44849</v>
      </c>
      <c r="D202" s="16">
        <f>MONTH(Tableau1[[#This Row],[Date]])</f>
        <v>10</v>
      </c>
      <c r="E202" s="16">
        <f>YEAR(Tableau1[[#This Row],[Date]])</f>
        <v>2022</v>
      </c>
      <c r="F202" s="32"/>
      <c r="G202" s="32"/>
      <c r="H202" s="32"/>
      <c r="I202" s="32"/>
      <c r="J202" s="3"/>
      <c r="K202" s="18">
        <f>MOD(Tableau1[[#This Row],[Fin
apm]]-Tableau1[[#This Row],[Début
apm]],1)+MOD(Tableau1[[#This Row],[Fin
matin]]-Tableau1[[#This Row],[Début
matin]],1)</f>
        <v>0</v>
      </c>
      <c r="L202" s="18">
        <f>IFERROR(VLOOKUP(Tableau1[[#This Row],[Abs.]],Tmotif[],3,0),0)</f>
        <v>0</v>
      </c>
      <c r="M202" s="18">
        <f ca="1">IF(WEEKDAY(Tableau1[[#This Row],[Date]],2)&lt;7,0,MAX(0,SUM(OFFSET(Tableau1[[#This Row],[Heures]],-6,,7))+SUM(OFFSET(Tableau1[[#This Row],[H_Abs]],-6,,7))-_HS))</f>
        <v>0</v>
      </c>
      <c r="N202" s="18" t="str">
        <f ca="1">IF(Tableau1[[#This Row],[HS]]&gt;0,IF(Tableau1[[#This Row],[HS]]*24&gt;8,8/24,Tableau1[[#This Row],[HS]]),"")</f>
        <v/>
      </c>
      <c r="O202" s="18" t="str">
        <f ca="1">IF(Tableau1[[#This Row],[HS]]*24&gt;8,Tableau1[[#This Row],[HS]]-Tableau1[[#This Row],[Dont
HS 30%]],"")</f>
        <v/>
      </c>
      <c r="P202" s="18" t="e">
        <f ca="1">Tableau1[[#This Row],[Dont
HS 30%]]*1.3</f>
        <v>#VALUE!</v>
      </c>
      <c r="Q202" s="18" t="e">
        <f ca="1">Tableau1[[#This Row],[Dont 
HS 50%]]*1.5</f>
        <v>#VALUE!</v>
      </c>
    </row>
    <row r="203" spans="2:17" hidden="1" x14ac:dyDescent="0.25">
      <c r="B203" s="37">
        <f>_xlfn.ISOWEEKNUM(Tableau1[[#This Row],[Date]])</f>
        <v>41</v>
      </c>
      <c r="C203" s="14">
        <f>debut+ROW()-ROW(Tableau1[[#Headers],[Date]])-1</f>
        <v>44850</v>
      </c>
      <c r="D203" s="16">
        <f>MONTH(Tableau1[[#This Row],[Date]])</f>
        <v>10</v>
      </c>
      <c r="E203" s="16">
        <f>YEAR(Tableau1[[#This Row],[Date]])</f>
        <v>2022</v>
      </c>
      <c r="F203" s="32"/>
      <c r="G203" s="32"/>
      <c r="H203" s="32"/>
      <c r="I203" s="32"/>
      <c r="J203" s="3"/>
      <c r="K203" s="18">
        <f>MOD(Tableau1[[#This Row],[Fin
apm]]-Tableau1[[#This Row],[Début
apm]],1)+MOD(Tableau1[[#This Row],[Fin
matin]]-Tableau1[[#This Row],[Début
matin]],1)</f>
        <v>0</v>
      </c>
      <c r="L203" s="18">
        <f>IFERROR(VLOOKUP(Tableau1[[#This Row],[Abs.]],Tmotif[],3,0),0)</f>
        <v>0</v>
      </c>
      <c r="M203" s="18">
        <f ca="1">IF(WEEKDAY(Tableau1[[#This Row],[Date]],2)&lt;7,0,MAX(0,SUM(OFFSET(Tableau1[[#This Row],[Heures]],-6,,7))+SUM(OFFSET(Tableau1[[#This Row],[H_Abs]],-6,,7))-_HS))</f>
        <v>0</v>
      </c>
      <c r="N203" s="18" t="str">
        <f ca="1">IF(Tableau1[[#This Row],[HS]]&gt;0,IF(Tableau1[[#This Row],[HS]]*24&gt;8,8/24,Tableau1[[#This Row],[HS]]),"")</f>
        <v/>
      </c>
      <c r="O203" s="18" t="str">
        <f ca="1">IF(Tableau1[[#This Row],[HS]]*24&gt;8,Tableau1[[#This Row],[HS]]-Tableau1[[#This Row],[Dont
HS 30%]],"")</f>
        <v/>
      </c>
      <c r="P203" s="18" t="e">
        <f ca="1">Tableau1[[#This Row],[Dont
HS 30%]]*1.3</f>
        <v>#VALUE!</v>
      </c>
      <c r="Q203" s="18" t="e">
        <f ca="1">Tableau1[[#This Row],[Dont 
HS 50%]]*1.5</f>
        <v>#VALUE!</v>
      </c>
    </row>
    <row r="204" spans="2:17" hidden="1" x14ac:dyDescent="0.25">
      <c r="B204" s="37">
        <f>_xlfn.ISOWEEKNUM(Tableau1[[#This Row],[Date]])</f>
        <v>42</v>
      </c>
      <c r="C204" s="14">
        <f>debut+ROW()-ROW(Tableau1[[#Headers],[Date]])-1</f>
        <v>44851</v>
      </c>
      <c r="D204" s="16">
        <f>MONTH(Tableau1[[#This Row],[Date]])</f>
        <v>10</v>
      </c>
      <c r="E204" s="16">
        <f>YEAR(Tableau1[[#This Row],[Date]])</f>
        <v>2022</v>
      </c>
      <c r="F204" s="32"/>
      <c r="G204" s="32"/>
      <c r="H204" s="32"/>
      <c r="I204" s="32"/>
      <c r="J204" s="3"/>
      <c r="K204" s="18">
        <f>MOD(Tableau1[[#This Row],[Fin
apm]]-Tableau1[[#This Row],[Début
apm]],1)+MOD(Tableau1[[#This Row],[Fin
matin]]-Tableau1[[#This Row],[Début
matin]],1)</f>
        <v>0</v>
      </c>
      <c r="L204" s="18">
        <f>IFERROR(VLOOKUP(Tableau1[[#This Row],[Abs.]],Tmotif[],3,0),0)</f>
        <v>0</v>
      </c>
      <c r="M204" s="18">
        <f ca="1">IF(WEEKDAY(Tableau1[[#This Row],[Date]],2)&lt;7,0,MAX(0,SUM(OFFSET(Tableau1[[#This Row],[Heures]],-6,,7))+SUM(OFFSET(Tableau1[[#This Row],[H_Abs]],-6,,7))-_HS))</f>
        <v>0</v>
      </c>
      <c r="N204" s="18" t="str">
        <f ca="1">IF(Tableau1[[#This Row],[HS]]&gt;0,IF(Tableau1[[#This Row],[HS]]*24&gt;8,8/24,Tableau1[[#This Row],[HS]]),"")</f>
        <v/>
      </c>
      <c r="O204" s="18" t="str">
        <f ca="1">IF(Tableau1[[#This Row],[HS]]*24&gt;8,Tableau1[[#This Row],[HS]]-Tableau1[[#This Row],[Dont
HS 30%]],"")</f>
        <v/>
      </c>
      <c r="P204" s="18" t="e">
        <f ca="1">Tableau1[[#This Row],[Dont
HS 30%]]*1.3</f>
        <v>#VALUE!</v>
      </c>
      <c r="Q204" s="18" t="e">
        <f ca="1">Tableau1[[#This Row],[Dont 
HS 50%]]*1.5</f>
        <v>#VALUE!</v>
      </c>
    </row>
    <row r="205" spans="2:17" hidden="1" x14ac:dyDescent="0.25">
      <c r="B205" s="37">
        <f>_xlfn.ISOWEEKNUM(Tableau1[[#This Row],[Date]])</f>
        <v>42</v>
      </c>
      <c r="C205" s="14">
        <f>debut+ROW()-ROW(Tableau1[[#Headers],[Date]])-1</f>
        <v>44852</v>
      </c>
      <c r="D205" s="16">
        <f>MONTH(Tableau1[[#This Row],[Date]])</f>
        <v>10</v>
      </c>
      <c r="E205" s="16">
        <f>YEAR(Tableau1[[#This Row],[Date]])</f>
        <v>2022</v>
      </c>
      <c r="F205" s="32"/>
      <c r="G205" s="32"/>
      <c r="H205" s="32"/>
      <c r="I205" s="32"/>
      <c r="J205" s="3"/>
      <c r="K205" s="18">
        <f>MOD(Tableau1[[#This Row],[Fin
apm]]-Tableau1[[#This Row],[Début
apm]],1)+MOD(Tableau1[[#This Row],[Fin
matin]]-Tableau1[[#This Row],[Début
matin]],1)</f>
        <v>0</v>
      </c>
      <c r="L205" s="18">
        <f>IFERROR(VLOOKUP(Tableau1[[#This Row],[Abs.]],Tmotif[],3,0),0)</f>
        <v>0</v>
      </c>
      <c r="M205" s="18">
        <f ca="1">IF(WEEKDAY(Tableau1[[#This Row],[Date]],2)&lt;7,0,MAX(0,SUM(OFFSET(Tableau1[[#This Row],[Heures]],-6,,7))+SUM(OFFSET(Tableau1[[#This Row],[H_Abs]],-6,,7))-_HS))</f>
        <v>0</v>
      </c>
      <c r="N205" s="18" t="str">
        <f ca="1">IF(Tableau1[[#This Row],[HS]]&gt;0,IF(Tableau1[[#This Row],[HS]]*24&gt;8,8/24,Tableau1[[#This Row],[HS]]),"")</f>
        <v/>
      </c>
      <c r="O205" s="18" t="str">
        <f ca="1">IF(Tableau1[[#This Row],[HS]]*24&gt;8,Tableau1[[#This Row],[HS]]-Tableau1[[#This Row],[Dont
HS 30%]],"")</f>
        <v/>
      </c>
      <c r="P205" s="18" t="e">
        <f ca="1">Tableau1[[#This Row],[Dont
HS 30%]]*1.3</f>
        <v>#VALUE!</v>
      </c>
      <c r="Q205" s="18" t="e">
        <f ca="1">Tableau1[[#This Row],[Dont 
HS 50%]]*1.5</f>
        <v>#VALUE!</v>
      </c>
    </row>
    <row r="206" spans="2:17" hidden="1" x14ac:dyDescent="0.25">
      <c r="B206" s="37">
        <f>_xlfn.ISOWEEKNUM(Tableau1[[#This Row],[Date]])</f>
        <v>42</v>
      </c>
      <c r="C206" s="14">
        <f>debut+ROW()-ROW(Tableau1[[#Headers],[Date]])-1</f>
        <v>44853</v>
      </c>
      <c r="D206" s="16">
        <f>MONTH(Tableau1[[#This Row],[Date]])</f>
        <v>10</v>
      </c>
      <c r="E206" s="16">
        <f>YEAR(Tableau1[[#This Row],[Date]])</f>
        <v>2022</v>
      </c>
      <c r="F206" s="32"/>
      <c r="G206" s="32"/>
      <c r="H206" s="32"/>
      <c r="I206" s="32"/>
      <c r="J206" s="3"/>
      <c r="K206" s="18">
        <f>MOD(Tableau1[[#This Row],[Fin
apm]]-Tableau1[[#This Row],[Début
apm]],1)+MOD(Tableau1[[#This Row],[Fin
matin]]-Tableau1[[#This Row],[Début
matin]],1)</f>
        <v>0</v>
      </c>
      <c r="L206" s="18">
        <f>IFERROR(VLOOKUP(Tableau1[[#This Row],[Abs.]],Tmotif[],3,0),0)</f>
        <v>0</v>
      </c>
      <c r="M206" s="18">
        <f ca="1">IF(WEEKDAY(Tableau1[[#This Row],[Date]],2)&lt;7,0,MAX(0,SUM(OFFSET(Tableau1[[#This Row],[Heures]],-6,,7))+SUM(OFFSET(Tableau1[[#This Row],[H_Abs]],-6,,7))-_HS))</f>
        <v>0</v>
      </c>
      <c r="N206" s="18" t="str">
        <f ca="1">IF(Tableau1[[#This Row],[HS]]&gt;0,IF(Tableau1[[#This Row],[HS]]*24&gt;8,8/24,Tableau1[[#This Row],[HS]]),"")</f>
        <v/>
      </c>
      <c r="O206" s="18" t="str">
        <f ca="1">IF(Tableau1[[#This Row],[HS]]*24&gt;8,Tableau1[[#This Row],[HS]]-Tableau1[[#This Row],[Dont
HS 30%]],"")</f>
        <v/>
      </c>
      <c r="P206" s="18" t="e">
        <f ca="1">Tableau1[[#This Row],[Dont
HS 30%]]*1.3</f>
        <v>#VALUE!</v>
      </c>
      <c r="Q206" s="18" t="e">
        <f ca="1">Tableau1[[#This Row],[Dont 
HS 50%]]*1.5</f>
        <v>#VALUE!</v>
      </c>
    </row>
    <row r="207" spans="2:17" hidden="1" x14ac:dyDescent="0.25">
      <c r="B207" s="37">
        <f>_xlfn.ISOWEEKNUM(Tableau1[[#This Row],[Date]])</f>
        <v>42</v>
      </c>
      <c r="C207" s="14">
        <f>debut+ROW()-ROW(Tableau1[[#Headers],[Date]])-1</f>
        <v>44854</v>
      </c>
      <c r="D207" s="16">
        <f>MONTH(Tableau1[[#This Row],[Date]])</f>
        <v>10</v>
      </c>
      <c r="E207" s="16">
        <f>YEAR(Tableau1[[#This Row],[Date]])</f>
        <v>2022</v>
      </c>
      <c r="F207" s="32"/>
      <c r="G207" s="32"/>
      <c r="H207" s="32"/>
      <c r="I207" s="32"/>
      <c r="J207" s="3"/>
      <c r="K207" s="18">
        <f>MOD(Tableau1[[#This Row],[Fin
apm]]-Tableau1[[#This Row],[Début
apm]],1)+MOD(Tableau1[[#This Row],[Fin
matin]]-Tableau1[[#This Row],[Début
matin]],1)</f>
        <v>0</v>
      </c>
      <c r="L207" s="18">
        <f>IFERROR(VLOOKUP(Tableau1[[#This Row],[Abs.]],Tmotif[],3,0),0)</f>
        <v>0</v>
      </c>
      <c r="M207" s="18">
        <f ca="1">IF(WEEKDAY(Tableau1[[#This Row],[Date]],2)&lt;7,0,MAX(0,SUM(OFFSET(Tableau1[[#This Row],[Heures]],-6,,7))+SUM(OFFSET(Tableau1[[#This Row],[H_Abs]],-6,,7))-_HS))</f>
        <v>0</v>
      </c>
      <c r="N207" s="18" t="str">
        <f ca="1">IF(Tableau1[[#This Row],[HS]]&gt;0,IF(Tableau1[[#This Row],[HS]]*24&gt;8,8/24,Tableau1[[#This Row],[HS]]),"")</f>
        <v/>
      </c>
      <c r="O207" s="18" t="str">
        <f ca="1">IF(Tableau1[[#This Row],[HS]]*24&gt;8,Tableau1[[#This Row],[HS]]-Tableau1[[#This Row],[Dont
HS 30%]],"")</f>
        <v/>
      </c>
      <c r="P207" s="18" t="e">
        <f ca="1">Tableau1[[#This Row],[Dont
HS 30%]]*1.3</f>
        <v>#VALUE!</v>
      </c>
      <c r="Q207" s="18" t="e">
        <f ca="1">Tableau1[[#This Row],[Dont 
HS 50%]]*1.5</f>
        <v>#VALUE!</v>
      </c>
    </row>
    <row r="208" spans="2:17" hidden="1" x14ac:dyDescent="0.25">
      <c r="B208" s="37">
        <f>_xlfn.ISOWEEKNUM(Tableau1[[#This Row],[Date]])</f>
        <v>42</v>
      </c>
      <c r="C208" s="14">
        <f>debut+ROW()-ROW(Tableau1[[#Headers],[Date]])-1</f>
        <v>44855</v>
      </c>
      <c r="D208" s="16">
        <f>MONTH(Tableau1[[#This Row],[Date]])</f>
        <v>10</v>
      </c>
      <c r="E208" s="16">
        <f>YEAR(Tableau1[[#This Row],[Date]])</f>
        <v>2022</v>
      </c>
      <c r="F208" s="32"/>
      <c r="G208" s="32"/>
      <c r="H208" s="32"/>
      <c r="I208" s="32"/>
      <c r="J208" s="3"/>
      <c r="K208" s="18">
        <f>MOD(Tableau1[[#This Row],[Fin
apm]]-Tableau1[[#This Row],[Début
apm]],1)+MOD(Tableau1[[#This Row],[Fin
matin]]-Tableau1[[#This Row],[Début
matin]],1)</f>
        <v>0</v>
      </c>
      <c r="L208" s="18">
        <f>IFERROR(VLOOKUP(Tableau1[[#This Row],[Abs.]],Tmotif[],3,0),0)</f>
        <v>0</v>
      </c>
      <c r="M208" s="18">
        <f ca="1">IF(WEEKDAY(Tableau1[[#This Row],[Date]],2)&lt;7,0,MAX(0,SUM(OFFSET(Tableau1[[#This Row],[Heures]],-6,,7))+SUM(OFFSET(Tableau1[[#This Row],[H_Abs]],-6,,7))-_HS))</f>
        <v>0</v>
      </c>
      <c r="N208" s="18" t="str">
        <f ca="1">IF(Tableau1[[#This Row],[HS]]&gt;0,IF(Tableau1[[#This Row],[HS]]*24&gt;8,8/24,Tableau1[[#This Row],[HS]]),"")</f>
        <v/>
      </c>
      <c r="O208" s="18" t="str">
        <f ca="1">IF(Tableau1[[#This Row],[HS]]*24&gt;8,Tableau1[[#This Row],[HS]]-Tableau1[[#This Row],[Dont
HS 30%]],"")</f>
        <v/>
      </c>
      <c r="P208" s="18" t="e">
        <f ca="1">Tableau1[[#This Row],[Dont
HS 30%]]*1.3</f>
        <v>#VALUE!</v>
      </c>
      <c r="Q208" s="18" t="e">
        <f ca="1">Tableau1[[#This Row],[Dont 
HS 50%]]*1.5</f>
        <v>#VALUE!</v>
      </c>
    </row>
    <row r="209" spans="2:17" hidden="1" x14ac:dyDescent="0.25">
      <c r="B209" s="37">
        <f>_xlfn.ISOWEEKNUM(Tableau1[[#This Row],[Date]])</f>
        <v>42</v>
      </c>
      <c r="C209" s="14">
        <f>debut+ROW()-ROW(Tableau1[[#Headers],[Date]])-1</f>
        <v>44856</v>
      </c>
      <c r="D209" s="16">
        <f>MONTH(Tableau1[[#This Row],[Date]])</f>
        <v>10</v>
      </c>
      <c r="E209" s="16">
        <f>YEAR(Tableau1[[#This Row],[Date]])</f>
        <v>2022</v>
      </c>
      <c r="F209" s="32"/>
      <c r="G209" s="32"/>
      <c r="H209" s="32"/>
      <c r="I209" s="32"/>
      <c r="J209" s="3"/>
      <c r="K209" s="18">
        <f>MOD(Tableau1[[#This Row],[Fin
apm]]-Tableau1[[#This Row],[Début
apm]],1)+MOD(Tableau1[[#This Row],[Fin
matin]]-Tableau1[[#This Row],[Début
matin]],1)</f>
        <v>0</v>
      </c>
      <c r="L209" s="18">
        <f>IFERROR(VLOOKUP(Tableau1[[#This Row],[Abs.]],Tmotif[],3,0),0)</f>
        <v>0</v>
      </c>
      <c r="M209" s="18">
        <f ca="1">IF(WEEKDAY(Tableau1[[#This Row],[Date]],2)&lt;7,0,MAX(0,SUM(OFFSET(Tableau1[[#This Row],[Heures]],-6,,7))+SUM(OFFSET(Tableau1[[#This Row],[H_Abs]],-6,,7))-_HS))</f>
        <v>0</v>
      </c>
      <c r="N209" s="18" t="str">
        <f ca="1">IF(Tableau1[[#This Row],[HS]]&gt;0,IF(Tableau1[[#This Row],[HS]]*24&gt;8,8/24,Tableau1[[#This Row],[HS]]),"")</f>
        <v/>
      </c>
      <c r="O209" s="18" t="str">
        <f ca="1">IF(Tableau1[[#This Row],[HS]]*24&gt;8,Tableau1[[#This Row],[HS]]-Tableau1[[#This Row],[Dont
HS 30%]],"")</f>
        <v/>
      </c>
      <c r="P209" s="18" t="e">
        <f ca="1">Tableau1[[#This Row],[Dont
HS 30%]]*1.3</f>
        <v>#VALUE!</v>
      </c>
      <c r="Q209" s="18" t="e">
        <f ca="1">Tableau1[[#This Row],[Dont 
HS 50%]]*1.5</f>
        <v>#VALUE!</v>
      </c>
    </row>
    <row r="210" spans="2:17" hidden="1" x14ac:dyDescent="0.25">
      <c r="B210" s="37">
        <f>_xlfn.ISOWEEKNUM(Tableau1[[#This Row],[Date]])</f>
        <v>42</v>
      </c>
      <c r="C210" s="14">
        <f>debut+ROW()-ROW(Tableau1[[#Headers],[Date]])-1</f>
        <v>44857</v>
      </c>
      <c r="D210" s="16">
        <f>MONTH(Tableau1[[#This Row],[Date]])</f>
        <v>10</v>
      </c>
      <c r="E210" s="16">
        <f>YEAR(Tableau1[[#This Row],[Date]])</f>
        <v>2022</v>
      </c>
      <c r="F210" s="32"/>
      <c r="G210" s="32"/>
      <c r="H210" s="32"/>
      <c r="I210" s="32"/>
      <c r="J210" s="3"/>
      <c r="K210" s="18">
        <f>MOD(Tableau1[[#This Row],[Fin
apm]]-Tableau1[[#This Row],[Début
apm]],1)+MOD(Tableau1[[#This Row],[Fin
matin]]-Tableau1[[#This Row],[Début
matin]],1)</f>
        <v>0</v>
      </c>
      <c r="L210" s="18">
        <f>IFERROR(VLOOKUP(Tableau1[[#This Row],[Abs.]],Tmotif[],3,0),0)</f>
        <v>0</v>
      </c>
      <c r="M210" s="18">
        <f ca="1">IF(WEEKDAY(Tableau1[[#This Row],[Date]],2)&lt;7,0,MAX(0,SUM(OFFSET(Tableau1[[#This Row],[Heures]],-6,,7))+SUM(OFFSET(Tableau1[[#This Row],[H_Abs]],-6,,7))-_HS))</f>
        <v>0</v>
      </c>
      <c r="N210" s="18" t="str">
        <f ca="1">IF(Tableau1[[#This Row],[HS]]&gt;0,IF(Tableau1[[#This Row],[HS]]*24&gt;8,8/24,Tableau1[[#This Row],[HS]]),"")</f>
        <v/>
      </c>
      <c r="O210" s="18" t="str">
        <f ca="1">IF(Tableau1[[#This Row],[HS]]*24&gt;8,Tableau1[[#This Row],[HS]]-Tableau1[[#This Row],[Dont
HS 30%]],"")</f>
        <v/>
      </c>
      <c r="P210" s="18" t="e">
        <f ca="1">Tableau1[[#This Row],[Dont
HS 30%]]*1.3</f>
        <v>#VALUE!</v>
      </c>
      <c r="Q210" s="18" t="e">
        <f ca="1">Tableau1[[#This Row],[Dont 
HS 50%]]*1.5</f>
        <v>#VALUE!</v>
      </c>
    </row>
    <row r="211" spans="2:17" hidden="1" x14ac:dyDescent="0.25">
      <c r="B211" s="37">
        <f>_xlfn.ISOWEEKNUM(Tableau1[[#This Row],[Date]])</f>
        <v>43</v>
      </c>
      <c r="C211" s="14">
        <f>debut+ROW()-ROW(Tableau1[[#Headers],[Date]])-1</f>
        <v>44858</v>
      </c>
      <c r="D211" s="16">
        <f>MONTH(Tableau1[[#This Row],[Date]])</f>
        <v>10</v>
      </c>
      <c r="E211" s="16">
        <f>YEAR(Tableau1[[#This Row],[Date]])</f>
        <v>2022</v>
      </c>
      <c r="F211" s="32"/>
      <c r="G211" s="32"/>
      <c r="H211" s="32"/>
      <c r="I211" s="32"/>
      <c r="J211" s="3"/>
      <c r="K211" s="18">
        <f>MOD(Tableau1[[#This Row],[Fin
apm]]-Tableau1[[#This Row],[Début
apm]],1)+MOD(Tableau1[[#This Row],[Fin
matin]]-Tableau1[[#This Row],[Début
matin]],1)</f>
        <v>0</v>
      </c>
      <c r="L211" s="18">
        <f>IFERROR(VLOOKUP(Tableau1[[#This Row],[Abs.]],Tmotif[],3,0),0)</f>
        <v>0</v>
      </c>
      <c r="M211" s="18">
        <f ca="1">IF(WEEKDAY(Tableau1[[#This Row],[Date]],2)&lt;7,0,MAX(0,SUM(OFFSET(Tableau1[[#This Row],[Heures]],-6,,7))+SUM(OFFSET(Tableau1[[#This Row],[H_Abs]],-6,,7))-_HS))</f>
        <v>0</v>
      </c>
      <c r="N211" s="18" t="str">
        <f ca="1">IF(Tableau1[[#This Row],[HS]]&gt;0,IF(Tableau1[[#This Row],[HS]]*24&gt;8,8/24,Tableau1[[#This Row],[HS]]),"")</f>
        <v/>
      </c>
      <c r="O211" s="18" t="str">
        <f ca="1">IF(Tableau1[[#This Row],[HS]]*24&gt;8,Tableau1[[#This Row],[HS]]-Tableau1[[#This Row],[Dont
HS 30%]],"")</f>
        <v/>
      </c>
      <c r="P211" s="18" t="e">
        <f ca="1">Tableau1[[#This Row],[Dont
HS 30%]]*1.3</f>
        <v>#VALUE!</v>
      </c>
      <c r="Q211" s="18" t="e">
        <f ca="1">Tableau1[[#This Row],[Dont 
HS 50%]]*1.5</f>
        <v>#VALUE!</v>
      </c>
    </row>
    <row r="212" spans="2:17" hidden="1" x14ac:dyDescent="0.25">
      <c r="B212" s="37">
        <f>_xlfn.ISOWEEKNUM(Tableau1[[#This Row],[Date]])</f>
        <v>43</v>
      </c>
      <c r="C212" s="14">
        <f>debut+ROW()-ROW(Tableau1[[#Headers],[Date]])-1</f>
        <v>44859</v>
      </c>
      <c r="D212" s="16">
        <f>MONTH(Tableau1[[#This Row],[Date]])</f>
        <v>10</v>
      </c>
      <c r="E212" s="16">
        <f>YEAR(Tableau1[[#This Row],[Date]])</f>
        <v>2022</v>
      </c>
      <c r="F212" s="32"/>
      <c r="G212" s="32"/>
      <c r="H212" s="32"/>
      <c r="I212" s="32"/>
      <c r="J212" s="3"/>
      <c r="K212" s="18">
        <f>MOD(Tableau1[[#This Row],[Fin
apm]]-Tableau1[[#This Row],[Début
apm]],1)+MOD(Tableau1[[#This Row],[Fin
matin]]-Tableau1[[#This Row],[Début
matin]],1)</f>
        <v>0</v>
      </c>
      <c r="L212" s="18">
        <f>IFERROR(VLOOKUP(Tableau1[[#This Row],[Abs.]],Tmotif[],3,0),0)</f>
        <v>0</v>
      </c>
      <c r="M212" s="18">
        <f ca="1">IF(WEEKDAY(Tableau1[[#This Row],[Date]],2)&lt;7,0,MAX(0,SUM(OFFSET(Tableau1[[#This Row],[Heures]],-6,,7))+SUM(OFFSET(Tableau1[[#This Row],[H_Abs]],-6,,7))-_HS))</f>
        <v>0</v>
      </c>
      <c r="N212" s="18" t="str">
        <f ca="1">IF(Tableau1[[#This Row],[HS]]&gt;0,IF(Tableau1[[#This Row],[HS]]*24&gt;8,8/24,Tableau1[[#This Row],[HS]]),"")</f>
        <v/>
      </c>
      <c r="O212" s="18" t="str">
        <f ca="1">IF(Tableau1[[#This Row],[HS]]*24&gt;8,Tableau1[[#This Row],[HS]]-Tableau1[[#This Row],[Dont
HS 30%]],"")</f>
        <v/>
      </c>
      <c r="P212" s="18" t="e">
        <f ca="1">Tableau1[[#This Row],[Dont
HS 30%]]*1.3</f>
        <v>#VALUE!</v>
      </c>
      <c r="Q212" s="18" t="e">
        <f ca="1">Tableau1[[#This Row],[Dont 
HS 50%]]*1.5</f>
        <v>#VALUE!</v>
      </c>
    </row>
    <row r="213" spans="2:17" hidden="1" x14ac:dyDescent="0.25">
      <c r="B213" s="37">
        <f>_xlfn.ISOWEEKNUM(Tableau1[[#This Row],[Date]])</f>
        <v>43</v>
      </c>
      <c r="C213" s="14">
        <f>debut+ROW()-ROW(Tableau1[[#Headers],[Date]])-1</f>
        <v>44860</v>
      </c>
      <c r="D213" s="16">
        <f>MONTH(Tableau1[[#This Row],[Date]])</f>
        <v>10</v>
      </c>
      <c r="E213" s="16">
        <f>YEAR(Tableau1[[#This Row],[Date]])</f>
        <v>2022</v>
      </c>
      <c r="F213" s="32"/>
      <c r="G213" s="32"/>
      <c r="H213" s="32"/>
      <c r="I213" s="32"/>
      <c r="J213" s="3"/>
      <c r="K213" s="18">
        <f>MOD(Tableau1[[#This Row],[Fin
apm]]-Tableau1[[#This Row],[Début
apm]],1)+MOD(Tableau1[[#This Row],[Fin
matin]]-Tableau1[[#This Row],[Début
matin]],1)</f>
        <v>0</v>
      </c>
      <c r="L213" s="18">
        <f>IFERROR(VLOOKUP(Tableau1[[#This Row],[Abs.]],Tmotif[],3,0),0)</f>
        <v>0</v>
      </c>
      <c r="M213" s="18">
        <f ca="1">IF(WEEKDAY(Tableau1[[#This Row],[Date]],2)&lt;7,0,MAX(0,SUM(OFFSET(Tableau1[[#This Row],[Heures]],-6,,7))+SUM(OFFSET(Tableau1[[#This Row],[H_Abs]],-6,,7))-_HS))</f>
        <v>0</v>
      </c>
      <c r="N213" s="18" t="str">
        <f ca="1">IF(Tableau1[[#This Row],[HS]]&gt;0,IF(Tableau1[[#This Row],[HS]]*24&gt;8,8/24,Tableau1[[#This Row],[HS]]),"")</f>
        <v/>
      </c>
      <c r="O213" s="18" t="str">
        <f ca="1">IF(Tableau1[[#This Row],[HS]]*24&gt;8,Tableau1[[#This Row],[HS]]-Tableau1[[#This Row],[Dont
HS 30%]],"")</f>
        <v/>
      </c>
      <c r="P213" s="18" t="e">
        <f ca="1">Tableau1[[#This Row],[Dont
HS 30%]]*1.3</f>
        <v>#VALUE!</v>
      </c>
      <c r="Q213" s="18" t="e">
        <f ca="1">Tableau1[[#This Row],[Dont 
HS 50%]]*1.5</f>
        <v>#VALUE!</v>
      </c>
    </row>
    <row r="214" spans="2:17" hidden="1" x14ac:dyDescent="0.25">
      <c r="B214" s="37">
        <f>_xlfn.ISOWEEKNUM(Tableau1[[#This Row],[Date]])</f>
        <v>43</v>
      </c>
      <c r="C214" s="14">
        <f>debut+ROW()-ROW(Tableau1[[#Headers],[Date]])-1</f>
        <v>44861</v>
      </c>
      <c r="D214" s="16">
        <f>MONTH(Tableau1[[#This Row],[Date]])</f>
        <v>10</v>
      </c>
      <c r="E214" s="16">
        <f>YEAR(Tableau1[[#This Row],[Date]])</f>
        <v>2022</v>
      </c>
      <c r="F214" s="32"/>
      <c r="G214" s="32"/>
      <c r="H214" s="32"/>
      <c r="I214" s="32"/>
      <c r="J214" s="3"/>
      <c r="K214" s="18">
        <f>MOD(Tableau1[[#This Row],[Fin
apm]]-Tableau1[[#This Row],[Début
apm]],1)+MOD(Tableau1[[#This Row],[Fin
matin]]-Tableau1[[#This Row],[Début
matin]],1)</f>
        <v>0</v>
      </c>
      <c r="L214" s="18">
        <f>IFERROR(VLOOKUP(Tableau1[[#This Row],[Abs.]],Tmotif[],3,0),0)</f>
        <v>0</v>
      </c>
      <c r="M214" s="18">
        <f ca="1">IF(WEEKDAY(Tableau1[[#This Row],[Date]],2)&lt;7,0,MAX(0,SUM(OFFSET(Tableau1[[#This Row],[Heures]],-6,,7))+SUM(OFFSET(Tableau1[[#This Row],[H_Abs]],-6,,7))-_HS))</f>
        <v>0</v>
      </c>
      <c r="N214" s="18" t="str">
        <f ca="1">IF(Tableau1[[#This Row],[HS]]&gt;0,IF(Tableau1[[#This Row],[HS]]*24&gt;8,8/24,Tableau1[[#This Row],[HS]]),"")</f>
        <v/>
      </c>
      <c r="O214" s="18" t="str">
        <f ca="1">IF(Tableau1[[#This Row],[HS]]*24&gt;8,Tableau1[[#This Row],[HS]]-Tableau1[[#This Row],[Dont
HS 30%]],"")</f>
        <v/>
      </c>
      <c r="P214" s="18" t="e">
        <f ca="1">Tableau1[[#This Row],[Dont
HS 30%]]*1.3</f>
        <v>#VALUE!</v>
      </c>
      <c r="Q214" s="18" t="e">
        <f ca="1">Tableau1[[#This Row],[Dont 
HS 50%]]*1.5</f>
        <v>#VALUE!</v>
      </c>
    </row>
    <row r="215" spans="2:17" hidden="1" x14ac:dyDescent="0.25">
      <c r="B215" s="37">
        <f>_xlfn.ISOWEEKNUM(Tableau1[[#This Row],[Date]])</f>
        <v>43</v>
      </c>
      <c r="C215" s="14">
        <f>debut+ROW()-ROW(Tableau1[[#Headers],[Date]])-1</f>
        <v>44862</v>
      </c>
      <c r="D215" s="16">
        <f>MONTH(Tableau1[[#This Row],[Date]])</f>
        <v>10</v>
      </c>
      <c r="E215" s="16">
        <f>YEAR(Tableau1[[#This Row],[Date]])</f>
        <v>2022</v>
      </c>
      <c r="F215" s="32"/>
      <c r="G215" s="32"/>
      <c r="H215" s="32"/>
      <c r="I215" s="32"/>
      <c r="J215" s="3"/>
      <c r="K215" s="18">
        <f>MOD(Tableau1[[#This Row],[Fin
apm]]-Tableau1[[#This Row],[Début
apm]],1)+MOD(Tableau1[[#This Row],[Fin
matin]]-Tableau1[[#This Row],[Début
matin]],1)</f>
        <v>0</v>
      </c>
      <c r="L215" s="18">
        <f>IFERROR(VLOOKUP(Tableau1[[#This Row],[Abs.]],Tmotif[],3,0),0)</f>
        <v>0</v>
      </c>
      <c r="M215" s="18">
        <f ca="1">IF(WEEKDAY(Tableau1[[#This Row],[Date]],2)&lt;7,0,MAX(0,SUM(OFFSET(Tableau1[[#This Row],[Heures]],-6,,7))+SUM(OFFSET(Tableau1[[#This Row],[H_Abs]],-6,,7))-_HS))</f>
        <v>0</v>
      </c>
      <c r="N215" s="18" t="str">
        <f ca="1">IF(Tableau1[[#This Row],[HS]]&gt;0,IF(Tableau1[[#This Row],[HS]]*24&gt;8,8/24,Tableau1[[#This Row],[HS]]),"")</f>
        <v/>
      </c>
      <c r="O215" s="18" t="str">
        <f ca="1">IF(Tableau1[[#This Row],[HS]]*24&gt;8,Tableau1[[#This Row],[HS]]-Tableau1[[#This Row],[Dont
HS 30%]],"")</f>
        <v/>
      </c>
      <c r="P215" s="18" t="e">
        <f ca="1">Tableau1[[#This Row],[Dont
HS 30%]]*1.3</f>
        <v>#VALUE!</v>
      </c>
      <c r="Q215" s="18" t="e">
        <f ca="1">Tableau1[[#This Row],[Dont 
HS 50%]]*1.5</f>
        <v>#VALUE!</v>
      </c>
    </row>
    <row r="216" spans="2:17" hidden="1" x14ac:dyDescent="0.25">
      <c r="B216" s="37">
        <f>_xlfn.ISOWEEKNUM(Tableau1[[#This Row],[Date]])</f>
        <v>43</v>
      </c>
      <c r="C216" s="14">
        <f>debut+ROW()-ROW(Tableau1[[#Headers],[Date]])-1</f>
        <v>44863</v>
      </c>
      <c r="D216" s="16">
        <f>MONTH(Tableau1[[#This Row],[Date]])</f>
        <v>10</v>
      </c>
      <c r="E216" s="16">
        <f>YEAR(Tableau1[[#This Row],[Date]])</f>
        <v>2022</v>
      </c>
      <c r="F216" s="32"/>
      <c r="G216" s="32"/>
      <c r="H216" s="32"/>
      <c r="I216" s="32"/>
      <c r="J216" s="3"/>
      <c r="K216" s="18">
        <f>MOD(Tableau1[[#This Row],[Fin
apm]]-Tableau1[[#This Row],[Début
apm]],1)+MOD(Tableau1[[#This Row],[Fin
matin]]-Tableau1[[#This Row],[Début
matin]],1)</f>
        <v>0</v>
      </c>
      <c r="L216" s="18">
        <f>IFERROR(VLOOKUP(Tableau1[[#This Row],[Abs.]],Tmotif[],3,0),0)</f>
        <v>0</v>
      </c>
      <c r="M216" s="18">
        <f ca="1">IF(WEEKDAY(Tableau1[[#This Row],[Date]],2)&lt;7,0,MAX(0,SUM(OFFSET(Tableau1[[#This Row],[Heures]],-6,,7))+SUM(OFFSET(Tableau1[[#This Row],[H_Abs]],-6,,7))-_HS))</f>
        <v>0</v>
      </c>
      <c r="N216" s="18" t="str">
        <f ca="1">IF(Tableau1[[#This Row],[HS]]&gt;0,IF(Tableau1[[#This Row],[HS]]*24&gt;8,8/24,Tableau1[[#This Row],[HS]]),"")</f>
        <v/>
      </c>
      <c r="O216" s="18" t="str">
        <f ca="1">IF(Tableau1[[#This Row],[HS]]*24&gt;8,Tableau1[[#This Row],[HS]]-Tableau1[[#This Row],[Dont
HS 30%]],"")</f>
        <v/>
      </c>
      <c r="P216" s="18" t="e">
        <f ca="1">Tableau1[[#This Row],[Dont
HS 30%]]*1.3</f>
        <v>#VALUE!</v>
      </c>
      <c r="Q216" s="18" t="e">
        <f ca="1">Tableau1[[#This Row],[Dont 
HS 50%]]*1.5</f>
        <v>#VALUE!</v>
      </c>
    </row>
    <row r="217" spans="2:17" hidden="1" x14ac:dyDescent="0.25">
      <c r="B217" s="37">
        <f>_xlfn.ISOWEEKNUM(Tableau1[[#This Row],[Date]])</f>
        <v>43</v>
      </c>
      <c r="C217" s="14">
        <f>debut+ROW()-ROW(Tableau1[[#Headers],[Date]])-1</f>
        <v>44864</v>
      </c>
      <c r="D217" s="16">
        <f>MONTH(Tableau1[[#This Row],[Date]])</f>
        <v>10</v>
      </c>
      <c r="E217" s="16">
        <f>YEAR(Tableau1[[#This Row],[Date]])</f>
        <v>2022</v>
      </c>
      <c r="F217" s="32"/>
      <c r="G217" s="32"/>
      <c r="H217" s="32"/>
      <c r="I217" s="32"/>
      <c r="J217" s="3"/>
      <c r="K217" s="18">
        <f>MOD(Tableau1[[#This Row],[Fin
apm]]-Tableau1[[#This Row],[Début
apm]],1)+MOD(Tableau1[[#This Row],[Fin
matin]]-Tableau1[[#This Row],[Début
matin]],1)</f>
        <v>0</v>
      </c>
      <c r="L217" s="18">
        <f>IFERROR(VLOOKUP(Tableau1[[#This Row],[Abs.]],Tmotif[],3,0),0)</f>
        <v>0</v>
      </c>
      <c r="M217" s="18">
        <f ca="1">IF(WEEKDAY(Tableau1[[#This Row],[Date]],2)&lt;7,0,MAX(0,SUM(OFFSET(Tableau1[[#This Row],[Heures]],-6,,7))+SUM(OFFSET(Tableau1[[#This Row],[H_Abs]],-6,,7))-_HS))</f>
        <v>0</v>
      </c>
      <c r="N217" s="18" t="str">
        <f ca="1">IF(Tableau1[[#This Row],[HS]]&gt;0,IF(Tableau1[[#This Row],[HS]]*24&gt;8,8/24,Tableau1[[#This Row],[HS]]),"")</f>
        <v/>
      </c>
      <c r="O217" s="18" t="str">
        <f ca="1">IF(Tableau1[[#This Row],[HS]]*24&gt;8,Tableau1[[#This Row],[HS]]-Tableau1[[#This Row],[Dont
HS 30%]],"")</f>
        <v/>
      </c>
      <c r="P217" s="18" t="e">
        <f ca="1">Tableau1[[#This Row],[Dont
HS 30%]]*1.3</f>
        <v>#VALUE!</v>
      </c>
      <c r="Q217" s="18" t="e">
        <f ca="1">Tableau1[[#This Row],[Dont 
HS 50%]]*1.5</f>
        <v>#VALUE!</v>
      </c>
    </row>
    <row r="218" spans="2:17" hidden="1" x14ac:dyDescent="0.25">
      <c r="B218" s="37">
        <f>_xlfn.ISOWEEKNUM(Tableau1[[#This Row],[Date]])</f>
        <v>44</v>
      </c>
      <c r="C218" s="14">
        <f>debut+ROW()-ROW(Tableau1[[#Headers],[Date]])-1</f>
        <v>44865</v>
      </c>
      <c r="D218" s="16">
        <f>MONTH(Tableau1[[#This Row],[Date]])</f>
        <v>10</v>
      </c>
      <c r="E218" s="16">
        <f>YEAR(Tableau1[[#This Row],[Date]])</f>
        <v>2022</v>
      </c>
      <c r="F218" s="32"/>
      <c r="G218" s="32"/>
      <c r="H218" s="32"/>
      <c r="I218" s="32"/>
      <c r="J218" s="3"/>
      <c r="K218" s="18">
        <f>MOD(Tableau1[[#This Row],[Fin
apm]]-Tableau1[[#This Row],[Début
apm]],1)+MOD(Tableau1[[#This Row],[Fin
matin]]-Tableau1[[#This Row],[Début
matin]],1)</f>
        <v>0</v>
      </c>
      <c r="L218" s="18">
        <f>IFERROR(VLOOKUP(Tableau1[[#This Row],[Abs.]],Tmotif[],3,0),0)</f>
        <v>0</v>
      </c>
      <c r="M218" s="18">
        <f ca="1">IF(WEEKDAY(Tableau1[[#This Row],[Date]],2)&lt;7,0,MAX(0,SUM(OFFSET(Tableau1[[#This Row],[Heures]],-6,,7))+SUM(OFFSET(Tableau1[[#This Row],[H_Abs]],-6,,7))-_HS))</f>
        <v>0</v>
      </c>
      <c r="N218" s="18" t="str">
        <f ca="1">IF(Tableau1[[#This Row],[HS]]&gt;0,IF(Tableau1[[#This Row],[HS]]*24&gt;8,8/24,Tableau1[[#This Row],[HS]]),"")</f>
        <v/>
      </c>
      <c r="O218" s="18" t="str">
        <f ca="1">IF(Tableau1[[#This Row],[HS]]*24&gt;8,Tableau1[[#This Row],[HS]]-Tableau1[[#This Row],[Dont
HS 30%]],"")</f>
        <v/>
      </c>
      <c r="P218" s="18" t="e">
        <f ca="1">Tableau1[[#This Row],[Dont
HS 30%]]*1.3</f>
        <v>#VALUE!</v>
      </c>
      <c r="Q218" s="18" t="e">
        <f ca="1">Tableau1[[#This Row],[Dont 
HS 50%]]*1.5</f>
        <v>#VALUE!</v>
      </c>
    </row>
    <row r="219" spans="2:17" hidden="1" x14ac:dyDescent="0.25">
      <c r="B219" s="37">
        <f>_xlfn.ISOWEEKNUM(Tableau1[[#This Row],[Date]])</f>
        <v>44</v>
      </c>
      <c r="C219" s="14">
        <f>debut+ROW()-ROW(Tableau1[[#Headers],[Date]])-1</f>
        <v>44866</v>
      </c>
      <c r="D219" s="16">
        <f>MONTH(Tableau1[[#This Row],[Date]])</f>
        <v>11</v>
      </c>
      <c r="E219" s="16">
        <f>YEAR(Tableau1[[#This Row],[Date]])</f>
        <v>2022</v>
      </c>
      <c r="F219" s="32"/>
      <c r="G219" s="32"/>
      <c r="H219" s="32"/>
      <c r="I219" s="32"/>
      <c r="J219" s="3"/>
      <c r="K219" s="18">
        <f>MOD(Tableau1[[#This Row],[Fin
apm]]-Tableau1[[#This Row],[Début
apm]],1)+MOD(Tableau1[[#This Row],[Fin
matin]]-Tableau1[[#This Row],[Début
matin]],1)</f>
        <v>0</v>
      </c>
      <c r="L219" s="18">
        <f>IFERROR(VLOOKUP(Tableau1[[#This Row],[Abs.]],Tmotif[],3,0),0)</f>
        <v>0</v>
      </c>
      <c r="M219" s="18">
        <f ca="1">IF(WEEKDAY(Tableau1[[#This Row],[Date]],2)&lt;7,0,MAX(0,SUM(OFFSET(Tableau1[[#This Row],[Heures]],-6,,7))+SUM(OFFSET(Tableau1[[#This Row],[H_Abs]],-6,,7))-_HS))</f>
        <v>0</v>
      </c>
      <c r="N219" s="18" t="str">
        <f ca="1">IF(Tableau1[[#This Row],[HS]]&gt;0,IF(Tableau1[[#This Row],[HS]]*24&gt;8,8/24,Tableau1[[#This Row],[HS]]),"")</f>
        <v/>
      </c>
      <c r="O219" s="18" t="str">
        <f ca="1">IF(Tableau1[[#This Row],[HS]]*24&gt;8,Tableau1[[#This Row],[HS]]-Tableau1[[#This Row],[Dont
HS 30%]],"")</f>
        <v/>
      </c>
      <c r="P219" s="18" t="e">
        <f ca="1">Tableau1[[#This Row],[Dont
HS 30%]]*1.3</f>
        <v>#VALUE!</v>
      </c>
      <c r="Q219" s="18" t="e">
        <f ca="1">Tableau1[[#This Row],[Dont 
HS 50%]]*1.5</f>
        <v>#VALUE!</v>
      </c>
    </row>
    <row r="220" spans="2:17" hidden="1" x14ac:dyDescent="0.25">
      <c r="B220" s="37">
        <f>_xlfn.ISOWEEKNUM(Tableau1[[#This Row],[Date]])</f>
        <v>44</v>
      </c>
      <c r="C220" s="14">
        <f>debut+ROW()-ROW(Tableau1[[#Headers],[Date]])-1</f>
        <v>44867</v>
      </c>
      <c r="D220" s="16">
        <f>MONTH(Tableau1[[#This Row],[Date]])</f>
        <v>11</v>
      </c>
      <c r="E220" s="16">
        <f>YEAR(Tableau1[[#This Row],[Date]])</f>
        <v>2022</v>
      </c>
      <c r="F220" s="32"/>
      <c r="G220" s="32"/>
      <c r="H220" s="32"/>
      <c r="I220" s="32"/>
      <c r="J220" s="3"/>
      <c r="K220" s="18">
        <f>MOD(Tableau1[[#This Row],[Fin
apm]]-Tableau1[[#This Row],[Début
apm]],1)+MOD(Tableau1[[#This Row],[Fin
matin]]-Tableau1[[#This Row],[Début
matin]],1)</f>
        <v>0</v>
      </c>
      <c r="L220" s="18">
        <f>IFERROR(VLOOKUP(Tableau1[[#This Row],[Abs.]],Tmotif[],3,0),0)</f>
        <v>0</v>
      </c>
      <c r="M220" s="18">
        <f ca="1">IF(WEEKDAY(Tableau1[[#This Row],[Date]],2)&lt;7,0,MAX(0,SUM(OFFSET(Tableau1[[#This Row],[Heures]],-6,,7))+SUM(OFFSET(Tableau1[[#This Row],[H_Abs]],-6,,7))-_HS))</f>
        <v>0</v>
      </c>
      <c r="N220" s="18" t="str">
        <f ca="1">IF(Tableau1[[#This Row],[HS]]&gt;0,IF(Tableau1[[#This Row],[HS]]*24&gt;8,8/24,Tableau1[[#This Row],[HS]]),"")</f>
        <v/>
      </c>
      <c r="O220" s="18" t="str">
        <f ca="1">IF(Tableau1[[#This Row],[HS]]*24&gt;8,Tableau1[[#This Row],[HS]]-Tableau1[[#This Row],[Dont
HS 30%]],"")</f>
        <v/>
      </c>
      <c r="P220" s="18" t="e">
        <f ca="1">Tableau1[[#This Row],[Dont
HS 30%]]*1.3</f>
        <v>#VALUE!</v>
      </c>
      <c r="Q220" s="18" t="e">
        <f ca="1">Tableau1[[#This Row],[Dont 
HS 50%]]*1.5</f>
        <v>#VALUE!</v>
      </c>
    </row>
    <row r="221" spans="2:17" hidden="1" x14ac:dyDescent="0.25">
      <c r="B221" s="37">
        <f>_xlfn.ISOWEEKNUM(Tableau1[[#This Row],[Date]])</f>
        <v>44</v>
      </c>
      <c r="C221" s="14">
        <f>debut+ROW()-ROW(Tableau1[[#Headers],[Date]])-1</f>
        <v>44868</v>
      </c>
      <c r="D221" s="16">
        <f>MONTH(Tableau1[[#This Row],[Date]])</f>
        <v>11</v>
      </c>
      <c r="E221" s="16">
        <f>YEAR(Tableau1[[#This Row],[Date]])</f>
        <v>2022</v>
      </c>
      <c r="F221" s="32"/>
      <c r="G221" s="32"/>
      <c r="H221" s="32"/>
      <c r="I221" s="32"/>
      <c r="J221" s="3"/>
      <c r="K221" s="18">
        <f>MOD(Tableau1[[#This Row],[Fin
apm]]-Tableau1[[#This Row],[Début
apm]],1)+MOD(Tableau1[[#This Row],[Fin
matin]]-Tableau1[[#This Row],[Début
matin]],1)</f>
        <v>0</v>
      </c>
      <c r="L221" s="18">
        <f>IFERROR(VLOOKUP(Tableau1[[#This Row],[Abs.]],Tmotif[],3,0),0)</f>
        <v>0</v>
      </c>
      <c r="M221" s="18">
        <f ca="1">IF(WEEKDAY(Tableau1[[#This Row],[Date]],2)&lt;7,0,MAX(0,SUM(OFFSET(Tableau1[[#This Row],[Heures]],-6,,7))+SUM(OFFSET(Tableau1[[#This Row],[H_Abs]],-6,,7))-_HS))</f>
        <v>0</v>
      </c>
      <c r="N221" s="18" t="str">
        <f ca="1">IF(Tableau1[[#This Row],[HS]]&gt;0,IF(Tableau1[[#This Row],[HS]]*24&gt;8,8/24,Tableau1[[#This Row],[HS]]),"")</f>
        <v/>
      </c>
      <c r="O221" s="18" t="str">
        <f ca="1">IF(Tableau1[[#This Row],[HS]]*24&gt;8,Tableau1[[#This Row],[HS]]-Tableau1[[#This Row],[Dont
HS 30%]],"")</f>
        <v/>
      </c>
      <c r="P221" s="18" t="e">
        <f ca="1">Tableau1[[#This Row],[Dont
HS 30%]]*1.3</f>
        <v>#VALUE!</v>
      </c>
      <c r="Q221" s="18" t="e">
        <f ca="1">Tableau1[[#This Row],[Dont 
HS 50%]]*1.5</f>
        <v>#VALUE!</v>
      </c>
    </row>
    <row r="222" spans="2:17" hidden="1" x14ac:dyDescent="0.25">
      <c r="B222" s="37">
        <f>_xlfn.ISOWEEKNUM(Tableau1[[#This Row],[Date]])</f>
        <v>44</v>
      </c>
      <c r="C222" s="14">
        <f>debut+ROW()-ROW(Tableau1[[#Headers],[Date]])-1</f>
        <v>44869</v>
      </c>
      <c r="D222" s="16">
        <f>MONTH(Tableau1[[#This Row],[Date]])</f>
        <v>11</v>
      </c>
      <c r="E222" s="16">
        <f>YEAR(Tableau1[[#This Row],[Date]])</f>
        <v>2022</v>
      </c>
      <c r="F222" s="32"/>
      <c r="G222" s="32"/>
      <c r="H222" s="32"/>
      <c r="I222" s="32"/>
      <c r="J222" s="3"/>
      <c r="K222" s="18">
        <f>MOD(Tableau1[[#This Row],[Fin
apm]]-Tableau1[[#This Row],[Début
apm]],1)+MOD(Tableau1[[#This Row],[Fin
matin]]-Tableau1[[#This Row],[Début
matin]],1)</f>
        <v>0</v>
      </c>
      <c r="L222" s="18">
        <f>IFERROR(VLOOKUP(Tableau1[[#This Row],[Abs.]],Tmotif[],3,0),0)</f>
        <v>0</v>
      </c>
      <c r="M222" s="18">
        <f ca="1">IF(WEEKDAY(Tableau1[[#This Row],[Date]],2)&lt;7,0,MAX(0,SUM(OFFSET(Tableau1[[#This Row],[Heures]],-6,,7))+SUM(OFFSET(Tableau1[[#This Row],[H_Abs]],-6,,7))-_HS))</f>
        <v>0</v>
      </c>
      <c r="N222" s="18" t="str">
        <f ca="1">IF(Tableau1[[#This Row],[HS]]&gt;0,IF(Tableau1[[#This Row],[HS]]*24&gt;8,8/24,Tableau1[[#This Row],[HS]]),"")</f>
        <v/>
      </c>
      <c r="O222" s="18" t="str">
        <f ca="1">IF(Tableau1[[#This Row],[HS]]*24&gt;8,Tableau1[[#This Row],[HS]]-Tableau1[[#This Row],[Dont
HS 30%]],"")</f>
        <v/>
      </c>
      <c r="P222" s="18" t="e">
        <f ca="1">Tableau1[[#This Row],[Dont
HS 30%]]*1.3</f>
        <v>#VALUE!</v>
      </c>
      <c r="Q222" s="18" t="e">
        <f ca="1">Tableau1[[#This Row],[Dont 
HS 50%]]*1.5</f>
        <v>#VALUE!</v>
      </c>
    </row>
    <row r="223" spans="2:17" hidden="1" x14ac:dyDescent="0.25">
      <c r="B223" s="37">
        <f>_xlfn.ISOWEEKNUM(Tableau1[[#This Row],[Date]])</f>
        <v>44</v>
      </c>
      <c r="C223" s="14">
        <f>debut+ROW()-ROW(Tableau1[[#Headers],[Date]])-1</f>
        <v>44870</v>
      </c>
      <c r="D223" s="16">
        <f>MONTH(Tableau1[[#This Row],[Date]])</f>
        <v>11</v>
      </c>
      <c r="E223" s="16">
        <f>YEAR(Tableau1[[#This Row],[Date]])</f>
        <v>2022</v>
      </c>
      <c r="F223" s="32"/>
      <c r="G223" s="32"/>
      <c r="H223" s="32"/>
      <c r="I223" s="32"/>
      <c r="J223" s="3"/>
      <c r="K223" s="18">
        <f>MOD(Tableau1[[#This Row],[Fin
apm]]-Tableau1[[#This Row],[Début
apm]],1)+MOD(Tableau1[[#This Row],[Fin
matin]]-Tableau1[[#This Row],[Début
matin]],1)</f>
        <v>0</v>
      </c>
      <c r="L223" s="18">
        <f>IFERROR(VLOOKUP(Tableau1[[#This Row],[Abs.]],Tmotif[],3,0),0)</f>
        <v>0</v>
      </c>
      <c r="M223" s="18">
        <f ca="1">IF(WEEKDAY(Tableau1[[#This Row],[Date]],2)&lt;7,0,MAX(0,SUM(OFFSET(Tableau1[[#This Row],[Heures]],-6,,7))+SUM(OFFSET(Tableau1[[#This Row],[H_Abs]],-6,,7))-_HS))</f>
        <v>0</v>
      </c>
      <c r="N223" s="18" t="str">
        <f ca="1">IF(Tableau1[[#This Row],[HS]]&gt;0,IF(Tableau1[[#This Row],[HS]]*24&gt;8,8/24,Tableau1[[#This Row],[HS]]),"")</f>
        <v/>
      </c>
      <c r="O223" s="18" t="str">
        <f ca="1">IF(Tableau1[[#This Row],[HS]]*24&gt;8,Tableau1[[#This Row],[HS]]-Tableau1[[#This Row],[Dont
HS 30%]],"")</f>
        <v/>
      </c>
      <c r="P223" s="18" t="e">
        <f ca="1">Tableau1[[#This Row],[Dont
HS 30%]]*1.3</f>
        <v>#VALUE!</v>
      </c>
      <c r="Q223" s="18" t="e">
        <f ca="1">Tableau1[[#This Row],[Dont 
HS 50%]]*1.5</f>
        <v>#VALUE!</v>
      </c>
    </row>
    <row r="224" spans="2:17" hidden="1" x14ac:dyDescent="0.25">
      <c r="B224" s="37">
        <f>_xlfn.ISOWEEKNUM(Tableau1[[#This Row],[Date]])</f>
        <v>44</v>
      </c>
      <c r="C224" s="14">
        <f>debut+ROW()-ROW(Tableau1[[#Headers],[Date]])-1</f>
        <v>44871</v>
      </c>
      <c r="D224" s="16">
        <f>MONTH(Tableau1[[#This Row],[Date]])</f>
        <v>11</v>
      </c>
      <c r="E224" s="16">
        <f>YEAR(Tableau1[[#This Row],[Date]])</f>
        <v>2022</v>
      </c>
      <c r="F224" s="32"/>
      <c r="G224" s="32"/>
      <c r="H224" s="32"/>
      <c r="I224" s="32"/>
      <c r="J224" s="3"/>
      <c r="K224" s="18">
        <f>MOD(Tableau1[[#This Row],[Fin
apm]]-Tableau1[[#This Row],[Début
apm]],1)+MOD(Tableau1[[#This Row],[Fin
matin]]-Tableau1[[#This Row],[Début
matin]],1)</f>
        <v>0</v>
      </c>
      <c r="L224" s="18">
        <f>IFERROR(VLOOKUP(Tableau1[[#This Row],[Abs.]],Tmotif[],3,0),0)</f>
        <v>0</v>
      </c>
      <c r="M224" s="18">
        <f ca="1">IF(WEEKDAY(Tableau1[[#This Row],[Date]],2)&lt;7,0,MAX(0,SUM(OFFSET(Tableau1[[#This Row],[Heures]],-6,,7))+SUM(OFFSET(Tableau1[[#This Row],[H_Abs]],-6,,7))-_HS))</f>
        <v>0</v>
      </c>
      <c r="N224" s="18" t="str">
        <f ca="1">IF(Tableau1[[#This Row],[HS]]&gt;0,IF(Tableau1[[#This Row],[HS]]*24&gt;8,8/24,Tableau1[[#This Row],[HS]]),"")</f>
        <v/>
      </c>
      <c r="O224" s="18" t="str">
        <f ca="1">IF(Tableau1[[#This Row],[HS]]*24&gt;8,Tableau1[[#This Row],[HS]]-Tableau1[[#This Row],[Dont
HS 30%]],"")</f>
        <v/>
      </c>
      <c r="P224" s="18" t="e">
        <f ca="1">Tableau1[[#This Row],[Dont
HS 30%]]*1.3</f>
        <v>#VALUE!</v>
      </c>
      <c r="Q224" s="18" t="e">
        <f ca="1">Tableau1[[#This Row],[Dont 
HS 50%]]*1.5</f>
        <v>#VALUE!</v>
      </c>
    </row>
    <row r="225" spans="2:17" hidden="1" x14ac:dyDescent="0.25">
      <c r="B225" s="37">
        <f>_xlfn.ISOWEEKNUM(Tableau1[[#This Row],[Date]])</f>
        <v>45</v>
      </c>
      <c r="C225" s="14">
        <f>debut+ROW()-ROW(Tableau1[[#Headers],[Date]])-1</f>
        <v>44872</v>
      </c>
      <c r="D225" s="16">
        <f>MONTH(Tableau1[[#This Row],[Date]])</f>
        <v>11</v>
      </c>
      <c r="E225" s="16">
        <f>YEAR(Tableau1[[#This Row],[Date]])</f>
        <v>2022</v>
      </c>
      <c r="F225" s="32"/>
      <c r="G225" s="32"/>
      <c r="H225" s="32"/>
      <c r="I225" s="32"/>
      <c r="J225" s="3"/>
      <c r="K225" s="18">
        <f>MOD(Tableau1[[#This Row],[Fin
apm]]-Tableau1[[#This Row],[Début
apm]],1)+MOD(Tableau1[[#This Row],[Fin
matin]]-Tableau1[[#This Row],[Début
matin]],1)</f>
        <v>0</v>
      </c>
      <c r="L225" s="18">
        <f>IFERROR(VLOOKUP(Tableau1[[#This Row],[Abs.]],Tmotif[],3,0),0)</f>
        <v>0</v>
      </c>
      <c r="M225" s="18">
        <f ca="1">IF(WEEKDAY(Tableau1[[#This Row],[Date]],2)&lt;7,0,MAX(0,SUM(OFFSET(Tableau1[[#This Row],[Heures]],-6,,7))+SUM(OFFSET(Tableau1[[#This Row],[H_Abs]],-6,,7))-_HS))</f>
        <v>0</v>
      </c>
      <c r="N225" s="18" t="str">
        <f ca="1">IF(Tableau1[[#This Row],[HS]]&gt;0,IF(Tableau1[[#This Row],[HS]]*24&gt;8,8/24,Tableau1[[#This Row],[HS]]),"")</f>
        <v/>
      </c>
      <c r="O225" s="18" t="str">
        <f ca="1">IF(Tableau1[[#This Row],[HS]]*24&gt;8,Tableau1[[#This Row],[HS]]-Tableau1[[#This Row],[Dont
HS 30%]],"")</f>
        <v/>
      </c>
      <c r="P225" s="18" t="e">
        <f ca="1">Tableau1[[#This Row],[Dont
HS 30%]]*1.3</f>
        <v>#VALUE!</v>
      </c>
      <c r="Q225" s="18" t="e">
        <f ca="1">Tableau1[[#This Row],[Dont 
HS 50%]]*1.5</f>
        <v>#VALUE!</v>
      </c>
    </row>
    <row r="226" spans="2:17" hidden="1" x14ac:dyDescent="0.25">
      <c r="B226" s="37">
        <f>_xlfn.ISOWEEKNUM(Tableau1[[#This Row],[Date]])</f>
        <v>45</v>
      </c>
      <c r="C226" s="14">
        <f>debut+ROW()-ROW(Tableau1[[#Headers],[Date]])-1</f>
        <v>44873</v>
      </c>
      <c r="D226" s="16">
        <f>MONTH(Tableau1[[#This Row],[Date]])</f>
        <v>11</v>
      </c>
      <c r="E226" s="16">
        <f>YEAR(Tableau1[[#This Row],[Date]])</f>
        <v>2022</v>
      </c>
      <c r="F226" s="32"/>
      <c r="G226" s="32"/>
      <c r="H226" s="32"/>
      <c r="I226" s="32"/>
      <c r="J226" s="3"/>
      <c r="K226" s="18">
        <f>MOD(Tableau1[[#This Row],[Fin
apm]]-Tableau1[[#This Row],[Début
apm]],1)+MOD(Tableau1[[#This Row],[Fin
matin]]-Tableau1[[#This Row],[Début
matin]],1)</f>
        <v>0</v>
      </c>
      <c r="L226" s="18">
        <f>IFERROR(VLOOKUP(Tableau1[[#This Row],[Abs.]],Tmotif[],3,0),0)</f>
        <v>0</v>
      </c>
      <c r="M226" s="18">
        <f ca="1">IF(WEEKDAY(Tableau1[[#This Row],[Date]],2)&lt;7,0,MAX(0,SUM(OFFSET(Tableau1[[#This Row],[Heures]],-6,,7))+SUM(OFFSET(Tableau1[[#This Row],[H_Abs]],-6,,7))-_HS))</f>
        <v>0</v>
      </c>
      <c r="N226" s="18" t="str">
        <f ca="1">IF(Tableau1[[#This Row],[HS]]&gt;0,IF(Tableau1[[#This Row],[HS]]*24&gt;8,8/24,Tableau1[[#This Row],[HS]]),"")</f>
        <v/>
      </c>
      <c r="O226" s="18" t="str">
        <f ca="1">IF(Tableau1[[#This Row],[HS]]*24&gt;8,Tableau1[[#This Row],[HS]]-Tableau1[[#This Row],[Dont
HS 30%]],"")</f>
        <v/>
      </c>
      <c r="P226" s="18" t="e">
        <f ca="1">Tableau1[[#This Row],[Dont
HS 30%]]*1.3</f>
        <v>#VALUE!</v>
      </c>
      <c r="Q226" s="18" t="e">
        <f ca="1">Tableau1[[#This Row],[Dont 
HS 50%]]*1.5</f>
        <v>#VALUE!</v>
      </c>
    </row>
    <row r="227" spans="2:17" hidden="1" x14ac:dyDescent="0.25">
      <c r="B227" s="37">
        <f>_xlfn.ISOWEEKNUM(Tableau1[[#This Row],[Date]])</f>
        <v>45</v>
      </c>
      <c r="C227" s="14">
        <f>debut+ROW()-ROW(Tableau1[[#Headers],[Date]])-1</f>
        <v>44874</v>
      </c>
      <c r="D227" s="16">
        <f>MONTH(Tableau1[[#This Row],[Date]])</f>
        <v>11</v>
      </c>
      <c r="E227" s="16">
        <f>YEAR(Tableau1[[#This Row],[Date]])</f>
        <v>2022</v>
      </c>
      <c r="F227" s="32"/>
      <c r="G227" s="32"/>
      <c r="H227" s="32"/>
      <c r="I227" s="32"/>
      <c r="J227" s="3"/>
      <c r="K227" s="18">
        <f>MOD(Tableau1[[#This Row],[Fin
apm]]-Tableau1[[#This Row],[Début
apm]],1)+MOD(Tableau1[[#This Row],[Fin
matin]]-Tableau1[[#This Row],[Début
matin]],1)</f>
        <v>0</v>
      </c>
      <c r="L227" s="18">
        <f>IFERROR(VLOOKUP(Tableau1[[#This Row],[Abs.]],Tmotif[],3,0),0)</f>
        <v>0</v>
      </c>
      <c r="M227" s="18">
        <f ca="1">IF(WEEKDAY(Tableau1[[#This Row],[Date]],2)&lt;7,0,MAX(0,SUM(OFFSET(Tableau1[[#This Row],[Heures]],-6,,7))+SUM(OFFSET(Tableau1[[#This Row],[H_Abs]],-6,,7))-_HS))</f>
        <v>0</v>
      </c>
      <c r="N227" s="18" t="str">
        <f ca="1">IF(Tableau1[[#This Row],[HS]]&gt;0,IF(Tableau1[[#This Row],[HS]]*24&gt;8,8/24,Tableau1[[#This Row],[HS]]),"")</f>
        <v/>
      </c>
      <c r="O227" s="18" t="str">
        <f ca="1">IF(Tableau1[[#This Row],[HS]]*24&gt;8,Tableau1[[#This Row],[HS]]-Tableau1[[#This Row],[Dont
HS 30%]],"")</f>
        <v/>
      </c>
      <c r="P227" s="18" t="e">
        <f ca="1">Tableau1[[#This Row],[Dont
HS 30%]]*1.3</f>
        <v>#VALUE!</v>
      </c>
      <c r="Q227" s="18" t="e">
        <f ca="1">Tableau1[[#This Row],[Dont 
HS 50%]]*1.5</f>
        <v>#VALUE!</v>
      </c>
    </row>
    <row r="228" spans="2:17" hidden="1" x14ac:dyDescent="0.25">
      <c r="B228" s="37">
        <f>_xlfn.ISOWEEKNUM(Tableau1[[#This Row],[Date]])</f>
        <v>45</v>
      </c>
      <c r="C228" s="14">
        <f>debut+ROW()-ROW(Tableau1[[#Headers],[Date]])-1</f>
        <v>44875</v>
      </c>
      <c r="D228" s="16">
        <f>MONTH(Tableau1[[#This Row],[Date]])</f>
        <v>11</v>
      </c>
      <c r="E228" s="16">
        <f>YEAR(Tableau1[[#This Row],[Date]])</f>
        <v>2022</v>
      </c>
      <c r="F228" s="32"/>
      <c r="G228" s="32"/>
      <c r="H228" s="32"/>
      <c r="I228" s="32"/>
      <c r="J228" s="3"/>
      <c r="K228" s="18">
        <f>MOD(Tableau1[[#This Row],[Fin
apm]]-Tableau1[[#This Row],[Début
apm]],1)+MOD(Tableau1[[#This Row],[Fin
matin]]-Tableau1[[#This Row],[Début
matin]],1)</f>
        <v>0</v>
      </c>
      <c r="L228" s="18">
        <f>IFERROR(VLOOKUP(Tableau1[[#This Row],[Abs.]],Tmotif[],3,0),0)</f>
        <v>0</v>
      </c>
      <c r="M228" s="18">
        <f ca="1">IF(WEEKDAY(Tableau1[[#This Row],[Date]],2)&lt;7,0,MAX(0,SUM(OFFSET(Tableau1[[#This Row],[Heures]],-6,,7))+SUM(OFFSET(Tableau1[[#This Row],[H_Abs]],-6,,7))-_HS))</f>
        <v>0</v>
      </c>
      <c r="N228" s="18" t="str">
        <f ca="1">IF(Tableau1[[#This Row],[HS]]&gt;0,IF(Tableau1[[#This Row],[HS]]*24&gt;8,8/24,Tableau1[[#This Row],[HS]]),"")</f>
        <v/>
      </c>
      <c r="O228" s="18" t="str">
        <f ca="1">IF(Tableau1[[#This Row],[HS]]*24&gt;8,Tableau1[[#This Row],[HS]]-Tableau1[[#This Row],[Dont
HS 30%]],"")</f>
        <v/>
      </c>
      <c r="P228" s="18" t="e">
        <f ca="1">Tableau1[[#This Row],[Dont
HS 30%]]*1.3</f>
        <v>#VALUE!</v>
      </c>
      <c r="Q228" s="18" t="e">
        <f ca="1">Tableau1[[#This Row],[Dont 
HS 50%]]*1.5</f>
        <v>#VALUE!</v>
      </c>
    </row>
    <row r="229" spans="2:17" hidden="1" x14ac:dyDescent="0.25">
      <c r="B229" s="37">
        <f>_xlfn.ISOWEEKNUM(Tableau1[[#This Row],[Date]])</f>
        <v>45</v>
      </c>
      <c r="C229" s="14">
        <f>debut+ROW()-ROW(Tableau1[[#Headers],[Date]])-1</f>
        <v>44876</v>
      </c>
      <c r="D229" s="16">
        <f>MONTH(Tableau1[[#This Row],[Date]])</f>
        <v>11</v>
      </c>
      <c r="E229" s="16">
        <f>YEAR(Tableau1[[#This Row],[Date]])</f>
        <v>2022</v>
      </c>
      <c r="F229" s="32"/>
      <c r="G229" s="32"/>
      <c r="H229" s="32"/>
      <c r="I229" s="32"/>
      <c r="J229" s="3"/>
      <c r="K229" s="18">
        <f>MOD(Tableau1[[#This Row],[Fin
apm]]-Tableau1[[#This Row],[Début
apm]],1)+MOD(Tableau1[[#This Row],[Fin
matin]]-Tableau1[[#This Row],[Début
matin]],1)</f>
        <v>0</v>
      </c>
      <c r="L229" s="18">
        <f>IFERROR(VLOOKUP(Tableau1[[#This Row],[Abs.]],Tmotif[],3,0),0)</f>
        <v>0</v>
      </c>
      <c r="M229" s="18">
        <f ca="1">IF(WEEKDAY(Tableau1[[#This Row],[Date]],2)&lt;7,0,MAX(0,SUM(OFFSET(Tableau1[[#This Row],[Heures]],-6,,7))+SUM(OFFSET(Tableau1[[#This Row],[H_Abs]],-6,,7))-_HS))</f>
        <v>0</v>
      </c>
      <c r="N229" s="18" t="str">
        <f ca="1">IF(Tableau1[[#This Row],[HS]]&gt;0,IF(Tableau1[[#This Row],[HS]]*24&gt;8,8/24,Tableau1[[#This Row],[HS]]),"")</f>
        <v/>
      </c>
      <c r="O229" s="18" t="str">
        <f ca="1">IF(Tableau1[[#This Row],[HS]]*24&gt;8,Tableau1[[#This Row],[HS]]-Tableau1[[#This Row],[Dont
HS 30%]],"")</f>
        <v/>
      </c>
      <c r="P229" s="18" t="e">
        <f ca="1">Tableau1[[#This Row],[Dont
HS 30%]]*1.3</f>
        <v>#VALUE!</v>
      </c>
      <c r="Q229" s="18" t="e">
        <f ca="1">Tableau1[[#This Row],[Dont 
HS 50%]]*1.5</f>
        <v>#VALUE!</v>
      </c>
    </row>
    <row r="230" spans="2:17" hidden="1" x14ac:dyDescent="0.25">
      <c r="B230" s="37">
        <f>_xlfn.ISOWEEKNUM(Tableau1[[#This Row],[Date]])</f>
        <v>45</v>
      </c>
      <c r="C230" s="14">
        <f>debut+ROW()-ROW(Tableau1[[#Headers],[Date]])-1</f>
        <v>44877</v>
      </c>
      <c r="D230" s="16">
        <f>MONTH(Tableau1[[#This Row],[Date]])</f>
        <v>11</v>
      </c>
      <c r="E230" s="16">
        <f>YEAR(Tableau1[[#This Row],[Date]])</f>
        <v>2022</v>
      </c>
      <c r="F230" s="32"/>
      <c r="G230" s="32"/>
      <c r="H230" s="32"/>
      <c r="I230" s="32"/>
      <c r="J230" s="3"/>
      <c r="K230" s="18">
        <f>MOD(Tableau1[[#This Row],[Fin
apm]]-Tableau1[[#This Row],[Début
apm]],1)+MOD(Tableau1[[#This Row],[Fin
matin]]-Tableau1[[#This Row],[Début
matin]],1)</f>
        <v>0</v>
      </c>
      <c r="L230" s="18">
        <f>IFERROR(VLOOKUP(Tableau1[[#This Row],[Abs.]],Tmotif[],3,0),0)</f>
        <v>0</v>
      </c>
      <c r="M230" s="18">
        <f ca="1">IF(WEEKDAY(Tableau1[[#This Row],[Date]],2)&lt;7,0,MAX(0,SUM(OFFSET(Tableau1[[#This Row],[Heures]],-6,,7))+SUM(OFFSET(Tableau1[[#This Row],[H_Abs]],-6,,7))-_HS))</f>
        <v>0</v>
      </c>
      <c r="N230" s="18" t="str">
        <f ca="1">IF(Tableau1[[#This Row],[HS]]&gt;0,IF(Tableau1[[#This Row],[HS]]*24&gt;8,8/24,Tableau1[[#This Row],[HS]]),"")</f>
        <v/>
      </c>
      <c r="O230" s="18" t="str">
        <f ca="1">IF(Tableau1[[#This Row],[HS]]*24&gt;8,Tableau1[[#This Row],[HS]]-Tableau1[[#This Row],[Dont
HS 30%]],"")</f>
        <v/>
      </c>
      <c r="P230" s="18" t="e">
        <f ca="1">Tableau1[[#This Row],[Dont
HS 30%]]*1.3</f>
        <v>#VALUE!</v>
      </c>
      <c r="Q230" s="18" t="e">
        <f ca="1">Tableau1[[#This Row],[Dont 
HS 50%]]*1.5</f>
        <v>#VALUE!</v>
      </c>
    </row>
    <row r="231" spans="2:17" hidden="1" x14ac:dyDescent="0.25">
      <c r="B231" s="37">
        <f>_xlfn.ISOWEEKNUM(Tableau1[[#This Row],[Date]])</f>
        <v>45</v>
      </c>
      <c r="C231" s="14">
        <f>debut+ROW()-ROW(Tableau1[[#Headers],[Date]])-1</f>
        <v>44878</v>
      </c>
      <c r="D231" s="16">
        <f>MONTH(Tableau1[[#This Row],[Date]])</f>
        <v>11</v>
      </c>
      <c r="E231" s="16">
        <f>YEAR(Tableau1[[#This Row],[Date]])</f>
        <v>2022</v>
      </c>
      <c r="F231" s="32"/>
      <c r="G231" s="32"/>
      <c r="H231" s="32"/>
      <c r="I231" s="32"/>
      <c r="J231" s="3"/>
      <c r="K231" s="18">
        <f>MOD(Tableau1[[#This Row],[Fin
apm]]-Tableau1[[#This Row],[Début
apm]],1)+MOD(Tableau1[[#This Row],[Fin
matin]]-Tableau1[[#This Row],[Début
matin]],1)</f>
        <v>0</v>
      </c>
      <c r="L231" s="18">
        <f>IFERROR(VLOOKUP(Tableau1[[#This Row],[Abs.]],Tmotif[],3,0),0)</f>
        <v>0</v>
      </c>
      <c r="M231" s="18">
        <f ca="1">IF(WEEKDAY(Tableau1[[#This Row],[Date]],2)&lt;7,0,MAX(0,SUM(OFFSET(Tableau1[[#This Row],[Heures]],-6,,7))+SUM(OFFSET(Tableau1[[#This Row],[H_Abs]],-6,,7))-_HS))</f>
        <v>0</v>
      </c>
      <c r="N231" s="18" t="str">
        <f ca="1">IF(Tableau1[[#This Row],[HS]]&gt;0,IF(Tableau1[[#This Row],[HS]]*24&gt;8,8/24,Tableau1[[#This Row],[HS]]),"")</f>
        <v/>
      </c>
      <c r="O231" s="18" t="str">
        <f ca="1">IF(Tableau1[[#This Row],[HS]]*24&gt;8,Tableau1[[#This Row],[HS]]-Tableau1[[#This Row],[Dont
HS 30%]],"")</f>
        <v/>
      </c>
      <c r="P231" s="18" t="e">
        <f ca="1">Tableau1[[#This Row],[Dont
HS 30%]]*1.3</f>
        <v>#VALUE!</v>
      </c>
      <c r="Q231" s="18" t="e">
        <f ca="1">Tableau1[[#This Row],[Dont 
HS 50%]]*1.5</f>
        <v>#VALUE!</v>
      </c>
    </row>
    <row r="232" spans="2:17" hidden="1" x14ac:dyDescent="0.25">
      <c r="B232" s="37">
        <f>_xlfn.ISOWEEKNUM(Tableau1[[#This Row],[Date]])</f>
        <v>46</v>
      </c>
      <c r="C232" s="14">
        <f>debut+ROW()-ROW(Tableau1[[#Headers],[Date]])-1</f>
        <v>44879</v>
      </c>
      <c r="D232" s="16">
        <f>MONTH(Tableau1[[#This Row],[Date]])</f>
        <v>11</v>
      </c>
      <c r="E232" s="16">
        <f>YEAR(Tableau1[[#This Row],[Date]])</f>
        <v>2022</v>
      </c>
      <c r="F232" s="32"/>
      <c r="G232" s="32"/>
      <c r="H232" s="32"/>
      <c r="I232" s="32"/>
      <c r="J232" s="3"/>
      <c r="K232" s="18">
        <f>MOD(Tableau1[[#This Row],[Fin
apm]]-Tableau1[[#This Row],[Début
apm]],1)+MOD(Tableau1[[#This Row],[Fin
matin]]-Tableau1[[#This Row],[Début
matin]],1)</f>
        <v>0</v>
      </c>
      <c r="L232" s="18">
        <f>IFERROR(VLOOKUP(Tableau1[[#This Row],[Abs.]],Tmotif[],3,0),0)</f>
        <v>0</v>
      </c>
      <c r="M232" s="18">
        <f ca="1">IF(WEEKDAY(Tableau1[[#This Row],[Date]],2)&lt;7,0,MAX(0,SUM(OFFSET(Tableau1[[#This Row],[Heures]],-6,,7))+SUM(OFFSET(Tableau1[[#This Row],[H_Abs]],-6,,7))-_HS))</f>
        <v>0</v>
      </c>
      <c r="N232" s="18" t="str">
        <f ca="1">IF(Tableau1[[#This Row],[HS]]&gt;0,IF(Tableau1[[#This Row],[HS]]*24&gt;8,8/24,Tableau1[[#This Row],[HS]]),"")</f>
        <v/>
      </c>
      <c r="O232" s="18" t="str">
        <f ca="1">IF(Tableau1[[#This Row],[HS]]*24&gt;8,Tableau1[[#This Row],[HS]]-Tableau1[[#This Row],[Dont
HS 30%]],"")</f>
        <v/>
      </c>
      <c r="P232" s="18" t="e">
        <f ca="1">Tableau1[[#This Row],[Dont
HS 30%]]*1.3</f>
        <v>#VALUE!</v>
      </c>
      <c r="Q232" s="18" t="e">
        <f ca="1">Tableau1[[#This Row],[Dont 
HS 50%]]*1.5</f>
        <v>#VALUE!</v>
      </c>
    </row>
    <row r="233" spans="2:17" hidden="1" x14ac:dyDescent="0.25">
      <c r="B233" s="37">
        <f>_xlfn.ISOWEEKNUM(Tableau1[[#This Row],[Date]])</f>
        <v>46</v>
      </c>
      <c r="C233" s="14">
        <f>debut+ROW()-ROW(Tableau1[[#Headers],[Date]])-1</f>
        <v>44880</v>
      </c>
      <c r="D233" s="16">
        <f>MONTH(Tableau1[[#This Row],[Date]])</f>
        <v>11</v>
      </c>
      <c r="E233" s="16">
        <f>YEAR(Tableau1[[#This Row],[Date]])</f>
        <v>2022</v>
      </c>
      <c r="F233" s="32"/>
      <c r="G233" s="32"/>
      <c r="H233" s="32"/>
      <c r="I233" s="32"/>
      <c r="J233" s="3"/>
      <c r="K233" s="18">
        <f>MOD(Tableau1[[#This Row],[Fin
apm]]-Tableau1[[#This Row],[Début
apm]],1)+MOD(Tableau1[[#This Row],[Fin
matin]]-Tableau1[[#This Row],[Début
matin]],1)</f>
        <v>0</v>
      </c>
      <c r="L233" s="18">
        <f>IFERROR(VLOOKUP(Tableau1[[#This Row],[Abs.]],Tmotif[],3,0),0)</f>
        <v>0</v>
      </c>
      <c r="M233" s="18">
        <f ca="1">IF(WEEKDAY(Tableau1[[#This Row],[Date]],2)&lt;7,0,MAX(0,SUM(OFFSET(Tableau1[[#This Row],[Heures]],-6,,7))+SUM(OFFSET(Tableau1[[#This Row],[H_Abs]],-6,,7))-_HS))</f>
        <v>0</v>
      </c>
      <c r="N233" s="18" t="str">
        <f ca="1">IF(Tableau1[[#This Row],[HS]]&gt;0,IF(Tableau1[[#This Row],[HS]]*24&gt;8,8/24,Tableau1[[#This Row],[HS]]),"")</f>
        <v/>
      </c>
      <c r="O233" s="18" t="str">
        <f ca="1">IF(Tableau1[[#This Row],[HS]]*24&gt;8,Tableau1[[#This Row],[HS]]-Tableau1[[#This Row],[Dont
HS 30%]],"")</f>
        <v/>
      </c>
      <c r="P233" s="18" t="e">
        <f ca="1">Tableau1[[#This Row],[Dont
HS 30%]]*1.3</f>
        <v>#VALUE!</v>
      </c>
      <c r="Q233" s="18" t="e">
        <f ca="1">Tableau1[[#This Row],[Dont 
HS 50%]]*1.5</f>
        <v>#VALUE!</v>
      </c>
    </row>
    <row r="234" spans="2:17" hidden="1" x14ac:dyDescent="0.25">
      <c r="B234" s="37">
        <f>_xlfn.ISOWEEKNUM(Tableau1[[#This Row],[Date]])</f>
        <v>46</v>
      </c>
      <c r="C234" s="14">
        <f>debut+ROW()-ROW(Tableau1[[#Headers],[Date]])-1</f>
        <v>44881</v>
      </c>
      <c r="D234" s="16">
        <f>MONTH(Tableau1[[#This Row],[Date]])</f>
        <v>11</v>
      </c>
      <c r="E234" s="16">
        <f>YEAR(Tableau1[[#This Row],[Date]])</f>
        <v>2022</v>
      </c>
      <c r="F234" s="32"/>
      <c r="G234" s="32"/>
      <c r="H234" s="32"/>
      <c r="I234" s="32"/>
      <c r="J234" s="3"/>
      <c r="K234" s="18">
        <f>MOD(Tableau1[[#This Row],[Fin
apm]]-Tableau1[[#This Row],[Début
apm]],1)+MOD(Tableau1[[#This Row],[Fin
matin]]-Tableau1[[#This Row],[Début
matin]],1)</f>
        <v>0</v>
      </c>
      <c r="L234" s="18">
        <f>IFERROR(VLOOKUP(Tableau1[[#This Row],[Abs.]],Tmotif[],3,0),0)</f>
        <v>0</v>
      </c>
      <c r="M234" s="18">
        <f ca="1">IF(WEEKDAY(Tableau1[[#This Row],[Date]],2)&lt;7,0,MAX(0,SUM(OFFSET(Tableau1[[#This Row],[Heures]],-6,,7))+SUM(OFFSET(Tableau1[[#This Row],[H_Abs]],-6,,7))-_HS))</f>
        <v>0</v>
      </c>
      <c r="N234" s="18" t="str">
        <f ca="1">IF(Tableau1[[#This Row],[HS]]&gt;0,IF(Tableau1[[#This Row],[HS]]*24&gt;8,8/24,Tableau1[[#This Row],[HS]]),"")</f>
        <v/>
      </c>
      <c r="O234" s="18" t="str">
        <f ca="1">IF(Tableau1[[#This Row],[HS]]*24&gt;8,Tableau1[[#This Row],[HS]]-Tableau1[[#This Row],[Dont
HS 30%]],"")</f>
        <v/>
      </c>
      <c r="P234" s="18" t="e">
        <f ca="1">Tableau1[[#This Row],[Dont
HS 30%]]*1.3</f>
        <v>#VALUE!</v>
      </c>
      <c r="Q234" s="18" t="e">
        <f ca="1">Tableau1[[#This Row],[Dont 
HS 50%]]*1.5</f>
        <v>#VALUE!</v>
      </c>
    </row>
    <row r="235" spans="2:17" hidden="1" x14ac:dyDescent="0.25">
      <c r="B235" s="37">
        <f>_xlfn.ISOWEEKNUM(Tableau1[[#This Row],[Date]])</f>
        <v>46</v>
      </c>
      <c r="C235" s="14">
        <f>debut+ROW()-ROW(Tableau1[[#Headers],[Date]])-1</f>
        <v>44882</v>
      </c>
      <c r="D235" s="16">
        <f>MONTH(Tableau1[[#This Row],[Date]])</f>
        <v>11</v>
      </c>
      <c r="E235" s="16">
        <f>YEAR(Tableau1[[#This Row],[Date]])</f>
        <v>2022</v>
      </c>
      <c r="F235" s="32"/>
      <c r="G235" s="32"/>
      <c r="H235" s="32"/>
      <c r="I235" s="32"/>
      <c r="J235" s="3"/>
      <c r="K235" s="18">
        <f>MOD(Tableau1[[#This Row],[Fin
apm]]-Tableau1[[#This Row],[Début
apm]],1)+MOD(Tableau1[[#This Row],[Fin
matin]]-Tableau1[[#This Row],[Début
matin]],1)</f>
        <v>0</v>
      </c>
      <c r="L235" s="18">
        <f>IFERROR(VLOOKUP(Tableau1[[#This Row],[Abs.]],Tmotif[],3,0),0)</f>
        <v>0</v>
      </c>
      <c r="M235" s="18">
        <f ca="1">IF(WEEKDAY(Tableau1[[#This Row],[Date]],2)&lt;7,0,MAX(0,SUM(OFFSET(Tableau1[[#This Row],[Heures]],-6,,7))+SUM(OFFSET(Tableau1[[#This Row],[H_Abs]],-6,,7))-_HS))</f>
        <v>0</v>
      </c>
      <c r="N235" s="18" t="str">
        <f ca="1">IF(Tableau1[[#This Row],[HS]]&gt;0,IF(Tableau1[[#This Row],[HS]]*24&gt;8,8/24,Tableau1[[#This Row],[HS]]),"")</f>
        <v/>
      </c>
      <c r="O235" s="18" t="str">
        <f ca="1">IF(Tableau1[[#This Row],[HS]]*24&gt;8,Tableau1[[#This Row],[HS]]-Tableau1[[#This Row],[Dont
HS 30%]],"")</f>
        <v/>
      </c>
      <c r="P235" s="18" t="e">
        <f ca="1">Tableau1[[#This Row],[Dont
HS 30%]]*1.3</f>
        <v>#VALUE!</v>
      </c>
      <c r="Q235" s="18" t="e">
        <f ca="1">Tableau1[[#This Row],[Dont 
HS 50%]]*1.5</f>
        <v>#VALUE!</v>
      </c>
    </row>
    <row r="236" spans="2:17" hidden="1" x14ac:dyDescent="0.25">
      <c r="B236" s="37">
        <f>_xlfn.ISOWEEKNUM(Tableau1[[#This Row],[Date]])</f>
        <v>46</v>
      </c>
      <c r="C236" s="14">
        <f>debut+ROW()-ROW(Tableau1[[#Headers],[Date]])-1</f>
        <v>44883</v>
      </c>
      <c r="D236" s="16">
        <f>MONTH(Tableau1[[#This Row],[Date]])</f>
        <v>11</v>
      </c>
      <c r="E236" s="16">
        <f>YEAR(Tableau1[[#This Row],[Date]])</f>
        <v>2022</v>
      </c>
      <c r="F236" s="32"/>
      <c r="G236" s="32"/>
      <c r="H236" s="32"/>
      <c r="I236" s="32"/>
      <c r="J236" s="3"/>
      <c r="K236" s="18">
        <f>MOD(Tableau1[[#This Row],[Fin
apm]]-Tableau1[[#This Row],[Début
apm]],1)+MOD(Tableau1[[#This Row],[Fin
matin]]-Tableau1[[#This Row],[Début
matin]],1)</f>
        <v>0</v>
      </c>
      <c r="L236" s="18">
        <f>IFERROR(VLOOKUP(Tableau1[[#This Row],[Abs.]],Tmotif[],3,0),0)</f>
        <v>0</v>
      </c>
      <c r="M236" s="18">
        <f ca="1">IF(WEEKDAY(Tableau1[[#This Row],[Date]],2)&lt;7,0,MAX(0,SUM(OFFSET(Tableau1[[#This Row],[Heures]],-6,,7))+SUM(OFFSET(Tableau1[[#This Row],[H_Abs]],-6,,7))-_HS))</f>
        <v>0</v>
      </c>
      <c r="N236" s="18" t="str">
        <f ca="1">IF(Tableau1[[#This Row],[HS]]&gt;0,IF(Tableau1[[#This Row],[HS]]*24&gt;8,8/24,Tableau1[[#This Row],[HS]]),"")</f>
        <v/>
      </c>
      <c r="O236" s="18" t="str">
        <f ca="1">IF(Tableau1[[#This Row],[HS]]*24&gt;8,Tableau1[[#This Row],[HS]]-Tableau1[[#This Row],[Dont
HS 30%]],"")</f>
        <v/>
      </c>
      <c r="P236" s="18" t="e">
        <f ca="1">Tableau1[[#This Row],[Dont
HS 30%]]*1.3</f>
        <v>#VALUE!</v>
      </c>
      <c r="Q236" s="18" t="e">
        <f ca="1">Tableau1[[#This Row],[Dont 
HS 50%]]*1.5</f>
        <v>#VALUE!</v>
      </c>
    </row>
    <row r="237" spans="2:17" hidden="1" x14ac:dyDescent="0.25">
      <c r="B237" s="37">
        <f>_xlfn.ISOWEEKNUM(Tableau1[[#This Row],[Date]])</f>
        <v>46</v>
      </c>
      <c r="C237" s="14">
        <f>debut+ROW()-ROW(Tableau1[[#Headers],[Date]])-1</f>
        <v>44884</v>
      </c>
      <c r="D237" s="16">
        <f>MONTH(Tableau1[[#This Row],[Date]])</f>
        <v>11</v>
      </c>
      <c r="E237" s="16">
        <f>YEAR(Tableau1[[#This Row],[Date]])</f>
        <v>2022</v>
      </c>
      <c r="F237" s="32"/>
      <c r="G237" s="32"/>
      <c r="H237" s="32"/>
      <c r="I237" s="32"/>
      <c r="J237" s="3"/>
      <c r="K237" s="18">
        <f>MOD(Tableau1[[#This Row],[Fin
apm]]-Tableau1[[#This Row],[Début
apm]],1)+MOD(Tableau1[[#This Row],[Fin
matin]]-Tableau1[[#This Row],[Début
matin]],1)</f>
        <v>0</v>
      </c>
      <c r="L237" s="18">
        <f>IFERROR(VLOOKUP(Tableau1[[#This Row],[Abs.]],Tmotif[],3,0),0)</f>
        <v>0</v>
      </c>
      <c r="M237" s="18">
        <f ca="1">IF(WEEKDAY(Tableau1[[#This Row],[Date]],2)&lt;7,0,MAX(0,SUM(OFFSET(Tableau1[[#This Row],[Heures]],-6,,7))+SUM(OFFSET(Tableau1[[#This Row],[H_Abs]],-6,,7))-_HS))</f>
        <v>0</v>
      </c>
      <c r="N237" s="18" t="str">
        <f ca="1">IF(Tableau1[[#This Row],[HS]]&gt;0,IF(Tableau1[[#This Row],[HS]]*24&gt;8,8/24,Tableau1[[#This Row],[HS]]),"")</f>
        <v/>
      </c>
      <c r="O237" s="18" t="str">
        <f ca="1">IF(Tableau1[[#This Row],[HS]]*24&gt;8,Tableau1[[#This Row],[HS]]-Tableau1[[#This Row],[Dont
HS 30%]],"")</f>
        <v/>
      </c>
      <c r="P237" s="18" t="e">
        <f ca="1">Tableau1[[#This Row],[Dont
HS 30%]]*1.3</f>
        <v>#VALUE!</v>
      </c>
      <c r="Q237" s="18" t="e">
        <f ca="1">Tableau1[[#This Row],[Dont 
HS 50%]]*1.5</f>
        <v>#VALUE!</v>
      </c>
    </row>
    <row r="238" spans="2:17" hidden="1" x14ac:dyDescent="0.25">
      <c r="B238" s="37">
        <f>_xlfn.ISOWEEKNUM(Tableau1[[#This Row],[Date]])</f>
        <v>46</v>
      </c>
      <c r="C238" s="14">
        <f>debut+ROW()-ROW(Tableau1[[#Headers],[Date]])-1</f>
        <v>44885</v>
      </c>
      <c r="D238" s="16">
        <f>MONTH(Tableau1[[#This Row],[Date]])</f>
        <v>11</v>
      </c>
      <c r="E238" s="16">
        <f>YEAR(Tableau1[[#This Row],[Date]])</f>
        <v>2022</v>
      </c>
      <c r="F238" s="32"/>
      <c r="G238" s="32"/>
      <c r="H238" s="32"/>
      <c r="I238" s="32"/>
      <c r="J238" s="3"/>
      <c r="K238" s="18">
        <f>MOD(Tableau1[[#This Row],[Fin
apm]]-Tableau1[[#This Row],[Début
apm]],1)+MOD(Tableau1[[#This Row],[Fin
matin]]-Tableau1[[#This Row],[Début
matin]],1)</f>
        <v>0</v>
      </c>
      <c r="L238" s="18">
        <f>IFERROR(VLOOKUP(Tableau1[[#This Row],[Abs.]],Tmotif[],3,0),0)</f>
        <v>0</v>
      </c>
      <c r="M238" s="18">
        <f ca="1">IF(WEEKDAY(Tableau1[[#This Row],[Date]],2)&lt;7,0,MAX(0,SUM(OFFSET(Tableau1[[#This Row],[Heures]],-6,,7))+SUM(OFFSET(Tableau1[[#This Row],[H_Abs]],-6,,7))-_HS))</f>
        <v>0</v>
      </c>
      <c r="N238" s="18" t="str">
        <f ca="1">IF(Tableau1[[#This Row],[HS]]&gt;0,IF(Tableau1[[#This Row],[HS]]*24&gt;8,8/24,Tableau1[[#This Row],[HS]]),"")</f>
        <v/>
      </c>
      <c r="O238" s="18" t="str">
        <f ca="1">IF(Tableau1[[#This Row],[HS]]*24&gt;8,Tableau1[[#This Row],[HS]]-Tableau1[[#This Row],[Dont
HS 30%]],"")</f>
        <v/>
      </c>
      <c r="P238" s="18" t="e">
        <f ca="1">Tableau1[[#This Row],[Dont
HS 30%]]*1.3</f>
        <v>#VALUE!</v>
      </c>
      <c r="Q238" s="18" t="e">
        <f ca="1">Tableau1[[#This Row],[Dont 
HS 50%]]*1.5</f>
        <v>#VALUE!</v>
      </c>
    </row>
    <row r="239" spans="2:17" hidden="1" x14ac:dyDescent="0.25">
      <c r="B239" s="37">
        <f>_xlfn.ISOWEEKNUM(Tableau1[[#This Row],[Date]])</f>
        <v>47</v>
      </c>
      <c r="C239" s="14">
        <f>debut+ROW()-ROW(Tableau1[[#Headers],[Date]])-1</f>
        <v>44886</v>
      </c>
      <c r="D239" s="16">
        <f>MONTH(Tableau1[[#This Row],[Date]])</f>
        <v>11</v>
      </c>
      <c r="E239" s="16">
        <f>YEAR(Tableau1[[#This Row],[Date]])</f>
        <v>2022</v>
      </c>
      <c r="F239" s="32"/>
      <c r="G239" s="32"/>
      <c r="H239" s="32"/>
      <c r="I239" s="32"/>
      <c r="J239" s="3"/>
      <c r="K239" s="18">
        <f>MOD(Tableau1[[#This Row],[Fin
apm]]-Tableau1[[#This Row],[Début
apm]],1)+MOD(Tableau1[[#This Row],[Fin
matin]]-Tableau1[[#This Row],[Début
matin]],1)</f>
        <v>0</v>
      </c>
      <c r="L239" s="18">
        <f>IFERROR(VLOOKUP(Tableau1[[#This Row],[Abs.]],Tmotif[],3,0),0)</f>
        <v>0</v>
      </c>
      <c r="M239" s="18">
        <f ca="1">IF(WEEKDAY(Tableau1[[#This Row],[Date]],2)&lt;7,0,MAX(0,SUM(OFFSET(Tableau1[[#This Row],[Heures]],-6,,7))+SUM(OFFSET(Tableau1[[#This Row],[H_Abs]],-6,,7))-_HS))</f>
        <v>0</v>
      </c>
      <c r="N239" s="18" t="str">
        <f ca="1">IF(Tableau1[[#This Row],[HS]]&gt;0,IF(Tableau1[[#This Row],[HS]]*24&gt;8,8/24,Tableau1[[#This Row],[HS]]),"")</f>
        <v/>
      </c>
      <c r="O239" s="18" t="str">
        <f ca="1">IF(Tableau1[[#This Row],[HS]]*24&gt;8,Tableau1[[#This Row],[HS]]-Tableau1[[#This Row],[Dont
HS 30%]],"")</f>
        <v/>
      </c>
      <c r="P239" s="18" t="e">
        <f ca="1">Tableau1[[#This Row],[Dont
HS 30%]]*1.3</f>
        <v>#VALUE!</v>
      </c>
      <c r="Q239" s="18" t="e">
        <f ca="1">Tableau1[[#This Row],[Dont 
HS 50%]]*1.5</f>
        <v>#VALUE!</v>
      </c>
    </row>
    <row r="240" spans="2:17" hidden="1" x14ac:dyDescent="0.25">
      <c r="B240" s="37">
        <f>_xlfn.ISOWEEKNUM(Tableau1[[#This Row],[Date]])</f>
        <v>47</v>
      </c>
      <c r="C240" s="14">
        <f>debut+ROW()-ROW(Tableau1[[#Headers],[Date]])-1</f>
        <v>44887</v>
      </c>
      <c r="D240" s="16">
        <f>MONTH(Tableau1[[#This Row],[Date]])</f>
        <v>11</v>
      </c>
      <c r="E240" s="16">
        <f>YEAR(Tableau1[[#This Row],[Date]])</f>
        <v>2022</v>
      </c>
      <c r="F240" s="32"/>
      <c r="G240" s="32"/>
      <c r="H240" s="32"/>
      <c r="I240" s="32"/>
      <c r="J240" s="3"/>
      <c r="K240" s="18">
        <f>MOD(Tableau1[[#This Row],[Fin
apm]]-Tableau1[[#This Row],[Début
apm]],1)+MOD(Tableau1[[#This Row],[Fin
matin]]-Tableau1[[#This Row],[Début
matin]],1)</f>
        <v>0</v>
      </c>
      <c r="L240" s="18">
        <f>IFERROR(VLOOKUP(Tableau1[[#This Row],[Abs.]],Tmotif[],3,0),0)</f>
        <v>0</v>
      </c>
      <c r="M240" s="18">
        <f ca="1">IF(WEEKDAY(Tableau1[[#This Row],[Date]],2)&lt;7,0,MAX(0,SUM(OFFSET(Tableau1[[#This Row],[Heures]],-6,,7))+SUM(OFFSET(Tableau1[[#This Row],[H_Abs]],-6,,7))-_HS))</f>
        <v>0</v>
      </c>
      <c r="N240" s="18" t="str">
        <f ca="1">IF(Tableau1[[#This Row],[HS]]&gt;0,IF(Tableau1[[#This Row],[HS]]*24&gt;8,8/24,Tableau1[[#This Row],[HS]]),"")</f>
        <v/>
      </c>
      <c r="O240" s="18" t="str">
        <f ca="1">IF(Tableau1[[#This Row],[HS]]*24&gt;8,Tableau1[[#This Row],[HS]]-Tableau1[[#This Row],[Dont
HS 30%]],"")</f>
        <v/>
      </c>
      <c r="P240" s="18" t="e">
        <f ca="1">Tableau1[[#This Row],[Dont
HS 30%]]*1.3</f>
        <v>#VALUE!</v>
      </c>
      <c r="Q240" s="18" t="e">
        <f ca="1">Tableau1[[#This Row],[Dont 
HS 50%]]*1.5</f>
        <v>#VALUE!</v>
      </c>
    </row>
    <row r="241" spans="2:17" hidden="1" x14ac:dyDescent="0.25">
      <c r="B241" s="37">
        <f>_xlfn.ISOWEEKNUM(Tableau1[[#This Row],[Date]])</f>
        <v>47</v>
      </c>
      <c r="C241" s="14">
        <f>debut+ROW()-ROW(Tableau1[[#Headers],[Date]])-1</f>
        <v>44888</v>
      </c>
      <c r="D241" s="16">
        <f>MONTH(Tableau1[[#This Row],[Date]])</f>
        <v>11</v>
      </c>
      <c r="E241" s="16">
        <f>YEAR(Tableau1[[#This Row],[Date]])</f>
        <v>2022</v>
      </c>
      <c r="F241" s="32"/>
      <c r="G241" s="32"/>
      <c r="H241" s="32"/>
      <c r="I241" s="32"/>
      <c r="J241" s="3"/>
      <c r="K241" s="18">
        <f>MOD(Tableau1[[#This Row],[Fin
apm]]-Tableau1[[#This Row],[Début
apm]],1)+MOD(Tableau1[[#This Row],[Fin
matin]]-Tableau1[[#This Row],[Début
matin]],1)</f>
        <v>0</v>
      </c>
      <c r="L241" s="18">
        <f>IFERROR(VLOOKUP(Tableau1[[#This Row],[Abs.]],Tmotif[],3,0),0)</f>
        <v>0</v>
      </c>
      <c r="M241" s="18">
        <f ca="1">IF(WEEKDAY(Tableau1[[#This Row],[Date]],2)&lt;7,0,MAX(0,SUM(OFFSET(Tableau1[[#This Row],[Heures]],-6,,7))+SUM(OFFSET(Tableau1[[#This Row],[H_Abs]],-6,,7))-_HS))</f>
        <v>0</v>
      </c>
      <c r="N241" s="18" t="str">
        <f ca="1">IF(Tableau1[[#This Row],[HS]]&gt;0,IF(Tableau1[[#This Row],[HS]]*24&gt;8,8/24,Tableau1[[#This Row],[HS]]),"")</f>
        <v/>
      </c>
      <c r="O241" s="18" t="str">
        <f ca="1">IF(Tableau1[[#This Row],[HS]]*24&gt;8,Tableau1[[#This Row],[HS]]-Tableau1[[#This Row],[Dont
HS 30%]],"")</f>
        <v/>
      </c>
      <c r="P241" s="18" t="e">
        <f ca="1">Tableau1[[#This Row],[Dont
HS 30%]]*1.3</f>
        <v>#VALUE!</v>
      </c>
      <c r="Q241" s="18" t="e">
        <f ca="1">Tableau1[[#This Row],[Dont 
HS 50%]]*1.5</f>
        <v>#VALUE!</v>
      </c>
    </row>
    <row r="242" spans="2:17" hidden="1" x14ac:dyDescent="0.25">
      <c r="B242" s="37">
        <f>_xlfn.ISOWEEKNUM(Tableau1[[#This Row],[Date]])</f>
        <v>47</v>
      </c>
      <c r="C242" s="14">
        <f>debut+ROW()-ROW(Tableau1[[#Headers],[Date]])-1</f>
        <v>44889</v>
      </c>
      <c r="D242" s="16">
        <f>MONTH(Tableau1[[#This Row],[Date]])</f>
        <v>11</v>
      </c>
      <c r="E242" s="16">
        <f>YEAR(Tableau1[[#This Row],[Date]])</f>
        <v>2022</v>
      </c>
      <c r="F242" s="32"/>
      <c r="G242" s="32"/>
      <c r="H242" s="32"/>
      <c r="I242" s="32"/>
      <c r="J242" s="3"/>
      <c r="K242" s="18">
        <f>MOD(Tableau1[[#This Row],[Fin
apm]]-Tableau1[[#This Row],[Début
apm]],1)+MOD(Tableau1[[#This Row],[Fin
matin]]-Tableau1[[#This Row],[Début
matin]],1)</f>
        <v>0</v>
      </c>
      <c r="L242" s="18">
        <f>IFERROR(VLOOKUP(Tableau1[[#This Row],[Abs.]],Tmotif[],3,0),0)</f>
        <v>0</v>
      </c>
      <c r="M242" s="18">
        <f ca="1">IF(WEEKDAY(Tableau1[[#This Row],[Date]],2)&lt;7,0,MAX(0,SUM(OFFSET(Tableau1[[#This Row],[Heures]],-6,,7))+SUM(OFFSET(Tableau1[[#This Row],[H_Abs]],-6,,7))-_HS))</f>
        <v>0</v>
      </c>
      <c r="N242" s="18" t="str">
        <f ca="1">IF(Tableau1[[#This Row],[HS]]&gt;0,IF(Tableau1[[#This Row],[HS]]*24&gt;8,8/24,Tableau1[[#This Row],[HS]]),"")</f>
        <v/>
      </c>
      <c r="O242" s="18" t="str">
        <f ca="1">IF(Tableau1[[#This Row],[HS]]*24&gt;8,Tableau1[[#This Row],[HS]]-Tableau1[[#This Row],[Dont
HS 30%]],"")</f>
        <v/>
      </c>
      <c r="P242" s="18" t="e">
        <f ca="1">Tableau1[[#This Row],[Dont
HS 30%]]*1.3</f>
        <v>#VALUE!</v>
      </c>
      <c r="Q242" s="18" t="e">
        <f ca="1">Tableau1[[#This Row],[Dont 
HS 50%]]*1.5</f>
        <v>#VALUE!</v>
      </c>
    </row>
    <row r="243" spans="2:17" hidden="1" x14ac:dyDescent="0.25">
      <c r="B243" s="37">
        <f>_xlfn.ISOWEEKNUM(Tableau1[[#This Row],[Date]])</f>
        <v>47</v>
      </c>
      <c r="C243" s="14">
        <f>debut+ROW()-ROW(Tableau1[[#Headers],[Date]])-1</f>
        <v>44890</v>
      </c>
      <c r="D243" s="16">
        <f>MONTH(Tableau1[[#This Row],[Date]])</f>
        <v>11</v>
      </c>
      <c r="E243" s="16">
        <f>YEAR(Tableau1[[#This Row],[Date]])</f>
        <v>2022</v>
      </c>
      <c r="F243" s="32"/>
      <c r="G243" s="32"/>
      <c r="H243" s="32"/>
      <c r="I243" s="32"/>
      <c r="J243" s="3"/>
      <c r="K243" s="18">
        <f>MOD(Tableau1[[#This Row],[Fin
apm]]-Tableau1[[#This Row],[Début
apm]],1)+MOD(Tableau1[[#This Row],[Fin
matin]]-Tableau1[[#This Row],[Début
matin]],1)</f>
        <v>0</v>
      </c>
      <c r="L243" s="18">
        <f>IFERROR(VLOOKUP(Tableau1[[#This Row],[Abs.]],Tmotif[],3,0),0)</f>
        <v>0</v>
      </c>
      <c r="M243" s="18">
        <f ca="1">IF(WEEKDAY(Tableau1[[#This Row],[Date]],2)&lt;7,0,MAX(0,SUM(OFFSET(Tableau1[[#This Row],[Heures]],-6,,7))+SUM(OFFSET(Tableau1[[#This Row],[H_Abs]],-6,,7))-_HS))</f>
        <v>0</v>
      </c>
      <c r="N243" s="18" t="str">
        <f ca="1">IF(Tableau1[[#This Row],[HS]]&gt;0,IF(Tableau1[[#This Row],[HS]]*24&gt;8,8/24,Tableau1[[#This Row],[HS]]),"")</f>
        <v/>
      </c>
      <c r="O243" s="18" t="str">
        <f ca="1">IF(Tableau1[[#This Row],[HS]]*24&gt;8,Tableau1[[#This Row],[HS]]-Tableau1[[#This Row],[Dont
HS 30%]],"")</f>
        <v/>
      </c>
      <c r="P243" s="18" t="e">
        <f ca="1">Tableau1[[#This Row],[Dont
HS 30%]]*1.3</f>
        <v>#VALUE!</v>
      </c>
      <c r="Q243" s="18" t="e">
        <f ca="1">Tableau1[[#This Row],[Dont 
HS 50%]]*1.5</f>
        <v>#VALUE!</v>
      </c>
    </row>
    <row r="244" spans="2:17" hidden="1" x14ac:dyDescent="0.25">
      <c r="B244" s="37">
        <f>_xlfn.ISOWEEKNUM(Tableau1[[#This Row],[Date]])</f>
        <v>47</v>
      </c>
      <c r="C244" s="14">
        <f>debut+ROW()-ROW(Tableau1[[#Headers],[Date]])-1</f>
        <v>44891</v>
      </c>
      <c r="D244" s="16">
        <f>MONTH(Tableau1[[#This Row],[Date]])</f>
        <v>11</v>
      </c>
      <c r="E244" s="16">
        <f>YEAR(Tableau1[[#This Row],[Date]])</f>
        <v>2022</v>
      </c>
      <c r="F244" s="32"/>
      <c r="G244" s="32"/>
      <c r="H244" s="32"/>
      <c r="I244" s="32"/>
      <c r="J244" s="3"/>
      <c r="K244" s="18">
        <f>MOD(Tableau1[[#This Row],[Fin
apm]]-Tableau1[[#This Row],[Début
apm]],1)+MOD(Tableau1[[#This Row],[Fin
matin]]-Tableau1[[#This Row],[Début
matin]],1)</f>
        <v>0</v>
      </c>
      <c r="L244" s="18">
        <f>IFERROR(VLOOKUP(Tableau1[[#This Row],[Abs.]],Tmotif[],3,0),0)</f>
        <v>0</v>
      </c>
      <c r="M244" s="18">
        <f ca="1">IF(WEEKDAY(Tableau1[[#This Row],[Date]],2)&lt;7,0,MAX(0,SUM(OFFSET(Tableau1[[#This Row],[Heures]],-6,,7))+SUM(OFFSET(Tableau1[[#This Row],[H_Abs]],-6,,7))-_HS))</f>
        <v>0</v>
      </c>
      <c r="N244" s="18" t="str">
        <f ca="1">IF(Tableau1[[#This Row],[HS]]&gt;0,IF(Tableau1[[#This Row],[HS]]*24&gt;8,8/24,Tableau1[[#This Row],[HS]]),"")</f>
        <v/>
      </c>
      <c r="O244" s="18" t="str">
        <f ca="1">IF(Tableau1[[#This Row],[HS]]*24&gt;8,Tableau1[[#This Row],[HS]]-Tableau1[[#This Row],[Dont
HS 30%]],"")</f>
        <v/>
      </c>
      <c r="P244" s="18" t="e">
        <f ca="1">Tableau1[[#This Row],[Dont
HS 30%]]*1.3</f>
        <v>#VALUE!</v>
      </c>
      <c r="Q244" s="18" t="e">
        <f ca="1">Tableau1[[#This Row],[Dont 
HS 50%]]*1.5</f>
        <v>#VALUE!</v>
      </c>
    </row>
    <row r="245" spans="2:17" hidden="1" x14ac:dyDescent="0.25">
      <c r="B245" s="37">
        <f>_xlfn.ISOWEEKNUM(Tableau1[[#This Row],[Date]])</f>
        <v>47</v>
      </c>
      <c r="C245" s="14">
        <f>debut+ROW()-ROW(Tableau1[[#Headers],[Date]])-1</f>
        <v>44892</v>
      </c>
      <c r="D245" s="16">
        <f>MONTH(Tableau1[[#This Row],[Date]])</f>
        <v>11</v>
      </c>
      <c r="E245" s="16">
        <f>YEAR(Tableau1[[#This Row],[Date]])</f>
        <v>2022</v>
      </c>
      <c r="F245" s="32"/>
      <c r="G245" s="32"/>
      <c r="H245" s="32"/>
      <c r="I245" s="32"/>
      <c r="J245" s="3"/>
      <c r="K245" s="18">
        <f>MOD(Tableau1[[#This Row],[Fin
apm]]-Tableau1[[#This Row],[Début
apm]],1)+MOD(Tableau1[[#This Row],[Fin
matin]]-Tableau1[[#This Row],[Début
matin]],1)</f>
        <v>0</v>
      </c>
      <c r="L245" s="18">
        <f>IFERROR(VLOOKUP(Tableau1[[#This Row],[Abs.]],Tmotif[],3,0),0)</f>
        <v>0</v>
      </c>
      <c r="M245" s="18">
        <f ca="1">IF(WEEKDAY(Tableau1[[#This Row],[Date]],2)&lt;7,0,MAX(0,SUM(OFFSET(Tableau1[[#This Row],[Heures]],-6,,7))+SUM(OFFSET(Tableau1[[#This Row],[H_Abs]],-6,,7))-_HS))</f>
        <v>0</v>
      </c>
      <c r="N245" s="18" t="str">
        <f ca="1">IF(Tableau1[[#This Row],[HS]]&gt;0,IF(Tableau1[[#This Row],[HS]]*24&gt;8,8/24,Tableau1[[#This Row],[HS]]),"")</f>
        <v/>
      </c>
      <c r="O245" s="18" t="str">
        <f ca="1">IF(Tableau1[[#This Row],[HS]]*24&gt;8,Tableau1[[#This Row],[HS]]-Tableau1[[#This Row],[Dont
HS 30%]],"")</f>
        <v/>
      </c>
      <c r="P245" s="18" t="e">
        <f ca="1">Tableau1[[#This Row],[Dont
HS 30%]]*1.3</f>
        <v>#VALUE!</v>
      </c>
      <c r="Q245" s="18" t="e">
        <f ca="1">Tableau1[[#This Row],[Dont 
HS 50%]]*1.5</f>
        <v>#VALUE!</v>
      </c>
    </row>
    <row r="246" spans="2:17" hidden="1" x14ac:dyDescent="0.25">
      <c r="B246" s="37">
        <f>_xlfn.ISOWEEKNUM(Tableau1[[#This Row],[Date]])</f>
        <v>48</v>
      </c>
      <c r="C246" s="14">
        <f>debut+ROW()-ROW(Tableau1[[#Headers],[Date]])-1</f>
        <v>44893</v>
      </c>
      <c r="D246" s="16">
        <f>MONTH(Tableau1[[#This Row],[Date]])</f>
        <v>11</v>
      </c>
      <c r="E246" s="16">
        <f>YEAR(Tableau1[[#This Row],[Date]])</f>
        <v>2022</v>
      </c>
      <c r="F246" s="32"/>
      <c r="G246" s="32"/>
      <c r="H246" s="32"/>
      <c r="I246" s="32"/>
      <c r="J246" s="3"/>
      <c r="K246" s="18">
        <f>MOD(Tableau1[[#This Row],[Fin
apm]]-Tableau1[[#This Row],[Début
apm]],1)+MOD(Tableau1[[#This Row],[Fin
matin]]-Tableau1[[#This Row],[Début
matin]],1)</f>
        <v>0</v>
      </c>
      <c r="L246" s="18">
        <f>IFERROR(VLOOKUP(Tableau1[[#This Row],[Abs.]],Tmotif[],3,0),0)</f>
        <v>0</v>
      </c>
      <c r="M246" s="18">
        <f ca="1">IF(WEEKDAY(Tableau1[[#This Row],[Date]],2)&lt;7,0,MAX(0,SUM(OFFSET(Tableau1[[#This Row],[Heures]],-6,,7))+SUM(OFFSET(Tableau1[[#This Row],[H_Abs]],-6,,7))-_HS))</f>
        <v>0</v>
      </c>
      <c r="N246" s="18" t="str">
        <f ca="1">IF(Tableau1[[#This Row],[HS]]&gt;0,IF(Tableau1[[#This Row],[HS]]*24&gt;8,8/24,Tableau1[[#This Row],[HS]]),"")</f>
        <v/>
      </c>
      <c r="O246" s="18" t="str">
        <f ca="1">IF(Tableau1[[#This Row],[HS]]*24&gt;8,Tableau1[[#This Row],[HS]]-Tableau1[[#This Row],[Dont
HS 30%]],"")</f>
        <v/>
      </c>
      <c r="P246" s="18" t="e">
        <f ca="1">Tableau1[[#This Row],[Dont
HS 30%]]*1.3</f>
        <v>#VALUE!</v>
      </c>
      <c r="Q246" s="18" t="e">
        <f ca="1">Tableau1[[#This Row],[Dont 
HS 50%]]*1.5</f>
        <v>#VALUE!</v>
      </c>
    </row>
    <row r="247" spans="2:17" hidden="1" x14ac:dyDescent="0.25">
      <c r="B247" s="37">
        <f>_xlfn.ISOWEEKNUM(Tableau1[[#This Row],[Date]])</f>
        <v>48</v>
      </c>
      <c r="C247" s="14">
        <f>debut+ROW()-ROW(Tableau1[[#Headers],[Date]])-1</f>
        <v>44894</v>
      </c>
      <c r="D247" s="16">
        <f>MONTH(Tableau1[[#This Row],[Date]])</f>
        <v>11</v>
      </c>
      <c r="E247" s="16">
        <f>YEAR(Tableau1[[#This Row],[Date]])</f>
        <v>2022</v>
      </c>
      <c r="F247" s="32"/>
      <c r="G247" s="32"/>
      <c r="H247" s="32"/>
      <c r="I247" s="32"/>
      <c r="J247" s="3"/>
      <c r="K247" s="18">
        <f>MOD(Tableau1[[#This Row],[Fin
apm]]-Tableau1[[#This Row],[Début
apm]],1)+MOD(Tableau1[[#This Row],[Fin
matin]]-Tableau1[[#This Row],[Début
matin]],1)</f>
        <v>0</v>
      </c>
      <c r="L247" s="18">
        <f>IFERROR(VLOOKUP(Tableau1[[#This Row],[Abs.]],Tmotif[],3,0),0)</f>
        <v>0</v>
      </c>
      <c r="M247" s="18">
        <f ca="1">IF(WEEKDAY(Tableau1[[#This Row],[Date]],2)&lt;7,0,MAX(0,SUM(OFFSET(Tableau1[[#This Row],[Heures]],-6,,7))+SUM(OFFSET(Tableau1[[#This Row],[H_Abs]],-6,,7))-_HS))</f>
        <v>0</v>
      </c>
      <c r="N247" s="18" t="str">
        <f ca="1">IF(Tableau1[[#This Row],[HS]]&gt;0,IF(Tableau1[[#This Row],[HS]]*24&gt;8,8/24,Tableau1[[#This Row],[HS]]),"")</f>
        <v/>
      </c>
      <c r="O247" s="18" t="str">
        <f ca="1">IF(Tableau1[[#This Row],[HS]]*24&gt;8,Tableau1[[#This Row],[HS]]-Tableau1[[#This Row],[Dont
HS 30%]],"")</f>
        <v/>
      </c>
      <c r="P247" s="18" t="e">
        <f ca="1">Tableau1[[#This Row],[Dont
HS 30%]]*1.3</f>
        <v>#VALUE!</v>
      </c>
      <c r="Q247" s="18" t="e">
        <f ca="1">Tableau1[[#This Row],[Dont 
HS 50%]]*1.5</f>
        <v>#VALUE!</v>
      </c>
    </row>
    <row r="248" spans="2:17" hidden="1" x14ac:dyDescent="0.25">
      <c r="B248" s="37">
        <f>_xlfn.ISOWEEKNUM(Tableau1[[#This Row],[Date]])</f>
        <v>48</v>
      </c>
      <c r="C248" s="14">
        <f>debut+ROW()-ROW(Tableau1[[#Headers],[Date]])-1</f>
        <v>44895</v>
      </c>
      <c r="D248" s="16">
        <f>MONTH(Tableau1[[#This Row],[Date]])</f>
        <v>11</v>
      </c>
      <c r="E248" s="16">
        <f>YEAR(Tableau1[[#This Row],[Date]])</f>
        <v>2022</v>
      </c>
      <c r="F248" s="32"/>
      <c r="G248" s="32"/>
      <c r="H248" s="32"/>
      <c r="I248" s="32"/>
      <c r="J248" s="3"/>
      <c r="K248" s="18">
        <f>MOD(Tableau1[[#This Row],[Fin
apm]]-Tableau1[[#This Row],[Début
apm]],1)+MOD(Tableau1[[#This Row],[Fin
matin]]-Tableau1[[#This Row],[Début
matin]],1)</f>
        <v>0</v>
      </c>
      <c r="L248" s="18">
        <f>IFERROR(VLOOKUP(Tableau1[[#This Row],[Abs.]],Tmotif[],3,0),0)</f>
        <v>0</v>
      </c>
      <c r="M248" s="18">
        <f ca="1">IF(WEEKDAY(Tableau1[[#This Row],[Date]],2)&lt;7,0,MAX(0,SUM(OFFSET(Tableau1[[#This Row],[Heures]],-6,,7))+SUM(OFFSET(Tableau1[[#This Row],[H_Abs]],-6,,7))-_HS))</f>
        <v>0</v>
      </c>
      <c r="N248" s="18" t="str">
        <f ca="1">IF(Tableau1[[#This Row],[HS]]&gt;0,IF(Tableau1[[#This Row],[HS]]*24&gt;8,8/24,Tableau1[[#This Row],[HS]]),"")</f>
        <v/>
      </c>
      <c r="O248" s="18" t="str">
        <f ca="1">IF(Tableau1[[#This Row],[HS]]*24&gt;8,Tableau1[[#This Row],[HS]]-Tableau1[[#This Row],[Dont
HS 30%]],"")</f>
        <v/>
      </c>
      <c r="P248" s="18" t="e">
        <f ca="1">Tableau1[[#This Row],[Dont
HS 30%]]*1.3</f>
        <v>#VALUE!</v>
      </c>
      <c r="Q248" s="18" t="e">
        <f ca="1">Tableau1[[#This Row],[Dont 
HS 50%]]*1.5</f>
        <v>#VALUE!</v>
      </c>
    </row>
    <row r="249" spans="2:17" hidden="1" x14ac:dyDescent="0.25">
      <c r="B249" s="37">
        <f>_xlfn.ISOWEEKNUM(Tableau1[[#This Row],[Date]])</f>
        <v>48</v>
      </c>
      <c r="C249" s="14">
        <f>debut+ROW()-ROW(Tableau1[[#Headers],[Date]])-1</f>
        <v>44896</v>
      </c>
      <c r="D249" s="16">
        <f>MONTH(Tableau1[[#This Row],[Date]])</f>
        <v>12</v>
      </c>
      <c r="E249" s="16">
        <f>YEAR(Tableau1[[#This Row],[Date]])</f>
        <v>2022</v>
      </c>
      <c r="F249" s="32"/>
      <c r="G249" s="32"/>
      <c r="H249" s="32"/>
      <c r="I249" s="32"/>
      <c r="J249" s="3"/>
      <c r="K249" s="18">
        <f>MOD(Tableau1[[#This Row],[Fin
apm]]-Tableau1[[#This Row],[Début
apm]],1)+MOD(Tableau1[[#This Row],[Fin
matin]]-Tableau1[[#This Row],[Début
matin]],1)</f>
        <v>0</v>
      </c>
      <c r="L249" s="18">
        <f>IFERROR(VLOOKUP(Tableau1[[#This Row],[Abs.]],Tmotif[],3,0),0)</f>
        <v>0</v>
      </c>
      <c r="M249" s="18">
        <f ca="1">IF(WEEKDAY(Tableau1[[#This Row],[Date]],2)&lt;7,0,MAX(0,SUM(OFFSET(Tableau1[[#This Row],[Heures]],-6,,7))+SUM(OFFSET(Tableau1[[#This Row],[H_Abs]],-6,,7))-_HS))</f>
        <v>0</v>
      </c>
      <c r="N249" s="18" t="str">
        <f ca="1">IF(Tableau1[[#This Row],[HS]]&gt;0,IF(Tableau1[[#This Row],[HS]]*24&gt;8,8/24,Tableau1[[#This Row],[HS]]),"")</f>
        <v/>
      </c>
      <c r="O249" s="18" t="str">
        <f ca="1">IF(Tableau1[[#This Row],[HS]]*24&gt;8,Tableau1[[#This Row],[HS]]-Tableau1[[#This Row],[Dont
HS 30%]],"")</f>
        <v/>
      </c>
      <c r="P249" s="18" t="e">
        <f ca="1">Tableau1[[#This Row],[Dont
HS 30%]]*1.3</f>
        <v>#VALUE!</v>
      </c>
      <c r="Q249" s="18" t="e">
        <f ca="1">Tableau1[[#This Row],[Dont 
HS 50%]]*1.5</f>
        <v>#VALUE!</v>
      </c>
    </row>
    <row r="250" spans="2:17" hidden="1" x14ac:dyDescent="0.25">
      <c r="B250" s="37">
        <f>_xlfn.ISOWEEKNUM(Tableau1[[#This Row],[Date]])</f>
        <v>48</v>
      </c>
      <c r="C250" s="14">
        <f>debut+ROW()-ROW(Tableau1[[#Headers],[Date]])-1</f>
        <v>44897</v>
      </c>
      <c r="D250" s="16">
        <f>MONTH(Tableau1[[#This Row],[Date]])</f>
        <v>12</v>
      </c>
      <c r="E250" s="16">
        <f>YEAR(Tableau1[[#This Row],[Date]])</f>
        <v>2022</v>
      </c>
      <c r="F250" s="32"/>
      <c r="G250" s="32"/>
      <c r="H250" s="32"/>
      <c r="I250" s="32"/>
      <c r="J250" s="3"/>
      <c r="K250" s="18">
        <f>MOD(Tableau1[[#This Row],[Fin
apm]]-Tableau1[[#This Row],[Début
apm]],1)+MOD(Tableau1[[#This Row],[Fin
matin]]-Tableau1[[#This Row],[Début
matin]],1)</f>
        <v>0</v>
      </c>
      <c r="L250" s="18">
        <f>IFERROR(VLOOKUP(Tableau1[[#This Row],[Abs.]],Tmotif[],3,0),0)</f>
        <v>0</v>
      </c>
      <c r="M250" s="18">
        <f ca="1">IF(WEEKDAY(Tableau1[[#This Row],[Date]],2)&lt;7,0,MAX(0,SUM(OFFSET(Tableau1[[#This Row],[Heures]],-6,,7))+SUM(OFFSET(Tableau1[[#This Row],[H_Abs]],-6,,7))-_HS))</f>
        <v>0</v>
      </c>
      <c r="N250" s="18" t="str">
        <f ca="1">IF(Tableau1[[#This Row],[HS]]&gt;0,IF(Tableau1[[#This Row],[HS]]*24&gt;8,8/24,Tableau1[[#This Row],[HS]]),"")</f>
        <v/>
      </c>
      <c r="O250" s="18" t="str">
        <f ca="1">IF(Tableau1[[#This Row],[HS]]*24&gt;8,Tableau1[[#This Row],[HS]]-Tableau1[[#This Row],[Dont
HS 30%]],"")</f>
        <v/>
      </c>
      <c r="P250" s="18" t="e">
        <f ca="1">Tableau1[[#This Row],[Dont
HS 30%]]*1.3</f>
        <v>#VALUE!</v>
      </c>
      <c r="Q250" s="18" t="e">
        <f ca="1">Tableau1[[#This Row],[Dont 
HS 50%]]*1.5</f>
        <v>#VALUE!</v>
      </c>
    </row>
    <row r="251" spans="2:17" hidden="1" x14ac:dyDescent="0.25">
      <c r="B251" s="37">
        <f>_xlfn.ISOWEEKNUM(Tableau1[[#This Row],[Date]])</f>
        <v>48</v>
      </c>
      <c r="C251" s="14">
        <f>debut+ROW()-ROW(Tableau1[[#Headers],[Date]])-1</f>
        <v>44898</v>
      </c>
      <c r="D251" s="16">
        <f>MONTH(Tableau1[[#This Row],[Date]])</f>
        <v>12</v>
      </c>
      <c r="E251" s="16">
        <f>YEAR(Tableau1[[#This Row],[Date]])</f>
        <v>2022</v>
      </c>
      <c r="F251" s="32"/>
      <c r="G251" s="32"/>
      <c r="H251" s="32"/>
      <c r="I251" s="32"/>
      <c r="J251" s="3"/>
      <c r="K251" s="18">
        <f>MOD(Tableau1[[#This Row],[Fin
apm]]-Tableau1[[#This Row],[Début
apm]],1)+MOD(Tableau1[[#This Row],[Fin
matin]]-Tableau1[[#This Row],[Début
matin]],1)</f>
        <v>0</v>
      </c>
      <c r="L251" s="18">
        <f>IFERROR(VLOOKUP(Tableau1[[#This Row],[Abs.]],Tmotif[],3,0),0)</f>
        <v>0</v>
      </c>
      <c r="M251" s="18">
        <f ca="1">IF(WEEKDAY(Tableau1[[#This Row],[Date]],2)&lt;7,0,MAX(0,SUM(OFFSET(Tableau1[[#This Row],[Heures]],-6,,7))+SUM(OFFSET(Tableau1[[#This Row],[H_Abs]],-6,,7))-_HS))</f>
        <v>0</v>
      </c>
      <c r="N251" s="18" t="str">
        <f ca="1">IF(Tableau1[[#This Row],[HS]]&gt;0,IF(Tableau1[[#This Row],[HS]]*24&gt;8,8/24,Tableau1[[#This Row],[HS]]),"")</f>
        <v/>
      </c>
      <c r="O251" s="18" t="str">
        <f ca="1">IF(Tableau1[[#This Row],[HS]]*24&gt;8,Tableau1[[#This Row],[HS]]-Tableau1[[#This Row],[Dont
HS 30%]],"")</f>
        <v/>
      </c>
      <c r="P251" s="18" t="e">
        <f ca="1">Tableau1[[#This Row],[Dont
HS 30%]]*1.3</f>
        <v>#VALUE!</v>
      </c>
      <c r="Q251" s="18" t="e">
        <f ca="1">Tableau1[[#This Row],[Dont 
HS 50%]]*1.5</f>
        <v>#VALUE!</v>
      </c>
    </row>
    <row r="252" spans="2:17" hidden="1" x14ac:dyDescent="0.25">
      <c r="B252" s="37">
        <f>_xlfn.ISOWEEKNUM(Tableau1[[#This Row],[Date]])</f>
        <v>48</v>
      </c>
      <c r="C252" s="14">
        <f>debut+ROW()-ROW(Tableau1[[#Headers],[Date]])-1</f>
        <v>44899</v>
      </c>
      <c r="D252" s="16">
        <f>MONTH(Tableau1[[#This Row],[Date]])</f>
        <v>12</v>
      </c>
      <c r="E252" s="16">
        <f>YEAR(Tableau1[[#This Row],[Date]])</f>
        <v>2022</v>
      </c>
      <c r="F252" s="32"/>
      <c r="G252" s="32"/>
      <c r="H252" s="32"/>
      <c r="I252" s="32"/>
      <c r="J252" s="3"/>
      <c r="K252" s="18">
        <f>MOD(Tableau1[[#This Row],[Fin
apm]]-Tableau1[[#This Row],[Début
apm]],1)+MOD(Tableau1[[#This Row],[Fin
matin]]-Tableau1[[#This Row],[Début
matin]],1)</f>
        <v>0</v>
      </c>
      <c r="L252" s="18">
        <f>IFERROR(VLOOKUP(Tableau1[[#This Row],[Abs.]],Tmotif[],3,0),0)</f>
        <v>0</v>
      </c>
      <c r="M252" s="18">
        <f ca="1">IF(WEEKDAY(Tableau1[[#This Row],[Date]],2)&lt;7,0,MAX(0,SUM(OFFSET(Tableau1[[#This Row],[Heures]],-6,,7))+SUM(OFFSET(Tableau1[[#This Row],[H_Abs]],-6,,7))-_HS))</f>
        <v>0</v>
      </c>
      <c r="N252" s="18" t="str">
        <f ca="1">IF(Tableau1[[#This Row],[HS]]&gt;0,IF(Tableau1[[#This Row],[HS]]*24&gt;8,8/24,Tableau1[[#This Row],[HS]]),"")</f>
        <v/>
      </c>
      <c r="O252" s="18" t="str">
        <f ca="1">IF(Tableau1[[#This Row],[HS]]*24&gt;8,Tableau1[[#This Row],[HS]]-Tableau1[[#This Row],[Dont
HS 30%]],"")</f>
        <v/>
      </c>
      <c r="P252" s="18" t="e">
        <f ca="1">Tableau1[[#This Row],[Dont
HS 30%]]*1.3</f>
        <v>#VALUE!</v>
      </c>
      <c r="Q252" s="18" t="e">
        <f ca="1">Tableau1[[#This Row],[Dont 
HS 50%]]*1.5</f>
        <v>#VALUE!</v>
      </c>
    </row>
    <row r="253" spans="2:17" hidden="1" x14ac:dyDescent="0.25">
      <c r="B253" s="37">
        <f>_xlfn.ISOWEEKNUM(Tableau1[[#This Row],[Date]])</f>
        <v>49</v>
      </c>
      <c r="C253" s="14">
        <f>debut+ROW()-ROW(Tableau1[[#Headers],[Date]])-1</f>
        <v>44900</v>
      </c>
      <c r="D253" s="16">
        <f>MONTH(Tableau1[[#This Row],[Date]])</f>
        <v>12</v>
      </c>
      <c r="E253" s="16">
        <f>YEAR(Tableau1[[#This Row],[Date]])</f>
        <v>2022</v>
      </c>
      <c r="F253" s="32"/>
      <c r="G253" s="32"/>
      <c r="H253" s="32"/>
      <c r="I253" s="32"/>
      <c r="J253" s="3"/>
      <c r="K253" s="18">
        <f>MOD(Tableau1[[#This Row],[Fin
apm]]-Tableau1[[#This Row],[Début
apm]],1)+MOD(Tableau1[[#This Row],[Fin
matin]]-Tableau1[[#This Row],[Début
matin]],1)</f>
        <v>0</v>
      </c>
      <c r="L253" s="18">
        <f>IFERROR(VLOOKUP(Tableau1[[#This Row],[Abs.]],Tmotif[],3,0),0)</f>
        <v>0</v>
      </c>
      <c r="M253" s="18">
        <f ca="1">IF(WEEKDAY(Tableau1[[#This Row],[Date]],2)&lt;7,0,MAX(0,SUM(OFFSET(Tableau1[[#This Row],[Heures]],-6,,7))+SUM(OFFSET(Tableau1[[#This Row],[H_Abs]],-6,,7))-_HS))</f>
        <v>0</v>
      </c>
      <c r="N253" s="18" t="str">
        <f ca="1">IF(Tableau1[[#This Row],[HS]]&gt;0,IF(Tableau1[[#This Row],[HS]]*24&gt;8,8/24,Tableau1[[#This Row],[HS]]),"")</f>
        <v/>
      </c>
      <c r="O253" s="18" t="str">
        <f ca="1">IF(Tableau1[[#This Row],[HS]]*24&gt;8,Tableau1[[#This Row],[HS]]-Tableau1[[#This Row],[Dont
HS 30%]],"")</f>
        <v/>
      </c>
      <c r="P253" s="18" t="e">
        <f ca="1">Tableau1[[#This Row],[Dont
HS 30%]]*1.3</f>
        <v>#VALUE!</v>
      </c>
      <c r="Q253" s="18" t="e">
        <f ca="1">Tableau1[[#This Row],[Dont 
HS 50%]]*1.5</f>
        <v>#VALUE!</v>
      </c>
    </row>
    <row r="254" spans="2:17" hidden="1" x14ac:dyDescent="0.25">
      <c r="B254" s="37">
        <f>_xlfn.ISOWEEKNUM(Tableau1[[#This Row],[Date]])</f>
        <v>49</v>
      </c>
      <c r="C254" s="14">
        <f>debut+ROW()-ROW(Tableau1[[#Headers],[Date]])-1</f>
        <v>44901</v>
      </c>
      <c r="D254" s="16">
        <f>MONTH(Tableau1[[#This Row],[Date]])</f>
        <v>12</v>
      </c>
      <c r="E254" s="16">
        <f>YEAR(Tableau1[[#This Row],[Date]])</f>
        <v>2022</v>
      </c>
      <c r="F254" s="32"/>
      <c r="G254" s="32"/>
      <c r="H254" s="32"/>
      <c r="I254" s="32"/>
      <c r="J254" s="3"/>
      <c r="K254" s="18">
        <f>MOD(Tableau1[[#This Row],[Fin
apm]]-Tableau1[[#This Row],[Début
apm]],1)+MOD(Tableau1[[#This Row],[Fin
matin]]-Tableau1[[#This Row],[Début
matin]],1)</f>
        <v>0</v>
      </c>
      <c r="L254" s="18">
        <f>IFERROR(VLOOKUP(Tableau1[[#This Row],[Abs.]],Tmotif[],3,0),0)</f>
        <v>0</v>
      </c>
      <c r="M254" s="18">
        <f ca="1">IF(WEEKDAY(Tableau1[[#This Row],[Date]],2)&lt;7,0,MAX(0,SUM(OFFSET(Tableau1[[#This Row],[Heures]],-6,,7))+SUM(OFFSET(Tableau1[[#This Row],[H_Abs]],-6,,7))-_HS))</f>
        <v>0</v>
      </c>
      <c r="N254" s="18" t="str">
        <f ca="1">IF(Tableau1[[#This Row],[HS]]&gt;0,IF(Tableau1[[#This Row],[HS]]*24&gt;8,8/24,Tableau1[[#This Row],[HS]]),"")</f>
        <v/>
      </c>
      <c r="O254" s="18" t="str">
        <f ca="1">IF(Tableau1[[#This Row],[HS]]*24&gt;8,Tableau1[[#This Row],[HS]]-Tableau1[[#This Row],[Dont
HS 30%]],"")</f>
        <v/>
      </c>
      <c r="P254" s="18" t="e">
        <f ca="1">Tableau1[[#This Row],[Dont
HS 30%]]*1.3</f>
        <v>#VALUE!</v>
      </c>
      <c r="Q254" s="18" t="e">
        <f ca="1">Tableau1[[#This Row],[Dont 
HS 50%]]*1.5</f>
        <v>#VALUE!</v>
      </c>
    </row>
    <row r="255" spans="2:17" hidden="1" x14ac:dyDescent="0.25">
      <c r="B255" s="37">
        <f>_xlfn.ISOWEEKNUM(Tableau1[[#This Row],[Date]])</f>
        <v>49</v>
      </c>
      <c r="C255" s="14">
        <f>debut+ROW()-ROW(Tableau1[[#Headers],[Date]])-1</f>
        <v>44902</v>
      </c>
      <c r="D255" s="16">
        <f>MONTH(Tableau1[[#This Row],[Date]])</f>
        <v>12</v>
      </c>
      <c r="E255" s="16">
        <f>YEAR(Tableau1[[#This Row],[Date]])</f>
        <v>2022</v>
      </c>
      <c r="F255" s="32"/>
      <c r="G255" s="32"/>
      <c r="H255" s="32"/>
      <c r="I255" s="32"/>
      <c r="J255" s="3"/>
      <c r="K255" s="18">
        <f>MOD(Tableau1[[#This Row],[Fin
apm]]-Tableau1[[#This Row],[Début
apm]],1)+MOD(Tableau1[[#This Row],[Fin
matin]]-Tableau1[[#This Row],[Début
matin]],1)</f>
        <v>0</v>
      </c>
      <c r="L255" s="18">
        <f>IFERROR(VLOOKUP(Tableau1[[#This Row],[Abs.]],Tmotif[],3,0),0)</f>
        <v>0</v>
      </c>
      <c r="M255" s="18">
        <f ca="1">IF(WEEKDAY(Tableau1[[#This Row],[Date]],2)&lt;7,0,MAX(0,SUM(OFFSET(Tableau1[[#This Row],[Heures]],-6,,7))+SUM(OFFSET(Tableau1[[#This Row],[H_Abs]],-6,,7))-_HS))</f>
        <v>0</v>
      </c>
      <c r="N255" s="18" t="str">
        <f ca="1">IF(Tableau1[[#This Row],[HS]]&gt;0,IF(Tableau1[[#This Row],[HS]]*24&gt;8,8/24,Tableau1[[#This Row],[HS]]),"")</f>
        <v/>
      </c>
      <c r="O255" s="18" t="str">
        <f ca="1">IF(Tableau1[[#This Row],[HS]]*24&gt;8,Tableau1[[#This Row],[HS]]-Tableau1[[#This Row],[Dont
HS 30%]],"")</f>
        <v/>
      </c>
      <c r="P255" s="18" t="e">
        <f ca="1">Tableau1[[#This Row],[Dont
HS 30%]]*1.3</f>
        <v>#VALUE!</v>
      </c>
      <c r="Q255" s="18" t="e">
        <f ca="1">Tableau1[[#This Row],[Dont 
HS 50%]]*1.5</f>
        <v>#VALUE!</v>
      </c>
    </row>
    <row r="256" spans="2:17" hidden="1" x14ac:dyDescent="0.25">
      <c r="B256" s="37">
        <f>_xlfn.ISOWEEKNUM(Tableau1[[#This Row],[Date]])</f>
        <v>49</v>
      </c>
      <c r="C256" s="14">
        <f>debut+ROW()-ROW(Tableau1[[#Headers],[Date]])-1</f>
        <v>44903</v>
      </c>
      <c r="D256" s="16">
        <f>MONTH(Tableau1[[#This Row],[Date]])</f>
        <v>12</v>
      </c>
      <c r="E256" s="16">
        <f>YEAR(Tableau1[[#This Row],[Date]])</f>
        <v>2022</v>
      </c>
      <c r="F256" s="32"/>
      <c r="G256" s="32"/>
      <c r="H256" s="32"/>
      <c r="I256" s="32"/>
      <c r="J256" s="3"/>
      <c r="K256" s="18">
        <f>MOD(Tableau1[[#This Row],[Fin
apm]]-Tableau1[[#This Row],[Début
apm]],1)+MOD(Tableau1[[#This Row],[Fin
matin]]-Tableau1[[#This Row],[Début
matin]],1)</f>
        <v>0</v>
      </c>
      <c r="L256" s="18">
        <f>IFERROR(VLOOKUP(Tableau1[[#This Row],[Abs.]],Tmotif[],3,0),0)</f>
        <v>0</v>
      </c>
      <c r="M256" s="18">
        <f ca="1">IF(WEEKDAY(Tableau1[[#This Row],[Date]],2)&lt;7,0,MAX(0,SUM(OFFSET(Tableau1[[#This Row],[Heures]],-6,,7))+SUM(OFFSET(Tableau1[[#This Row],[H_Abs]],-6,,7))-_HS))</f>
        <v>0</v>
      </c>
      <c r="N256" s="18" t="str">
        <f ca="1">IF(Tableau1[[#This Row],[HS]]&gt;0,IF(Tableau1[[#This Row],[HS]]*24&gt;8,8/24,Tableau1[[#This Row],[HS]]),"")</f>
        <v/>
      </c>
      <c r="O256" s="18" t="str">
        <f ca="1">IF(Tableau1[[#This Row],[HS]]*24&gt;8,Tableau1[[#This Row],[HS]]-Tableau1[[#This Row],[Dont
HS 30%]],"")</f>
        <v/>
      </c>
      <c r="P256" s="18" t="e">
        <f ca="1">Tableau1[[#This Row],[Dont
HS 30%]]*1.3</f>
        <v>#VALUE!</v>
      </c>
      <c r="Q256" s="18" t="e">
        <f ca="1">Tableau1[[#This Row],[Dont 
HS 50%]]*1.5</f>
        <v>#VALUE!</v>
      </c>
    </row>
    <row r="257" spans="2:17" hidden="1" x14ac:dyDescent="0.25">
      <c r="B257" s="37">
        <f>_xlfn.ISOWEEKNUM(Tableau1[[#This Row],[Date]])</f>
        <v>49</v>
      </c>
      <c r="C257" s="14">
        <f>debut+ROW()-ROW(Tableau1[[#Headers],[Date]])-1</f>
        <v>44904</v>
      </c>
      <c r="D257" s="16">
        <f>MONTH(Tableau1[[#This Row],[Date]])</f>
        <v>12</v>
      </c>
      <c r="E257" s="16">
        <f>YEAR(Tableau1[[#This Row],[Date]])</f>
        <v>2022</v>
      </c>
      <c r="F257" s="32"/>
      <c r="G257" s="32"/>
      <c r="H257" s="32"/>
      <c r="I257" s="32"/>
      <c r="J257" s="3"/>
      <c r="K257" s="18">
        <f>MOD(Tableau1[[#This Row],[Fin
apm]]-Tableau1[[#This Row],[Début
apm]],1)+MOD(Tableau1[[#This Row],[Fin
matin]]-Tableau1[[#This Row],[Début
matin]],1)</f>
        <v>0</v>
      </c>
      <c r="L257" s="18">
        <f>IFERROR(VLOOKUP(Tableau1[[#This Row],[Abs.]],Tmotif[],3,0),0)</f>
        <v>0</v>
      </c>
      <c r="M257" s="18">
        <f ca="1">IF(WEEKDAY(Tableau1[[#This Row],[Date]],2)&lt;7,0,MAX(0,SUM(OFFSET(Tableau1[[#This Row],[Heures]],-6,,7))+SUM(OFFSET(Tableau1[[#This Row],[H_Abs]],-6,,7))-_HS))</f>
        <v>0</v>
      </c>
      <c r="N257" s="18" t="str">
        <f ca="1">IF(Tableau1[[#This Row],[HS]]&gt;0,IF(Tableau1[[#This Row],[HS]]*24&gt;8,8/24,Tableau1[[#This Row],[HS]]),"")</f>
        <v/>
      </c>
      <c r="O257" s="18" t="str">
        <f ca="1">IF(Tableau1[[#This Row],[HS]]*24&gt;8,Tableau1[[#This Row],[HS]]-Tableau1[[#This Row],[Dont
HS 30%]],"")</f>
        <v/>
      </c>
      <c r="P257" s="18" t="e">
        <f ca="1">Tableau1[[#This Row],[Dont
HS 30%]]*1.3</f>
        <v>#VALUE!</v>
      </c>
      <c r="Q257" s="18" t="e">
        <f ca="1">Tableau1[[#This Row],[Dont 
HS 50%]]*1.5</f>
        <v>#VALUE!</v>
      </c>
    </row>
    <row r="258" spans="2:17" hidden="1" x14ac:dyDescent="0.25">
      <c r="B258" s="37">
        <f>_xlfn.ISOWEEKNUM(Tableau1[[#This Row],[Date]])</f>
        <v>49</v>
      </c>
      <c r="C258" s="14">
        <f>debut+ROW()-ROW(Tableau1[[#Headers],[Date]])-1</f>
        <v>44905</v>
      </c>
      <c r="D258" s="16">
        <f>MONTH(Tableau1[[#This Row],[Date]])</f>
        <v>12</v>
      </c>
      <c r="E258" s="16">
        <f>YEAR(Tableau1[[#This Row],[Date]])</f>
        <v>2022</v>
      </c>
      <c r="F258" s="32"/>
      <c r="G258" s="32"/>
      <c r="H258" s="32"/>
      <c r="I258" s="32"/>
      <c r="J258" s="3"/>
      <c r="K258" s="18">
        <f>MOD(Tableau1[[#This Row],[Fin
apm]]-Tableau1[[#This Row],[Début
apm]],1)+MOD(Tableau1[[#This Row],[Fin
matin]]-Tableau1[[#This Row],[Début
matin]],1)</f>
        <v>0</v>
      </c>
      <c r="L258" s="18">
        <f>IFERROR(VLOOKUP(Tableau1[[#This Row],[Abs.]],Tmotif[],3,0),0)</f>
        <v>0</v>
      </c>
      <c r="M258" s="18">
        <f ca="1">IF(WEEKDAY(Tableau1[[#This Row],[Date]],2)&lt;7,0,MAX(0,SUM(OFFSET(Tableau1[[#This Row],[Heures]],-6,,7))+SUM(OFFSET(Tableau1[[#This Row],[H_Abs]],-6,,7))-_HS))</f>
        <v>0</v>
      </c>
      <c r="N258" s="18" t="str">
        <f ca="1">IF(Tableau1[[#This Row],[HS]]&gt;0,IF(Tableau1[[#This Row],[HS]]*24&gt;8,8/24,Tableau1[[#This Row],[HS]]),"")</f>
        <v/>
      </c>
      <c r="O258" s="18" t="str">
        <f ca="1">IF(Tableau1[[#This Row],[HS]]*24&gt;8,Tableau1[[#This Row],[HS]]-Tableau1[[#This Row],[Dont
HS 30%]],"")</f>
        <v/>
      </c>
      <c r="P258" s="18" t="e">
        <f ca="1">Tableau1[[#This Row],[Dont
HS 30%]]*1.3</f>
        <v>#VALUE!</v>
      </c>
      <c r="Q258" s="18" t="e">
        <f ca="1">Tableau1[[#This Row],[Dont 
HS 50%]]*1.5</f>
        <v>#VALUE!</v>
      </c>
    </row>
    <row r="259" spans="2:17" hidden="1" x14ac:dyDescent="0.25">
      <c r="B259" s="37">
        <f>_xlfn.ISOWEEKNUM(Tableau1[[#This Row],[Date]])</f>
        <v>49</v>
      </c>
      <c r="C259" s="14">
        <f>debut+ROW()-ROW(Tableau1[[#Headers],[Date]])-1</f>
        <v>44906</v>
      </c>
      <c r="D259" s="16">
        <f>MONTH(Tableau1[[#This Row],[Date]])</f>
        <v>12</v>
      </c>
      <c r="E259" s="16">
        <f>YEAR(Tableau1[[#This Row],[Date]])</f>
        <v>2022</v>
      </c>
      <c r="F259" s="32"/>
      <c r="G259" s="32"/>
      <c r="H259" s="32"/>
      <c r="I259" s="32"/>
      <c r="J259" s="3"/>
      <c r="K259" s="18">
        <f>MOD(Tableau1[[#This Row],[Fin
apm]]-Tableau1[[#This Row],[Début
apm]],1)+MOD(Tableau1[[#This Row],[Fin
matin]]-Tableau1[[#This Row],[Début
matin]],1)</f>
        <v>0</v>
      </c>
      <c r="L259" s="18">
        <f>IFERROR(VLOOKUP(Tableau1[[#This Row],[Abs.]],Tmotif[],3,0),0)</f>
        <v>0</v>
      </c>
      <c r="M259" s="18">
        <f ca="1">IF(WEEKDAY(Tableau1[[#This Row],[Date]],2)&lt;7,0,MAX(0,SUM(OFFSET(Tableau1[[#This Row],[Heures]],-6,,7))+SUM(OFFSET(Tableau1[[#This Row],[H_Abs]],-6,,7))-_HS))</f>
        <v>0</v>
      </c>
      <c r="N259" s="18" t="str">
        <f ca="1">IF(Tableau1[[#This Row],[HS]]&gt;0,IF(Tableau1[[#This Row],[HS]]*24&gt;8,8/24,Tableau1[[#This Row],[HS]]),"")</f>
        <v/>
      </c>
      <c r="O259" s="18" t="str">
        <f ca="1">IF(Tableau1[[#This Row],[HS]]*24&gt;8,Tableau1[[#This Row],[HS]]-Tableau1[[#This Row],[Dont
HS 30%]],"")</f>
        <v/>
      </c>
      <c r="P259" s="18" t="e">
        <f ca="1">Tableau1[[#This Row],[Dont
HS 30%]]*1.3</f>
        <v>#VALUE!</v>
      </c>
      <c r="Q259" s="18" t="e">
        <f ca="1">Tableau1[[#This Row],[Dont 
HS 50%]]*1.5</f>
        <v>#VALUE!</v>
      </c>
    </row>
    <row r="260" spans="2:17" hidden="1" x14ac:dyDescent="0.25">
      <c r="B260" s="37">
        <f>_xlfn.ISOWEEKNUM(Tableau1[[#This Row],[Date]])</f>
        <v>50</v>
      </c>
      <c r="C260" s="14">
        <f>debut+ROW()-ROW(Tableau1[[#Headers],[Date]])-1</f>
        <v>44907</v>
      </c>
      <c r="D260" s="16">
        <f>MONTH(Tableau1[[#This Row],[Date]])</f>
        <v>12</v>
      </c>
      <c r="E260" s="16">
        <f>YEAR(Tableau1[[#This Row],[Date]])</f>
        <v>2022</v>
      </c>
      <c r="F260" s="32"/>
      <c r="G260" s="32"/>
      <c r="H260" s="32"/>
      <c r="I260" s="32"/>
      <c r="J260" s="3"/>
      <c r="K260" s="18">
        <f>MOD(Tableau1[[#This Row],[Fin
apm]]-Tableau1[[#This Row],[Début
apm]],1)+MOD(Tableau1[[#This Row],[Fin
matin]]-Tableau1[[#This Row],[Début
matin]],1)</f>
        <v>0</v>
      </c>
      <c r="L260" s="18">
        <f>IFERROR(VLOOKUP(Tableau1[[#This Row],[Abs.]],Tmotif[],3,0),0)</f>
        <v>0</v>
      </c>
      <c r="M260" s="18">
        <f ca="1">IF(WEEKDAY(Tableau1[[#This Row],[Date]],2)&lt;7,0,MAX(0,SUM(OFFSET(Tableau1[[#This Row],[Heures]],-6,,7))+SUM(OFFSET(Tableau1[[#This Row],[H_Abs]],-6,,7))-_HS))</f>
        <v>0</v>
      </c>
      <c r="N260" s="18" t="str">
        <f ca="1">IF(Tableau1[[#This Row],[HS]]&gt;0,IF(Tableau1[[#This Row],[HS]]*24&gt;8,8/24,Tableau1[[#This Row],[HS]]),"")</f>
        <v/>
      </c>
      <c r="O260" s="18" t="str">
        <f ca="1">IF(Tableau1[[#This Row],[HS]]*24&gt;8,Tableau1[[#This Row],[HS]]-Tableau1[[#This Row],[Dont
HS 30%]],"")</f>
        <v/>
      </c>
      <c r="P260" s="18" t="e">
        <f ca="1">Tableau1[[#This Row],[Dont
HS 30%]]*1.3</f>
        <v>#VALUE!</v>
      </c>
      <c r="Q260" s="18" t="e">
        <f ca="1">Tableau1[[#This Row],[Dont 
HS 50%]]*1.5</f>
        <v>#VALUE!</v>
      </c>
    </row>
    <row r="261" spans="2:17" hidden="1" x14ac:dyDescent="0.25">
      <c r="B261" s="37">
        <f>_xlfn.ISOWEEKNUM(Tableau1[[#This Row],[Date]])</f>
        <v>50</v>
      </c>
      <c r="C261" s="14">
        <f>debut+ROW()-ROW(Tableau1[[#Headers],[Date]])-1</f>
        <v>44908</v>
      </c>
      <c r="D261" s="16">
        <f>MONTH(Tableau1[[#This Row],[Date]])</f>
        <v>12</v>
      </c>
      <c r="E261" s="16">
        <f>YEAR(Tableau1[[#This Row],[Date]])</f>
        <v>2022</v>
      </c>
      <c r="F261" s="32"/>
      <c r="G261" s="32"/>
      <c r="H261" s="32"/>
      <c r="I261" s="32"/>
      <c r="J261" s="3"/>
      <c r="K261" s="18">
        <f>MOD(Tableau1[[#This Row],[Fin
apm]]-Tableau1[[#This Row],[Début
apm]],1)+MOD(Tableau1[[#This Row],[Fin
matin]]-Tableau1[[#This Row],[Début
matin]],1)</f>
        <v>0</v>
      </c>
      <c r="L261" s="18">
        <f>IFERROR(VLOOKUP(Tableau1[[#This Row],[Abs.]],Tmotif[],3,0),0)</f>
        <v>0</v>
      </c>
      <c r="M261" s="18">
        <f ca="1">IF(WEEKDAY(Tableau1[[#This Row],[Date]],2)&lt;7,0,MAX(0,SUM(OFFSET(Tableau1[[#This Row],[Heures]],-6,,7))+SUM(OFFSET(Tableau1[[#This Row],[H_Abs]],-6,,7))-_HS))</f>
        <v>0</v>
      </c>
      <c r="N261" s="18" t="str">
        <f ca="1">IF(Tableau1[[#This Row],[HS]]&gt;0,IF(Tableau1[[#This Row],[HS]]*24&gt;8,8/24,Tableau1[[#This Row],[HS]]),"")</f>
        <v/>
      </c>
      <c r="O261" s="18" t="str">
        <f ca="1">IF(Tableau1[[#This Row],[HS]]*24&gt;8,Tableau1[[#This Row],[HS]]-Tableau1[[#This Row],[Dont
HS 30%]],"")</f>
        <v/>
      </c>
      <c r="P261" s="18" t="e">
        <f ca="1">Tableau1[[#This Row],[Dont
HS 30%]]*1.3</f>
        <v>#VALUE!</v>
      </c>
      <c r="Q261" s="18" t="e">
        <f ca="1">Tableau1[[#This Row],[Dont 
HS 50%]]*1.5</f>
        <v>#VALUE!</v>
      </c>
    </row>
    <row r="262" spans="2:17" hidden="1" x14ac:dyDescent="0.25">
      <c r="B262" s="37">
        <f>_xlfn.ISOWEEKNUM(Tableau1[[#This Row],[Date]])</f>
        <v>50</v>
      </c>
      <c r="C262" s="14">
        <f>debut+ROW()-ROW(Tableau1[[#Headers],[Date]])-1</f>
        <v>44909</v>
      </c>
      <c r="D262" s="16">
        <f>MONTH(Tableau1[[#This Row],[Date]])</f>
        <v>12</v>
      </c>
      <c r="E262" s="16">
        <f>YEAR(Tableau1[[#This Row],[Date]])</f>
        <v>2022</v>
      </c>
      <c r="F262" s="32"/>
      <c r="G262" s="32"/>
      <c r="H262" s="32"/>
      <c r="I262" s="32"/>
      <c r="J262" s="3"/>
      <c r="K262" s="18">
        <f>MOD(Tableau1[[#This Row],[Fin
apm]]-Tableau1[[#This Row],[Début
apm]],1)+MOD(Tableau1[[#This Row],[Fin
matin]]-Tableau1[[#This Row],[Début
matin]],1)</f>
        <v>0</v>
      </c>
      <c r="L262" s="18">
        <f>IFERROR(VLOOKUP(Tableau1[[#This Row],[Abs.]],Tmotif[],3,0),0)</f>
        <v>0</v>
      </c>
      <c r="M262" s="18">
        <f ca="1">IF(WEEKDAY(Tableau1[[#This Row],[Date]],2)&lt;7,0,MAX(0,SUM(OFFSET(Tableau1[[#This Row],[Heures]],-6,,7))+SUM(OFFSET(Tableau1[[#This Row],[H_Abs]],-6,,7))-_HS))</f>
        <v>0</v>
      </c>
      <c r="N262" s="18" t="str">
        <f ca="1">IF(Tableau1[[#This Row],[HS]]&gt;0,IF(Tableau1[[#This Row],[HS]]*24&gt;8,8/24,Tableau1[[#This Row],[HS]]),"")</f>
        <v/>
      </c>
      <c r="O262" s="18" t="str">
        <f ca="1">IF(Tableau1[[#This Row],[HS]]*24&gt;8,Tableau1[[#This Row],[HS]]-Tableau1[[#This Row],[Dont
HS 30%]],"")</f>
        <v/>
      </c>
      <c r="P262" s="18" t="e">
        <f ca="1">Tableau1[[#This Row],[Dont
HS 30%]]*1.3</f>
        <v>#VALUE!</v>
      </c>
      <c r="Q262" s="18" t="e">
        <f ca="1">Tableau1[[#This Row],[Dont 
HS 50%]]*1.5</f>
        <v>#VALUE!</v>
      </c>
    </row>
    <row r="263" spans="2:17" hidden="1" x14ac:dyDescent="0.25">
      <c r="B263" s="37">
        <f>_xlfn.ISOWEEKNUM(Tableau1[[#This Row],[Date]])</f>
        <v>50</v>
      </c>
      <c r="C263" s="14">
        <f>debut+ROW()-ROW(Tableau1[[#Headers],[Date]])-1</f>
        <v>44910</v>
      </c>
      <c r="D263" s="16">
        <f>MONTH(Tableau1[[#This Row],[Date]])</f>
        <v>12</v>
      </c>
      <c r="E263" s="16">
        <f>YEAR(Tableau1[[#This Row],[Date]])</f>
        <v>2022</v>
      </c>
      <c r="F263" s="32"/>
      <c r="G263" s="32"/>
      <c r="H263" s="32"/>
      <c r="I263" s="32"/>
      <c r="J263" s="3"/>
      <c r="K263" s="18">
        <f>MOD(Tableau1[[#This Row],[Fin
apm]]-Tableau1[[#This Row],[Début
apm]],1)+MOD(Tableau1[[#This Row],[Fin
matin]]-Tableau1[[#This Row],[Début
matin]],1)</f>
        <v>0</v>
      </c>
      <c r="L263" s="18">
        <f>IFERROR(VLOOKUP(Tableau1[[#This Row],[Abs.]],Tmotif[],3,0),0)</f>
        <v>0</v>
      </c>
      <c r="M263" s="18">
        <f ca="1">IF(WEEKDAY(Tableau1[[#This Row],[Date]],2)&lt;7,0,MAX(0,SUM(OFFSET(Tableau1[[#This Row],[Heures]],-6,,7))+SUM(OFFSET(Tableau1[[#This Row],[H_Abs]],-6,,7))-_HS))</f>
        <v>0</v>
      </c>
      <c r="N263" s="18" t="str">
        <f ca="1">IF(Tableau1[[#This Row],[HS]]&gt;0,IF(Tableau1[[#This Row],[HS]]*24&gt;8,8/24,Tableau1[[#This Row],[HS]]),"")</f>
        <v/>
      </c>
      <c r="O263" s="18" t="str">
        <f ca="1">IF(Tableau1[[#This Row],[HS]]*24&gt;8,Tableau1[[#This Row],[HS]]-Tableau1[[#This Row],[Dont
HS 30%]],"")</f>
        <v/>
      </c>
      <c r="P263" s="18" t="e">
        <f ca="1">Tableau1[[#This Row],[Dont
HS 30%]]*1.3</f>
        <v>#VALUE!</v>
      </c>
      <c r="Q263" s="18" t="e">
        <f ca="1">Tableau1[[#This Row],[Dont 
HS 50%]]*1.5</f>
        <v>#VALUE!</v>
      </c>
    </row>
    <row r="264" spans="2:17" hidden="1" x14ac:dyDescent="0.25">
      <c r="B264" s="37">
        <f>_xlfn.ISOWEEKNUM(Tableau1[[#This Row],[Date]])</f>
        <v>50</v>
      </c>
      <c r="C264" s="14">
        <f>debut+ROW()-ROW(Tableau1[[#Headers],[Date]])-1</f>
        <v>44911</v>
      </c>
      <c r="D264" s="16">
        <f>MONTH(Tableau1[[#This Row],[Date]])</f>
        <v>12</v>
      </c>
      <c r="E264" s="16">
        <f>YEAR(Tableau1[[#This Row],[Date]])</f>
        <v>2022</v>
      </c>
      <c r="F264" s="32"/>
      <c r="G264" s="32"/>
      <c r="H264" s="32"/>
      <c r="I264" s="32"/>
      <c r="J264" s="3"/>
      <c r="K264" s="18">
        <f>MOD(Tableau1[[#This Row],[Fin
apm]]-Tableau1[[#This Row],[Début
apm]],1)+MOD(Tableau1[[#This Row],[Fin
matin]]-Tableau1[[#This Row],[Début
matin]],1)</f>
        <v>0</v>
      </c>
      <c r="L264" s="18">
        <f>IFERROR(VLOOKUP(Tableau1[[#This Row],[Abs.]],Tmotif[],3,0),0)</f>
        <v>0</v>
      </c>
      <c r="M264" s="18">
        <f ca="1">IF(WEEKDAY(Tableau1[[#This Row],[Date]],2)&lt;7,0,MAX(0,SUM(OFFSET(Tableau1[[#This Row],[Heures]],-6,,7))+SUM(OFFSET(Tableau1[[#This Row],[H_Abs]],-6,,7))-_HS))</f>
        <v>0</v>
      </c>
      <c r="N264" s="18" t="str">
        <f ca="1">IF(Tableau1[[#This Row],[HS]]&gt;0,IF(Tableau1[[#This Row],[HS]]*24&gt;8,8/24,Tableau1[[#This Row],[HS]]),"")</f>
        <v/>
      </c>
      <c r="O264" s="18" t="str">
        <f ca="1">IF(Tableau1[[#This Row],[HS]]*24&gt;8,Tableau1[[#This Row],[HS]]-Tableau1[[#This Row],[Dont
HS 30%]],"")</f>
        <v/>
      </c>
      <c r="P264" s="18" t="e">
        <f ca="1">Tableau1[[#This Row],[Dont
HS 30%]]*1.3</f>
        <v>#VALUE!</v>
      </c>
      <c r="Q264" s="18" t="e">
        <f ca="1">Tableau1[[#This Row],[Dont 
HS 50%]]*1.5</f>
        <v>#VALUE!</v>
      </c>
    </row>
    <row r="265" spans="2:17" hidden="1" x14ac:dyDescent="0.25">
      <c r="B265" s="37">
        <f>_xlfn.ISOWEEKNUM(Tableau1[[#This Row],[Date]])</f>
        <v>50</v>
      </c>
      <c r="C265" s="14">
        <f>debut+ROW()-ROW(Tableau1[[#Headers],[Date]])-1</f>
        <v>44912</v>
      </c>
      <c r="D265" s="16">
        <f>MONTH(Tableau1[[#This Row],[Date]])</f>
        <v>12</v>
      </c>
      <c r="E265" s="16">
        <f>YEAR(Tableau1[[#This Row],[Date]])</f>
        <v>2022</v>
      </c>
      <c r="F265" s="32"/>
      <c r="G265" s="32"/>
      <c r="H265" s="32"/>
      <c r="I265" s="32"/>
      <c r="J265" s="3"/>
      <c r="K265" s="18">
        <f>MOD(Tableau1[[#This Row],[Fin
apm]]-Tableau1[[#This Row],[Début
apm]],1)+MOD(Tableau1[[#This Row],[Fin
matin]]-Tableau1[[#This Row],[Début
matin]],1)</f>
        <v>0</v>
      </c>
      <c r="L265" s="18">
        <f>IFERROR(VLOOKUP(Tableau1[[#This Row],[Abs.]],Tmotif[],3,0),0)</f>
        <v>0</v>
      </c>
      <c r="M265" s="18">
        <f ca="1">IF(WEEKDAY(Tableau1[[#This Row],[Date]],2)&lt;7,0,MAX(0,SUM(OFFSET(Tableau1[[#This Row],[Heures]],-6,,7))+SUM(OFFSET(Tableau1[[#This Row],[H_Abs]],-6,,7))-_HS))</f>
        <v>0</v>
      </c>
      <c r="N265" s="18" t="str">
        <f ca="1">IF(Tableau1[[#This Row],[HS]]&gt;0,IF(Tableau1[[#This Row],[HS]]*24&gt;8,8/24,Tableau1[[#This Row],[HS]]),"")</f>
        <v/>
      </c>
      <c r="O265" s="18" t="str">
        <f ca="1">IF(Tableau1[[#This Row],[HS]]*24&gt;8,Tableau1[[#This Row],[HS]]-Tableau1[[#This Row],[Dont
HS 30%]],"")</f>
        <v/>
      </c>
      <c r="P265" s="18" t="e">
        <f ca="1">Tableau1[[#This Row],[Dont
HS 30%]]*1.3</f>
        <v>#VALUE!</v>
      </c>
      <c r="Q265" s="18" t="e">
        <f ca="1">Tableau1[[#This Row],[Dont 
HS 50%]]*1.5</f>
        <v>#VALUE!</v>
      </c>
    </row>
    <row r="266" spans="2:17" hidden="1" x14ac:dyDescent="0.25">
      <c r="B266" s="37">
        <f>_xlfn.ISOWEEKNUM(Tableau1[[#This Row],[Date]])</f>
        <v>50</v>
      </c>
      <c r="C266" s="14">
        <f>debut+ROW()-ROW(Tableau1[[#Headers],[Date]])-1</f>
        <v>44913</v>
      </c>
      <c r="D266" s="16">
        <f>MONTH(Tableau1[[#This Row],[Date]])</f>
        <v>12</v>
      </c>
      <c r="E266" s="16">
        <f>YEAR(Tableau1[[#This Row],[Date]])</f>
        <v>2022</v>
      </c>
      <c r="F266" s="32"/>
      <c r="G266" s="32"/>
      <c r="H266" s="32"/>
      <c r="I266" s="32"/>
      <c r="J266" s="3"/>
      <c r="K266" s="18">
        <f>MOD(Tableau1[[#This Row],[Fin
apm]]-Tableau1[[#This Row],[Début
apm]],1)+MOD(Tableau1[[#This Row],[Fin
matin]]-Tableau1[[#This Row],[Début
matin]],1)</f>
        <v>0</v>
      </c>
      <c r="L266" s="18">
        <f>IFERROR(VLOOKUP(Tableau1[[#This Row],[Abs.]],Tmotif[],3,0),0)</f>
        <v>0</v>
      </c>
      <c r="M266" s="18">
        <f ca="1">IF(WEEKDAY(Tableau1[[#This Row],[Date]],2)&lt;7,0,MAX(0,SUM(OFFSET(Tableau1[[#This Row],[Heures]],-6,,7))+SUM(OFFSET(Tableau1[[#This Row],[H_Abs]],-6,,7))-_HS))</f>
        <v>0</v>
      </c>
      <c r="N266" s="18" t="str">
        <f ca="1">IF(Tableau1[[#This Row],[HS]]&gt;0,IF(Tableau1[[#This Row],[HS]]*24&gt;8,8/24,Tableau1[[#This Row],[HS]]),"")</f>
        <v/>
      </c>
      <c r="O266" s="18" t="str">
        <f ca="1">IF(Tableau1[[#This Row],[HS]]*24&gt;8,Tableau1[[#This Row],[HS]]-Tableau1[[#This Row],[Dont
HS 30%]],"")</f>
        <v/>
      </c>
      <c r="P266" s="18" t="e">
        <f ca="1">Tableau1[[#This Row],[Dont
HS 30%]]*1.3</f>
        <v>#VALUE!</v>
      </c>
      <c r="Q266" s="18" t="e">
        <f ca="1">Tableau1[[#This Row],[Dont 
HS 50%]]*1.5</f>
        <v>#VALUE!</v>
      </c>
    </row>
    <row r="267" spans="2:17" hidden="1" x14ac:dyDescent="0.25">
      <c r="B267" s="37">
        <f>_xlfn.ISOWEEKNUM(Tableau1[[#This Row],[Date]])</f>
        <v>51</v>
      </c>
      <c r="C267" s="14">
        <f>debut+ROW()-ROW(Tableau1[[#Headers],[Date]])-1</f>
        <v>44914</v>
      </c>
      <c r="D267" s="16">
        <f>MONTH(Tableau1[[#This Row],[Date]])</f>
        <v>12</v>
      </c>
      <c r="E267" s="16">
        <f>YEAR(Tableau1[[#This Row],[Date]])</f>
        <v>2022</v>
      </c>
      <c r="F267" s="32"/>
      <c r="G267" s="32"/>
      <c r="H267" s="32"/>
      <c r="I267" s="32"/>
      <c r="J267" s="3"/>
      <c r="K267" s="18">
        <f>MOD(Tableau1[[#This Row],[Fin
apm]]-Tableau1[[#This Row],[Début
apm]],1)+MOD(Tableau1[[#This Row],[Fin
matin]]-Tableau1[[#This Row],[Début
matin]],1)</f>
        <v>0</v>
      </c>
      <c r="L267" s="18">
        <f>IFERROR(VLOOKUP(Tableau1[[#This Row],[Abs.]],Tmotif[],3,0),0)</f>
        <v>0</v>
      </c>
      <c r="M267" s="18">
        <f ca="1">IF(WEEKDAY(Tableau1[[#This Row],[Date]],2)&lt;7,0,MAX(0,SUM(OFFSET(Tableau1[[#This Row],[Heures]],-6,,7))+SUM(OFFSET(Tableau1[[#This Row],[H_Abs]],-6,,7))-_HS))</f>
        <v>0</v>
      </c>
      <c r="N267" s="18" t="str">
        <f ca="1">IF(Tableau1[[#This Row],[HS]]&gt;0,IF(Tableau1[[#This Row],[HS]]*24&gt;8,8/24,Tableau1[[#This Row],[HS]]),"")</f>
        <v/>
      </c>
      <c r="O267" s="18" t="str">
        <f ca="1">IF(Tableau1[[#This Row],[HS]]*24&gt;8,Tableau1[[#This Row],[HS]]-Tableau1[[#This Row],[Dont
HS 30%]],"")</f>
        <v/>
      </c>
      <c r="P267" s="18" t="e">
        <f ca="1">Tableau1[[#This Row],[Dont
HS 30%]]*1.3</f>
        <v>#VALUE!</v>
      </c>
      <c r="Q267" s="18" t="e">
        <f ca="1">Tableau1[[#This Row],[Dont 
HS 50%]]*1.5</f>
        <v>#VALUE!</v>
      </c>
    </row>
    <row r="268" spans="2:17" hidden="1" x14ac:dyDescent="0.25">
      <c r="B268" s="37">
        <f>_xlfn.ISOWEEKNUM(Tableau1[[#This Row],[Date]])</f>
        <v>51</v>
      </c>
      <c r="C268" s="14">
        <f>debut+ROW()-ROW(Tableau1[[#Headers],[Date]])-1</f>
        <v>44915</v>
      </c>
      <c r="D268" s="16">
        <f>MONTH(Tableau1[[#This Row],[Date]])</f>
        <v>12</v>
      </c>
      <c r="E268" s="16">
        <f>YEAR(Tableau1[[#This Row],[Date]])</f>
        <v>2022</v>
      </c>
      <c r="F268" s="32"/>
      <c r="G268" s="32"/>
      <c r="H268" s="32"/>
      <c r="I268" s="32"/>
      <c r="J268" s="3"/>
      <c r="K268" s="18">
        <f>MOD(Tableau1[[#This Row],[Fin
apm]]-Tableau1[[#This Row],[Début
apm]],1)+MOD(Tableau1[[#This Row],[Fin
matin]]-Tableau1[[#This Row],[Début
matin]],1)</f>
        <v>0</v>
      </c>
      <c r="L268" s="18">
        <f>IFERROR(VLOOKUP(Tableau1[[#This Row],[Abs.]],Tmotif[],3,0),0)</f>
        <v>0</v>
      </c>
      <c r="M268" s="18">
        <f ca="1">IF(WEEKDAY(Tableau1[[#This Row],[Date]],2)&lt;7,0,MAX(0,SUM(OFFSET(Tableau1[[#This Row],[Heures]],-6,,7))+SUM(OFFSET(Tableau1[[#This Row],[H_Abs]],-6,,7))-_HS))</f>
        <v>0</v>
      </c>
      <c r="N268" s="18" t="str">
        <f ca="1">IF(Tableau1[[#This Row],[HS]]&gt;0,IF(Tableau1[[#This Row],[HS]]*24&gt;8,8/24,Tableau1[[#This Row],[HS]]),"")</f>
        <v/>
      </c>
      <c r="O268" s="18" t="str">
        <f ca="1">IF(Tableau1[[#This Row],[HS]]*24&gt;8,Tableau1[[#This Row],[HS]]-Tableau1[[#This Row],[Dont
HS 30%]],"")</f>
        <v/>
      </c>
      <c r="P268" s="18" t="e">
        <f ca="1">Tableau1[[#This Row],[Dont
HS 30%]]*1.3</f>
        <v>#VALUE!</v>
      </c>
      <c r="Q268" s="18" t="e">
        <f ca="1">Tableau1[[#This Row],[Dont 
HS 50%]]*1.5</f>
        <v>#VALUE!</v>
      </c>
    </row>
    <row r="269" spans="2:17" hidden="1" x14ac:dyDescent="0.25">
      <c r="B269" s="37">
        <f>_xlfn.ISOWEEKNUM(Tableau1[[#This Row],[Date]])</f>
        <v>51</v>
      </c>
      <c r="C269" s="14">
        <f>debut+ROW()-ROW(Tableau1[[#Headers],[Date]])-1</f>
        <v>44916</v>
      </c>
      <c r="D269" s="16">
        <f>MONTH(Tableau1[[#This Row],[Date]])</f>
        <v>12</v>
      </c>
      <c r="E269" s="16">
        <f>YEAR(Tableau1[[#This Row],[Date]])</f>
        <v>2022</v>
      </c>
      <c r="F269" s="32"/>
      <c r="G269" s="32"/>
      <c r="H269" s="32"/>
      <c r="I269" s="32"/>
      <c r="J269" s="3"/>
      <c r="K269" s="18">
        <f>MOD(Tableau1[[#This Row],[Fin
apm]]-Tableau1[[#This Row],[Début
apm]],1)+MOD(Tableau1[[#This Row],[Fin
matin]]-Tableau1[[#This Row],[Début
matin]],1)</f>
        <v>0</v>
      </c>
      <c r="L269" s="18">
        <f>IFERROR(VLOOKUP(Tableau1[[#This Row],[Abs.]],Tmotif[],3,0),0)</f>
        <v>0</v>
      </c>
      <c r="M269" s="18">
        <f ca="1">IF(WEEKDAY(Tableau1[[#This Row],[Date]],2)&lt;7,0,MAX(0,SUM(OFFSET(Tableau1[[#This Row],[Heures]],-6,,7))+SUM(OFFSET(Tableau1[[#This Row],[H_Abs]],-6,,7))-_HS))</f>
        <v>0</v>
      </c>
      <c r="N269" s="18" t="str">
        <f ca="1">IF(Tableau1[[#This Row],[HS]]&gt;0,IF(Tableau1[[#This Row],[HS]]*24&gt;8,8/24,Tableau1[[#This Row],[HS]]),"")</f>
        <v/>
      </c>
      <c r="O269" s="18" t="str">
        <f ca="1">IF(Tableau1[[#This Row],[HS]]*24&gt;8,Tableau1[[#This Row],[HS]]-Tableau1[[#This Row],[Dont
HS 30%]],"")</f>
        <v/>
      </c>
      <c r="P269" s="18" t="e">
        <f ca="1">Tableau1[[#This Row],[Dont
HS 30%]]*1.3</f>
        <v>#VALUE!</v>
      </c>
      <c r="Q269" s="18" t="e">
        <f ca="1">Tableau1[[#This Row],[Dont 
HS 50%]]*1.5</f>
        <v>#VALUE!</v>
      </c>
    </row>
    <row r="270" spans="2:17" hidden="1" x14ac:dyDescent="0.25">
      <c r="B270" s="37">
        <f>_xlfn.ISOWEEKNUM(Tableau1[[#This Row],[Date]])</f>
        <v>51</v>
      </c>
      <c r="C270" s="14">
        <f>debut+ROW()-ROW(Tableau1[[#Headers],[Date]])-1</f>
        <v>44917</v>
      </c>
      <c r="D270" s="16">
        <f>MONTH(Tableau1[[#This Row],[Date]])</f>
        <v>12</v>
      </c>
      <c r="E270" s="16">
        <f>YEAR(Tableau1[[#This Row],[Date]])</f>
        <v>2022</v>
      </c>
      <c r="F270" s="32"/>
      <c r="G270" s="32"/>
      <c r="H270" s="32"/>
      <c r="I270" s="32"/>
      <c r="J270" s="3"/>
      <c r="K270" s="18">
        <f>MOD(Tableau1[[#This Row],[Fin
apm]]-Tableau1[[#This Row],[Début
apm]],1)+MOD(Tableau1[[#This Row],[Fin
matin]]-Tableau1[[#This Row],[Début
matin]],1)</f>
        <v>0</v>
      </c>
      <c r="L270" s="18">
        <f>IFERROR(VLOOKUP(Tableau1[[#This Row],[Abs.]],Tmotif[],3,0),0)</f>
        <v>0</v>
      </c>
      <c r="M270" s="18">
        <f ca="1">IF(WEEKDAY(Tableau1[[#This Row],[Date]],2)&lt;7,0,MAX(0,SUM(OFFSET(Tableau1[[#This Row],[Heures]],-6,,7))+SUM(OFFSET(Tableau1[[#This Row],[H_Abs]],-6,,7))-_HS))</f>
        <v>0</v>
      </c>
      <c r="N270" s="18" t="str">
        <f ca="1">IF(Tableau1[[#This Row],[HS]]&gt;0,IF(Tableau1[[#This Row],[HS]]*24&gt;8,8/24,Tableau1[[#This Row],[HS]]),"")</f>
        <v/>
      </c>
      <c r="O270" s="18" t="str">
        <f ca="1">IF(Tableau1[[#This Row],[HS]]*24&gt;8,Tableau1[[#This Row],[HS]]-Tableau1[[#This Row],[Dont
HS 30%]],"")</f>
        <v/>
      </c>
      <c r="P270" s="18" t="e">
        <f ca="1">Tableau1[[#This Row],[Dont
HS 30%]]*1.3</f>
        <v>#VALUE!</v>
      </c>
      <c r="Q270" s="18" t="e">
        <f ca="1">Tableau1[[#This Row],[Dont 
HS 50%]]*1.5</f>
        <v>#VALUE!</v>
      </c>
    </row>
    <row r="271" spans="2:17" hidden="1" x14ac:dyDescent="0.25">
      <c r="B271" s="37">
        <f>_xlfn.ISOWEEKNUM(Tableau1[[#This Row],[Date]])</f>
        <v>51</v>
      </c>
      <c r="C271" s="14">
        <f>debut+ROW()-ROW(Tableau1[[#Headers],[Date]])-1</f>
        <v>44918</v>
      </c>
      <c r="D271" s="16">
        <f>MONTH(Tableau1[[#This Row],[Date]])</f>
        <v>12</v>
      </c>
      <c r="E271" s="16">
        <f>YEAR(Tableau1[[#This Row],[Date]])</f>
        <v>2022</v>
      </c>
      <c r="F271" s="32"/>
      <c r="G271" s="32"/>
      <c r="H271" s="32"/>
      <c r="I271" s="32"/>
      <c r="J271" s="3"/>
      <c r="K271" s="18">
        <f>MOD(Tableau1[[#This Row],[Fin
apm]]-Tableau1[[#This Row],[Début
apm]],1)+MOD(Tableau1[[#This Row],[Fin
matin]]-Tableau1[[#This Row],[Début
matin]],1)</f>
        <v>0</v>
      </c>
      <c r="L271" s="18">
        <f>IFERROR(VLOOKUP(Tableau1[[#This Row],[Abs.]],Tmotif[],3,0),0)</f>
        <v>0</v>
      </c>
      <c r="M271" s="18">
        <f ca="1">IF(WEEKDAY(Tableau1[[#This Row],[Date]],2)&lt;7,0,MAX(0,SUM(OFFSET(Tableau1[[#This Row],[Heures]],-6,,7))+SUM(OFFSET(Tableau1[[#This Row],[H_Abs]],-6,,7))-_HS))</f>
        <v>0</v>
      </c>
      <c r="N271" s="18" t="str">
        <f ca="1">IF(Tableau1[[#This Row],[HS]]&gt;0,IF(Tableau1[[#This Row],[HS]]*24&gt;8,8/24,Tableau1[[#This Row],[HS]]),"")</f>
        <v/>
      </c>
      <c r="O271" s="18" t="str">
        <f ca="1">IF(Tableau1[[#This Row],[HS]]*24&gt;8,Tableau1[[#This Row],[HS]]-Tableau1[[#This Row],[Dont
HS 30%]],"")</f>
        <v/>
      </c>
      <c r="P271" s="18" t="e">
        <f ca="1">Tableau1[[#This Row],[Dont
HS 30%]]*1.3</f>
        <v>#VALUE!</v>
      </c>
      <c r="Q271" s="18" t="e">
        <f ca="1">Tableau1[[#This Row],[Dont 
HS 50%]]*1.5</f>
        <v>#VALUE!</v>
      </c>
    </row>
    <row r="272" spans="2:17" hidden="1" x14ac:dyDescent="0.25">
      <c r="B272" s="37">
        <f>_xlfn.ISOWEEKNUM(Tableau1[[#This Row],[Date]])</f>
        <v>51</v>
      </c>
      <c r="C272" s="14">
        <f>debut+ROW()-ROW(Tableau1[[#Headers],[Date]])-1</f>
        <v>44919</v>
      </c>
      <c r="D272" s="16">
        <f>MONTH(Tableau1[[#This Row],[Date]])</f>
        <v>12</v>
      </c>
      <c r="E272" s="16">
        <f>YEAR(Tableau1[[#This Row],[Date]])</f>
        <v>2022</v>
      </c>
      <c r="F272" s="32"/>
      <c r="G272" s="32"/>
      <c r="H272" s="32"/>
      <c r="I272" s="32"/>
      <c r="J272" s="3"/>
      <c r="K272" s="18">
        <f>MOD(Tableau1[[#This Row],[Fin
apm]]-Tableau1[[#This Row],[Début
apm]],1)+MOD(Tableau1[[#This Row],[Fin
matin]]-Tableau1[[#This Row],[Début
matin]],1)</f>
        <v>0</v>
      </c>
      <c r="L272" s="18">
        <f>IFERROR(VLOOKUP(Tableau1[[#This Row],[Abs.]],Tmotif[],3,0),0)</f>
        <v>0</v>
      </c>
      <c r="M272" s="18">
        <f ca="1">IF(WEEKDAY(Tableau1[[#This Row],[Date]],2)&lt;7,0,MAX(0,SUM(OFFSET(Tableau1[[#This Row],[Heures]],-6,,7))+SUM(OFFSET(Tableau1[[#This Row],[H_Abs]],-6,,7))-_HS))</f>
        <v>0</v>
      </c>
      <c r="N272" s="18" t="str">
        <f ca="1">IF(Tableau1[[#This Row],[HS]]&gt;0,IF(Tableau1[[#This Row],[HS]]*24&gt;8,8/24,Tableau1[[#This Row],[HS]]),"")</f>
        <v/>
      </c>
      <c r="O272" s="18" t="str">
        <f ca="1">IF(Tableau1[[#This Row],[HS]]*24&gt;8,Tableau1[[#This Row],[HS]]-Tableau1[[#This Row],[Dont
HS 30%]],"")</f>
        <v/>
      </c>
      <c r="P272" s="18" t="e">
        <f ca="1">Tableau1[[#This Row],[Dont
HS 30%]]*1.3</f>
        <v>#VALUE!</v>
      </c>
      <c r="Q272" s="18" t="e">
        <f ca="1">Tableau1[[#This Row],[Dont 
HS 50%]]*1.5</f>
        <v>#VALUE!</v>
      </c>
    </row>
    <row r="273" spans="2:17" hidden="1" x14ac:dyDescent="0.25">
      <c r="B273" s="37">
        <f>_xlfn.ISOWEEKNUM(Tableau1[[#This Row],[Date]])</f>
        <v>51</v>
      </c>
      <c r="C273" s="14">
        <f>debut+ROW()-ROW(Tableau1[[#Headers],[Date]])-1</f>
        <v>44920</v>
      </c>
      <c r="D273" s="16">
        <f>MONTH(Tableau1[[#This Row],[Date]])</f>
        <v>12</v>
      </c>
      <c r="E273" s="16">
        <f>YEAR(Tableau1[[#This Row],[Date]])</f>
        <v>2022</v>
      </c>
      <c r="F273" s="32"/>
      <c r="G273" s="32"/>
      <c r="H273" s="32"/>
      <c r="I273" s="32"/>
      <c r="J273" s="3"/>
      <c r="K273" s="18">
        <f>MOD(Tableau1[[#This Row],[Fin
apm]]-Tableau1[[#This Row],[Début
apm]],1)+MOD(Tableau1[[#This Row],[Fin
matin]]-Tableau1[[#This Row],[Début
matin]],1)</f>
        <v>0</v>
      </c>
      <c r="L273" s="18">
        <f>IFERROR(VLOOKUP(Tableau1[[#This Row],[Abs.]],Tmotif[],3,0),0)</f>
        <v>0</v>
      </c>
      <c r="M273" s="18">
        <f ca="1">IF(WEEKDAY(Tableau1[[#This Row],[Date]],2)&lt;7,0,MAX(0,SUM(OFFSET(Tableau1[[#This Row],[Heures]],-6,,7))+SUM(OFFSET(Tableau1[[#This Row],[H_Abs]],-6,,7))-_HS))</f>
        <v>0</v>
      </c>
      <c r="N273" s="18" t="str">
        <f ca="1">IF(Tableau1[[#This Row],[HS]]&gt;0,IF(Tableau1[[#This Row],[HS]]*24&gt;8,8/24,Tableau1[[#This Row],[HS]]),"")</f>
        <v/>
      </c>
      <c r="O273" s="18" t="str">
        <f ca="1">IF(Tableau1[[#This Row],[HS]]*24&gt;8,Tableau1[[#This Row],[HS]]-Tableau1[[#This Row],[Dont
HS 30%]],"")</f>
        <v/>
      </c>
      <c r="P273" s="18" t="e">
        <f ca="1">Tableau1[[#This Row],[Dont
HS 30%]]*1.3</f>
        <v>#VALUE!</v>
      </c>
      <c r="Q273" s="18" t="e">
        <f ca="1">Tableau1[[#This Row],[Dont 
HS 50%]]*1.5</f>
        <v>#VALUE!</v>
      </c>
    </row>
    <row r="274" spans="2:17" hidden="1" x14ac:dyDescent="0.25">
      <c r="B274" s="37">
        <f>_xlfn.ISOWEEKNUM(Tableau1[[#This Row],[Date]])</f>
        <v>52</v>
      </c>
      <c r="C274" s="14">
        <f>debut+ROW()-ROW(Tableau1[[#Headers],[Date]])-1</f>
        <v>44921</v>
      </c>
      <c r="D274" s="16">
        <f>MONTH(Tableau1[[#This Row],[Date]])</f>
        <v>12</v>
      </c>
      <c r="E274" s="16">
        <f>YEAR(Tableau1[[#This Row],[Date]])</f>
        <v>2022</v>
      </c>
      <c r="F274" s="32"/>
      <c r="G274" s="32"/>
      <c r="H274" s="32"/>
      <c r="I274" s="32"/>
      <c r="J274" s="3"/>
      <c r="K274" s="18">
        <f>MOD(Tableau1[[#This Row],[Fin
apm]]-Tableau1[[#This Row],[Début
apm]],1)+MOD(Tableau1[[#This Row],[Fin
matin]]-Tableau1[[#This Row],[Début
matin]],1)</f>
        <v>0</v>
      </c>
      <c r="L274" s="18">
        <f>IFERROR(VLOOKUP(Tableau1[[#This Row],[Abs.]],Tmotif[],3,0),0)</f>
        <v>0</v>
      </c>
      <c r="M274" s="18">
        <f ca="1">IF(WEEKDAY(Tableau1[[#This Row],[Date]],2)&lt;7,0,MAX(0,SUM(OFFSET(Tableau1[[#This Row],[Heures]],-6,,7))+SUM(OFFSET(Tableau1[[#This Row],[H_Abs]],-6,,7))-_HS))</f>
        <v>0</v>
      </c>
      <c r="N274" s="18" t="str">
        <f ca="1">IF(Tableau1[[#This Row],[HS]]&gt;0,IF(Tableau1[[#This Row],[HS]]*24&gt;8,8/24,Tableau1[[#This Row],[HS]]),"")</f>
        <v/>
      </c>
      <c r="O274" s="18" t="str">
        <f ca="1">IF(Tableau1[[#This Row],[HS]]*24&gt;8,Tableau1[[#This Row],[HS]]-Tableau1[[#This Row],[Dont
HS 30%]],"")</f>
        <v/>
      </c>
      <c r="P274" s="18" t="e">
        <f ca="1">Tableau1[[#This Row],[Dont
HS 30%]]*1.3</f>
        <v>#VALUE!</v>
      </c>
      <c r="Q274" s="18" t="e">
        <f ca="1">Tableau1[[#This Row],[Dont 
HS 50%]]*1.5</f>
        <v>#VALUE!</v>
      </c>
    </row>
    <row r="275" spans="2:17" hidden="1" x14ac:dyDescent="0.25">
      <c r="B275" s="37">
        <f>_xlfn.ISOWEEKNUM(Tableau1[[#This Row],[Date]])</f>
        <v>52</v>
      </c>
      <c r="C275" s="14">
        <f>debut+ROW()-ROW(Tableau1[[#Headers],[Date]])-1</f>
        <v>44922</v>
      </c>
      <c r="D275" s="16">
        <f>MONTH(Tableau1[[#This Row],[Date]])</f>
        <v>12</v>
      </c>
      <c r="E275" s="16">
        <f>YEAR(Tableau1[[#This Row],[Date]])</f>
        <v>2022</v>
      </c>
      <c r="F275" s="32"/>
      <c r="G275" s="32"/>
      <c r="H275" s="32"/>
      <c r="I275" s="32"/>
      <c r="J275" s="3"/>
      <c r="K275" s="18">
        <f>MOD(Tableau1[[#This Row],[Fin
apm]]-Tableau1[[#This Row],[Début
apm]],1)+MOD(Tableau1[[#This Row],[Fin
matin]]-Tableau1[[#This Row],[Début
matin]],1)</f>
        <v>0</v>
      </c>
      <c r="L275" s="18">
        <f>IFERROR(VLOOKUP(Tableau1[[#This Row],[Abs.]],Tmotif[],3,0),0)</f>
        <v>0</v>
      </c>
      <c r="M275" s="18">
        <f ca="1">IF(WEEKDAY(Tableau1[[#This Row],[Date]],2)&lt;7,0,MAX(0,SUM(OFFSET(Tableau1[[#This Row],[Heures]],-6,,7))+SUM(OFFSET(Tableau1[[#This Row],[H_Abs]],-6,,7))-_HS))</f>
        <v>0</v>
      </c>
      <c r="N275" s="18" t="str">
        <f ca="1">IF(Tableau1[[#This Row],[HS]]&gt;0,IF(Tableau1[[#This Row],[HS]]*24&gt;8,8/24,Tableau1[[#This Row],[HS]]),"")</f>
        <v/>
      </c>
      <c r="O275" s="18" t="str">
        <f ca="1">IF(Tableau1[[#This Row],[HS]]*24&gt;8,Tableau1[[#This Row],[HS]]-Tableau1[[#This Row],[Dont
HS 30%]],"")</f>
        <v/>
      </c>
      <c r="P275" s="18" t="e">
        <f ca="1">Tableau1[[#This Row],[Dont
HS 30%]]*1.3</f>
        <v>#VALUE!</v>
      </c>
      <c r="Q275" s="18" t="e">
        <f ca="1">Tableau1[[#This Row],[Dont 
HS 50%]]*1.5</f>
        <v>#VALUE!</v>
      </c>
    </row>
    <row r="276" spans="2:17" hidden="1" x14ac:dyDescent="0.25">
      <c r="B276" s="37">
        <f>_xlfn.ISOWEEKNUM(Tableau1[[#This Row],[Date]])</f>
        <v>52</v>
      </c>
      <c r="C276" s="14">
        <f>debut+ROW()-ROW(Tableau1[[#Headers],[Date]])-1</f>
        <v>44923</v>
      </c>
      <c r="D276" s="16">
        <f>MONTH(Tableau1[[#This Row],[Date]])</f>
        <v>12</v>
      </c>
      <c r="E276" s="16">
        <f>YEAR(Tableau1[[#This Row],[Date]])</f>
        <v>2022</v>
      </c>
      <c r="F276" s="32"/>
      <c r="G276" s="32"/>
      <c r="H276" s="32"/>
      <c r="I276" s="32"/>
      <c r="J276" s="3"/>
      <c r="K276" s="18">
        <f>MOD(Tableau1[[#This Row],[Fin
apm]]-Tableau1[[#This Row],[Début
apm]],1)+MOD(Tableau1[[#This Row],[Fin
matin]]-Tableau1[[#This Row],[Début
matin]],1)</f>
        <v>0</v>
      </c>
      <c r="L276" s="18">
        <f>IFERROR(VLOOKUP(Tableau1[[#This Row],[Abs.]],Tmotif[],3,0),0)</f>
        <v>0</v>
      </c>
      <c r="M276" s="18">
        <f ca="1">IF(WEEKDAY(Tableau1[[#This Row],[Date]],2)&lt;7,0,MAX(0,SUM(OFFSET(Tableau1[[#This Row],[Heures]],-6,,7))+SUM(OFFSET(Tableau1[[#This Row],[H_Abs]],-6,,7))-_HS))</f>
        <v>0</v>
      </c>
      <c r="N276" s="18" t="str">
        <f ca="1">IF(Tableau1[[#This Row],[HS]]&gt;0,IF(Tableau1[[#This Row],[HS]]*24&gt;8,8/24,Tableau1[[#This Row],[HS]]),"")</f>
        <v/>
      </c>
      <c r="O276" s="18" t="str">
        <f ca="1">IF(Tableau1[[#This Row],[HS]]*24&gt;8,Tableau1[[#This Row],[HS]]-Tableau1[[#This Row],[Dont
HS 30%]],"")</f>
        <v/>
      </c>
      <c r="P276" s="18" t="e">
        <f ca="1">Tableau1[[#This Row],[Dont
HS 30%]]*1.3</f>
        <v>#VALUE!</v>
      </c>
      <c r="Q276" s="18" t="e">
        <f ca="1">Tableau1[[#This Row],[Dont 
HS 50%]]*1.5</f>
        <v>#VALUE!</v>
      </c>
    </row>
    <row r="277" spans="2:17" hidden="1" x14ac:dyDescent="0.25">
      <c r="B277" s="37">
        <f>_xlfn.ISOWEEKNUM(Tableau1[[#This Row],[Date]])</f>
        <v>52</v>
      </c>
      <c r="C277" s="14">
        <f>debut+ROW()-ROW(Tableau1[[#Headers],[Date]])-1</f>
        <v>44924</v>
      </c>
      <c r="D277" s="16">
        <f>MONTH(Tableau1[[#This Row],[Date]])</f>
        <v>12</v>
      </c>
      <c r="E277" s="16">
        <f>YEAR(Tableau1[[#This Row],[Date]])</f>
        <v>2022</v>
      </c>
      <c r="F277" s="32"/>
      <c r="G277" s="32"/>
      <c r="H277" s="32"/>
      <c r="I277" s="32"/>
      <c r="J277" s="3"/>
      <c r="K277" s="18">
        <f>MOD(Tableau1[[#This Row],[Fin
apm]]-Tableau1[[#This Row],[Début
apm]],1)+MOD(Tableau1[[#This Row],[Fin
matin]]-Tableau1[[#This Row],[Début
matin]],1)</f>
        <v>0</v>
      </c>
      <c r="L277" s="18">
        <f>IFERROR(VLOOKUP(Tableau1[[#This Row],[Abs.]],Tmotif[],3,0),0)</f>
        <v>0</v>
      </c>
      <c r="M277" s="18">
        <f ca="1">IF(WEEKDAY(Tableau1[[#This Row],[Date]],2)&lt;7,0,MAX(0,SUM(OFFSET(Tableau1[[#This Row],[Heures]],-6,,7))+SUM(OFFSET(Tableau1[[#This Row],[H_Abs]],-6,,7))-_HS))</f>
        <v>0</v>
      </c>
      <c r="N277" s="18" t="str">
        <f ca="1">IF(Tableau1[[#This Row],[HS]]&gt;0,IF(Tableau1[[#This Row],[HS]]*24&gt;8,8/24,Tableau1[[#This Row],[HS]]),"")</f>
        <v/>
      </c>
      <c r="O277" s="18" t="str">
        <f ca="1">IF(Tableau1[[#This Row],[HS]]*24&gt;8,Tableau1[[#This Row],[HS]]-Tableau1[[#This Row],[Dont
HS 30%]],"")</f>
        <v/>
      </c>
      <c r="P277" s="18" t="e">
        <f ca="1">Tableau1[[#This Row],[Dont
HS 30%]]*1.3</f>
        <v>#VALUE!</v>
      </c>
      <c r="Q277" s="18" t="e">
        <f ca="1">Tableau1[[#This Row],[Dont 
HS 50%]]*1.5</f>
        <v>#VALUE!</v>
      </c>
    </row>
    <row r="278" spans="2:17" hidden="1" x14ac:dyDescent="0.25">
      <c r="B278" s="37">
        <f>_xlfn.ISOWEEKNUM(Tableau1[[#This Row],[Date]])</f>
        <v>52</v>
      </c>
      <c r="C278" s="14">
        <f>debut+ROW()-ROW(Tableau1[[#Headers],[Date]])-1</f>
        <v>44925</v>
      </c>
      <c r="D278" s="16">
        <f>MONTH(Tableau1[[#This Row],[Date]])</f>
        <v>12</v>
      </c>
      <c r="E278" s="16">
        <f>YEAR(Tableau1[[#This Row],[Date]])</f>
        <v>2022</v>
      </c>
      <c r="F278" s="32"/>
      <c r="G278" s="32"/>
      <c r="H278" s="32"/>
      <c r="I278" s="32"/>
      <c r="J278" s="3"/>
      <c r="K278" s="18">
        <f>MOD(Tableau1[[#This Row],[Fin
apm]]-Tableau1[[#This Row],[Début
apm]],1)+MOD(Tableau1[[#This Row],[Fin
matin]]-Tableau1[[#This Row],[Début
matin]],1)</f>
        <v>0</v>
      </c>
      <c r="L278" s="18">
        <f>IFERROR(VLOOKUP(Tableau1[[#This Row],[Abs.]],Tmotif[],3,0),0)</f>
        <v>0</v>
      </c>
      <c r="M278" s="18">
        <f ca="1">IF(WEEKDAY(Tableau1[[#This Row],[Date]],2)&lt;7,0,MAX(0,SUM(OFFSET(Tableau1[[#This Row],[Heures]],-6,,7))+SUM(OFFSET(Tableau1[[#This Row],[H_Abs]],-6,,7))-_HS))</f>
        <v>0</v>
      </c>
      <c r="N278" s="18" t="str">
        <f ca="1">IF(Tableau1[[#This Row],[HS]]&gt;0,IF(Tableau1[[#This Row],[HS]]*24&gt;8,8/24,Tableau1[[#This Row],[HS]]),"")</f>
        <v/>
      </c>
      <c r="O278" s="18" t="str">
        <f ca="1">IF(Tableau1[[#This Row],[HS]]*24&gt;8,Tableau1[[#This Row],[HS]]-Tableau1[[#This Row],[Dont
HS 30%]],"")</f>
        <v/>
      </c>
      <c r="P278" s="18" t="e">
        <f ca="1">Tableau1[[#This Row],[Dont
HS 30%]]*1.3</f>
        <v>#VALUE!</v>
      </c>
      <c r="Q278" s="18" t="e">
        <f ca="1">Tableau1[[#This Row],[Dont 
HS 50%]]*1.5</f>
        <v>#VALUE!</v>
      </c>
    </row>
    <row r="279" spans="2:17" hidden="1" x14ac:dyDescent="0.25">
      <c r="B279" s="37">
        <f>_xlfn.ISOWEEKNUM(Tableau1[[#This Row],[Date]])</f>
        <v>52</v>
      </c>
      <c r="C279" s="14">
        <f>debut+ROW()-ROW(Tableau1[[#Headers],[Date]])-1</f>
        <v>44926</v>
      </c>
      <c r="D279" s="16">
        <f>MONTH(Tableau1[[#This Row],[Date]])</f>
        <v>12</v>
      </c>
      <c r="E279" s="16">
        <f>YEAR(Tableau1[[#This Row],[Date]])</f>
        <v>2022</v>
      </c>
      <c r="F279" s="32"/>
      <c r="G279" s="32"/>
      <c r="H279" s="32"/>
      <c r="I279" s="32"/>
      <c r="J279" s="3"/>
      <c r="K279" s="18">
        <f>MOD(Tableau1[[#This Row],[Fin
apm]]-Tableau1[[#This Row],[Début
apm]],1)+MOD(Tableau1[[#This Row],[Fin
matin]]-Tableau1[[#This Row],[Début
matin]],1)</f>
        <v>0</v>
      </c>
      <c r="L279" s="18">
        <f>IFERROR(VLOOKUP(Tableau1[[#This Row],[Abs.]],Tmotif[],3,0),0)</f>
        <v>0</v>
      </c>
      <c r="M279" s="18">
        <f ca="1">IF(WEEKDAY(Tableau1[[#This Row],[Date]],2)&lt;7,0,MAX(0,SUM(OFFSET(Tableau1[[#This Row],[Heures]],-6,,7))+SUM(OFFSET(Tableau1[[#This Row],[H_Abs]],-6,,7))-_HS))</f>
        <v>0</v>
      </c>
      <c r="N279" s="18" t="str">
        <f ca="1">IF(Tableau1[[#This Row],[HS]]&gt;0,IF(Tableau1[[#This Row],[HS]]*24&gt;8,8/24,Tableau1[[#This Row],[HS]]),"")</f>
        <v/>
      </c>
      <c r="O279" s="18" t="str">
        <f ca="1">IF(Tableau1[[#This Row],[HS]]*24&gt;8,Tableau1[[#This Row],[HS]]-Tableau1[[#This Row],[Dont
HS 30%]],"")</f>
        <v/>
      </c>
      <c r="P279" s="18" t="e">
        <f ca="1">Tableau1[[#This Row],[Dont
HS 30%]]*1.3</f>
        <v>#VALUE!</v>
      </c>
      <c r="Q279" s="18" t="e">
        <f ca="1">Tableau1[[#This Row],[Dont 
HS 50%]]*1.5</f>
        <v>#VALUE!</v>
      </c>
    </row>
    <row r="280" spans="2:17" hidden="1" x14ac:dyDescent="0.25">
      <c r="B280" s="37">
        <f>_xlfn.ISOWEEKNUM(Tableau1[[#This Row],[Date]])</f>
        <v>52</v>
      </c>
      <c r="C280" s="14">
        <f>debut+ROW()-ROW(Tableau1[[#Headers],[Date]])-1</f>
        <v>44927</v>
      </c>
      <c r="D280" s="16">
        <f>MONTH(Tableau1[[#This Row],[Date]])</f>
        <v>1</v>
      </c>
      <c r="E280" s="16">
        <f>YEAR(Tableau1[[#This Row],[Date]])</f>
        <v>2023</v>
      </c>
      <c r="F280" s="32"/>
      <c r="G280" s="32"/>
      <c r="H280" s="32"/>
      <c r="I280" s="32"/>
      <c r="J280" s="3"/>
      <c r="K280" s="18">
        <f>MOD(Tableau1[[#This Row],[Fin
apm]]-Tableau1[[#This Row],[Début
apm]],1)+MOD(Tableau1[[#This Row],[Fin
matin]]-Tableau1[[#This Row],[Début
matin]],1)</f>
        <v>0</v>
      </c>
      <c r="L280" s="18">
        <f>IFERROR(VLOOKUP(Tableau1[[#This Row],[Abs.]],Tmotif[],3,0),0)</f>
        <v>0</v>
      </c>
      <c r="M280" s="18">
        <f ca="1">IF(WEEKDAY(Tableau1[[#This Row],[Date]],2)&lt;7,0,MAX(0,SUM(OFFSET(Tableau1[[#This Row],[Heures]],-6,,7))+SUM(OFFSET(Tableau1[[#This Row],[H_Abs]],-6,,7))-_HS))</f>
        <v>0</v>
      </c>
      <c r="N280" s="18" t="str">
        <f ca="1">IF(Tableau1[[#This Row],[HS]]&gt;0,IF(Tableau1[[#This Row],[HS]]*24&gt;8,8/24,Tableau1[[#This Row],[HS]]),"")</f>
        <v/>
      </c>
      <c r="O280" s="18" t="str">
        <f ca="1">IF(Tableau1[[#This Row],[HS]]*24&gt;8,Tableau1[[#This Row],[HS]]-Tableau1[[#This Row],[Dont
HS 30%]],"")</f>
        <v/>
      </c>
      <c r="P280" s="18" t="e">
        <f ca="1">Tableau1[[#This Row],[Dont
HS 30%]]*1.3</f>
        <v>#VALUE!</v>
      </c>
      <c r="Q280" s="18" t="e">
        <f ca="1">Tableau1[[#This Row],[Dont 
HS 50%]]*1.5</f>
        <v>#VALUE!</v>
      </c>
    </row>
    <row r="281" spans="2:17" hidden="1" x14ac:dyDescent="0.25">
      <c r="B281" s="37">
        <f>_xlfn.ISOWEEKNUM(Tableau1[[#This Row],[Date]])</f>
        <v>1</v>
      </c>
      <c r="C281" s="14">
        <f>debut+ROW()-ROW(Tableau1[[#Headers],[Date]])-1</f>
        <v>44928</v>
      </c>
      <c r="D281" s="16">
        <f>MONTH(Tableau1[[#This Row],[Date]])</f>
        <v>1</v>
      </c>
      <c r="E281" s="16">
        <f>YEAR(Tableau1[[#This Row],[Date]])</f>
        <v>2023</v>
      </c>
      <c r="F281" s="32"/>
      <c r="G281" s="32"/>
      <c r="H281" s="32"/>
      <c r="I281" s="32"/>
      <c r="J281" s="3"/>
      <c r="K281" s="18">
        <f>MOD(Tableau1[[#This Row],[Fin
apm]]-Tableau1[[#This Row],[Début
apm]],1)+MOD(Tableau1[[#This Row],[Fin
matin]]-Tableau1[[#This Row],[Début
matin]],1)</f>
        <v>0</v>
      </c>
      <c r="L281" s="18">
        <f>IFERROR(VLOOKUP(Tableau1[[#This Row],[Abs.]],Tmotif[],3,0),0)</f>
        <v>0</v>
      </c>
      <c r="M281" s="18">
        <f ca="1">IF(WEEKDAY(Tableau1[[#This Row],[Date]],2)&lt;7,0,MAX(0,SUM(OFFSET(Tableau1[[#This Row],[Heures]],-6,,7))+SUM(OFFSET(Tableau1[[#This Row],[H_Abs]],-6,,7))-_HS))</f>
        <v>0</v>
      </c>
      <c r="N281" s="18" t="str">
        <f ca="1">IF(Tableau1[[#This Row],[HS]]&gt;0,IF(Tableau1[[#This Row],[HS]]*24&gt;8,8/24,Tableau1[[#This Row],[HS]]),"")</f>
        <v/>
      </c>
      <c r="O281" s="18" t="str">
        <f ca="1">IF(Tableau1[[#This Row],[HS]]*24&gt;8,Tableau1[[#This Row],[HS]]-Tableau1[[#This Row],[Dont
HS 30%]],"")</f>
        <v/>
      </c>
      <c r="P281" s="18" t="e">
        <f ca="1">Tableau1[[#This Row],[Dont
HS 30%]]*1.3</f>
        <v>#VALUE!</v>
      </c>
      <c r="Q281" s="18" t="e">
        <f ca="1">Tableau1[[#This Row],[Dont 
HS 50%]]*1.5</f>
        <v>#VALUE!</v>
      </c>
    </row>
    <row r="282" spans="2:17" hidden="1" x14ac:dyDescent="0.25">
      <c r="B282" s="37">
        <f>_xlfn.ISOWEEKNUM(Tableau1[[#This Row],[Date]])</f>
        <v>1</v>
      </c>
      <c r="C282" s="14">
        <f>debut+ROW()-ROW(Tableau1[[#Headers],[Date]])-1</f>
        <v>44929</v>
      </c>
      <c r="D282" s="16">
        <f>MONTH(Tableau1[[#This Row],[Date]])</f>
        <v>1</v>
      </c>
      <c r="E282" s="16">
        <f>YEAR(Tableau1[[#This Row],[Date]])</f>
        <v>2023</v>
      </c>
      <c r="F282" s="32"/>
      <c r="G282" s="32"/>
      <c r="H282" s="32"/>
      <c r="I282" s="32"/>
      <c r="J282" s="3"/>
      <c r="K282" s="18">
        <f>MOD(Tableau1[[#This Row],[Fin
apm]]-Tableau1[[#This Row],[Début
apm]],1)+MOD(Tableau1[[#This Row],[Fin
matin]]-Tableau1[[#This Row],[Début
matin]],1)</f>
        <v>0</v>
      </c>
      <c r="L282" s="18">
        <f>IFERROR(VLOOKUP(Tableau1[[#This Row],[Abs.]],Tmotif[],3,0),0)</f>
        <v>0</v>
      </c>
      <c r="M282" s="18">
        <f ca="1">IF(WEEKDAY(Tableau1[[#This Row],[Date]],2)&lt;7,0,MAX(0,SUM(OFFSET(Tableau1[[#This Row],[Heures]],-6,,7))+SUM(OFFSET(Tableau1[[#This Row],[H_Abs]],-6,,7))-_HS))</f>
        <v>0</v>
      </c>
      <c r="N282" s="18" t="str">
        <f ca="1">IF(Tableau1[[#This Row],[HS]]&gt;0,IF(Tableau1[[#This Row],[HS]]*24&gt;8,8/24,Tableau1[[#This Row],[HS]]),"")</f>
        <v/>
      </c>
      <c r="O282" s="18" t="str">
        <f ca="1">IF(Tableau1[[#This Row],[HS]]*24&gt;8,Tableau1[[#This Row],[HS]]-Tableau1[[#This Row],[Dont
HS 30%]],"")</f>
        <v/>
      </c>
      <c r="P282" s="18" t="e">
        <f ca="1">Tableau1[[#This Row],[Dont
HS 30%]]*1.3</f>
        <v>#VALUE!</v>
      </c>
      <c r="Q282" s="18" t="e">
        <f ca="1">Tableau1[[#This Row],[Dont 
HS 50%]]*1.5</f>
        <v>#VALUE!</v>
      </c>
    </row>
    <row r="283" spans="2:17" hidden="1" x14ac:dyDescent="0.25">
      <c r="B283" s="37">
        <f>_xlfn.ISOWEEKNUM(Tableau1[[#This Row],[Date]])</f>
        <v>1</v>
      </c>
      <c r="C283" s="14">
        <f>debut+ROW()-ROW(Tableau1[[#Headers],[Date]])-1</f>
        <v>44930</v>
      </c>
      <c r="D283" s="16">
        <f>MONTH(Tableau1[[#This Row],[Date]])</f>
        <v>1</v>
      </c>
      <c r="E283" s="16">
        <f>YEAR(Tableau1[[#This Row],[Date]])</f>
        <v>2023</v>
      </c>
      <c r="F283" s="32"/>
      <c r="G283" s="32"/>
      <c r="H283" s="32"/>
      <c r="I283" s="32"/>
      <c r="J283" s="3"/>
      <c r="K283" s="18">
        <f>MOD(Tableau1[[#This Row],[Fin
apm]]-Tableau1[[#This Row],[Début
apm]],1)+MOD(Tableau1[[#This Row],[Fin
matin]]-Tableau1[[#This Row],[Début
matin]],1)</f>
        <v>0</v>
      </c>
      <c r="L283" s="18">
        <f>IFERROR(VLOOKUP(Tableau1[[#This Row],[Abs.]],Tmotif[],3,0),0)</f>
        <v>0</v>
      </c>
      <c r="M283" s="18">
        <f ca="1">IF(WEEKDAY(Tableau1[[#This Row],[Date]],2)&lt;7,0,MAX(0,SUM(OFFSET(Tableau1[[#This Row],[Heures]],-6,,7))+SUM(OFFSET(Tableau1[[#This Row],[H_Abs]],-6,,7))-_HS))</f>
        <v>0</v>
      </c>
      <c r="N283" s="18" t="str">
        <f ca="1">IF(Tableau1[[#This Row],[HS]]&gt;0,IF(Tableau1[[#This Row],[HS]]*24&gt;8,8/24,Tableau1[[#This Row],[HS]]),"")</f>
        <v/>
      </c>
      <c r="O283" s="18" t="str">
        <f ca="1">IF(Tableau1[[#This Row],[HS]]*24&gt;8,Tableau1[[#This Row],[HS]]-Tableau1[[#This Row],[Dont
HS 30%]],"")</f>
        <v/>
      </c>
      <c r="P283" s="18" t="e">
        <f ca="1">Tableau1[[#This Row],[Dont
HS 30%]]*1.3</f>
        <v>#VALUE!</v>
      </c>
      <c r="Q283" s="18" t="e">
        <f ca="1">Tableau1[[#This Row],[Dont 
HS 50%]]*1.5</f>
        <v>#VALUE!</v>
      </c>
    </row>
    <row r="284" spans="2:17" hidden="1" x14ac:dyDescent="0.25">
      <c r="B284" s="37">
        <f>_xlfn.ISOWEEKNUM(Tableau1[[#This Row],[Date]])</f>
        <v>1</v>
      </c>
      <c r="C284" s="14">
        <f>debut+ROW()-ROW(Tableau1[[#Headers],[Date]])-1</f>
        <v>44931</v>
      </c>
      <c r="D284" s="16">
        <f>MONTH(Tableau1[[#This Row],[Date]])</f>
        <v>1</v>
      </c>
      <c r="E284" s="16">
        <f>YEAR(Tableau1[[#This Row],[Date]])</f>
        <v>2023</v>
      </c>
      <c r="F284" s="32"/>
      <c r="G284" s="32"/>
      <c r="H284" s="32"/>
      <c r="I284" s="32"/>
      <c r="J284" s="3"/>
      <c r="K284" s="18">
        <f>MOD(Tableau1[[#This Row],[Fin
apm]]-Tableau1[[#This Row],[Début
apm]],1)+MOD(Tableau1[[#This Row],[Fin
matin]]-Tableau1[[#This Row],[Début
matin]],1)</f>
        <v>0</v>
      </c>
      <c r="L284" s="18">
        <f>IFERROR(VLOOKUP(Tableau1[[#This Row],[Abs.]],Tmotif[],3,0),0)</f>
        <v>0</v>
      </c>
      <c r="M284" s="18">
        <f ca="1">IF(WEEKDAY(Tableau1[[#This Row],[Date]],2)&lt;7,0,MAX(0,SUM(OFFSET(Tableau1[[#This Row],[Heures]],-6,,7))+SUM(OFFSET(Tableau1[[#This Row],[H_Abs]],-6,,7))-_HS))</f>
        <v>0</v>
      </c>
      <c r="N284" s="18" t="str">
        <f ca="1">IF(Tableau1[[#This Row],[HS]]&gt;0,IF(Tableau1[[#This Row],[HS]]*24&gt;8,8/24,Tableau1[[#This Row],[HS]]),"")</f>
        <v/>
      </c>
      <c r="O284" s="18" t="str">
        <f ca="1">IF(Tableau1[[#This Row],[HS]]*24&gt;8,Tableau1[[#This Row],[HS]]-Tableau1[[#This Row],[Dont
HS 30%]],"")</f>
        <v/>
      </c>
      <c r="P284" s="18" t="e">
        <f ca="1">Tableau1[[#This Row],[Dont
HS 30%]]*1.3</f>
        <v>#VALUE!</v>
      </c>
      <c r="Q284" s="18" t="e">
        <f ca="1">Tableau1[[#This Row],[Dont 
HS 50%]]*1.5</f>
        <v>#VALUE!</v>
      </c>
    </row>
    <row r="285" spans="2:17" hidden="1" x14ac:dyDescent="0.25">
      <c r="B285" s="37">
        <f>_xlfn.ISOWEEKNUM(Tableau1[[#This Row],[Date]])</f>
        <v>1</v>
      </c>
      <c r="C285" s="14">
        <f>debut+ROW()-ROW(Tableau1[[#Headers],[Date]])-1</f>
        <v>44932</v>
      </c>
      <c r="D285" s="16">
        <f>MONTH(Tableau1[[#This Row],[Date]])</f>
        <v>1</v>
      </c>
      <c r="E285" s="16">
        <f>YEAR(Tableau1[[#This Row],[Date]])</f>
        <v>2023</v>
      </c>
      <c r="F285" s="32"/>
      <c r="G285" s="32"/>
      <c r="H285" s="32"/>
      <c r="I285" s="32"/>
      <c r="J285" s="3"/>
      <c r="K285" s="18">
        <f>MOD(Tableau1[[#This Row],[Fin
apm]]-Tableau1[[#This Row],[Début
apm]],1)+MOD(Tableau1[[#This Row],[Fin
matin]]-Tableau1[[#This Row],[Début
matin]],1)</f>
        <v>0</v>
      </c>
      <c r="L285" s="18">
        <f>IFERROR(VLOOKUP(Tableau1[[#This Row],[Abs.]],Tmotif[],3,0),0)</f>
        <v>0</v>
      </c>
      <c r="M285" s="18">
        <f ca="1">IF(WEEKDAY(Tableau1[[#This Row],[Date]],2)&lt;7,0,MAX(0,SUM(OFFSET(Tableau1[[#This Row],[Heures]],-6,,7))+SUM(OFFSET(Tableau1[[#This Row],[H_Abs]],-6,,7))-_HS))</f>
        <v>0</v>
      </c>
      <c r="N285" s="18" t="str">
        <f ca="1">IF(Tableau1[[#This Row],[HS]]&gt;0,IF(Tableau1[[#This Row],[HS]]*24&gt;8,8/24,Tableau1[[#This Row],[HS]]),"")</f>
        <v/>
      </c>
      <c r="O285" s="18" t="str">
        <f ca="1">IF(Tableau1[[#This Row],[HS]]*24&gt;8,Tableau1[[#This Row],[HS]]-Tableau1[[#This Row],[Dont
HS 30%]],"")</f>
        <v/>
      </c>
      <c r="P285" s="18" t="e">
        <f ca="1">Tableau1[[#This Row],[Dont
HS 30%]]*1.3</f>
        <v>#VALUE!</v>
      </c>
      <c r="Q285" s="18" t="e">
        <f ca="1">Tableau1[[#This Row],[Dont 
HS 50%]]*1.5</f>
        <v>#VALUE!</v>
      </c>
    </row>
    <row r="286" spans="2:17" hidden="1" x14ac:dyDescent="0.25">
      <c r="B286" s="37">
        <f>_xlfn.ISOWEEKNUM(Tableau1[[#This Row],[Date]])</f>
        <v>1</v>
      </c>
      <c r="C286" s="14">
        <f>debut+ROW()-ROW(Tableau1[[#Headers],[Date]])-1</f>
        <v>44933</v>
      </c>
      <c r="D286" s="16">
        <f>MONTH(Tableau1[[#This Row],[Date]])</f>
        <v>1</v>
      </c>
      <c r="E286" s="16">
        <f>YEAR(Tableau1[[#This Row],[Date]])</f>
        <v>2023</v>
      </c>
      <c r="F286" s="32"/>
      <c r="G286" s="32"/>
      <c r="H286" s="32"/>
      <c r="I286" s="32"/>
      <c r="J286" s="3"/>
      <c r="K286" s="18">
        <f>MOD(Tableau1[[#This Row],[Fin
apm]]-Tableau1[[#This Row],[Début
apm]],1)+MOD(Tableau1[[#This Row],[Fin
matin]]-Tableau1[[#This Row],[Début
matin]],1)</f>
        <v>0</v>
      </c>
      <c r="L286" s="18">
        <f>IFERROR(VLOOKUP(Tableau1[[#This Row],[Abs.]],Tmotif[],3,0),0)</f>
        <v>0</v>
      </c>
      <c r="M286" s="18">
        <f ca="1">IF(WEEKDAY(Tableau1[[#This Row],[Date]],2)&lt;7,0,MAX(0,SUM(OFFSET(Tableau1[[#This Row],[Heures]],-6,,7))+SUM(OFFSET(Tableau1[[#This Row],[H_Abs]],-6,,7))-_HS))</f>
        <v>0</v>
      </c>
      <c r="N286" s="18" t="str">
        <f ca="1">IF(Tableau1[[#This Row],[HS]]&gt;0,IF(Tableau1[[#This Row],[HS]]*24&gt;8,8/24,Tableau1[[#This Row],[HS]]),"")</f>
        <v/>
      </c>
      <c r="O286" s="18" t="str">
        <f ca="1">IF(Tableau1[[#This Row],[HS]]*24&gt;8,Tableau1[[#This Row],[HS]]-Tableau1[[#This Row],[Dont
HS 30%]],"")</f>
        <v/>
      </c>
      <c r="P286" s="18" t="e">
        <f ca="1">Tableau1[[#This Row],[Dont
HS 30%]]*1.3</f>
        <v>#VALUE!</v>
      </c>
      <c r="Q286" s="18" t="e">
        <f ca="1">Tableau1[[#This Row],[Dont 
HS 50%]]*1.5</f>
        <v>#VALUE!</v>
      </c>
    </row>
    <row r="287" spans="2:17" hidden="1" x14ac:dyDescent="0.25">
      <c r="B287" s="37">
        <f>_xlfn.ISOWEEKNUM(Tableau1[[#This Row],[Date]])</f>
        <v>1</v>
      </c>
      <c r="C287" s="14">
        <f>debut+ROW()-ROW(Tableau1[[#Headers],[Date]])-1</f>
        <v>44934</v>
      </c>
      <c r="D287" s="16">
        <f>MONTH(Tableau1[[#This Row],[Date]])</f>
        <v>1</v>
      </c>
      <c r="E287" s="16">
        <f>YEAR(Tableau1[[#This Row],[Date]])</f>
        <v>2023</v>
      </c>
      <c r="F287" s="32"/>
      <c r="G287" s="32"/>
      <c r="H287" s="32"/>
      <c r="I287" s="32"/>
      <c r="J287" s="3"/>
      <c r="K287" s="18">
        <f>MOD(Tableau1[[#This Row],[Fin
apm]]-Tableau1[[#This Row],[Début
apm]],1)+MOD(Tableau1[[#This Row],[Fin
matin]]-Tableau1[[#This Row],[Début
matin]],1)</f>
        <v>0</v>
      </c>
      <c r="L287" s="18">
        <f>IFERROR(VLOOKUP(Tableau1[[#This Row],[Abs.]],Tmotif[],3,0),0)</f>
        <v>0</v>
      </c>
      <c r="M287" s="18">
        <f ca="1">IF(WEEKDAY(Tableau1[[#This Row],[Date]],2)&lt;7,0,MAX(0,SUM(OFFSET(Tableau1[[#This Row],[Heures]],-6,,7))+SUM(OFFSET(Tableau1[[#This Row],[H_Abs]],-6,,7))-_HS))</f>
        <v>0</v>
      </c>
      <c r="N287" s="18" t="str">
        <f ca="1">IF(Tableau1[[#This Row],[HS]]&gt;0,IF(Tableau1[[#This Row],[HS]]*24&gt;8,8/24,Tableau1[[#This Row],[HS]]),"")</f>
        <v/>
      </c>
      <c r="O287" s="18" t="str">
        <f ca="1">IF(Tableau1[[#This Row],[HS]]*24&gt;8,Tableau1[[#This Row],[HS]]-Tableau1[[#This Row],[Dont
HS 30%]],"")</f>
        <v/>
      </c>
      <c r="P287" s="18" t="e">
        <f ca="1">Tableau1[[#This Row],[Dont
HS 30%]]*1.3</f>
        <v>#VALUE!</v>
      </c>
      <c r="Q287" s="18" t="e">
        <f ca="1">Tableau1[[#This Row],[Dont 
HS 50%]]*1.5</f>
        <v>#VALUE!</v>
      </c>
    </row>
    <row r="288" spans="2:17" hidden="1" x14ac:dyDescent="0.25">
      <c r="B288" s="37">
        <f>_xlfn.ISOWEEKNUM(Tableau1[[#This Row],[Date]])</f>
        <v>2</v>
      </c>
      <c r="C288" s="14">
        <f>debut+ROW()-ROW(Tableau1[[#Headers],[Date]])-1</f>
        <v>44935</v>
      </c>
      <c r="D288" s="16">
        <f>MONTH(Tableau1[[#This Row],[Date]])</f>
        <v>1</v>
      </c>
      <c r="E288" s="16">
        <f>YEAR(Tableau1[[#This Row],[Date]])</f>
        <v>2023</v>
      </c>
      <c r="F288" s="32"/>
      <c r="G288" s="32"/>
      <c r="H288" s="32"/>
      <c r="I288" s="32"/>
      <c r="J288" s="3"/>
      <c r="K288" s="18">
        <f>MOD(Tableau1[[#This Row],[Fin
apm]]-Tableau1[[#This Row],[Début
apm]],1)+MOD(Tableau1[[#This Row],[Fin
matin]]-Tableau1[[#This Row],[Début
matin]],1)</f>
        <v>0</v>
      </c>
      <c r="L288" s="18">
        <f>IFERROR(VLOOKUP(Tableau1[[#This Row],[Abs.]],Tmotif[],3,0),0)</f>
        <v>0</v>
      </c>
      <c r="M288" s="18">
        <f ca="1">IF(WEEKDAY(Tableau1[[#This Row],[Date]],2)&lt;7,0,MAX(0,SUM(OFFSET(Tableau1[[#This Row],[Heures]],-6,,7))+SUM(OFFSET(Tableau1[[#This Row],[H_Abs]],-6,,7))-_HS))</f>
        <v>0</v>
      </c>
      <c r="N288" s="18" t="str">
        <f ca="1">IF(Tableau1[[#This Row],[HS]]&gt;0,IF(Tableau1[[#This Row],[HS]]*24&gt;8,8/24,Tableau1[[#This Row],[HS]]),"")</f>
        <v/>
      </c>
      <c r="O288" s="18" t="str">
        <f ca="1">IF(Tableau1[[#This Row],[HS]]*24&gt;8,Tableau1[[#This Row],[HS]]-Tableau1[[#This Row],[Dont
HS 30%]],"")</f>
        <v/>
      </c>
      <c r="P288" s="18" t="e">
        <f ca="1">Tableau1[[#This Row],[Dont
HS 30%]]*1.3</f>
        <v>#VALUE!</v>
      </c>
      <c r="Q288" s="18" t="e">
        <f ca="1">Tableau1[[#This Row],[Dont 
HS 50%]]*1.5</f>
        <v>#VALUE!</v>
      </c>
    </row>
    <row r="289" spans="2:17" hidden="1" x14ac:dyDescent="0.25">
      <c r="B289" s="37">
        <f>_xlfn.ISOWEEKNUM(Tableau1[[#This Row],[Date]])</f>
        <v>2</v>
      </c>
      <c r="C289" s="14">
        <f>debut+ROW()-ROW(Tableau1[[#Headers],[Date]])-1</f>
        <v>44936</v>
      </c>
      <c r="D289" s="16">
        <f>MONTH(Tableau1[[#This Row],[Date]])</f>
        <v>1</v>
      </c>
      <c r="E289" s="16">
        <f>YEAR(Tableau1[[#This Row],[Date]])</f>
        <v>2023</v>
      </c>
      <c r="F289" s="32"/>
      <c r="G289" s="32"/>
      <c r="H289" s="32"/>
      <c r="I289" s="32"/>
      <c r="J289" s="3"/>
      <c r="K289" s="18">
        <f>MOD(Tableau1[[#This Row],[Fin
apm]]-Tableau1[[#This Row],[Début
apm]],1)+MOD(Tableau1[[#This Row],[Fin
matin]]-Tableau1[[#This Row],[Début
matin]],1)</f>
        <v>0</v>
      </c>
      <c r="L289" s="18">
        <f>IFERROR(VLOOKUP(Tableau1[[#This Row],[Abs.]],Tmotif[],3,0),0)</f>
        <v>0</v>
      </c>
      <c r="M289" s="18">
        <f ca="1">IF(WEEKDAY(Tableau1[[#This Row],[Date]],2)&lt;7,0,MAX(0,SUM(OFFSET(Tableau1[[#This Row],[Heures]],-6,,7))+SUM(OFFSET(Tableau1[[#This Row],[H_Abs]],-6,,7))-_HS))</f>
        <v>0</v>
      </c>
      <c r="N289" s="18" t="str">
        <f ca="1">IF(Tableau1[[#This Row],[HS]]&gt;0,IF(Tableau1[[#This Row],[HS]]*24&gt;8,8/24,Tableau1[[#This Row],[HS]]),"")</f>
        <v/>
      </c>
      <c r="O289" s="18" t="str">
        <f ca="1">IF(Tableau1[[#This Row],[HS]]*24&gt;8,Tableau1[[#This Row],[HS]]-Tableau1[[#This Row],[Dont
HS 30%]],"")</f>
        <v/>
      </c>
      <c r="P289" s="18" t="e">
        <f ca="1">Tableau1[[#This Row],[Dont
HS 30%]]*1.3</f>
        <v>#VALUE!</v>
      </c>
      <c r="Q289" s="18" t="e">
        <f ca="1">Tableau1[[#This Row],[Dont 
HS 50%]]*1.5</f>
        <v>#VALUE!</v>
      </c>
    </row>
    <row r="290" spans="2:17" hidden="1" x14ac:dyDescent="0.25">
      <c r="B290" s="37">
        <f>_xlfn.ISOWEEKNUM(Tableau1[[#This Row],[Date]])</f>
        <v>2</v>
      </c>
      <c r="C290" s="14">
        <f>debut+ROW()-ROW(Tableau1[[#Headers],[Date]])-1</f>
        <v>44937</v>
      </c>
      <c r="D290" s="16">
        <f>MONTH(Tableau1[[#This Row],[Date]])</f>
        <v>1</v>
      </c>
      <c r="E290" s="16">
        <f>YEAR(Tableau1[[#This Row],[Date]])</f>
        <v>2023</v>
      </c>
      <c r="F290" s="32"/>
      <c r="G290" s="32"/>
      <c r="H290" s="32"/>
      <c r="I290" s="32"/>
      <c r="J290" s="3"/>
      <c r="K290" s="18">
        <f>MOD(Tableau1[[#This Row],[Fin
apm]]-Tableau1[[#This Row],[Début
apm]],1)+MOD(Tableau1[[#This Row],[Fin
matin]]-Tableau1[[#This Row],[Début
matin]],1)</f>
        <v>0</v>
      </c>
      <c r="L290" s="18">
        <f>IFERROR(VLOOKUP(Tableau1[[#This Row],[Abs.]],Tmotif[],3,0),0)</f>
        <v>0</v>
      </c>
      <c r="M290" s="18">
        <f ca="1">IF(WEEKDAY(Tableau1[[#This Row],[Date]],2)&lt;7,0,MAX(0,SUM(OFFSET(Tableau1[[#This Row],[Heures]],-6,,7))+SUM(OFFSET(Tableau1[[#This Row],[H_Abs]],-6,,7))-_HS))</f>
        <v>0</v>
      </c>
      <c r="N290" s="18" t="str">
        <f ca="1">IF(Tableau1[[#This Row],[HS]]&gt;0,IF(Tableau1[[#This Row],[HS]]*24&gt;8,8/24,Tableau1[[#This Row],[HS]]),"")</f>
        <v/>
      </c>
      <c r="O290" s="18" t="str">
        <f ca="1">IF(Tableau1[[#This Row],[HS]]*24&gt;8,Tableau1[[#This Row],[HS]]-Tableau1[[#This Row],[Dont
HS 30%]],"")</f>
        <v/>
      </c>
      <c r="P290" s="18" t="e">
        <f ca="1">Tableau1[[#This Row],[Dont
HS 30%]]*1.3</f>
        <v>#VALUE!</v>
      </c>
      <c r="Q290" s="18" t="e">
        <f ca="1">Tableau1[[#This Row],[Dont 
HS 50%]]*1.5</f>
        <v>#VALUE!</v>
      </c>
    </row>
    <row r="291" spans="2:17" hidden="1" x14ac:dyDescent="0.25">
      <c r="B291" s="37">
        <f>_xlfn.ISOWEEKNUM(Tableau1[[#This Row],[Date]])</f>
        <v>2</v>
      </c>
      <c r="C291" s="14">
        <f>debut+ROW()-ROW(Tableau1[[#Headers],[Date]])-1</f>
        <v>44938</v>
      </c>
      <c r="D291" s="16">
        <f>MONTH(Tableau1[[#This Row],[Date]])</f>
        <v>1</v>
      </c>
      <c r="E291" s="16">
        <f>YEAR(Tableau1[[#This Row],[Date]])</f>
        <v>2023</v>
      </c>
      <c r="F291" s="32"/>
      <c r="G291" s="32"/>
      <c r="H291" s="32"/>
      <c r="I291" s="32"/>
      <c r="J291" s="3"/>
      <c r="K291" s="18">
        <f>MOD(Tableau1[[#This Row],[Fin
apm]]-Tableau1[[#This Row],[Début
apm]],1)+MOD(Tableau1[[#This Row],[Fin
matin]]-Tableau1[[#This Row],[Début
matin]],1)</f>
        <v>0</v>
      </c>
      <c r="L291" s="18">
        <f>IFERROR(VLOOKUP(Tableau1[[#This Row],[Abs.]],Tmotif[],3,0),0)</f>
        <v>0</v>
      </c>
      <c r="M291" s="18">
        <f ca="1">IF(WEEKDAY(Tableau1[[#This Row],[Date]],2)&lt;7,0,MAX(0,SUM(OFFSET(Tableau1[[#This Row],[Heures]],-6,,7))+SUM(OFFSET(Tableau1[[#This Row],[H_Abs]],-6,,7))-_HS))</f>
        <v>0</v>
      </c>
      <c r="N291" s="18" t="str">
        <f ca="1">IF(Tableau1[[#This Row],[HS]]&gt;0,IF(Tableau1[[#This Row],[HS]]*24&gt;8,8/24,Tableau1[[#This Row],[HS]]),"")</f>
        <v/>
      </c>
      <c r="O291" s="18" t="str">
        <f ca="1">IF(Tableau1[[#This Row],[HS]]*24&gt;8,Tableau1[[#This Row],[HS]]-Tableau1[[#This Row],[Dont
HS 30%]],"")</f>
        <v/>
      </c>
      <c r="P291" s="18" t="e">
        <f ca="1">Tableau1[[#This Row],[Dont
HS 30%]]*1.3</f>
        <v>#VALUE!</v>
      </c>
      <c r="Q291" s="18" t="e">
        <f ca="1">Tableau1[[#This Row],[Dont 
HS 50%]]*1.5</f>
        <v>#VALUE!</v>
      </c>
    </row>
    <row r="292" spans="2:17" hidden="1" x14ac:dyDescent="0.25">
      <c r="B292" s="37">
        <f>_xlfn.ISOWEEKNUM(Tableau1[[#This Row],[Date]])</f>
        <v>2</v>
      </c>
      <c r="C292" s="14">
        <f>debut+ROW()-ROW(Tableau1[[#Headers],[Date]])-1</f>
        <v>44939</v>
      </c>
      <c r="D292" s="16">
        <f>MONTH(Tableau1[[#This Row],[Date]])</f>
        <v>1</v>
      </c>
      <c r="E292" s="16">
        <f>YEAR(Tableau1[[#This Row],[Date]])</f>
        <v>2023</v>
      </c>
      <c r="F292" s="32"/>
      <c r="G292" s="32"/>
      <c r="H292" s="32"/>
      <c r="I292" s="32"/>
      <c r="J292" s="3"/>
      <c r="K292" s="18">
        <f>MOD(Tableau1[[#This Row],[Fin
apm]]-Tableau1[[#This Row],[Début
apm]],1)+MOD(Tableau1[[#This Row],[Fin
matin]]-Tableau1[[#This Row],[Début
matin]],1)</f>
        <v>0</v>
      </c>
      <c r="L292" s="18">
        <f>IFERROR(VLOOKUP(Tableau1[[#This Row],[Abs.]],Tmotif[],3,0),0)</f>
        <v>0</v>
      </c>
      <c r="M292" s="18">
        <f ca="1">IF(WEEKDAY(Tableau1[[#This Row],[Date]],2)&lt;7,0,MAX(0,SUM(OFFSET(Tableau1[[#This Row],[Heures]],-6,,7))+SUM(OFFSET(Tableau1[[#This Row],[H_Abs]],-6,,7))-_HS))</f>
        <v>0</v>
      </c>
      <c r="N292" s="18" t="str">
        <f ca="1">IF(Tableau1[[#This Row],[HS]]&gt;0,IF(Tableau1[[#This Row],[HS]]*24&gt;8,8/24,Tableau1[[#This Row],[HS]]),"")</f>
        <v/>
      </c>
      <c r="O292" s="18" t="str">
        <f ca="1">IF(Tableau1[[#This Row],[HS]]*24&gt;8,Tableau1[[#This Row],[HS]]-Tableau1[[#This Row],[Dont
HS 30%]],"")</f>
        <v/>
      </c>
      <c r="P292" s="18" t="e">
        <f ca="1">Tableau1[[#This Row],[Dont
HS 30%]]*1.3</f>
        <v>#VALUE!</v>
      </c>
      <c r="Q292" s="18" t="e">
        <f ca="1">Tableau1[[#This Row],[Dont 
HS 50%]]*1.5</f>
        <v>#VALUE!</v>
      </c>
    </row>
    <row r="293" spans="2:17" hidden="1" x14ac:dyDescent="0.25">
      <c r="B293" s="37">
        <f>_xlfn.ISOWEEKNUM(Tableau1[[#This Row],[Date]])</f>
        <v>2</v>
      </c>
      <c r="C293" s="14">
        <f>debut+ROW()-ROW(Tableau1[[#Headers],[Date]])-1</f>
        <v>44940</v>
      </c>
      <c r="D293" s="16">
        <f>MONTH(Tableau1[[#This Row],[Date]])</f>
        <v>1</v>
      </c>
      <c r="E293" s="16">
        <f>YEAR(Tableau1[[#This Row],[Date]])</f>
        <v>2023</v>
      </c>
      <c r="F293" s="32"/>
      <c r="G293" s="32"/>
      <c r="H293" s="32"/>
      <c r="I293" s="32"/>
      <c r="J293" s="3"/>
      <c r="K293" s="18">
        <f>MOD(Tableau1[[#This Row],[Fin
apm]]-Tableau1[[#This Row],[Début
apm]],1)+MOD(Tableau1[[#This Row],[Fin
matin]]-Tableau1[[#This Row],[Début
matin]],1)</f>
        <v>0</v>
      </c>
      <c r="L293" s="18">
        <f>IFERROR(VLOOKUP(Tableau1[[#This Row],[Abs.]],Tmotif[],3,0),0)</f>
        <v>0</v>
      </c>
      <c r="M293" s="18">
        <f ca="1">IF(WEEKDAY(Tableau1[[#This Row],[Date]],2)&lt;7,0,MAX(0,SUM(OFFSET(Tableau1[[#This Row],[Heures]],-6,,7))+SUM(OFFSET(Tableau1[[#This Row],[H_Abs]],-6,,7))-_HS))</f>
        <v>0</v>
      </c>
      <c r="N293" s="18" t="str">
        <f ca="1">IF(Tableau1[[#This Row],[HS]]&gt;0,IF(Tableau1[[#This Row],[HS]]*24&gt;8,8/24,Tableau1[[#This Row],[HS]]),"")</f>
        <v/>
      </c>
      <c r="O293" s="18" t="str">
        <f ca="1">IF(Tableau1[[#This Row],[HS]]*24&gt;8,Tableau1[[#This Row],[HS]]-Tableau1[[#This Row],[Dont
HS 30%]],"")</f>
        <v/>
      </c>
      <c r="P293" s="18" t="e">
        <f ca="1">Tableau1[[#This Row],[Dont
HS 30%]]*1.3</f>
        <v>#VALUE!</v>
      </c>
      <c r="Q293" s="18" t="e">
        <f ca="1">Tableau1[[#This Row],[Dont 
HS 50%]]*1.5</f>
        <v>#VALUE!</v>
      </c>
    </row>
    <row r="294" spans="2:17" hidden="1" x14ac:dyDescent="0.25">
      <c r="B294" s="37">
        <f>_xlfn.ISOWEEKNUM(Tableau1[[#This Row],[Date]])</f>
        <v>2</v>
      </c>
      <c r="C294" s="14">
        <f>debut+ROW()-ROW(Tableau1[[#Headers],[Date]])-1</f>
        <v>44941</v>
      </c>
      <c r="D294" s="16">
        <f>MONTH(Tableau1[[#This Row],[Date]])</f>
        <v>1</v>
      </c>
      <c r="E294" s="16">
        <f>YEAR(Tableau1[[#This Row],[Date]])</f>
        <v>2023</v>
      </c>
      <c r="F294" s="32"/>
      <c r="G294" s="32"/>
      <c r="H294" s="32"/>
      <c r="I294" s="32"/>
      <c r="J294" s="3"/>
      <c r="K294" s="18">
        <f>MOD(Tableau1[[#This Row],[Fin
apm]]-Tableau1[[#This Row],[Début
apm]],1)+MOD(Tableau1[[#This Row],[Fin
matin]]-Tableau1[[#This Row],[Début
matin]],1)</f>
        <v>0</v>
      </c>
      <c r="L294" s="18">
        <f>IFERROR(VLOOKUP(Tableau1[[#This Row],[Abs.]],Tmotif[],3,0),0)</f>
        <v>0</v>
      </c>
      <c r="M294" s="18">
        <f ca="1">IF(WEEKDAY(Tableau1[[#This Row],[Date]],2)&lt;7,0,MAX(0,SUM(OFFSET(Tableau1[[#This Row],[Heures]],-6,,7))+SUM(OFFSET(Tableau1[[#This Row],[H_Abs]],-6,,7))-_HS))</f>
        <v>0</v>
      </c>
      <c r="N294" s="18" t="str">
        <f ca="1">IF(Tableau1[[#This Row],[HS]]&gt;0,IF(Tableau1[[#This Row],[HS]]*24&gt;8,8/24,Tableau1[[#This Row],[HS]]),"")</f>
        <v/>
      </c>
      <c r="O294" s="18" t="str">
        <f ca="1">IF(Tableau1[[#This Row],[HS]]*24&gt;8,Tableau1[[#This Row],[HS]]-Tableau1[[#This Row],[Dont
HS 30%]],"")</f>
        <v/>
      </c>
      <c r="P294" s="18" t="e">
        <f ca="1">Tableau1[[#This Row],[Dont
HS 30%]]*1.3</f>
        <v>#VALUE!</v>
      </c>
      <c r="Q294" s="18" t="e">
        <f ca="1">Tableau1[[#This Row],[Dont 
HS 50%]]*1.5</f>
        <v>#VALUE!</v>
      </c>
    </row>
    <row r="295" spans="2:17" hidden="1" x14ac:dyDescent="0.25">
      <c r="B295" s="37">
        <f>_xlfn.ISOWEEKNUM(Tableau1[[#This Row],[Date]])</f>
        <v>3</v>
      </c>
      <c r="C295" s="14">
        <f>debut+ROW()-ROW(Tableau1[[#Headers],[Date]])-1</f>
        <v>44942</v>
      </c>
      <c r="D295" s="16">
        <f>MONTH(Tableau1[[#This Row],[Date]])</f>
        <v>1</v>
      </c>
      <c r="E295" s="16">
        <f>YEAR(Tableau1[[#This Row],[Date]])</f>
        <v>2023</v>
      </c>
      <c r="F295" s="32"/>
      <c r="G295" s="32"/>
      <c r="H295" s="32"/>
      <c r="I295" s="32"/>
      <c r="J295" s="3"/>
      <c r="K295" s="18">
        <f>MOD(Tableau1[[#This Row],[Fin
apm]]-Tableau1[[#This Row],[Début
apm]],1)+MOD(Tableau1[[#This Row],[Fin
matin]]-Tableau1[[#This Row],[Début
matin]],1)</f>
        <v>0</v>
      </c>
      <c r="L295" s="18">
        <f>IFERROR(VLOOKUP(Tableau1[[#This Row],[Abs.]],Tmotif[],3,0),0)</f>
        <v>0</v>
      </c>
      <c r="M295" s="18">
        <f ca="1">IF(WEEKDAY(Tableau1[[#This Row],[Date]],2)&lt;7,0,MAX(0,SUM(OFFSET(Tableau1[[#This Row],[Heures]],-6,,7))+SUM(OFFSET(Tableau1[[#This Row],[H_Abs]],-6,,7))-_HS))</f>
        <v>0</v>
      </c>
      <c r="N295" s="18" t="str">
        <f ca="1">IF(Tableau1[[#This Row],[HS]]&gt;0,IF(Tableau1[[#This Row],[HS]]*24&gt;8,8/24,Tableau1[[#This Row],[HS]]),"")</f>
        <v/>
      </c>
      <c r="O295" s="18" t="str">
        <f ca="1">IF(Tableau1[[#This Row],[HS]]*24&gt;8,Tableau1[[#This Row],[HS]]-Tableau1[[#This Row],[Dont
HS 30%]],"")</f>
        <v/>
      </c>
      <c r="P295" s="18" t="e">
        <f ca="1">Tableau1[[#This Row],[Dont
HS 30%]]*1.3</f>
        <v>#VALUE!</v>
      </c>
      <c r="Q295" s="18" t="e">
        <f ca="1">Tableau1[[#This Row],[Dont 
HS 50%]]*1.5</f>
        <v>#VALUE!</v>
      </c>
    </row>
    <row r="296" spans="2:17" hidden="1" x14ac:dyDescent="0.25">
      <c r="B296" s="37">
        <f>_xlfn.ISOWEEKNUM(Tableau1[[#This Row],[Date]])</f>
        <v>3</v>
      </c>
      <c r="C296" s="14">
        <f>debut+ROW()-ROW(Tableau1[[#Headers],[Date]])-1</f>
        <v>44943</v>
      </c>
      <c r="D296" s="16">
        <f>MONTH(Tableau1[[#This Row],[Date]])</f>
        <v>1</v>
      </c>
      <c r="E296" s="16">
        <f>YEAR(Tableau1[[#This Row],[Date]])</f>
        <v>2023</v>
      </c>
      <c r="F296" s="32"/>
      <c r="G296" s="32"/>
      <c r="H296" s="32"/>
      <c r="I296" s="32"/>
      <c r="J296" s="3"/>
      <c r="K296" s="18">
        <f>MOD(Tableau1[[#This Row],[Fin
apm]]-Tableau1[[#This Row],[Début
apm]],1)+MOD(Tableau1[[#This Row],[Fin
matin]]-Tableau1[[#This Row],[Début
matin]],1)</f>
        <v>0</v>
      </c>
      <c r="L296" s="18">
        <f>IFERROR(VLOOKUP(Tableau1[[#This Row],[Abs.]],Tmotif[],3,0),0)</f>
        <v>0</v>
      </c>
      <c r="M296" s="18">
        <f ca="1">IF(WEEKDAY(Tableau1[[#This Row],[Date]],2)&lt;7,0,MAX(0,SUM(OFFSET(Tableau1[[#This Row],[Heures]],-6,,7))+SUM(OFFSET(Tableau1[[#This Row],[H_Abs]],-6,,7))-_HS))</f>
        <v>0</v>
      </c>
      <c r="N296" s="18" t="str">
        <f ca="1">IF(Tableau1[[#This Row],[HS]]&gt;0,IF(Tableau1[[#This Row],[HS]]*24&gt;8,8/24,Tableau1[[#This Row],[HS]]),"")</f>
        <v/>
      </c>
      <c r="O296" s="18" t="str">
        <f ca="1">IF(Tableau1[[#This Row],[HS]]*24&gt;8,Tableau1[[#This Row],[HS]]-Tableau1[[#This Row],[Dont
HS 30%]],"")</f>
        <v/>
      </c>
      <c r="P296" s="18" t="e">
        <f ca="1">Tableau1[[#This Row],[Dont
HS 30%]]*1.3</f>
        <v>#VALUE!</v>
      </c>
      <c r="Q296" s="18" t="e">
        <f ca="1">Tableau1[[#This Row],[Dont 
HS 50%]]*1.5</f>
        <v>#VALUE!</v>
      </c>
    </row>
    <row r="297" spans="2:17" hidden="1" x14ac:dyDescent="0.25">
      <c r="B297" s="37">
        <f>_xlfn.ISOWEEKNUM(Tableau1[[#This Row],[Date]])</f>
        <v>3</v>
      </c>
      <c r="C297" s="14">
        <f>debut+ROW()-ROW(Tableau1[[#Headers],[Date]])-1</f>
        <v>44944</v>
      </c>
      <c r="D297" s="16">
        <f>MONTH(Tableau1[[#This Row],[Date]])</f>
        <v>1</v>
      </c>
      <c r="E297" s="16">
        <f>YEAR(Tableau1[[#This Row],[Date]])</f>
        <v>2023</v>
      </c>
      <c r="F297" s="32"/>
      <c r="G297" s="32"/>
      <c r="H297" s="32"/>
      <c r="I297" s="32"/>
      <c r="J297" s="3"/>
      <c r="K297" s="18">
        <f>MOD(Tableau1[[#This Row],[Fin
apm]]-Tableau1[[#This Row],[Début
apm]],1)+MOD(Tableau1[[#This Row],[Fin
matin]]-Tableau1[[#This Row],[Début
matin]],1)</f>
        <v>0</v>
      </c>
      <c r="L297" s="18">
        <f>IFERROR(VLOOKUP(Tableau1[[#This Row],[Abs.]],Tmotif[],3,0),0)</f>
        <v>0</v>
      </c>
      <c r="M297" s="18">
        <f ca="1">IF(WEEKDAY(Tableau1[[#This Row],[Date]],2)&lt;7,0,MAX(0,SUM(OFFSET(Tableau1[[#This Row],[Heures]],-6,,7))+SUM(OFFSET(Tableau1[[#This Row],[H_Abs]],-6,,7))-_HS))</f>
        <v>0</v>
      </c>
      <c r="N297" s="18" t="str">
        <f ca="1">IF(Tableau1[[#This Row],[HS]]&gt;0,IF(Tableau1[[#This Row],[HS]]*24&gt;8,8/24,Tableau1[[#This Row],[HS]]),"")</f>
        <v/>
      </c>
      <c r="O297" s="18" t="str">
        <f ca="1">IF(Tableau1[[#This Row],[HS]]*24&gt;8,Tableau1[[#This Row],[HS]]-Tableau1[[#This Row],[Dont
HS 30%]],"")</f>
        <v/>
      </c>
      <c r="P297" s="18" t="e">
        <f ca="1">Tableau1[[#This Row],[Dont
HS 30%]]*1.3</f>
        <v>#VALUE!</v>
      </c>
      <c r="Q297" s="18" t="e">
        <f ca="1">Tableau1[[#This Row],[Dont 
HS 50%]]*1.5</f>
        <v>#VALUE!</v>
      </c>
    </row>
    <row r="298" spans="2:17" hidden="1" x14ac:dyDescent="0.25">
      <c r="B298" s="37">
        <f>_xlfn.ISOWEEKNUM(Tableau1[[#This Row],[Date]])</f>
        <v>3</v>
      </c>
      <c r="C298" s="14">
        <f>debut+ROW()-ROW(Tableau1[[#Headers],[Date]])-1</f>
        <v>44945</v>
      </c>
      <c r="D298" s="16">
        <f>MONTH(Tableau1[[#This Row],[Date]])</f>
        <v>1</v>
      </c>
      <c r="E298" s="16">
        <f>YEAR(Tableau1[[#This Row],[Date]])</f>
        <v>2023</v>
      </c>
      <c r="F298" s="32"/>
      <c r="G298" s="32"/>
      <c r="H298" s="32"/>
      <c r="I298" s="32"/>
      <c r="J298" s="3"/>
      <c r="K298" s="18">
        <f>MOD(Tableau1[[#This Row],[Fin
apm]]-Tableau1[[#This Row],[Début
apm]],1)+MOD(Tableau1[[#This Row],[Fin
matin]]-Tableau1[[#This Row],[Début
matin]],1)</f>
        <v>0</v>
      </c>
      <c r="L298" s="18">
        <f>IFERROR(VLOOKUP(Tableau1[[#This Row],[Abs.]],Tmotif[],3,0),0)</f>
        <v>0</v>
      </c>
      <c r="M298" s="18">
        <f ca="1">IF(WEEKDAY(Tableau1[[#This Row],[Date]],2)&lt;7,0,MAX(0,SUM(OFFSET(Tableau1[[#This Row],[Heures]],-6,,7))+SUM(OFFSET(Tableau1[[#This Row],[H_Abs]],-6,,7))-_HS))</f>
        <v>0</v>
      </c>
      <c r="N298" s="18" t="str">
        <f ca="1">IF(Tableau1[[#This Row],[HS]]&gt;0,IF(Tableau1[[#This Row],[HS]]*24&gt;8,8/24,Tableau1[[#This Row],[HS]]),"")</f>
        <v/>
      </c>
      <c r="O298" s="18" t="str">
        <f ca="1">IF(Tableau1[[#This Row],[HS]]*24&gt;8,Tableau1[[#This Row],[HS]]-Tableau1[[#This Row],[Dont
HS 30%]],"")</f>
        <v/>
      </c>
      <c r="P298" s="18" t="e">
        <f ca="1">Tableau1[[#This Row],[Dont
HS 30%]]*1.3</f>
        <v>#VALUE!</v>
      </c>
      <c r="Q298" s="18" t="e">
        <f ca="1">Tableau1[[#This Row],[Dont 
HS 50%]]*1.5</f>
        <v>#VALUE!</v>
      </c>
    </row>
    <row r="299" spans="2:17" hidden="1" x14ac:dyDescent="0.25">
      <c r="B299" s="37">
        <f>_xlfn.ISOWEEKNUM(Tableau1[[#This Row],[Date]])</f>
        <v>3</v>
      </c>
      <c r="C299" s="14">
        <f>debut+ROW()-ROW(Tableau1[[#Headers],[Date]])-1</f>
        <v>44946</v>
      </c>
      <c r="D299" s="16">
        <f>MONTH(Tableau1[[#This Row],[Date]])</f>
        <v>1</v>
      </c>
      <c r="E299" s="16">
        <f>YEAR(Tableau1[[#This Row],[Date]])</f>
        <v>2023</v>
      </c>
      <c r="F299" s="32"/>
      <c r="G299" s="32"/>
      <c r="H299" s="32"/>
      <c r="I299" s="32"/>
      <c r="J299" s="3"/>
      <c r="K299" s="18">
        <f>MOD(Tableau1[[#This Row],[Fin
apm]]-Tableau1[[#This Row],[Début
apm]],1)+MOD(Tableau1[[#This Row],[Fin
matin]]-Tableau1[[#This Row],[Début
matin]],1)</f>
        <v>0</v>
      </c>
      <c r="L299" s="18">
        <f>IFERROR(VLOOKUP(Tableau1[[#This Row],[Abs.]],Tmotif[],3,0),0)</f>
        <v>0</v>
      </c>
      <c r="M299" s="18">
        <f ca="1">IF(WEEKDAY(Tableau1[[#This Row],[Date]],2)&lt;7,0,MAX(0,SUM(OFFSET(Tableau1[[#This Row],[Heures]],-6,,7))+SUM(OFFSET(Tableau1[[#This Row],[H_Abs]],-6,,7))-_HS))</f>
        <v>0</v>
      </c>
      <c r="N299" s="18" t="str">
        <f ca="1">IF(Tableau1[[#This Row],[HS]]&gt;0,IF(Tableau1[[#This Row],[HS]]*24&gt;8,8/24,Tableau1[[#This Row],[HS]]),"")</f>
        <v/>
      </c>
      <c r="O299" s="18" t="str">
        <f ca="1">IF(Tableau1[[#This Row],[HS]]*24&gt;8,Tableau1[[#This Row],[HS]]-Tableau1[[#This Row],[Dont
HS 30%]],"")</f>
        <v/>
      </c>
      <c r="P299" s="18" t="e">
        <f ca="1">Tableau1[[#This Row],[Dont
HS 30%]]*1.3</f>
        <v>#VALUE!</v>
      </c>
      <c r="Q299" s="18" t="e">
        <f ca="1">Tableau1[[#This Row],[Dont 
HS 50%]]*1.5</f>
        <v>#VALUE!</v>
      </c>
    </row>
    <row r="300" spans="2:17" hidden="1" x14ac:dyDescent="0.25">
      <c r="B300" s="37">
        <f>_xlfn.ISOWEEKNUM(Tableau1[[#This Row],[Date]])</f>
        <v>3</v>
      </c>
      <c r="C300" s="14">
        <f>debut+ROW()-ROW(Tableau1[[#Headers],[Date]])-1</f>
        <v>44947</v>
      </c>
      <c r="D300" s="16">
        <f>MONTH(Tableau1[[#This Row],[Date]])</f>
        <v>1</v>
      </c>
      <c r="E300" s="16">
        <f>YEAR(Tableau1[[#This Row],[Date]])</f>
        <v>2023</v>
      </c>
      <c r="F300" s="32"/>
      <c r="G300" s="32"/>
      <c r="H300" s="32"/>
      <c r="I300" s="32"/>
      <c r="J300" s="3"/>
      <c r="K300" s="18">
        <f>MOD(Tableau1[[#This Row],[Fin
apm]]-Tableau1[[#This Row],[Début
apm]],1)+MOD(Tableau1[[#This Row],[Fin
matin]]-Tableau1[[#This Row],[Début
matin]],1)</f>
        <v>0</v>
      </c>
      <c r="L300" s="18">
        <f>IFERROR(VLOOKUP(Tableau1[[#This Row],[Abs.]],Tmotif[],3,0),0)</f>
        <v>0</v>
      </c>
      <c r="M300" s="18">
        <f ca="1">IF(WEEKDAY(Tableau1[[#This Row],[Date]],2)&lt;7,0,MAX(0,SUM(OFFSET(Tableau1[[#This Row],[Heures]],-6,,7))+SUM(OFFSET(Tableau1[[#This Row],[H_Abs]],-6,,7))-_HS))</f>
        <v>0</v>
      </c>
      <c r="N300" s="18" t="str">
        <f ca="1">IF(Tableau1[[#This Row],[HS]]&gt;0,IF(Tableau1[[#This Row],[HS]]*24&gt;8,8/24,Tableau1[[#This Row],[HS]]),"")</f>
        <v/>
      </c>
      <c r="O300" s="18" t="str">
        <f ca="1">IF(Tableau1[[#This Row],[HS]]*24&gt;8,Tableau1[[#This Row],[HS]]-Tableau1[[#This Row],[Dont
HS 30%]],"")</f>
        <v/>
      </c>
      <c r="P300" s="18" t="e">
        <f ca="1">Tableau1[[#This Row],[Dont
HS 30%]]*1.3</f>
        <v>#VALUE!</v>
      </c>
      <c r="Q300" s="18" t="e">
        <f ca="1">Tableau1[[#This Row],[Dont 
HS 50%]]*1.5</f>
        <v>#VALUE!</v>
      </c>
    </row>
    <row r="301" spans="2:17" hidden="1" x14ac:dyDescent="0.25">
      <c r="B301" s="37">
        <f>_xlfn.ISOWEEKNUM(Tableau1[[#This Row],[Date]])</f>
        <v>3</v>
      </c>
      <c r="C301" s="14">
        <f>debut+ROW()-ROW(Tableau1[[#Headers],[Date]])-1</f>
        <v>44948</v>
      </c>
      <c r="D301" s="16">
        <f>MONTH(Tableau1[[#This Row],[Date]])</f>
        <v>1</v>
      </c>
      <c r="E301" s="16">
        <f>YEAR(Tableau1[[#This Row],[Date]])</f>
        <v>2023</v>
      </c>
      <c r="F301" s="32"/>
      <c r="G301" s="32"/>
      <c r="H301" s="32"/>
      <c r="I301" s="32"/>
      <c r="J301" s="3"/>
      <c r="K301" s="18">
        <f>MOD(Tableau1[[#This Row],[Fin
apm]]-Tableau1[[#This Row],[Début
apm]],1)+MOD(Tableau1[[#This Row],[Fin
matin]]-Tableau1[[#This Row],[Début
matin]],1)</f>
        <v>0</v>
      </c>
      <c r="L301" s="18">
        <f>IFERROR(VLOOKUP(Tableau1[[#This Row],[Abs.]],Tmotif[],3,0),0)</f>
        <v>0</v>
      </c>
      <c r="M301" s="18">
        <f ca="1">IF(WEEKDAY(Tableau1[[#This Row],[Date]],2)&lt;7,0,MAX(0,SUM(OFFSET(Tableau1[[#This Row],[Heures]],-6,,7))+SUM(OFFSET(Tableau1[[#This Row],[H_Abs]],-6,,7))-_HS))</f>
        <v>0</v>
      </c>
      <c r="N301" s="18" t="str">
        <f ca="1">IF(Tableau1[[#This Row],[HS]]&gt;0,IF(Tableau1[[#This Row],[HS]]*24&gt;8,8/24,Tableau1[[#This Row],[HS]]),"")</f>
        <v/>
      </c>
      <c r="O301" s="18" t="str">
        <f ca="1">IF(Tableau1[[#This Row],[HS]]*24&gt;8,Tableau1[[#This Row],[HS]]-Tableau1[[#This Row],[Dont
HS 30%]],"")</f>
        <v/>
      </c>
      <c r="P301" s="18" t="e">
        <f ca="1">Tableau1[[#This Row],[Dont
HS 30%]]*1.3</f>
        <v>#VALUE!</v>
      </c>
      <c r="Q301" s="18" t="e">
        <f ca="1">Tableau1[[#This Row],[Dont 
HS 50%]]*1.5</f>
        <v>#VALUE!</v>
      </c>
    </row>
    <row r="302" spans="2:17" hidden="1" x14ac:dyDescent="0.25">
      <c r="B302" s="37">
        <f>_xlfn.ISOWEEKNUM(Tableau1[[#This Row],[Date]])</f>
        <v>4</v>
      </c>
      <c r="C302" s="14">
        <f>debut+ROW()-ROW(Tableau1[[#Headers],[Date]])-1</f>
        <v>44949</v>
      </c>
      <c r="D302" s="16">
        <f>MONTH(Tableau1[[#This Row],[Date]])</f>
        <v>1</v>
      </c>
      <c r="E302" s="16">
        <f>YEAR(Tableau1[[#This Row],[Date]])</f>
        <v>2023</v>
      </c>
      <c r="F302" s="32"/>
      <c r="G302" s="32"/>
      <c r="H302" s="32"/>
      <c r="I302" s="32"/>
      <c r="J302" s="3"/>
      <c r="K302" s="18">
        <f>MOD(Tableau1[[#This Row],[Fin
apm]]-Tableau1[[#This Row],[Début
apm]],1)+MOD(Tableau1[[#This Row],[Fin
matin]]-Tableau1[[#This Row],[Début
matin]],1)</f>
        <v>0</v>
      </c>
      <c r="L302" s="18">
        <f>IFERROR(VLOOKUP(Tableau1[[#This Row],[Abs.]],Tmotif[],3,0),0)</f>
        <v>0</v>
      </c>
      <c r="M302" s="18">
        <f ca="1">IF(WEEKDAY(Tableau1[[#This Row],[Date]],2)&lt;7,0,MAX(0,SUM(OFFSET(Tableau1[[#This Row],[Heures]],-6,,7))+SUM(OFFSET(Tableau1[[#This Row],[H_Abs]],-6,,7))-_HS))</f>
        <v>0</v>
      </c>
      <c r="N302" s="18" t="str">
        <f ca="1">IF(Tableau1[[#This Row],[HS]]&gt;0,IF(Tableau1[[#This Row],[HS]]*24&gt;8,8/24,Tableau1[[#This Row],[HS]]),"")</f>
        <v/>
      </c>
      <c r="O302" s="18" t="str">
        <f ca="1">IF(Tableau1[[#This Row],[HS]]*24&gt;8,Tableau1[[#This Row],[HS]]-Tableau1[[#This Row],[Dont
HS 30%]],"")</f>
        <v/>
      </c>
      <c r="P302" s="18" t="e">
        <f ca="1">Tableau1[[#This Row],[Dont
HS 30%]]*1.3</f>
        <v>#VALUE!</v>
      </c>
      <c r="Q302" s="18" t="e">
        <f ca="1">Tableau1[[#This Row],[Dont 
HS 50%]]*1.5</f>
        <v>#VALUE!</v>
      </c>
    </row>
    <row r="303" spans="2:17" hidden="1" x14ac:dyDescent="0.25">
      <c r="B303" s="37">
        <f>_xlfn.ISOWEEKNUM(Tableau1[[#This Row],[Date]])</f>
        <v>4</v>
      </c>
      <c r="C303" s="14">
        <f>debut+ROW()-ROW(Tableau1[[#Headers],[Date]])-1</f>
        <v>44950</v>
      </c>
      <c r="D303" s="16">
        <f>MONTH(Tableau1[[#This Row],[Date]])</f>
        <v>1</v>
      </c>
      <c r="E303" s="16">
        <f>YEAR(Tableau1[[#This Row],[Date]])</f>
        <v>2023</v>
      </c>
      <c r="F303" s="32"/>
      <c r="G303" s="32"/>
      <c r="H303" s="32"/>
      <c r="I303" s="32"/>
      <c r="J303" s="3"/>
      <c r="K303" s="18">
        <f>MOD(Tableau1[[#This Row],[Fin
apm]]-Tableau1[[#This Row],[Début
apm]],1)+MOD(Tableau1[[#This Row],[Fin
matin]]-Tableau1[[#This Row],[Début
matin]],1)</f>
        <v>0</v>
      </c>
      <c r="L303" s="18">
        <f>IFERROR(VLOOKUP(Tableau1[[#This Row],[Abs.]],Tmotif[],3,0),0)</f>
        <v>0</v>
      </c>
      <c r="M303" s="18">
        <f ca="1">IF(WEEKDAY(Tableau1[[#This Row],[Date]],2)&lt;7,0,MAX(0,SUM(OFFSET(Tableau1[[#This Row],[Heures]],-6,,7))+SUM(OFFSET(Tableau1[[#This Row],[H_Abs]],-6,,7))-_HS))</f>
        <v>0</v>
      </c>
      <c r="N303" s="18" t="str">
        <f ca="1">IF(Tableau1[[#This Row],[HS]]&gt;0,IF(Tableau1[[#This Row],[HS]]*24&gt;8,8/24,Tableau1[[#This Row],[HS]]),"")</f>
        <v/>
      </c>
      <c r="O303" s="18" t="str">
        <f ca="1">IF(Tableau1[[#This Row],[HS]]*24&gt;8,Tableau1[[#This Row],[HS]]-Tableau1[[#This Row],[Dont
HS 30%]],"")</f>
        <v/>
      </c>
      <c r="P303" s="18" t="e">
        <f ca="1">Tableau1[[#This Row],[Dont
HS 30%]]*1.3</f>
        <v>#VALUE!</v>
      </c>
      <c r="Q303" s="18" t="e">
        <f ca="1">Tableau1[[#This Row],[Dont 
HS 50%]]*1.5</f>
        <v>#VALUE!</v>
      </c>
    </row>
    <row r="304" spans="2:17" hidden="1" x14ac:dyDescent="0.25">
      <c r="B304" s="37">
        <f>_xlfn.ISOWEEKNUM(Tableau1[[#This Row],[Date]])</f>
        <v>4</v>
      </c>
      <c r="C304" s="14">
        <f>debut+ROW()-ROW(Tableau1[[#Headers],[Date]])-1</f>
        <v>44951</v>
      </c>
      <c r="D304" s="16">
        <f>MONTH(Tableau1[[#This Row],[Date]])</f>
        <v>1</v>
      </c>
      <c r="E304" s="16">
        <f>YEAR(Tableau1[[#This Row],[Date]])</f>
        <v>2023</v>
      </c>
      <c r="F304" s="32"/>
      <c r="G304" s="32"/>
      <c r="H304" s="32"/>
      <c r="I304" s="32"/>
      <c r="J304" s="3"/>
      <c r="K304" s="18">
        <f>MOD(Tableau1[[#This Row],[Fin
apm]]-Tableau1[[#This Row],[Début
apm]],1)+MOD(Tableau1[[#This Row],[Fin
matin]]-Tableau1[[#This Row],[Début
matin]],1)</f>
        <v>0</v>
      </c>
      <c r="L304" s="18">
        <f>IFERROR(VLOOKUP(Tableau1[[#This Row],[Abs.]],Tmotif[],3,0),0)</f>
        <v>0</v>
      </c>
      <c r="M304" s="18">
        <f ca="1">IF(WEEKDAY(Tableau1[[#This Row],[Date]],2)&lt;7,0,MAX(0,SUM(OFFSET(Tableau1[[#This Row],[Heures]],-6,,7))+SUM(OFFSET(Tableau1[[#This Row],[H_Abs]],-6,,7))-_HS))</f>
        <v>0</v>
      </c>
      <c r="N304" s="18" t="str">
        <f ca="1">IF(Tableau1[[#This Row],[HS]]&gt;0,IF(Tableau1[[#This Row],[HS]]*24&gt;8,8/24,Tableau1[[#This Row],[HS]]),"")</f>
        <v/>
      </c>
      <c r="O304" s="18" t="str">
        <f ca="1">IF(Tableau1[[#This Row],[HS]]*24&gt;8,Tableau1[[#This Row],[HS]]-Tableau1[[#This Row],[Dont
HS 30%]],"")</f>
        <v/>
      </c>
      <c r="P304" s="18" t="e">
        <f ca="1">Tableau1[[#This Row],[Dont
HS 30%]]*1.3</f>
        <v>#VALUE!</v>
      </c>
      <c r="Q304" s="18" t="e">
        <f ca="1">Tableau1[[#This Row],[Dont 
HS 50%]]*1.5</f>
        <v>#VALUE!</v>
      </c>
    </row>
    <row r="305" spans="2:17" hidden="1" x14ac:dyDescent="0.25">
      <c r="B305" s="37">
        <f>_xlfn.ISOWEEKNUM(Tableau1[[#This Row],[Date]])</f>
        <v>4</v>
      </c>
      <c r="C305" s="14">
        <f>debut+ROW()-ROW(Tableau1[[#Headers],[Date]])-1</f>
        <v>44952</v>
      </c>
      <c r="D305" s="16">
        <f>MONTH(Tableau1[[#This Row],[Date]])</f>
        <v>1</v>
      </c>
      <c r="E305" s="16">
        <f>YEAR(Tableau1[[#This Row],[Date]])</f>
        <v>2023</v>
      </c>
      <c r="F305" s="32"/>
      <c r="G305" s="32"/>
      <c r="H305" s="32"/>
      <c r="I305" s="32"/>
      <c r="J305" s="3"/>
      <c r="K305" s="18">
        <f>MOD(Tableau1[[#This Row],[Fin
apm]]-Tableau1[[#This Row],[Début
apm]],1)+MOD(Tableau1[[#This Row],[Fin
matin]]-Tableau1[[#This Row],[Début
matin]],1)</f>
        <v>0</v>
      </c>
      <c r="L305" s="18">
        <f>IFERROR(VLOOKUP(Tableau1[[#This Row],[Abs.]],Tmotif[],3,0),0)</f>
        <v>0</v>
      </c>
      <c r="M305" s="18">
        <f ca="1">IF(WEEKDAY(Tableau1[[#This Row],[Date]],2)&lt;7,0,MAX(0,SUM(OFFSET(Tableau1[[#This Row],[Heures]],-6,,7))+SUM(OFFSET(Tableau1[[#This Row],[H_Abs]],-6,,7))-_HS))</f>
        <v>0</v>
      </c>
      <c r="N305" s="18" t="str">
        <f ca="1">IF(Tableau1[[#This Row],[HS]]&gt;0,IF(Tableau1[[#This Row],[HS]]*24&gt;8,8/24,Tableau1[[#This Row],[HS]]),"")</f>
        <v/>
      </c>
      <c r="O305" s="18" t="str">
        <f ca="1">IF(Tableau1[[#This Row],[HS]]*24&gt;8,Tableau1[[#This Row],[HS]]-Tableau1[[#This Row],[Dont
HS 30%]],"")</f>
        <v/>
      </c>
      <c r="P305" s="18" t="e">
        <f ca="1">Tableau1[[#This Row],[Dont
HS 30%]]*1.3</f>
        <v>#VALUE!</v>
      </c>
      <c r="Q305" s="18" t="e">
        <f ca="1">Tableau1[[#This Row],[Dont 
HS 50%]]*1.5</f>
        <v>#VALUE!</v>
      </c>
    </row>
    <row r="306" spans="2:17" hidden="1" x14ac:dyDescent="0.25">
      <c r="B306" s="37">
        <f>_xlfn.ISOWEEKNUM(Tableau1[[#This Row],[Date]])</f>
        <v>4</v>
      </c>
      <c r="C306" s="14">
        <f>debut+ROW()-ROW(Tableau1[[#Headers],[Date]])-1</f>
        <v>44953</v>
      </c>
      <c r="D306" s="16">
        <f>MONTH(Tableau1[[#This Row],[Date]])</f>
        <v>1</v>
      </c>
      <c r="E306" s="16">
        <f>YEAR(Tableau1[[#This Row],[Date]])</f>
        <v>2023</v>
      </c>
      <c r="F306" s="32"/>
      <c r="G306" s="32"/>
      <c r="H306" s="32"/>
      <c r="I306" s="32"/>
      <c r="J306" s="3"/>
      <c r="K306" s="18">
        <f>MOD(Tableau1[[#This Row],[Fin
apm]]-Tableau1[[#This Row],[Début
apm]],1)+MOD(Tableau1[[#This Row],[Fin
matin]]-Tableau1[[#This Row],[Début
matin]],1)</f>
        <v>0</v>
      </c>
      <c r="L306" s="18">
        <f>IFERROR(VLOOKUP(Tableau1[[#This Row],[Abs.]],Tmotif[],3,0),0)</f>
        <v>0</v>
      </c>
      <c r="M306" s="18">
        <f ca="1">IF(WEEKDAY(Tableau1[[#This Row],[Date]],2)&lt;7,0,MAX(0,SUM(OFFSET(Tableau1[[#This Row],[Heures]],-6,,7))+SUM(OFFSET(Tableau1[[#This Row],[H_Abs]],-6,,7))-_HS))</f>
        <v>0</v>
      </c>
      <c r="N306" s="18" t="str">
        <f ca="1">IF(Tableau1[[#This Row],[HS]]&gt;0,IF(Tableau1[[#This Row],[HS]]*24&gt;8,8/24,Tableau1[[#This Row],[HS]]),"")</f>
        <v/>
      </c>
      <c r="O306" s="18" t="str">
        <f ca="1">IF(Tableau1[[#This Row],[HS]]*24&gt;8,Tableau1[[#This Row],[HS]]-Tableau1[[#This Row],[Dont
HS 30%]],"")</f>
        <v/>
      </c>
      <c r="P306" s="18" t="e">
        <f ca="1">Tableau1[[#This Row],[Dont
HS 30%]]*1.3</f>
        <v>#VALUE!</v>
      </c>
      <c r="Q306" s="18" t="e">
        <f ca="1">Tableau1[[#This Row],[Dont 
HS 50%]]*1.5</f>
        <v>#VALUE!</v>
      </c>
    </row>
    <row r="307" spans="2:17" hidden="1" x14ac:dyDescent="0.25">
      <c r="B307" s="37">
        <f>_xlfn.ISOWEEKNUM(Tableau1[[#This Row],[Date]])</f>
        <v>4</v>
      </c>
      <c r="C307" s="14">
        <f>debut+ROW()-ROW(Tableau1[[#Headers],[Date]])-1</f>
        <v>44954</v>
      </c>
      <c r="D307" s="16">
        <f>MONTH(Tableau1[[#This Row],[Date]])</f>
        <v>1</v>
      </c>
      <c r="E307" s="16">
        <f>YEAR(Tableau1[[#This Row],[Date]])</f>
        <v>2023</v>
      </c>
      <c r="F307" s="32"/>
      <c r="G307" s="32"/>
      <c r="H307" s="32"/>
      <c r="I307" s="32"/>
      <c r="J307" s="3"/>
      <c r="K307" s="18">
        <f>MOD(Tableau1[[#This Row],[Fin
apm]]-Tableau1[[#This Row],[Début
apm]],1)+MOD(Tableau1[[#This Row],[Fin
matin]]-Tableau1[[#This Row],[Début
matin]],1)</f>
        <v>0</v>
      </c>
      <c r="L307" s="18">
        <f>IFERROR(VLOOKUP(Tableau1[[#This Row],[Abs.]],Tmotif[],3,0),0)</f>
        <v>0</v>
      </c>
      <c r="M307" s="18">
        <f ca="1">IF(WEEKDAY(Tableau1[[#This Row],[Date]],2)&lt;7,0,MAX(0,SUM(OFFSET(Tableau1[[#This Row],[Heures]],-6,,7))+SUM(OFFSET(Tableau1[[#This Row],[H_Abs]],-6,,7))-_HS))</f>
        <v>0</v>
      </c>
      <c r="N307" s="18" t="str">
        <f ca="1">IF(Tableau1[[#This Row],[HS]]&gt;0,IF(Tableau1[[#This Row],[HS]]*24&gt;8,8/24,Tableau1[[#This Row],[HS]]),"")</f>
        <v/>
      </c>
      <c r="O307" s="18" t="str">
        <f ca="1">IF(Tableau1[[#This Row],[HS]]*24&gt;8,Tableau1[[#This Row],[HS]]-Tableau1[[#This Row],[Dont
HS 30%]],"")</f>
        <v/>
      </c>
      <c r="P307" s="18" t="e">
        <f ca="1">Tableau1[[#This Row],[Dont
HS 30%]]*1.3</f>
        <v>#VALUE!</v>
      </c>
      <c r="Q307" s="18" t="e">
        <f ca="1">Tableau1[[#This Row],[Dont 
HS 50%]]*1.5</f>
        <v>#VALUE!</v>
      </c>
    </row>
    <row r="308" spans="2:17" hidden="1" x14ac:dyDescent="0.25">
      <c r="B308" s="37">
        <f>_xlfn.ISOWEEKNUM(Tableau1[[#This Row],[Date]])</f>
        <v>4</v>
      </c>
      <c r="C308" s="14">
        <f>debut+ROW()-ROW(Tableau1[[#Headers],[Date]])-1</f>
        <v>44955</v>
      </c>
      <c r="D308" s="16">
        <f>MONTH(Tableau1[[#This Row],[Date]])</f>
        <v>1</v>
      </c>
      <c r="E308" s="16">
        <f>YEAR(Tableau1[[#This Row],[Date]])</f>
        <v>2023</v>
      </c>
      <c r="F308" s="32"/>
      <c r="G308" s="32"/>
      <c r="H308" s="32"/>
      <c r="I308" s="32"/>
      <c r="J308" s="3"/>
      <c r="K308" s="18">
        <f>MOD(Tableau1[[#This Row],[Fin
apm]]-Tableau1[[#This Row],[Début
apm]],1)+MOD(Tableau1[[#This Row],[Fin
matin]]-Tableau1[[#This Row],[Début
matin]],1)</f>
        <v>0</v>
      </c>
      <c r="L308" s="18">
        <f>IFERROR(VLOOKUP(Tableau1[[#This Row],[Abs.]],Tmotif[],3,0),0)</f>
        <v>0</v>
      </c>
      <c r="M308" s="18">
        <f ca="1">IF(WEEKDAY(Tableau1[[#This Row],[Date]],2)&lt;7,0,MAX(0,SUM(OFFSET(Tableau1[[#This Row],[Heures]],-6,,7))+SUM(OFFSET(Tableau1[[#This Row],[H_Abs]],-6,,7))-_HS))</f>
        <v>0</v>
      </c>
      <c r="N308" s="18" t="str">
        <f ca="1">IF(Tableau1[[#This Row],[HS]]&gt;0,IF(Tableau1[[#This Row],[HS]]*24&gt;8,8/24,Tableau1[[#This Row],[HS]]),"")</f>
        <v/>
      </c>
      <c r="O308" s="18" t="str">
        <f ca="1">IF(Tableau1[[#This Row],[HS]]*24&gt;8,Tableau1[[#This Row],[HS]]-Tableau1[[#This Row],[Dont
HS 30%]],"")</f>
        <v/>
      </c>
      <c r="P308" s="18" t="e">
        <f ca="1">Tableau1[[#This Row],[Dont
HS 30%]]*1.3</f>
        <v>#VALUE!</v>
      </c>
      <c r="Q308" s="18" t="e">
        <f ca="1">Tableau1[[#This Row],[Dont 
HS 50%]]*1.5</f>
        <v>#VALUE!</v>
      </c>
    </row>
    <row r="309" spans="2:17" hidden="1" x14ac:dyDescent="0.25">
      <c r="B309" s="37">
        <f>_xlfn.ISOWEEKNUM(Tableau1[[#This Row],[Date]])</f>
        <v>5</v>
      </c>
      <c r="C309" s="14">
        <f>debut+ROW()-ROW(Tableau1[[#Headers],[Date]])-1</f>
        <v>44956</v>
      </c>
      <c r="D309" s="16">
        <f>MONTH(Tableau1[[#This Row],[Date]])</f>
        <v>1</v>
      </c>
      <c r="E309" s="16">
        <f>YEAR(Tableau1[[#This Row],[Date]])</f>
        <v>2023</v>
      </c>
      <c r="F309" s="32"/>
      <c r="G309" s="32"/>
      <c r="H309" s="32"/>
      <c r="I309" s="32"/>
      <c r="J309" s="3"/>
      <c r="K309" s="18">
        <f>MOD(Tableau1[[#This Row],[Fin
apm]]-Tableau1[[#This Row],[Début
apm]],1)+MOD(Tableau1[[#This Row],[Fin
matin]]-Tableau1[[#This Row],[Début
matin]],1)</f>
        <v>0</v>
      </c>
      <c r="L309" s="18">
        <f>IFERROR(VLOOKUP(Tableau1[[#This Row],[Abs.]],Tmotif[],3,0),0)</f>
        <v>0</v>
      </c>
      <c r="M309" s="18">
        <f ca="1">IF(WEEKDAY(Tableau1[[#This Row],[Date]],2)&lt;7,0,MAX(0,SUM(OFFSET(Tableau1[[#This Row],[Heures]],-6,,7))+SUM(OFFSET(Tableau1[[#This Row],[H_Abs]],-6,,7))-_HS))</f>
        <v>0</v>
      </c>
      <c r="N309" s="18" t="str">
        <f ca="1">IF(Tableau1[[#This Row],[HS]]&gt;0,IF(Tableau1[[#This Row],[HS]]*24&gt;8,8/24,Tableau1[[#This Row],[HS]]),"")</f>
        <v/>
      </c>
      <c r="O309" s="18" t="str">
        <f ca="1">IF(Tableau1[[#This Row],[HS]]*24&gt;8,Tableau1[[#This Row],[HS]]-Tableau1[[#This Row],[Dont
HS 30%]],"")</f>
        <v/>
      </c>
      <c r="P309" s="18" t="e">
        <f ca="1">Tableau1[[#This Row],[Dont
HS 30%]]*1.3</f>
        <v>#VALUE!</v>
      </c>
      <c r="Q309" s="18" t="e">
        <f ca="1">Tableau1[[#This Row],[Dont 
HS 50%]]*1.5</f>
        <v>#VALUE!</v>
      </c>
    </row>
    <row r="310" spans="2:17" hidden="1" x14ac:dyDescent="0.25">
      <c r="B310" s="37">
        <f>_xlfn.ISOWEEKNUM(Tableau1[[#This Row],[Date]])</f>
        <v>5</v>
      </c>
      <c r="C310" s="14">
        <f>debut+ROW()-ROW(Tableau1[[#Headers],[Date]])-1</f>
        <v>44957</v>
      </c>
      <c r="D310" s="16">
        <f>MONTH(Tableau1[[#This Row],[Date]])</f>
        <v>1</v>
      </c>
      <c r="E310" s="16">
        <f>YEAR(Tableau1[[#This Row],[Date]])</f>
        <v>2023</v>
      </c>
      <c r="F310" s="32"/>
      <c r="G310" s="32"/>
      <c r="H310" s="32"/>
      <c r="I310" s="32"/>
      <c r="J310" s="3"/>
      <c r="K310" s="18">
        <f>MOD(Tableau1[[#This Row],[Fin
apm]]-Tableau1[[#This Row],[Début
apm]],1)+MOD(Tableau1[[#This Row],[Fin
matin]]-Tableau1[[#This Row],[Début
matin]],1)</f>
        <v>0</v>
      </c>
      <c r="L310" s="18">
        <f>IFERROR(VLOOKUP(Tableau1[[#This Row],[Abs.]],Tmotif[],3,0),0)</f>
        <v>0</v>
      </c>
      <c r="M310" s="18">
        <f ca="1">IF(WEEKDAY(Tableau1[[#This Row],[Date]],2)&lt;7,0,MAX(0,SUM(OFFSET(Tableau1[[#This Row],[Heures]],-6,,7))+SUM(OFFSET(Tableau1[[#This Row],[H_Abs]],-6,,7))-_HS))</f>
        <v>0</v>
      </c>
      <c r="N310" s="18" t="str">
        <f ca="1">IF(Tableau1[[#This Row],[HS]]&gt;0,IF(Tableau1[[#This Row],[HS]]*24&gt;8,8/24,Tableau1[[#This Row],[HS]]),"")</f>
        <v/>
      </c>
      <c r="O310" s="18" t="str">
        <f ca="1">IF(Tableau1[[#This Row],[HS]]*24&gt;8,Tableau1[[#This Row],[HS]]-Tableau1[[#This Row],[Dont
HS 30%]],"")</f>
        <v/>
      </c>
      <c r="P310" s="18" t="e">
        <f ca="1">Tableau1[[#This Row],[Dont
HS 30%]]*1.3</f>
        <v>#VALUE!</v>
      </c>
      <c r="Q310" s="18" t="e">
        <f ca="1">Tableau1[[#This Row],[Dont 
HS 50%]]*1.5</f>
        <v>#VALUE!</v>
      </c>
    </row>
    <row r="311" spans="2:17" hidden="1" x14ac:dyDescent="0.25">
      <c r="B311" s="37">
        <f>_xlfn.ISOWEEKNUM(Tableau1[[#This Row],[Date]])</f>
        <v>5</v>
      </c>
      <c r="C311" s="14">
        <f>debut+ROW()-ROW(Tableau1[[#Headers],[Date]])-1</f>
        <v>44958</v>
      </c>
      <c r="D311" s="16">
        <f>MONTH(Tableau1[[#This Row],[Date]])</f>
        <v>2</v>
      </c>
      <c r="E311" s="16">
        <f>YEAR(Tableau1[[#This Row],[Date]])</f>
        <v>2023</v>
      </c>
      <c r="F311" s="32"/>
      <c r="G311" s="32"/>
      <c r="H311" s="32"/>
      <c r="I311" s="32"/>
      <c r="J311" s="3"/>
      <c r="K311" s="18">
        <f>MOD(Tableau1[[#This Row],[Fin
apm]]-Tableau1[[#This Row],[Début
apm]],1)+MOD(Tableau1[[#This Row],[Fin
matin]]-Tableau1[[#This Row],[Début
matin]],1)</f>
        <v>0</v>
      </c>
      <c r="L311" s="18">
        <f>IFERROR(VLOOKUP(Tableau1[[#This Row],[Abs.]],Tmotif[],3,0),0)</f>
        <v>0</v>
      </c>
      <c r="M311" s="18">
        <f ca="1">IF(WEEKDAY(Tableau1[[#This Row],[Date]],2)&lt;7,0,MAX(0,SUM(OFFSET(Tableau1[[#This Row],[Heures]],-6,,7))+SUM(OFFSET(Tableau1[[#This Row],[H_Abs]],-6,,7))-_HS))</f>
        <v>0</v>
      </c>
      <c r="N311" s="18" t="str">
        <f ca="1">IF(Tableau1[[#This Row],[HS]]&gt;0,IF(Tableau1[[#This Row],[HS]]*24&gt;8,8/24,Tableau1[[#This Row],[HS]]),"")</f>
        <v/>
      </c>
      <c r="O311" s="18" t="str">
        <f ca="1">IF(Tableau1[[#This Row],[HS]]*24&gt;8,Tableau1[[#This Row],[HS]]-Tableau1[[#This Row],[Dont
HS 30%]],"")</f>
        <v/>
      </c>
      <c r="P311" s="18" t="e">
        <f ca="1">Tableau1[[#This Row],[Dont
HS 30%]]*1.3</f>
        <v>#VALUE!</v>
      </c>
      <c r="Q311" s="18" t="e">
        <f ca="1">Tableau1[[#This Row],[Dont 
HS 50%]]*1.5</f>
        <v>#VALUE!</v>
      </c>
    </row>
    <row r="312" spans="2:17" hidden="1" x14ac:dyDescent="0.25">
      <c r="B312" s="37">
        <f>_xlfn.ISOWEEKNUM(Tableau1[[#This Row],[Date]])</f>
        <v>5</v>
      </c>
      <c r="C312" s="14">
        <f>debut+ROW()-ROW(Tableau1[[#Headers],[Date]])-1</f>
        <v>44959</v>
      </c>
      <c r="D312" s="16">
        <f>MONTH(Tableau1[[#This Row],[Date]])</f>
        <v>2</v>
      </c>
      <c r="E312" s="16">
        <f>YEAR(Tableau1[[#This Row],[Date]])</f>
        <v>2023</v>
      </c>
      <c r="F312" s="32"/>
      <c r="G312" s="32"/>
      <c r="H312" s="32"/>
      <c r="I312" s="32"/>
      <c r="J312" s="3"/>
      <c r="K312" s="18">
        <f>MOD(Tableau1[[#This Row],[Fin
apm]]-Tableau1[[#This Row],[Début
apm]],1)+MOD(Tableau1[[#This Row],[Fin
matin]]-Tableau1[[#This Row],[Début
matin]],1)</f>
        <v>0</v>
      </c>
      <c r="L312" s="18">
        <f>IFERROR(VLOOKUP(Tableau1[[#This Row],[Abs.]],Tmotif[],3,0),0)</f>
        <v>0</v>
      </c>
      <c r="M312" s="18">
        <f ca="1">IF(WEEKDAY(Tableau1[[#This Row],[Date]],2)&lt;7,0,MAX(0,SUM(OFFSET(Tableau1[[#This Row],[Heures]],-6,,7))+SUM(OFFSET(Tableau1[[#This Row],[H_Abs]],-6,,7))-_HS))</f>
        <v>0</v>
      </c>
      <c r="N312" s="18" t="str">
        <f ca="1">IF(Tableau1[[#This Row],[HS]]&gt;0,IF(Tableau1[[#This Row],[HS]]*24&gt;8,8/24,Tableau1[[#This Row],[HS]]),"")</f>
        <v/>
      </c>
      <c r="O312" s="18" t="str">
        <f ca="1">IF(Tableau1[[#This Row],[HS]]*24&gt;8,Tableau1[[#This Row],[HS]]-Tableau1[[#This Row],[Dont
HS 30%]],"")</f>
        <v/>
      </c>
      <c r="P312" s="18" t="e">
        <f ca="1">Tableau1[[#This Row],[Dont
HS 30%]]*1.3</f>
        <v>#VALUE!</v>
      </c>
      <c r="Q312" s="18" t="e">
        <f ca="1">Tableau1[[#This Row],[Dont 
HS 50%]]*1.5</f>
        <v>#VALUE!</v>
      </c>
    </row>
    <row r="313" spans="2:17" hidden="1" x14ac:dyDescent="0.25">
      <c r="B313" s="37">
        <f>_xlfn.ISOWEEKNUM(Tableau1[[#This Row],[Date]])</f>
        <v>5</v>
      </c>
      <c r="C313" s="14">
        <f>debut+ROW()-ROW(Tableau1[[#Headers],[Date]])-1</f>
        <v>44960</v>
      </c>
      <c r="D313" s="16">
        <f>MONTH(Tableau1[[#This Row],[Date]])</f>
        <v>2</v>
      </c>
      <c r="E313" s="16">
        <f>YEAR(Tableau1[[#This Row],[Date]])</f>
        <v>2023</v>
      </c>
      <c r="F313" s="32"/>
      <c r="G313" s="32"/>
      <c r="H313" s="32"/>
      <c r="I313" s="32"/>
      <c r="J313" s="3"/>
      <c r="K313" s="18">
        <f>MOD(Tableau1[[#This Row],[Fin
apm]]-Tableau1[[#This Row],[Début
apm]],1)+MOD(Tableau1[[#This Row],[Fin
matin]]-Tableau1[[#This Row],[Début
matin]],1)</f>
        <v>0</v>
      </c>
      <c r="L313" s="18">
        <f>IFERROR(VLOOKUP(Tableau1[[#This Row],[Abs.]],Tmotif[],3,0),0)</f>
        <v>0</v>
      </c>
      <c r="M313" s="18">
        <f ca="1">IF(WEEKDAY(Tableau1[[#This Row],[Date]],2)&lt;7,0,MAX(0,SUM(OFFSET(Tableau1[[#This Row],[Heures]],-6,,7))+SUM(OFFSET(Tableau1[[#This Row],[H_Abs]],-6,,7))-_HS))</f>
        <v>0</v>
      </c>
      <c r="N313" s="18" t="str">
        <f ca="1">IF(Tableau1[[#This Row],[HS]]&gt;0,IF(Tableau1[[#This Row],[HS]]*24&gt;8,8/24,Tableau1[[#This Row],[HS]]),"")</f>
        <v/>
      </c>
      <c r="O313" s="18" t="str">
        <f ca="1">IF(Tableau1[[#This Row],[HS]]*24&gt;8,Tableau1[[#This Row],[HS]]-Tableau1[[#This Row],[Dont
HS 30%]],"")</f>
        <v/>
      </c>
      <c r="P313" s="18" t="e">
        <f ca="1">Tableau1[[#This Row],[Dont
HS 30%]]*1.3</f>
        <v>#VALUE!</v>
      </c>
      <c r="Q313" s="18" t="e">
        <f ca="1">Tableau1[[#This Row],[Dont 
HS 50%]]*1.5</f>
        <v>#VALUE!</v>
      </c>
    </row>
    <row r="314" spans="2:17" hidden="1" x14ac:dyDescent="0.25">
      <c r="B314" s="37">
        <f>_xlfn.ISOWEEKNUM(Tableau1[[#This Row],[Date]])</f>
        <v>5</v>
      </c>
      <c r="C314" s="14">
        <f>debut+ROW()-ROW(Tableau1[[#Headers],[Date]])-1</f>
        <v>44961</v>
      </c>
      <c r="D314" s="16">
        <f>MONTH(Tableau1[[#This Row],[Date]])</f>
        <v>2</v>
      </c>
      <c r="E314" s="16">
        <f>YEAR(Tableau1[[#This Row],[Date]])</f>
        <v>2023</v>
      </c>
      <c r="F314" s="32"/>
      <c r="G314" s="32"/>
      <c r="H314" s="32"/>
      <c r="I314" s="32"/>
      <c r="J314" s="3"/>
      <c r="K314" s="18">
        <f>MOD(Tableau1[[#This Row],[Fin
apm]]-Tableau1[[#This Row],[Début
apm]],1)+MOD(Tableau1[[#This Row],[Fin
matin]]-Tableau1[[#This Row],[Début
matin]],1)</f>
        <v>0</v>
      </c>
      <c r="L314" s="18">
        <f>IFERROR(VLOOKUP(Tableau1[[#This Row],[Abs.]],Tmotif[],3,0),0)</f>
        <v>0</v>
      </c>
      <c r="M314" s="18">
        <f ca="1">IF(WEEKDAY(Tableau1[[#This Row],[Date]],2)&lt;7,0,MAX(0,SUM(OFFSET(Tableau1[[#This Row],[Heures]],-6,,7))+SUM(OFFSET(Tableau1[[#This Row],[H_Abs]],-6,,7))-_HS))</f>
        <v>0</v>
      </c>
      <c r="N314" s="18" t="str">
        <f ca="1">IF(Tableau1[[#This Row],[HS]]&gt;0,IF(Tableau1[[#This Row],[HS]]*24&gt;8,8/24,Tableau1[[#This Row],[HS]]),"")</f>
        <v/>
      </c>
      <c r="O314" s="18" t="str">
        <f ca="1">IF(Tableau1[[#This Row],[HS]]*24&gt;8,Tableau1[[#This Row],[HS]]-Tableau1[[#This Row],[Dont
HS 30%]],"")</f>
        <v/>
      </c>
      <c r="P314" s="18" t="e">
        <f ca="1">Tableau1[[#This Row],[Dont
HS 30%]]*1.3</f>
        <v>#VALUE!</v>
      </c>
      <c r="Q314" s="18" t="e">
        <f ca="1">Tableau1[[#This Row],[Dont 
HS 50%]]*1.5</f>
        <v>#VALUE!</v>
      </c>
    </row>
    <row r="315" spans="2:17" hidden="1" x14ac:dyDescent="0.25">
      <c r="B315" s="37">
        <f>_xlfn.ISOWEEKNUM(Tableau1[[#This Row],[Date]])</f>
        <v>5</v>
      </c>
      <c r="C315" s="14">
        <f>debut+ROW()-ROW(Tableau1[[#Headers],[Date]])-1</f>
        <v>44962</v>
      </c>
      <c r="D315" s="16">
        <f>MONTH(Tableau1[[#This Row],[Date]])</f>
        <v>2</v>
      </c>
      <c r="E315" s="16">
        <f>YEAR(Tableau1[[#This Row],[Date]])</f>
        <v>2023</v>
      </c>
      <c r="F315" s="32"/>
      <c r="G315" s="32"/>
      <c r="H315" s="32"/>
      <c r="I315" s="32"/>
      <c r="J315" s="3"/>
      <c r="K315" s="18">
        <f>MOD(Tableau1[[#This Row],[Fin
apm]]-Tableau1[[#This Row],[Début
apm]],1)+MOD(Tableau1[[#This Row],[Fin
matin]]-Tableau1[[#This Row],[Début
matin]],1)</f>
        <v>0</v>
      </c>
      <c r="L315" s="18">
        <f>IFERROR(VLOOKUP(Tableau1[[#This Row],[Abs.]],Tmotif[],3,0),0)</f>
        <v>0</v>
      </c>
      <c r="M315" s="18">
        <f ca="1">IF(WEEKDAY(Tableau1[[#This Row],[Date]],2)&lt;7,0,MAX(0,SUM(OFFSET(Tableau1[[#This Row],[Heures]],-6,,7))+SUM(OFFSET(Tableau1[[#This Row],[H_Abs]],-6,,7))-_HS))</f>
        <v>0</v>
      </c>
      <c r="N315" s="18" t="str">
        <f ca="1">IF(Tableau1[[#This Row],[HS]]&gt;0,IF(Tableau1[[#This Row],[HS]]*24&gt;8,8/24,Tableau1[[#This Row],[HS]]),"")</f>
        <v/>
      </c>
      <c r="O315" s="18" t="str">
        <f ca="1">IF(Tableau1[[#This Row],[HS]]*24&gt;8,Tableau1[[#This Row],[HS]]-Tableau1[[#This Row],[Dont
HS 30%]],"")</f>
        <v/>
      </c>
      <c r="P315" s="18" t="e">
        <f ca="1">Tableau1[[#This Row],[Dont
HS 30%]]*1.3</f>
        <v>#VALUE!</v>
      </c>
      <c r="Q315" s="18" t="e">
        <f ca="1">Tableau1[[#This Row],[Dont 
HS 50%]]*1.5</f>
        <v>#VALUE!</v>
      </c>
    </row>
    <row r="316" spans="2:17" hidden="1" x14ac:dyDescent="0.25">
      <c r="B316" s="37">
        <f>_xlfn.ISOWEEKNUM(Tableau1[[#This Row],[Date]])</f>
        <v>6</v>
      </c>
      <c r="C316" s="14">
        <f>debut+ROW()-ROW(Tableau1[[#Headers],[Date]])-1</f>
        <v>44963</v>
      </c>
      <c r="D316" s="16">
        <f>MONTH(Tableau1[[#This Row],[Date]])</f>
        <v>2</v>
      </c>
      <c r="E316" s="16">
        <f>YEAR(Tableau1[[#This Row],[Date]])</f>
        <v>2023</v>
      </c>
      <c r="F316" s="32"/>
      <c r="G316" s="32"/>
      <c r="H316" s="32"/>
      <c r="I316" s="32"/>
      <c r="J316" s="3"/>
      <c r="K316" s="18">
        <f>MOD(Tableau1[[#This Row],[Fin
apm]]-Tableau1[[#This Row],[Début
apm]],1)+MOD(Tableau1[[#This Row],[Fin
matin]]-Tableau1[[#This Row],[Début
matin]],1)</f>
        <v>0</v>
      </c>
      <c r="L316" s="18">
        <f>IFERROR(VLOOKUP(Tableau1[[#This Row],[Abs.]],Tmotif[],3,0),0)</f>
        <v>0</v>
      </c>
      <c r="M316" s="18">
        <f ca="1">IF(WEEKDAY(Tableau1[[#This Row],[Date]],2)&lt;7,0,MAX(0,SUM(OFFSET(Tableau1[[#This Row],[Heures]],-6,,7))+SUM(OFFSET(Tableau1[[#This Row],[H_Abs]],-6,,7))-_HS))</f>
        <v>0</v>
      </c>
      <c r="N316" s="18" t="str">
        <f ca="1">IF(Tableau1[[#This Row],[HS]]&gt;0,IF(Tableau1[[#This Row],[HS]]*24&gt;8,8/24,Tableau1[[#This Row],[HS]]),"")</f>
        <v/>
      </c>
      <c r="O316" s="18" t="str">
        <f ca="1">IF(Tableau1[[#This Row],[HS]]*24&gt;8,Tableau1[[#This Row],[HS]]-Tableau1[[#This Row],[Dont
HS 30%]],"")</f>
        <v/>
      </c>
      <c r="P316" s="18" t="e">
        <f ca="1">Tableau1[[#This Row],[Dont
HS 30%]]*1.3</f>
        <v>#VALUE!</v>
      </c>
      <c r="Q316" s="18" t="e">
        <f ca="1">Tableau1[[#This Row],[Dont 
HS 50%]]*1.5</f>
        <v>#VALUE!</v>
      </c>
    </row>
    <row r="317" spans="2:17" hidden="1" x14ac:dyDescent="0.25">
      <c r="B317" s="37">
        <f>_xlfn.ISOWEEKNUM(Tableau1[[#This Row],[Date]])</f>
        <v>6</v>
      </c>
      <c r="C317" s="14">
        <f>debut+ROW()-ROW(Tableau1[[#Headers],[Date]])-1</f>
        <v>44964</v>
      </c>
      <c r="D317" s="16">
        <f>MONTH(Tableau1[[#This Row],[Date]])</f>
        <v>2</v>
      </c>
      <c r="E317" s="16">
        <f>YEAR(Tableau1[[#This Row],[Date]])</f>
        <v>2023</v>
      </c>
      <c r="F317" s="32"/>
      <c r="G317" s="32"/>
      <c r="H317" s="32"/>
      <c r="I317" s="32"/>
      <c r="J317" s="3"/>
      <c r="K317" s="18">
        <f>MOD(Tableau1[[#This Row],[Fin
apm]]-Tableau1[[#This Row],[Début
apm]],1)+MOD(Tableau1[[#This Row],[Fin
matin]]-Tableau1[[#This Row],[Début
matin]],1)</f>
        <v>0</v>
      </c>
      <c r="L317" s="18">
        <f>IFERROR(VLOOKUP(Tableau1[[#This Row],[Abs.]],Tmotif[],3,0),0)</f>
        <v>0</v>
      </c>
      <c r="M317" s="18">
        <f ca="1">IF(WEEKDAY(Tableau1[[#This Row],[Date]],2)&lt;7,0,MAX(0,SUM(OFFSET(Tableau1[[#This Row],[Heures]],-6,,7))+SUM(OFFSET(Tableau1[[#This Row],[H_Abs]],-6,,7))-_HS))</f>
        <v>0</v>
      </c>
      <c r="N317" s="18" t="str">
        <f ca="1">IF(Tableau1[[#This Row],[HS]]&gt;0,IF(Tableau1[[#This Row],[HS]]*24&gt;8,8/24,Tableau1[[#This Row],[HS]]),"")</f>
        <v/>
      </c>
      <c r="O317" s="18" t="str">
        <f ca="1">IF(Tableau1[[#This Row],[HS]]*24&gt;8,Tableau1[[#This Row],[HS]]-Tableau1[[#This Row],[Dont
HS 30%]],"")</f>
        <v/>
      </c>
      <c r="P317" s="18" t="e">
        <f ca="1">Tableau1[[#This Row],[Dont
HS 30%]]*1.3</f>
        <v>#VALUE!</v>
      </c>
      <c r="Q317" s="18" t="e">
        <f ca="1">Tableau1[[#This Row],[Dont 
HS 50%]]*1.5</f>
        <v>#VALUE!</v>
      </c>
    </row>
    <row r="318" spans="2:17" hidden="1" x14ac:dyDescent="0.25">
      <c r="B318" s="37">
        <f>_xlfn.ISOWEEKNUM(Tableau1[[#This Row],[Date]])</f>
        <v>6</v>
      </c>
      <c r="C318" s="14">
        <f>debut+ROW()-ROW(Tableau1[[#Headers],[Date]])-1</f>
        <v>44965</v>
      </c>
      <c r="D318" s="16">
        <f>MONTH(Tableau1[[#This Row],[Date]])</f>
        <v>2</v>
      </c>
      <c r="E318" s="16">
        <f>YEAR(Tableau1[[#This Row],[Date]])</f>
        <v>2023</v>
      </c>
      <c r="F318" s="32"/>
      <c r="G318" s="32"/>
      <c r="H318" s="32"/>
      <c r="I318" s="32"/>
      <c r="J318" s="3"/>
      <c r="K318" s="18">
        <f>MOD(Tableau1[[#This Row],[Fin
apm]]-Tableau1[[#This Row],[Début
apm]],1)+MOD(Tableau1[[#This Row],[Fin
matin]]-Tableau1[[#This Row],[Début
matin]],1)</f>
        <v>0</v>
      </c>
      <c r="L318" s="18">
        <f>IFERROR(VLOOKUP(Tableau1[[#This Row],[Abs.]],Tmotif[],3,0),0)</f>
        <v>0</v>
      </c>
      <c r="M318" s="18">
        <f ca="1">IF(WEEKDAY(Tableau1[[#This Row],[Date]],2)&lt;7,0,MAX(0,SUM(OFFSET(Tableau1[[#This Row],[Heures]],-6,,7))+SUM(OFFSET(Tableau1[[#This Row],[H_Abs]],-6,,7))-_HS))</f>
        <v>0</v>
      </c>
      <c r="N318" s="18" t="str">
        <f ca="1">IF(Tableau1[[#This Row],[HS]]&gt;0,IF(Tableau1[[#This Row],[HS]]*24&gt;8,8/24,Tableau1[[#This Row],[HS]]),"")</f>
        <v/>
      </c>
      <c r="O318" s="18" t="str">
        <f ca="1">IF(Tableau1[[#This Row],[HS]]*24&gt;8,Tableau1[[#This Row],[HS]]-Tableau1[[#This Row],[Dont
HS 30%]],"")</f>
        <v/>
      </c>
      <c r="P318" s="18" t="e">
        <f ca="1">Tableau1[[#This Row],[Dont
HS 30%]]*1.3</f>
        <v>#VALUE!</v>
      </c>
      <c r="Q318" s="18" t="e">
        <f ca="1">Tableau1[[#This Row],[Dont 
HS 50%]]*1.5</f>
        <v>#VALUE!</v>
      </c>
    </row>
    <row r="319" spans="2:17" hidden="1" x14ac:dyDescent="0.25">
      <c r="B319" s="37">
        <f>_xlfn.ISOWEEKNUM(Tableau1[[#This Row],[Date]])</f>
        <v>6</v>
      </c>
      <c r="C319" s="14">
        <f>debut+ROW()-ROW(Tableau1[[#Headers],[Date]])-1</f>
        <v>44966</v>
      </c>
      <c r="D319" s="16">
        <f>MONTH(Tableau1[[#This Row],[Date]])</f>
        <v>2</v>
      </c>
      <c r="E319" s="16">
        <f>YEAR(Tableau1[[#This Row],[Date]])</f>
        <v>2023</v>
      </c>
      <c r="F319" s="32"/>
      <c r="G319" s="32"/>
      <c r="H319" s="32"/>
      <c r="I319" s="32"/>
      <c r="J319" s="3"/>
      <c r="K319" s="18">
        <f>MOD(Tableau1[[#This Row],[Fin
apm]]-Tableau1[[#This Row],[Début
apm]],1)+MOD(Tableau1[[#This Row],[Fin
matin]]-Tableau1[[#This Row],[Début
matin]],1)</f>
        <v>0</v>
      </c>
      <c r="L319" s="18">
        <f>IFERROR(VLOOKUP(Tableau1[[#This Row],[Abs.]],Tmotif[],3,0),0)</f>
        <v>0</v>
      </c>
      <c r="M319" s="18">
        <f ca="1">IF(WEEKDAY(Tableau1[[#This Row],[Date]],2)&lt;7,0,MAX(0,SUM(OFFSET(Tableau1[[#This Row],[Heures]],-6,,7))+SUM(OFFSET(Tableau1[[#This Row],[H_Abs]],-6,,7))-_HS))</f>
        <v>0</v>
      </c>
      <c r="N319" s="18" t="str">
        <f ca="1">IF(Tableau1[[#This Row],[HS]]&gt;0,IF(Tableau1[[#This Row],[HS]]*24&gt;8,8/24,Tableau1[[#This Row],[HS]]),"")</f>
        <v/>
      </c>
      <c r="O319" s="18" t="str">
        <f ca="1">IF(Tableau1[[#This Row],[HS]]*24&gt;8,Tableau1[[#This Row],[HS]]-Tableau1[[#This Row],[Dont
HS 30%]],"")</f>
        <v/>
      </c>
      <c r="P319" s="18" t="e">
        <f ca="1">Tableau1[[#This Row],[Dont
HS 30%]]*1.3</f>
        <v>#VALUE!</v>
      </c>
      <c r="Q319" s="18" t="e">
        <f ca="1">Tableau1[[#This Row],[Dont 
HS 50%]]*1.5</f>
        <v>#VALUE!</v>
      </c>
    </row>
    <row r="320" spans="2:17" hidden="1" x14ac:dyDescent="0.25">
      <c r="B320" s="37">
        <f>_xlfn.ISOWEEKNUM(Tableau1[[#This Row],[Date]])</f>
        <v>6</v>
      </c>
      <c r="C320" s="14">
        <f>debut+ROW()-ROW(Tableau1[[#Headers],[Date]])-1</f>
        <v>44967</v>
      </c>
      <c r="D320" s="16">
        <f>MONTH(Tableau1[[#This Row],[Date]])</f>
        <v>2</v>
      </c>
      <c r="E320" s="16">
        <f>YEAR(Tableau1[[#This Row],[Date]])</f>
        <v>2023</v>
      </c>
      <c r="F320" s="32"/>
      <c r="G320" s="32"/>
      <c r="H320" s="32"/>
      <c r="I320" s="32"/>
      <c r="J320" s="3"/>
      <c r="K320" s="18">
        <f>MOD(Tableau1[[#This Row],[Fin
apm]]-Tableau1[[#This Row],[Début
apm]],1)+MOD(Tableau1[[#This Row],[Fin
matin]]-Tableau1[[#This Row],[Début
matin]],1)</f>
        <v>0</v>
      </c>
      <c r="L320" s="18">
        <f>IFERROR(VLOOKUP(Tableau1[[#This Row],[Abs.]],Tmotif[],3,0),0)</f>
        <v>0</v>
      </c>
      <c r="M320" s="18">
        <f ca="1">IF(WEEKDAY(Tableau1[[#This Row],[Date]],2)&lt;7,0,MAX(0,SUM(OFFSET(Tableau1[[#This Row],[Heures]],-6,,7))+SUM(OFFSET(Tableau1[[#This Row],[H_Abs]],-6,,7))-_HS))</f>
        <v>0</v>
      </c>
      <c r="N320" s="18" t="str">
        <f ca="1">IF(Tableau1[[#This Row],[HS]]&gt;0,IF(Tableau1[[#This Row],[HS]]*24&gt;8,8/24,Tableau1[[#This Row],[HS]]),"")</f>
        <v/>
      </c>
      <c r="O320" s="18" t="str">
        <f ca="1">IF(Tableau1[[#This Row],[HS]]*24&gt;8,Tableau1[[#This Row],[HS]]-Tableau1[[#This Row],[Dont
HS 30%]],"")</f>
        <v/>
      </c>
      <c r="P320" s="18" t="e">
        <f ca="1">Tableau1[[#This Row],[Dont
HS 30%]]*1.3</f>
        <v>#VALUE!</v>
      </c>
      <c r="Q320" s="18" t="e">
        <f ca="1">Tableau1[[#This Row],[Dont 
HS 50%]]*1.5</f>
        <v>#VALUE!</v>
      </c>
    </row>
    <row r="321" spans="2:17" hidden="1" x14ac:dyDescent="0.25">
      <c r="B321" s="37">
        <f>_xlfn.ISOWEEKNUM(Tableau1[[#This Row],[Date]])</f>
        <v>6</v>
      </c>
      <c r="C321" s="14">
        <f>debut+ROW()-ROW(Tableau1[[#Headers],[Date]])-1</f>
        <v>44968</v>
      </c>
      <c r="D321" s="16">
        <f>MONTH(Tableau1[[#This Row],[Date]])</f>
        <v>2</v>
      </c>
      <c r="E321" s="16">
        <f>YEAR(Tableau1[[#This Row],[Date]])</f>
        <v>2023</v>
      </c>
      <c r="F321" s="32"/>
      <c r="G321" s="32"/>
      <c r="H321" s="32"/>
      <c r="I321" s="32"/>
      <c r="J321" s="3"/>
      <c r="K321" s="18">
        <f>MOD(Tableau1[[#This Row],[Fin
apm]]-Tableau1[[#This Row],[Début
apm]],1)+MOD(Tableau1[[#This Row],[Fin
matin]]-Tableau1[[#This Row],[Début
matin]],1)</f>
        <v>0</v>
      </c>
      <c r="L321" s="18">
        <f>IFERROR(VLOOKUP(Tableau1[[#This Row],[Abs.]],Tmotif[],3,0),0)</f>
        <v>0</v>
      </c>
      <c r="M321" s="18">
        <f ca="1">IF(WEEKDAY(Tableau1[[#This Row],[Date]],2)&lt;7,0,MAX(0,SUM(OFFSET(Tableau1[[#This Row],[Heures]],-6,,7))+SUM(OFFSET(Tableau1[[#This Row],[H_Abs]],-6,,7))-_HS))</f>
        <v>0</v>
      </c>
      <c r="N321" s="18" t="str">
        <f ca="1">IF(Tableau1[[#This Row],[HS]]&gt;0,IF(Tableau1[[#This Row],[HS]]*24&gt;8,8/24,Tableau1[[#This Row],[HS]]),"")</f>
        <v/>
      </c>
      <c r="O321" s="18" t="str">
        <f ca="1">IF(Tableau1[[#This Row],[HS]]*24&gt;8,Tableau1[[#This Row],[HS]]-Tableau1[[#This Row],[Dont
HS 30%]],"")</f>
        <v/>
      </c>
      <c r="P321" s="18" t="e">
        <f ca="1">Tableau1[[#This Row],[Dont
HS 30%]]*1.3</f>
        <v>#VALUE!</v>
      </c>
      <c r="Q321" s="18" t="e">
        <f ca="1">Tableau1[[#This Row],[Dont 
HS 50%]]*1.5</f>
        <v>#VALUE!</v>
      </c>
    </row>
    <row r="322" spans="2:17" hidden="1" x14ac:dyDescent="0.25">
      <c r="B322" s="37">
        <f>_xlfn.ISOWEEKNUM(Tableau1[[#This Row],[Date]])</f>
        <v>6</v>
      </c>
      <c r="C322" s="14">
        <f>debut+ROW()-ROW(Tableau1[[#Headers],[Date]])-1</f>
        <v>44969</v>
      </c>
      <c r="D322" s="16">
        <f>MONTH(Tableau1[[#This Row],[Date]])</f>
        <v>2</v>
      </c>
      <c r="E322" s="16">
        <f>YEAR(Tableau1[[#This Row],[Date]])</f>
        <v>2023</v>
      </c>
      <c r="F322" s="32"/>
      <c r="G322" s="32"/>
      <c r="H322" s="32"/>
      <c r="I322" s="32"/>
      <c r="J322" s="3"/>
      <c r="K322" s="18">
        <f>MOD(Tableau1[[#This Row],[Fin
apm]]-Tableau1[[#This Row],[Début
apm]],1)+MOD(Tableau1[[#This Row],[Fin
matin]]-Tableau1[[#This Row],[Début
matin]],1)</f>
        <v>0</v>
      </c>
      <c r="L322" s="18">
        <f>IFERROR(VLOOKUP(Tableau1[[#This Row],[Abs.]],Tmotif[],3,0),0)</f>
        <v>0</v>
      </c>
      <c r="M322" s="18">
        <f ca="1">IF(WEEKDAY(Tableau1[[#This Row],[Date]],2)&lt;7,0,MAX(0,SUM(OFFSET(Tableau1[[#This Row],[Heures]],-6,,7))+SUM(OFFSET(Tableau1[[#This Row],[H_Abs]],-6,,7))-_HS))</f>
        <v>0</v>
      </c>
      <c r="N322" s="18" t="str">
        <f ca="1">IF(Tableau1[[#This Row],[HS]]&gt;0,IF(Tableau1[[#This Row],[HS]]*24&gt;8,8/24,Tableau1[[#This Row],[HS]]),"")</f>
        <v/>
      </c>
      <c r="O322" s="18" t="str">
        <f ca="1">IF(Tableau1[[#This Row],[HS]]*24&gt;8,Tableau1[[#This Row],[HS]]-Tableau1[[#This Row],[Dont
HS 30%]],"")</f>
        <v/>
      </c>
      <c r="P322" s="18" t="e">
        <f ca="1">Tableau1[[#This Row],[Dont
HS 30%]]*1.3</f>
        <v>#VALUE!</v>
      </c>
      <c r="Q322" s="18" t="e">
        <f ca="1">Tableau1[[#This Row],[Dont 
HS 50%]]*1.5</f>
        <v>#VALUE!</v>
      </c>
    </row>
    <row r="323" spans="2:17" hidden="1" x14ac:dyDescent="0.25">
      <c r="B323" s="37">
        <f>_xlfn.ISOWEEKNUM(Tableau1[[#This Row],[Date]])</f>
        <v>7</v>
      </c>
      <c r="C323" s="14">
        <f>debut+ROW()-ROW(Tableau1[[#Headers],[Date]])-1</f>
        <v>44970</v>
      </c>
      <c r="D323" s="16">
        <f>MONTH(Tableau1[[#This Row],[Date]])</f>
        <v>2</v>
      </c>
      <c r="E323" s="16">
        <f>YEAR(Tableau1[[#This Row],[Date]])</f>
        <v>2023</v>
      </c>
      <c r="F323" s="32"/>
      <c r="G323" s="32"/>
      <c r="H323" s="32"/>
      <c r="I323" s="32"/>
      <c r="J323" s="3"/>
      <c r="K323" s="18">
        <f>MOD(Tableau1[[#This Row],[Fin
apm]]-Tableau1[[#This Row],[Début
apm]],1)+MOD(Tableau1[[#This Row],[Fin
matin]]-Tableau1[[#This Row],[Début
matin]],1)</f>
        <v>0</v>
      </c>
      <c r="L323" s="18">
        <f>IFERROR(VLOOKUP(Tableau1[[#This Row],[Abs.]],Tmotif[],3,0),0)</f>
        <v>0</v>
      </c>
      <c r="M323" s="18">
        <f ca="1">IF(WEEKDAY(Tableau1[[#This Row],[Date]],2)&lt;7,0,MAX(0,SUM(OFFSET(Tableau1[[#This Row],[Heures]],-6,,7))+SUM(OFFSET(Tableau1[[#This Row],[H_Abs]],-6,,7))-_HS))</f>
        <v>0</v>
      </c>
      <c r="N323" s="18" t="str">
        <f ca="1">IF(Tableau1[[#This Row],[HS]]&gt;0,IF(Tableau1[[#This Row],[HS]]*24&gt;8,8/24,Tableau1[[#This Row],[HS]]),"")</f>
        <v/>
      </c>
      <c r="O323" s="18" t="str">
        <f ca="1">IF(Tableau1[[#This Row],[HS]]*24&gt;8,Tableau1[[#This Row],[HS]]-Tableau1[[#This Row],[Dont
HS 30%]],"")</f>
        <v/>
      </c>
      <c r="P323" s="18" t="e">
        <f ca="1">Tableau1[[#This Row],[Dont
HS 30%]]*1.3</f>
        <v>#VALUE!</v>
      </c>
      <c r="Q323" s="18" t="e">
        <f ca="1">Tableau1[[#This Row],[Dont 
HS 50%]]*1.5</f>
        <v>#VALUE!</v>
      </c>
    </row>
    <row r="324" spans="2:17" hidden="1" x14ac:dyDescent="0.25">
      <c r="B324" s="37">
        <f>_xlfn.ISOWEEKNUM(Tableau1[[#This Row],[Date]])</f>
        <v>7</v>
      </c>
      <c r="C324" s="14">
        <f>debut+ROW()-ROW(Tableau1[[#Headers],[Date]])-1</f>
        <v>44971</v>
      </c>
      <c r="D324" s="16">
        <f>MONTH(Tableau1[[#This Row],[Date]])</f>
        <v>2</v>
      </c>
      <c r="E324" s="16">
        <f>YEAR(Tableau1[[#This Row],[Date]])</f>
        <v>2023</v>
      </c>
      <c r="F324" s="32"/>
      <c r="G324" s="32"/>
      <c r="H324" s="32"/>
      <c r="I324" s="32"/>
      <c r="J324" s="3"/>
      <c r="K324" s="18">
        <f>MOD(Tableau1[[#This Row],[Fin
apm]]-Tableau1[[#This Row],[Début
apm]],1)+MOD(Tableau1[[#This Row],[Fin
matin]]-Tableau1[[#This Row],[Début
matin]],1)</f>
        <v>0</v>
      </c>
      <c r="L324" s="18">
        <f>IFERROR(VLOOKUP(Tableau1[[#This Row],[Abs.]],Tmotif[],3,0),0)</f>
        <v>0</v>
      </c>
      <c r="M324" s="18">
        <f ca="1">IF(WEEKDAY(Tableau1[[#This Row],[Date]],2)&lt;7,0,MAX(0,SUM(OFFSET(Tableau1[[#This Row],[Heures]],-6,,7))+SUM(OFFSET(Tableau1[[#This Row],[H_Abs]],-6,,7))-_HS))</f>
        <v>0</v>
      </c>
      <c r="N324" s="18" t="str">
        <f ca="1">IF(Tableau1[[#This Row],[HS]]&gt;0,IF(Tableau1[[#This Row],[HS]]*24&gt;8,8/24,Tableau1[[#This Row],[HS]]),"")</f>
        <v/>
      </c>
      <c r="O324" s="18" t="str">
        <f ca="1">IF(Tableau1[[#This Row],[HS]]*24&gt;8,Tableau1[[#This Row],[HS]]-Tableau1[[#This Row],[Dont
HS 30%]],"")</f>
        <v/>
      </c>
      <c r="P324" s="18" t="e">
        <f ca="1">Tableau1[[#This Row],[Dont
HS 30%]]*1.3</f>
        <v>#VALUE!</v>
      </c>
      <c r="Q324" s="18" t="e">
        <f ca="1">Tableau1[[#This Row],[Dont 
HS 50%]]*1.5</f>
        <v>#VALUE!</v>
      </c>
    </row>
    <row r="325" spans="2:17" hidden="1" x14ac:dyDescent="0.25">
      <c r="B325" s="37">
        <f>_xlfn.ISOWEEKNUM(Tableau1[[#This Row],[Date]])</f>
        <v>7</v>
      </c>
      <c r="C325" s="14">
        <f>debut+ROW()-ROW(Tableau1[[#Headers],[Date]])-1</f>
        <v>44972</v>
      </c>
      <c r="D325" s="16">
        <f>MONTH(Tableau1[[#This Row],[Date]])</f>
        <v>2</v>
      </c>
      <c r="E325" s="16">
        <f>YEAR(Tableau1[[#This Row],[Date]])</f>
        <v>2023</v>
      </c>
      <c r="F325" s="32"/>
      <c r="G325" s="32"/>
      <c r="H325" s="32"/>
      <c r="I325" s="32"/>
      <c r="J325" s="3"/>
      <c r="K325" s="18">
        <f>MOD(Tableau1[[#This Row],[Fin
apm]]-Tableau1[[#This Row],[Début
apm]],1)+MOD(Tableau1[[#This Row],[Fin
matin]]-Tableau1[[#This Row],[Début
matin]],1)</f>
        <v>0</v>
      </c>
      <c r="L325" s="18">
        <f>IFERROR(VLOOKUP(Tableau1[[#This Row],[Abs.]],Tmotif[],3,0),0)</f>
        <v>0</v>
      </c>
      <c r="M325" s="18">
        <f ca="1">IF(WEEKDAY(Tableau1[[#This Row],[Date]],2)&lt;7,0,MAX(0,SUM(OFFSET(Tableau1[[#This Row],[Heures]],-6,,7))+SUM(OFFSET(Tableau1[[#This Row],[H_Abs]],-6,,7))-_HS))</f>
        <v>0</v>
      </c>
      <c r="N325" s="18" t="str">
        <f ca="1">IF(Tableau1[[#This Row],[HS]]&gt;0,IF(Tableau1[[#This Row],[HS]]*24&gt;8,8/24,Tableau1[[#This Row],[HS]]),"")</f>
        <v/>
      </c>
      <c r="O325" s="18" t="str">
        <f ca="1">IF(Tableau1[[#This Row],[HS]]*24&gt;8,Tableau1[[#This Row],[HS]]-Tableau1[[#This Row],[Dont
HS 30%]],"")</f>
        <v/>
      </c>
      <c r="P325" s="18" t="e">
        <f ca="1">Tableau1[[#This Row],[Dont
HS 30%]]*1.3</f>
        <v>#VALUE!</v>
      </c>
      <c r="Q325" s="18" t="e">
        <f ca="1">Tableau1[[#This Row],[Dont 
HS 50%]]*1.5</f>
        <v>#VALUE!</v>
      </c>
    </row>
    <row r="326" spans="2:17" hidden="1" x14ac:dyDescent="0.25">
      <c r="B326" s="37">
        <f>_xlfn.ISOWEEKNUM(Tableau1[[#This Row],[Date]])</f>
        <v>7</v>
      </c>
      <c r="C326" s="14">
        <f>debut+ROW()-ROW(Tableau1[[#Headers],[Date]])-1</f>
        <v>44973</v>
      </c>
      <c r="D326" s="16">
        <f>MONTH(Tableau1[[#This Row],[Date]])</f>
        <v>2</v>
      </c>
      <c r="E326" s="16">
        <f>YEAR(Tableau1[[#This Row],[Date]])</f>
        <v>2023</v>
      </c>
      <c r="F326" s="32"/>
      <c r="G326" s="32"/>
      <c r="H326" s="32"/>
      <c r="I326" s="32"/>
      <c r="J326" s="3"/>
      <c r="K326" s="18">
        <f>MOD(Tableau1[[#This Row],[Fin
apm]]-Tableau1[[#This Row],[Début
apm]],1)+MOD(Tableau1[[#This Row],[Fin
matin]]-Tableau1[[#This Row],[Début
matin]],1)</f>
        <v>0</v>
      </c>
      <c r="L326" s="18">
        <f>IFERROR(VLOOKUP(Tableau1[[#This Row],[Abs.]],Tmotif[],3,0),0)</f>
        <v>0</v>
      </c>
      <c r="M326" s="18">
        <f ca="1">IF(WEEKDAY(Tableau1[[#This Row],[Date]],2)&lt;7,0,MAX(0,SUM(OFFSET(Tableau1[[#This Row],[Heures]],-6,,7))+SUM(OFFSET(Tableau1[[#This Row],[H_Abs]],-6,,7))-_HS))</f>
        <v>0</v>
      </c>
      <c r="N326" s="18" t="str">
        <f ca="1">IF(Tableau1[[#This Row],[HS]]&gt;0,IF(Tableau1[[#This Row],[HS]]*24&gt;8,8/24,Tableau1[[#This Row],[HS]]),"")</f>
        <v/>
      </c>
      <c r="O326" s="18" t="str">
        <f ca="1">IF(Tableau1[[#This Row],[HS]]*24&gt;8,Tableau1[[#This Row],[HS]]-Tableau1[[#This Row],[Dont
HS 30%]],"")</f>
        <v/>
      </c>
      <c r="P326" s="18" t="e">
        <f ca="1">Tableau1[[#This Row],[Dont
HS 30%]]*1.3</f>
        <v>#VALUE!</v>
      </c>
      <c r="Q326" s="18" t="e">
        <f ca="1">Tableau1[[#This Row],[Dont 
HS 50%]]*1.5</f>
        <v>#VALUE!</v>
      </c>
    </row>
    <row r="327" spans="2:17" hidden="1" x14ac:dyDescent="0.25">
      <c r="B327" s="37">
        <f>_xlfn.ISOWEEKNUM(Tableau1[[#This Row],[Date]])</f>
        <v>7</v>
      </c>
      <c r="C327" s="14">
        <f>debut+ROW()-ROW(Tableau1[[#Headers],[Date]])-1</f>
        <v>44974</v>
      </c>
      <c r="D327" s="16">
        <f>MONTH(Tableau1[[#This Row],[Date]])</f>
        <v>2</v>
      </c>
      <c r="E327" s="16">
        <f>YEAR(Tableau1[[#This Row],[Date]])</f>
        <v>2023</v>
      </c>
      <c r="F327" s="32"/>
      <c r="G327" s="32"/>
      <c r="H327" s="32"/>
      <c r="I327" s="32"/>
      <c r="J327" s="3"/>
      <c r="K327" s="18">
        <f>MOD(Tableau1[[#This Row],[Fin
apm]]-Tableau1[[#This Row],[Début
apm]],1)+MOD(Tableau1[[#This Row],[Fin
matin]]-Tableau1[[#This Row],[Début
matin]],1)</f>
        <v>0</v>
      </c>
      <c r="L327" s="18">
        <f>IFERROR(VLOOKUP(Tableau1[[#This Row],[Abs.]],Tmotif[],3,0),0)</f>
        <v>0</v>
      </c>
      <c r="M327" s="18">
        <f ca="1">IF(WEEKDAY(Tableau1[[#This Row],[Date]],2)&lt;7,0,MAX(0,SUM(OFFSET(Tableau1[[#This Row],[Heures]],-6,,7))+SUM(OFFSET(Tableau1[[#This Row],[H_Abs]],-6,,7))-_HS))</f>
        <v>0</v>
      </c>
      <c r="N327" s="18" t="str">
        <f ca="1">IF(Tableau1[[#This Row],[HS]]&gt;0,IF(Tableau1[[#This Row],[HS]]*24&gt;8,8/24,Tableau1[[#This Row],[HS]]),"")</f>
        <v/>
      </c>
      <c r="O327" s="18" t="str">
        <f ca="1">IF(Tableau1[[#This Row],[HS]]*24&gt;8,Tableau1[[#This Row],[HS]]-Tableau1[[#This Row],[Dont
HS 30%]],"")</f>
        <v/>
      </c>
      <c r="P327" s="18" t="e">
        <f ca="1">Tableau1[[#This Row],[Dont
HS 30%]]*1.3</f>
        <v>#VALUE!</v>
      </c>
      <c r="Q327" s="18" t="e">
        <f ca="1">Tableau1[[#This Row],[Dont 
HS 50%]]*1.5</f>
        <v>#VALUE!</v>
      </c>
    </row>
    <row r="328" spans="2:17" hidden="1" x14ac:dyDescent="0.25">
      <c r="B328" s="37">
        <f>_xlfn.ISOWEEKNUM(Tableau1[[#This Row],[Date]])</f>
        <v>7</v>
      </c>
      <c r="C328" s="14">
        <f>debut+ROW()-ROW(Tableau1[[#Headers],[Date]])-1</f>
        <v>44975</v>
      </c>
      <c r="D328" s="16">
        <f>MONTH(Tableau1[[#This Row],[Date]])</f>
        <v>2</v>
      </c>
      <c r="E328" s="16">
        <f>YEAR(Tableau1[[#This Row],[Date]])</f>
        <v>2023</v>
      </c>
      <c r="F328" s="32"/>
      <c r="G328" s="32"/>
      <c r="H328" s="32"/>
      <c r="I328" s="32"/>
      <c r="J328" s="3"/>
      <c r="K328" s="18">
        <f>MOD(Tableau1[[#This Row],[Fin
apm]]-Tableau1[[#This Row],[Début
apm]],1)+MOD(Tableau1[[#This Row],[Fin
matin]]-Tableau1[[#This Row],[Début
matin]],1)</f>
        <v>0</v>
      </c>
      <c r="L328" s="18">
        <f>IFERROR(VLOOKUP(Tableau1[[#This Row],[Abs.]],Tmotif[],3,0),0)</f>
        <v>0</v>
      </c>
      <c r="M328" s="18">
        <f ca="1">IF(WEEKDAY(Tableau1[[#This Row],[Date]],2)&lt;7,0,MAX(0,SUM(OFFSET(Tableau1[[#This Row],[Heures]],-6,,7))+SUM(OFFSET(Tableau1[[#This Row],[H_Abs]],-6,,7))-_HS))</f>
        <v>0</v>
      </c>
      <c r="N328" s="18" t="str">
        <f ca="1">IF(Tableau1[[#This Row],[HS]]&gt;0,IF(Tableau1[[#This Row],[HS]]*24&gt;8,8/24,Tableau1[[#This Row],[HS]]),"")</f>
        <v/>
      </c>
      <c r="O328" s="18" t="str">
        <f ca="1">IF(Tableau1[[#This Row],[HS]]*24&gt;8,Tableau1[[#This Row],[HS]]-Tableau1[[#This Row],[Dont
HS 30%]],"")</f>
        <v/>
      </c>
      <c r="P328" s="18" t="e">
        <f ca="1">Tableau1[[#This Row],[Dont
HS 30%]]*1.3</f>
        <v>#VALUE!</v>
      </c>
      <c r="Q328" s="18" t="e">
        <f ca="1">Tableau1[[#This Row],[Dont 
HS 50%]]*1.5</f>
        <v>#VALUE!</v>
      </c>
    </row>
    <row r="329" spans="2:17" hidden="1" x14ac:dyDescent="0.25">
      <c r="B329" s="37">
        <f>_xlfn.ISOWEEKNUM(Tableau1[[#This Row],[Date]])</f>
        <v>7</v>
      </c>
      <c r="C329" s="14">
        <f>debut+ROW()-ROW(Tableau1[[#Headers],[Date]])-1</f>
        <v>44976</v>
      </c>
      <c r="D329" s="16">
        <f>MONTH(Tableau1[[#This Row],[Date]])</f>
        <v>2</v>
      </c>
      <c r="E329" s="16">
        <f>YEAR(Tableau1[[#This Row],[Date]])</f>
        <v>2023</v>
      </c>
      <c r="F329" s="32"/>
      <c r="G329" s="32"/>
      <c r="H329" s="32"/>
      <c r="I329" s="32"/>
      <c r="J329" s="3"/>
      <c r="K329" s="18">
        <f>MOD(Tableau1[[#This Row],[Fin
apm]]-Tableau1[[#This Row],[Début
apm]],1)+MOD(Tableau1[[#This Row],[Fin
matin]]-Tableau1[[#This Row],[Début
matin]],1)</f>
        <v>0</v>
      </c>
      <c r="L329" s="18">
        <f>IFERROR(VLOOKUP(Tableau1[[#This Row],[Abs.]],Tmotif[],3,0),0)</f>
        <v>0</v>
      </c>
      <c r="M329" s="18">
        <f ca="1">IF(WEEKDAY(Tableau1[[#This Row],[Date]],2)&lt;7,0,MAX(0,SUM(OFFSET(Tableau1[[#This Row],[Heures]],-6,,7))+SUM(OFFSET(Tableau1[[#This Row],[H_Abs]],-6,,7))-_HS))</f>
        <v>0</v>
      </c>
      <c r="N329" s="18" t="str">
        <f ca="1">IF(Tableau1[[#This Row],[HS]]&gt;0,IF(Tableau1[[#This Row],[HS]]*24&gt;8,8/24,Tableau1[[#This Row],[HS]]),"")</f>
        <v/>
      </c>
      <c r="O329" s="18" t="str">
        <f ca="1">IF(Tableau1[[#This Row],[HS]]*24&gt;8,Tableau1[[#This Row],[HS]]-Tableau1[[#This Row],[Dont
HS 30%]],"")</f>
        <v/>
      </c>
      <c r="P329" s="18" t="e">
        <f ca="1">Tableau1[[#This Row],[Dont
HS 30%]]*1.3</f>
        <v>#VALUE!</v>
      </c>
      <c r="Q329" s="18" t="e">
        <f ca="1">Tableau1[[#This Row],[Dont 
HS 50%]]*1.5</f>
        <v>#VALUE!</v>
      </c>
    </row>
    <row r="330" spans="2:17" hidden="1" x14ac:dyDescent="0.25">
      <c r="B330" s="37">
        <f>_xlfn.ISOWEEKNUM(Tableau1[[#This Row],[Date]])</f>
        <v>8</v>
      </c>
      <c r="C330" s="14">
        <f>debut+ROW()-ROW(Tableau1[[#Headers],[Date]])-1</f>
        <v>44977</v>
      </c>
      <c r="D330" s="16">
        <f>MONTH(Tableau1[[#This Row],[Date]])</f>
        <v>2</v>
      </c>
      <c r="E330" s="16">
        <f>YEAR(Tableau1[[#This Row],[Date]])</f>
        <v>2023</v>
      </c>
      <c r="F330" s="32"/>
      <c r="G330" s="32"/>
      <c r="H330" s="32"/>
      <c r="I330" s="32"/>
      <c r="J330" s="3"/>
      <c r="K330" s="18">
        <f>MOD(Tableau1[[#This Row],[Fin
apm]]-Tableau1[[#This Row],[Début
apm]],1)+MOD(Tableau1[[#This Row],[Fin
matin]]-Tableau1[[#This Row],[Début
matin]],1)</f>
        <v>0</v>
      </c>
      <c r="L330" s="18">
        <f>IFERROR(VLOOKUP(Tableau1[[#This Row],[Abs.]],Tmotif[],3,0),0)</f>
        <v>0</v>
      </c>
      <c r="M330" s="18">
        <f ca="1">IF(WEEKDAY(Tableau1[[#This Row],[Date]],2)&lt;7,0,MAX(0,SUM(OFFSET(Tableau1[[#This Row],[Heures]],-6,,7))+SUM(OFFSET(Tableau1[[#This Row],[H_Abs]],-6,,7))-_HS))</f>
        <v>0</v>
      </c>
      <c r="N330" s="18" t="str">
        <f ca="1">IF(Tableau1[[#This Row],[HS]]&gt;0,IF(Tableau1[[#This Row],[HS]]*24&gt;8,8/24,Tableau1[[#This Row],[HS]]),"")</f>
        <v/>
      </c>
      <c r="O330" s="18" t="str">
        <f ca="1">IF(Tableau1[[#This Row],[HS]]*24&gt;8,Tableau1[[#This Row],[HS]]-Tableau1[[#This Row],[Dont
HS 30%]],"")</f>
        <v/>
      </c>
      <c r="P330" s="18" t="e">
        <f ca="1">Tableau1[[#This Row],[Dont
HS 30%]]*1.3</f>
        <v>#VALUE!</v>
      </c>
      <c r="Q330" s="18" t="e">
        <f ca="1">Tableau1[[#This Row],[Dont 
HS 50%]]*1.5</f>
        <v>#VALUE!</v>
      </c>
    </row>
    <row r="331" spans="2:17" hidden="1" x14ac:dyDescent="0.25">
      <c r="B331" s="37">
        <f>_xlfn.ISOWEEKNUM(Tableau1[[#This Row],[Date]])</f>
        <v>8</v>
      </c>
      <c r="C331" s="14">
        <f>debut+ROW()-ROW(Tableau1[[#Headers],[Date]])-1</f>
        <v>44978</v>
      </c>
      <c r="D331" s="16">
        <f>MONTH(Tableau1[[#This Row],[Date]])</f>
        <v>2</v>
      </c>
      <c r="E331" s="16">
        <f>YEAR(Tableau1[[#This Row],[Date]])</f>
        <v>2023</v>
      </c>
      <c r="F331" s="32"/>
      <c r="G331" s="32"/>
      <c r="H331" s="32"/>
      <c r="I331" s="32"/>
      <c r="J331" s="3"/>
      <c r="K331" s="18">
        <f>MOD(Tableau1[[#This Row],[Fin
apm]]-Tableau1[[#This Row],[Début
apm]],1)+MOD(Tableau1[[#This Row],[Fin
matin]]-Tableau1[[#This Row],[Début
matin]],1)</f>
        <v>0</v>
      </c>
      <c r="L331" s="18">
        <f>IFERROR(VLOOKUP(Tableau1[[#This Row],[Abs.]],Tmotif[],3,0),0)</f>
        <v>0</v>
      </c>
      <c r="M331" s="18">
        <f ca="1">IF(WEEKDAY(Tableau1[[#This Row],[Date]],2)&lt;7,0,MAX(0,SUM(OFFSET(Tableau1[[#This Row],[Heures]],-6,,7))+SUM(OFFSET(Tableau1[[#This Row],[H_Abs]],-6,,7))-_HS))</f>
        <v>0</v>
      </c>
      <c r="N331" s="18" t="str">
        <f ca="1">IF(Tableau1[[#This Row],[HS]]&gt;0,IF(Tableau1[[#This Row],[HS]]*24&gt;8,8/24,Tableau1[[#This Row],[HS]]),"")</f>
        <v/>
      </c>
      <c r="O331" s="18" t="str">
        <f ca="1">IF(Tableau1[[#This Row],[HS]]*24&gt;8,Tableau1[[#This Row],[HS]]-Tableau1[[#This Row],[Dont
HS 30%]],"")</f>
        <v/>
      </c>
      <c r="P331" s="18" t="e">
        <f ca="1">Tableau1[[#This Row],[Dont
HS 30%]]*1.3</f>
        <v>#VALUE!</v>
      </c>
      <c r="Q331" s="18" t="e">
        <f ca="1">Tableau1[[#This Row],[Dont 
HS 50%]]*1.5</f>
        <v>#VALUE!</v>
      </c>
    </row>
    <row r="332" spans="2:17" hidden="1" x14ac:dyDescent="0.25">
      <c r="B332" s="37">
        <f>_xlfn.ISOWEEKNUM(Tableau1[[#This Row],[Date]])</f>
        <v>8</v>
      </c>
      <c r="C332" s="14">
        <f>debut+ROW()-ROW(Tableau1[[#Headers],[Date]])-1</f>
        <v>44979</v>
      </c>
      <c r="D332" s="16">
        <f>MONTH(Tableau1[[#This Row],[Date]])</f>
        <v>2</v>
      </c>
      <c r="E332" s="16">
        <f>YEAR(Tableau1[[#This Row],[Date]])</f>
        <v>2023</v>
      </c>
      <c r="F332" s="32"/>
      <c r="G332" s="32"/>
      <c r="H332" s="32"/>
      <c r="I332" s="32"/>
      <c r="J332" s="3"/>
      <c r="K332" s="18">
        <f>MOD(Tableau1[[#This Row],[Fin
apm]]-Tableau1[[#This Row],[Début
apm]],1)+MOD(Tableau1[[#This Row],[Fin
matin]]-Tableau1[[#This Row],[Début
matin]],1)</f>
        <v>0</v>
      </c>
      <c r="L332" s="18">
        <f>IFERROR(VLOOKUP(Tableau1[[#This Row],[Abs.]],Tmotif[],3,0),0)</f>
        <v>0</v>
      </c>
      <c r="M332" s="18">
        <f ca="1">IF(WEEKDAY(Tableau1[[#This Row],[Date]],2)&lt;7,0,MAX(0,SUM(OFFSET(Tableau1[[#This Row],[Heures]],-6,,7))+SUM(OFFSET(Tableau1[[#This Row],[H_Abs]],-6,,7))-_HS))</f>
        <v>0</v>
      </c>
      <c r="N332" s="18" t="str">
        <f ca="1">IF(Tableau1[[#This Row],[HS]]&gt;0,IF(Tableau1[[#This Row],[HS]]*24&gt;8,8/24,Tableau1[[#This Row],[HS]]),"")</f>
        <v/>
      </c>
      <c r="O332" s="18" t="str">
        <f ca="1">IF(Tableau1[[#This Row],[HS]]*24&gt;8,Tableau1[[#This Row],[HS]]-Tableau1[[#This Row],[Dont
HS 30%]],"")</f>
        <v/>
      </c>
      <c r="P332" s="18" t="e">
        <f ca="1">Tableau1[[#This Row],[Dont
HS 30%]]*1.3</f>
        <v>#VALUE!</v>
      </c>
      <c r="Q332" s="18" t="e">
        <f ca="1">Tableau1[[#This Row],[Dont 
HS 50%]]*1.5</f>
        <v>#VALUE!</v>
      </c>
    </row>
    <row r="333" spans="2:17" hidden="1" x14ac:dyDescent="0.25">
      <c r="B333" s="37">
        <f>_xlfn.ISOWEEKNUM(Tableau1[[#This Row],[Date]])</f>
        <v>8</v>
      </c>
      <c r="C333" s="14">
        <f>debut+ROW()-ROW(Tableau1[[#Headers],[Date]])-1</f>
        <v>44980</v>
      </c>
      <c r="D333" s="16">
        <f>MONTH(Tableau1[[#This Row],[Date]])</f>
        <v>2</v>
      </c>
      <c r="E333" s="16">
        <f>YEAR(Tableau1[[#This Row],[Date]])</f>
        <v>2023</v>
      </c>
      <c r="F333" s="32"/>
      <c r="G333" s="32"/>
      <c r="H333" s="32"/>
      <c r="I333" s="32"/>
      <c r="J333" s="3"/>
      <c r="K333" s="18">
        <f>MOD(Tableau1[[#This Row],[Fin
apm]]-Tableau1[[#This Row],[Début
apm]],1)+MOD(Tableau1[[#This Row],[Fin
matin]]-Tableau1[[#This Row],[Début
matin]],1)</f>
        <v>0</v>
      </c>
      <c r="L333" s="18">
        <f>IFERROR(VLOOKUP(Tableau1[[#This Row],[Abs.]],Tmotif[],3,0),0)</f>
        <v>0</v>
      </c>
      <c r="M333" s="18">
        <f ca="1">IF(WEEKDAY(Tableau1[[#This Row],[Date]],2)&lt;7,0,MAX(0,SUM(OFFSET(Tableau1[[#This Row],[Heures]],-6,,7))+SUM(OFFSET(Tableau1[[#This Row],[H_Abs]],-6,,7))-_HS))</f>
        <v>0</v>
      </c>
      <c r="N333" s="18" t="str">
        <f ca="1">IF(Tableau1[[#This Row],[HS]]&gt;0,IF(Tableau1[[#This Row],[HS]]*24&gt;8,8/24,Tableau1[[#This Row],[HS]]),"")</f>
        <v/>
      </c>
      <c r="O333" s="18" t="str">
        <f ca="1">IF(Tableau1[[#This Row],[HS]]*24&gt;8,Tableau1[[#This Row],[HS]]-Tableau1[[#This Row],[Dont
HS 30%]],"")</f>
        <v/>
      </c>
      <c r="P333" s="18" t="e">
        <f ca="1">Tableau1[[#This Row],[Dont
HS 30%]]*1.3</f>
        <v>#VALUE!</v>
      </c>
      <c r="Q333" s="18" t="e">
        <f ca="1">Tableau1[[#This Row],[Dont 
HS 50%]]*1.5</f>
        <v>#VALUE!</v>
      </c>
    </row>
    <row r="334" spans="2:17" hidden="1" x14ac:dyDescent="0.25">
      <c r="B334" s="37">
        <f>_xlfn.ISOWEEKNUM(Tableau1[[#This Row],[Date]])</f>
        <v>8</v>
      </c>
      <c r="C334" s="14">
        <f>debut+ROW()-ROW(Tableau1[[#Headers],[Date]])-1</f>
        <v>44981</v>
      </c>
      <c r="D334" s="16">
        <f>MONTH(Tableau1[[#This Row],[Date]])</f>
        <v>2</v>
      </c>
      <c r="E334" s="16">
        <f>YEAR(Tableau1[[#This Row],[Date]])</f>
        <v>2023</v>
      </c>
      <c r="F334" s="32"/>
      <c r="G334" s="32"/>
      <c r="H334" s="32"/>
      <c r="I334" s="32"/>
      <c r="J334" s="3"/>
      <c r="K334" s="18">
        <f>MOD(Tableau1[[#This Row],[Fin
apm]]-Tableau1[[#This Row],[Début
apm]],1)+MOD(Tableau1[[#This Row],[Fin
matin]]-Tableau1[[#This Row],[Début
matin]],1)</f>
        <v>0</v>
      </c>
      <c r="L334" s="18">
        <f>IFERROR(VLOOKUP(Tableau1[[#This Row],[Abs.]],Tmotif[],3,0),0)</f>
        <v>0</v>
      </c>
      <c r="M334" s="18">
        <f ca="1">IF(WEEKDAY(Tableau1[[#This Row],[Date]],2)&lt;7,0,MAX(0,SUM(OFFSET(Tableau1[[#This Row],[Heures]],-6,,7))+SUM(OFFSET(Tableau1[[#This Row],[H_Abs]],-6,,7))-_HS))</f>
        <v>0</v>
      </c>
      <c r="N334" s="18" t="str">
        <f ca="1">IF(Tableau1[[#This Row],[HS]]&gt;0,IF(Tableau1[[#This Row],[HS]]*24&gt;8,8/24,Tableau1[[#This Row],[HS]]),"")</f>
        <v/>
      </c>
      <c r="O334" s="18" t="str">
        <f ca="1">IF(Tableau1[[#This Row],[HS]]*24&gt;8,Tableau1[[#This Row],[HS]]-Tableau1[[#This Row],[Dont
HS 30%]],"")</f>
        <v/>
      </c>
      <c r="P334" s="18" t="e">
        <f ca="1">Tableau1[[#This Row],[Dont
HS 30%]]*1.3</f>
        <v>#VALUE!</v>
      </c>
      <c r="Q334" s="18" t="e">
        <f ca="1">Tableau1[[#This Row],[Dont 
HS 50%]]*1.5</f>
        <v>#VALUE!</v>
      </c>
    </row>
    <row r="335" spans="2:17" hidden="1" x14ac:dyDescent="0.25">
      <c r="B335" s="37">
        <f>_xlfn.ISOWEEKNUM(Tableau1[[#This Row],[Date]])</f>
        <v>8</v>
      </c>
      <c r="C335" s="14">
        <f>debut+ROW()-ROW(Tableau1[[#Headers],[Date]])-1</f>
        <v>44982</v>
      </c>
      <c r="D335" s="16">
        <f>MONTH(Tableau1[[#This Row],[Date]])</f>
        <v>2</v>
      </c>
      <c r="E335" s="16">
        <f>YEAR(Tableau1[[#This Row],[Date]])</f>
        <v>2023</v>
      </c>
      <c r="F335" s="32"/>
      <c r="G335" s="32"/>
      <c r="H335" s="32"/>
      <c r="I335" s="32"/>
      <c r="J335" s="3"/>
      <c r="K335" s="18">
        <f>MOD(Tableau1[[#This Row],[Fin
apm]]-Tableau1[[#This Row],[Début
apm]],1)+MOD(Tableau1[[#This Row],[Fin
matin]]-Tableau1[[#This Row],[Début
matin]],1)</f>
        <v>0</v>
      </c>
      <c r="L335" s="18">
        <f>IFERROR(VLOOKUP(Tableau1[[#This Row],[Abs.]],Tmotif[],3,0),0)</f>
        <v>0</v>
      </c>
      <c r="M335" s="18">
        <f ca="1">IF(WEEKDAY(Tableau1[[#This Row],[Date]],2)&lt;7,0,MAX(0,SUM(OFFSET(Tableau1[[#This Row],[Heures]],-6,,7))+SUM(OFFSET(Tableau1[[#This Row],[H_Abs]],-6,,7))-_HS))</f>
        <v>0</v>
      </c>
      <c r="N335" s="18" t="str">
        <f ca="1">IF(Tableau1[[#This Row],[HS]]&gt;0,IF(Tableau1[[#This Row],[HS]]*24&gt;8,8/24,Tableau1[[#This Row],[HS]]),"")</f>
        <v/>
      </c>
      <c r="O335" s="18" t="str">
        <f ca="1">IF(Tableau1[[#This Row],[HS]]*24&gt;8,Tableau1[[#This Row],[HS]]-Tableau1[[#This Row],[Dont
HS 30%]],"")</f>
        <v/>
      </c>
      <c r="P335" s="18" t="e">
        <f ca="1">Tableau1[[#This Row],[Dont
HS 30%]]*1.3</f>
        <v>#VALUE!</v>
      </c>
      <c r="Q335" s="18" t="e">
        <f ca="1">Tableau1[[#This Row],[Dont 
HS 50%]]*1.5</f>
        <v>#VALUE!</v>
      </c>
    </row>
    <row r="336" spans="2:17" hidden="1" x14ac:dyDescent="0.25">
      <c r="B336" s="37">
        <f>_xlfn.ISOWEEKNUM(Tableau1[[#This Row],[Date]])</f>
        <v>8</v>
      </c>
      <c r="C336" s="14">
        <f>debut+ROW()-ROW(Tableau1[[#Headers],[Date]])-1</f>
        <v>44983</v>
      </c>
      <c r="D336" s="16">
        <f>MONTH(Tableau1[[#This Row],[Date]])</f>
        <v>2</v>
      </c>
      <c r="E336" s="16">
        <f>YEAR(Tableau1[[#This Row],[Date]])</f>
        <v>2023</v>
      </c>
      <c r="F336" s="32"/>
      <c r="G336" s="32"/>
      <c r="H336" s="32"/>
      <c r="I336" s="32"/>
      <c r="J336" s="3"/>
      <c r="K336" s="18">
        <f>MOD(Tableau1[[#This Row],[Fin
apm]]-Tableau1[[#This Row],[Début
apm]],1)+MOD(Tableau1[[#This Row],[Fin
matin]]-Tableau1[[#This Row],[Début
matin]],1)</f>
        <v>0</v>
      </c>
      <c r="L336" s="18">
        <f>IFERROR(VLOOKUP(Tableau1[[#This Row],[Abs.]],Tmotif[],3,0),0)</f>
        <v>0</v>
      </c>
      <c r="M336" s="18">
        <f ca="1">IF(WEEKDAY(Tableau1[[#This Row],[Date]],2)&lt;7,0,MAX(0,SUM(OFFSET(Tableau1[[#This Row],[Heures]],-6,,7))+SUM(OFFSET(Tableau1[[#This Row],[H_Abs]],-6,,7))-_HS))</f>
        <v>0</v>
      </c>
      <c r="N336" s="18" t="str">
        <f ca="1">IF(Tableau1[[#This Row],[HS]]&gt;0,IF(Tableau1[[#This Row],[HS]]*24&gt;8,8/24,Tableau1[[#This Row],[HS]]),"")</f>
        <v/>
      </c>
      <c r="O336" s="18" t="str">
        <f ca="1">IF(Tableau1[[#This Row],[HS]]*24&gt;8,Tableau1[[#This Row],[HS]]-Tableau1[[#This Row],[Dont
HS 30%]],"")</f>
        <v/>
      </c>
      <c r="P336" s="18" t="e">
        <f ca="1">Tableau1[[#This Row],[Dont
HS 30%]]*1.3</f>
        <v>#VALUE!</v>
      </c>
      <c r="Q336" s="18" t="e">
        <f ca="1">Tableau1[[#This Row],[Dont 
HS 50%]]*1.5</f>
        <v>#VALUE!</v>
      </c>
    </row>
    <row r="337" spans="2:17" hidden="1" x14ac:dyDescent="0.25">
      <c r="B337" s="37">
        <f>_xlfn.ISOWEEKNUM(Tableau1[[#This Row],[Date]])</f>
        <v>9</v>
      </c>
      <c r="C337" s="14">
        <f>debut+ROW()-ROW(Tableau1[[#Headers],[Date]])-1</f>
        <v>44984</v>
      </c>
      <c r="D337" s="16">
        <f>MONTH(Tableau1[[#This Row],[Date]])</f>
        <v>2</v>
      </c>
      <c r="E337" s="16">
        <f>YEAR(Tableau1[[#This Row],[Date]])</f>
        <v>2023</v>
      </c>
      <c r="F337" s="32"/>
      <c r="G337" s="32"/>
      <c r="H337" s="32"/>
      <c r="I337" s="32"/>
      <c r="J337" s="3"/>
      <c r="K337" s="18">
        <f>MOD(Tableau1[[#This Row],[Fin
apm]]-Tableau1[[#This Row],[Début
apm]],1)+MOD(Tableau1[[#This Row],[Fin
matin]]-Tableau1[[#This Row],[Début
matin]],1)</f>
        <v>0</v>
      </c>
      <c r="L337" s="18">
        <f>IFERROR(VLOOKUP(Tableau1[[#This Row],[Abs.]],Tmotif[],3,0),0)</f>
        <v>0</v>
      </c>
      <c r="M337" s="18">
        <f ca="1">IF(WEEKDAY(Tableau1[[#This Row],[Date]],2)&lt;7,0,MAX(0,SUM(OFFSET(Tableau1[[#This Row],[Heures]],-6,,7))+SUM(OFFSET(Tableau1[[#This Row],[H_Abs]],-6,,7))-_HS))</f>
        <v>0</v>
      </c>
      <c r="N337" s="18" t="str">
        <f ca="1">IF(Tableau1[[#This Row],[HS]]&gt;0,IF(Tableau1[[#This Row],[HS]]*24&gt;8,8/24,Tableau1[[#This Row],[HS]]),"")</f>
        <v/>
      </c>
      <c r="O337" s="18" t="str">
        <f ca="1">IF(Tableau1[[#This Row],[HS]]*24&gt;8,Tableau1[[#This Row],[HS]]-Tableau1[[#This Row],[Dont
HS 30%]],"")</f>
        <v/>
      </c>
      <c r="P337" s="18" t="e">
        <f ca="1">Tableau1[[#This Row],[Dont
HS 30%]]*1.3</f>
        <v>#VALUE!</v>
      </c>
      <c r="Q337" s="18" t="e">
        <f ca="1">Tableau1[[#This Row],[Dont 
HS 50%]]*1.5</f>
        <v>#VALUE!</v>
      </c>
    </row>
    <row r="338" spans="2:17" hidden="1" x14ac:dyDescent="0.25">
      <c r="B338" s="37">
        <f>_xlfn.ISOWEEKNUM(Tableau1[[#This Row],[Date]])</f>
        <v>9</v>
      </c>
      <c r="C338" s="14">
        <f>debut+ROW()-ROW(Tableau1[[#Headers],[Date]])-1</f>
        <v>44985</v>
      </c>
      <c r="D338" s="16">
        <f>MONTH(Tableau1[[#This Row],[Date]])</f>
        <v>2</v>
      </c>
      <c r="E338" s="16">
        <f>YEAR(Tableau1[[#This Row],[Date]])</f>
        <v>2023</v>
      </c>
      <c r="F338" s="32"/>
      <c r="G338" s="32"/>
      <c r="H338" s="32"/>
      <c r="I338" s="32"/>
      <c r="J338" s="3"/>
      <c r="K338" s="18">
        <f>MOD(Tableau1[[#This Row],[Fin
apm]]-Tableau1[[#This Row],[Début
apm]],1)+MOD(Tableau1[[#This Row],[Fin
matin]]-Tableau1[[#This Row],[Début
matin]],1)</f>
        <v>0</v>
      </c>
      <c r="L338" s="18">
        <f>IFERROR(VLOOKUP(Tableau1[[#This Row],[Abs.]],Tmotif[],3,0),0)</f>
        <v>0</v>
      </c>
      <c r="M338" s="18">
        <f ca="1">IF(WEEKDAY(Tableau1[[#This Row],[Date]],2)&lt;7,0,MAX(0,SUM(OFFSET(Tableau1[[#This Row],[Heures]],-6,,7))+SUM(OFFSET(Tableau1[[#This Row],[H_Abs]],-6,,7))-_HS))</f>
        <v>0</v>
      </c>
      <c r="N338" s="18" t="str">
        <f ca="1">IF(Tableau1[[#This Row],[HS]]&gt;0,IF(Tableau1[[#This Row],[HS]]*24&gt;8,8/24,Tableau1[[#This Row],[HS]]),"")</f>
        <v/>
      </c>
      <c r="O338" s="18" t="str">
        <f ca="1">IF(Tableau1[[#This Row],[HS]]*24&gt;8,Tableau1[[#This Row],[HS]]-Tableau1[[#This Row],[Dont
HS 30%]],"")</f>
        <v/>
      </c>
      <c r="P338" s="18" t="e">
        <f ca="1">Tableau1[[#This Row],[Dont
HS 30%]]*1.3</f>
        <v>#VALUE!</v>
      </c>
      <c r="Q338" s="18" t="e">
        <f ca="1">Tableau1[[#This Row],[Dont 
HS 50%]]*1.5</f>
        <v>#VALUE!</v>
      </c>
    </row>
    <row r="339" spans="2:17" hidden="1" x14ac:dyDescent="0.25">
      <c r="B339" s="37">
        <f>_xlfn.ISOWEEKNUM(Tableau1[[#This Row],[Date]])</f>
        <v>9</v>
      </c>
      <c r="C339" s="14">
        <f>debut+ROW()-ROW(Tableau1[[#Headers],[Date]])-1</f>
        <v>44986</v>
      </c>
      <c r="D339" s="16">
        <f>MONTH(Tableau1[[#This Row],[Date]])</f>
        <v>3</v>
      </c>
      <c r="E339" s="16">
        <f>YEAR(Tableau1[[#This Row],[Date]])</f>
        <v>2023</v>
      </c>
      <c r="F339" s="32"/>
      <c r="G339" s="32"/>
      <c r="H339" s="32"/>
      <c r="I339" s="32"/>
      <c r="J339" s="3"/>
      <c r="K339" s="18">
        <f>MOD(Tableau1[[#This Row],[Fin
apm]]-Tableau1[[#This Row],[Début
apm]],1)+MOD(Tableau1[[#This Row],[Fin
matin]]-Tableau1[[#This Row],[Début
matin]],1)</f>
        <v>0</v>
      </c>
      <c r="L339" s="18">
        <f>IFERROR(VLOOKUP(Tableau1[[#This Row],[Abs.]],Tmotif[],3,0),0)</f>
        <v>0</v>
      </c>
      <c r="M339" s="18">
        <f ca="1">IF(WEEKDAY(Tableau1[[#This Row],[Date]],2)&lt;7,0,MAX(0,SUM(OFFSET(Tableau1[[#This Row],[Heures]],-6,,7))+SUM(OFFSET(Tableau1[[#This Row],[H_Abs]],-6,,7))-_HS))</f>
        <v>0</v>
      </c>
      <c r="N339" s="18" t="str">
        <f ca="1">IF(Tableau1[[#This Row],[HS]]&gt;0,IF(Tableau1[[#This Row],[HS]]*24&gt;8,8/24,Tableau1[[#This Row],[HS]]),"")</f>
        <v/>
      </c>
      <c r="O339" s="18" t="str">
        <f ca="1">IF(Tableau1[[#This Row],[HS]]*24&gt;8,Tableau1[[#This Row],[HS]]-Tableau1[[#This Row],[Dont
HS 30%]],"")</f>
        <v/>
      </c>
      <c r="P339" s="18" t="e">
        <f ca="1">Tableau1[[#This Row],[Dont
HS 30%]]*1.3</f>
        <v>#VALUE!</v>
      </c>
      <c r="Q339" s="18" t="e">
        <f ca="1">Tableau1[[#This Row],[Dont 
HS 50%]]*1.5</f>
        <v>#VALUE!</v>
      </c>
    </row>
    <row r="340" spans="2:17" hidden="1" x14ac:dyDescent="0.25">
      <c r="B340" s="37">
        <f>_xlfn.ISOWEEKNUM(Tableau1[[#This Row],[Date]])</f>
        <v>9</v>
      </c>
      <c r="C340" s="14">
        <f>debut+ROW()-ROW(Tableau1[[#Headers],[Date]])-1</f>
        <v>44987</v>
      </c>
      <c r="D340" s="16">
        <f>MONTH(Tableau1[[#This Row],[Date]])</f>
        <v>3</v>
      </c>
      <c r="E340" s="16">
        <f>YEAR(Tableau1[[#This Row],[Date]])</f>
        <v>2023</v>
      </c>
      <c r="F340" s="32"/>
      <c r="G340" s="32"/>
      <c r="H340" s="32"/>
      <c r="I340" s="32"/>
      <c r="J340" s="3"/>
      <c r="K340" s="18">
        <f>MOD(Tableau1[[#This Row],[Fin
apm]]-Tableau1[[#This Row],[Début
apm]],1)+MOD(Tableau1[[#This Row],[Fin
matin]]-Tableau1[[#This Row],[Début
matin]],1)</f>
        <v>0</v>
      </c>
      <c r="L340" s="18">
        <f>IFERROR(VLOOKUP(Tableau1[[#This Row],[Abs.]],Tmotif[],3,0),0)</f>
        <v>0</v>
      </c>
      <c r="M340" s="18">
        <f ca="1">IF(WEEKDAY(Tableau1[[#This Row],[Date]],2)&lt;7,0,MAX(0,SUM(OFFSET(Tableau1[[#This Row],[Heures]],-6,,7))+SUM(OFFSET(Tableau1[[#This Row],[H_Abs]],-6,,7))-_HS))</f>
        <v>0</v>
      </c>
      <c r="N340" s="18" t="str">
        <f ca="1">IF(Tableau1[[#This Row],[HS]]&gt;0,IF(Tableau1[[#This Row],[HS]]*24&gt;8,8/24,Tableau1[[#This Row],[HS]]),"")</f>
        <v/>
      </c>
      <c r="O340" s="18" t="str">
        <f ca="1">IF(Tableau1[[#This Row],[HS]]*24&gt;8,Tableau1[[#This Row],[HS]]-Tableau1[[#This Row],[Dont
HS 30%]],"")</f>
        <v/>
      </c>
      <c r="P340" s="18" t="e">
        <f ca="1">Tableau1[[#This Row],[Dont
HS 30%]]*1.3</f>
        <v>#VALUE!</v>
      </c>
      <c r="Q340" s="18" t="e">
        <f ca="1">Tableau1[[#This Row],[Dont 
HS 50%]]*1.5</f>
        <v>#VALUE!</v>
      </c>
    </row>
    <row r="341" spans="2:17" hidden="1" x14ac:dyDescent="0.25">
      <c r="B341" s="37">
        <f>_xlfn.ISOWEEKNUM(Tableau1[[#This Row],[Date]])</f>
        <v>9</v>
      </c>
      <c r="C341" s="14">
        <f>debut+ROW()-ROW(Tableau1[[#Headers],[Date]])-1</f>
        <v>44988</v>
      </c>
      <c r="D341" s="16">
        <f>MONTH(Tableau1[[#This Row],[Date]])</f>
        <v>3</v>
      </c>
      <c r="E341" s="16">
        <f>YEAR(Tableau1[[#This Row],[Date]])</f>
        <v>2023</v>
      </c>
      <c r="F341" s="32"/>
      <c r="G341" s="32"/>
      <c r="H341" s="32"/>
      <c r="I341" s="32"/>
      <c r="J341" s="3"/>
      <c r="K341" s="18">
        <f>MOD(Tableau1[[#This Row],[Fin
apm]]-Tableau1[[#This Row],[Début
apm]],1)+MOD(Tableau1[[#This Row],[Fin
matin]]-Tableau1[[#This Row],[Début
matin]],1)</f>
        <v>0</v>
      </c>
      <c r="L341" s="18">
        <f>IFERROR(VLOOKUP(Tableau1[[#This Row],[Abs.]],Tmotif[],3,0),0)</f>
        <v>0</v>
      </c>
      <c r="M341" s="18">
        <f ca="1">IF(WEEKDAY(Tableau1[[#This Row],[Date]],2)&lt;7,0,MAX(0,SUM(OFFSET(Tableau1[[#This Row],[Heures]],-6,,7))+SUM(OFFSET(Tableau1[[#This Row],[H_Abs]],-6,,7))-_HS))</f>
        <v>0</v>
      </c>
      <c r="N341" s="18" t="str">
        <f ca="1">IF(Tableau1[[#This Row],[HS]]&gt;0,IF(Tableau1[[#This Row],[HS]]*24&gt;8,8/24,Tableau1[[#This Row],[HS]]),"")</f>
        <v/>
      </c>
      <c r="O341" s="18" t="str">
        <f ca="1">IF(Tableau1[[#This Row],[HS]]*24&gt;8,Tableau1[[#This Row],[HS]]-Tableau1[[#This Row],[Dont
HS 30%]],"")</f>
        <v/>
      </c>
      <c r="P341" s="18" t="e">
        <f ca="1">Tableau1[[#This Row],[Dont
HS 30%]]*1.3</f>
        <v>#VALUE!</v>
      </c>
      <c r="Q341" s="18" t="e">
        <f ca="1">Tableau1[[#This Row],[Dont 
HS 50%]]*1.5</f>
        <v>#VALUE!</v>
      </c>
    </row>
    <row r="342" spans="2:17" hidden="1" x14ac:dyDescent="0.25">
      <c r="B342" s="37">
        <f>_xlfn.ISOWEEKNUM(Tableau1[[#This Row],[Date]])</f>
        <v>9</v>
      </c>
      <c r="C342" s="14">
        <f>debut+ROW()-ROW(Tableau1[[#Headers],[Date]])-1</f>
        <v>44989</v>
      </c>
      <c r="D342" s="16">
        <f>MONTH(Tableau1[[#This Row],[Date]])</f>
        <v>3</v>
      </c>
      <c r="E342" s="16">
        <f>YEAR(Tableau1[[#This Row],[Date]])</f>
        <v>2023</v>
      </c>
      <c r="F342" s="32"/>
      <c r="G342" s="32"/>
      <c r="H342" s="32"/>
      <c r="I342" s="32"/>
      <c r="J342" s="3"/>
      <c r="K342" s="18">
        <f>MOD(Tableau1[[#This Row],[Fin
apm]]-Tableau1[[#This Row],[Début
apm]],1)+MOD(Tableau1[[#This Row],[Fin
matin]]-Tableau1[[#This Row],[Début
matin]],1)</f>
        <v>0</v>
      </c>
      <c r="L342" s="18">
        <f>IFERROR(VLOOKUP(Tableau1[[#This Row],[Abs.]],Tmotif[],3,0),0)</f>
        <v>0</v>
      </c>
      <c r="M342" s="18">
        <f ca="1">IF(WEEKDAY(Tableau1[[#This Row],[Date]],2)&lt;7,0,MAX(0,SUM(OFFSET(Tableau1[[#This Row],[Heures]],-6,,7))+SUM(OFFSET(Tableau1[[#This Row],[H_Abs]],-6,,7))-_HS))</f>
        <v>0</v>
      </c>
      <c r="N342" s="18" t="str">
        <f ca="1">IF(Tableau1[[#This Row],[HS]]&gt;0,IF(Tableau1[[#This Row],[HS]]*24&gt;8,8/24,Tableau1[[#This Row],[HS]]),"")</f>
        <v/>
      </c>
      <c r="O342" s="18" t="str">
        <f ca="1">IF(Tableau1[[#This Row],[HS]]*24&gt;8,Tableau1[[#This Row],[HS]]-Tableau1[[#This Row],[Dont
HS 30%]],"")</f>
        <v/>
      </c>
      <c r="P342" s="18" t="e">
        <f ca="1">Tableau1[[#This Row],[Dont
HS 30%]]*1.3</f>
        <v>#VALUE!</v>
      </c>
      <c r="Q342" s="18" t="e">
        <f ca="1">Tableau1[[#This Row],[Dont 
HS 50%]]*1.5</f>
        <v>#VALUE!</v>
      </c>
    </row>
    <row r="343" spans="2:17" hidden="1" x14ac:dyDescent="0.25">
      <c r="B343" s="37">
        <f>_xlfn.ISOWEEKNUM(Tableau1[[#This Row],[Date]])</f>
        <v>9</v>
      </c>
      <c r="C343" s="14">
        <f>debut+ROW()-ROW(Tableau1[[#Headers],[Date]])-1</f>
        <v>44990</v>
      </c>
      <c r="D343" s="16">
        <f>MONTH(Tableau1[[#This Row],[Date]])</f>
        <v>3</v>
      </c>
      <c r="E343" s="16">
        <f>YEAR(Tableau1[[#This Row],[Date]])</f>
        <v>2023</v>
      </c>
      <c r="F343" s="32"/>
      <c r="G343" s="32"/>
      <c r="H343" s="32"/>
      <c r="I343" s="32"/>
      <c r="J343" s="3"/>
      <c r="K343" s="18">
        <f>MOD(Tableau1[[#This Row],[Fin
apm]]-Tableau1[[#This Row],[Début
apm]],1)+MOD(Tableau1[[#This Row],[Fin
matin]]-Tableau1[[#This Row],[Début
matin]],1)</f>
        <v>0</v>
      </c>
      <c r="L343" s="18">
        <f>IFERROR(VLOOKUP(Tableau1[[#This Row],[Abs.]],Tmotif[],3,0),0)</f>
        <v>0</v>
      </c>
      <c r="M343" s="18">
        <f ca="1">IF(WEEKDAY(Tableau1[[#This Row],[Date]],2)&lt;7,0,MAX(0,SUM(OFFSET(Tableau1[[#This Row],[Heures]],-6,,7))+SUM(OFFSET(Tableau1[[#This Row],[H_Abs]],-6,,7))-_HS))</f>
        <v>0</v>
      </c>
      <c r="N343" s="18" t="str">
        <f ca="1">IF(Tableau1[[#This Row],[HS]]&gt;0,IF(Tableau1[[#This Row],[HS]]*24&gt;8,8/24,Tableau1[[#This Row],[HS]]),"")</f>
        <v/>
      </c>
      <c r="O343" s="18" t="str">
        <f ca="1">IF(Tableau1[[#This Row],[HS]]*24&gt;8,Tableau1[[#This Row],[HS]]-Tableau1[[#This Row],[Dont
HS 30%]],"")</f>
        <v/>
      </c>
      <c r="P343" s="18" t="e">
        <f ca="1">Tableau1[[#This Row],[Dont
HS 30%]]*1.3</f>
        <v>#VALUE!</v>
      </c>
      <c r="Q343" s="18" t="e">
        <f ca="1">Tableau1[[#This Row],[Dont 
HS 50%]]*1.5</f>
        <v>#VALUE!</v>
      </c>
    </row>
    <row r="344" spans="2:17" hidden="1" x14ac:dyDescent="0.25">
      <c r="B344" s="37">
        <f>_xlfn.ISOWEEKNUM(Tableau1[[#This Row],[Date]])</f>
        <v>10</v>
      </c>
      <c r="C344" s="14">
        <f>debut+ROW()-ROW(Tableau1[[#Headers],[Date]])-1</f>
        <v>44991</v>
      </c>
      <c r="D344" s="16">
        <f>MONTH(Tableau1[[#This Row],[Date]])</f>
        <v>3</v>
      </c>
      <c r="E344" s="16">
        <f>YEAR(Tableau1[[#This Row],[Date]])</f>
        <v>2023</v>
      </c>
      <c r="F344" s="32"/>
      <c r="G344" s="32"/>
      <c r="H344" s="32"/>
      <c r="I344" s="32"/>
      <c r="J344" s="3"/>
      <c r="K344" s="18">
        <f>MOD(Tableau1[[#This Row],[Fin
apm]]-Tableau1[[#This Row],[Début
apm]],1)+MOD(Tableau1[[#This Row],[Fin
matin]]-Tableau1[[#This Row],[Début
matin]],1)</f>
        <v>0</v>
      </c>
      <c r="L344" s="18">
        <f>IFERROR(VLOOKUP(Tableau1[[#This Row],[Abs.]],Tmotif[],3,0),0)</f>
        <v>0</v>
      </c>
      <c r="M344" s="18">
        <f ca="1">IF(WEEKDAY(Tableau1[[#This Row],[Date]],2)&lt;7,0,MAX(0,SUM(OFFSET(Tableau1[[#This Row],[Heures]],-6,,7))+SUM(OFFSET(Tableau1[[#This Row],[H_Abs]],-6,,7))-_HS))</f>
        <v>0</v>
      </c>
      <c r="N344" s="18" t="str">
        <f ca="1">IF(Tableau1[[#This Row],[HS]]&gt;0,IF(Tableau1[[#This Row],[HS]]*24&gt;8,8/24,Tableau1[[#This Row],[HS]]),"")</f>
        <v/>
      </c>
      <c r="O344" s="18" t="str">
        <f ca="1">IF(Tableau1[[#This Row],[HS]]*24&gt;8,Tableau1[[#This Row],[HS]]-Tableau1[[#This Row],[Dont
HS 30%]],"")</f>
        <v/>
      </c>
      <c r="P344" s="18" t="e">
        <f ca="1">Tableau1[[#This Row],[Dont
HS 30%]]*1.3</f>
        <v>#VALUE!</v>
      </c>
      <c r="Q344" s="18" t="e">
        <f ca="1">Tableau1[[#This Row],[Dont 
HS 50%]]*1.5</f>
        <v>#VALUE!</v>
      </c>
    </row>
    <row r="345" spans="2:17" hidden="1" x14ac:dyDescent="0.25">
      <c r="B345" s="37">
        <f>_xlfn.ISOWEEKNUM(Tableau1[[#This Row],[Date]])</f>
        <v>10</v>
      </c>
      <c r="C345" s="14">
        <f>debut+ROW()-ROW(Tableau1[[#Headers],[Date]])-1</f>
        <v>44992</v>
      </c>
      <c r="D345" s="16">
        <f>MONTH(Tableau1[[#This Row],[Date]])</f>
        <v>3</v>
      </c>
      <c r="E345" s="16">
        <f>YEAR(Tableau1[[#This Row],[Date]])</f>
        <v>2023</v>
      </c>
      <c r="F345" s="32"/>
      <c r="G345" s="32"/>
      <c r="H345" s="32"/>
      <c r="I345" s="32"/>
      <c r="J345" s="3"/>
      <c r="K345" s="18">
        <f>MOD(Tableau1[[#This Row],[Fin
apm]]-Tableau1[[#This Row],[Début
apm]],1)+MOD(Tableau1[[#This Row],[Fin
matin]]-Tableau1[[#This Row],[Début
matin]],1)</f>
        <v>0</v>
      </c>
      <c r="L345" s="18">
        <f>IFERROR(VLOOKUP(Tableau1[[#This Row],[Abs.]],Tmotif[],3,0),0)</f>
        <v>0</v>
      </c>
      <c r="M345" s="18">
        <f ca="1">IF(WEEKDAY(Tableau1[[#This Row],[Date]],2)&lt;7,0,MAX(0,SUM(OFFSET(Tableau1[[#This Row],[Heures]],-6,,7))+SUM(OFFSET(Tableau1[[#This Row],[H_Abs]],-6,,7))-_HS))</f>
        <v>0</v>
      </c>
      <c r="N345" s="18" t="str">
        <f ca="1">IF(Tableau1[[#This Row],[HS]]&gt;0,IF(Tableau1[[#This Row],[HS]]*24&gt;8,8/24,Tableau1[[#This Row],[HS]]),"")</f>
        <v/>
      </c>
      <c r="O345" s="18" t="str">
        <f ca="1">IF(Tableau1[[#This Row],[HS]]*24&gt;8,Tableau1[[#This Row],[HS]]-Tableau1[[#This Row],[Dont
HS 30%]],"")</f>
        <v/>
      </c>
      <c r="P345" s="18" t="e">
        <f ca="1">Tableau1[[#This Row],[Dont
HS 30%]]*1.3</f>
        <v>#VALUE!</v>
      </c>
      <c r="Q345" s="18" t="e">
        <f ca="1">Tableau1[[#This Row],[Dont 
HS 50%]]*1.5</f>
        <v>#VALUE!</v>
      </c>
    </row>
    <row r="346" spans="2:17" hidden="1" x14ac:dyDescent="0.25">
      <c r="B346" s="37">
        <f>_xlfn.ISOWEEKNUM(Tableau1[[#This Row],[Date]])</f>
        <v>10</v>
      </c>
      <c r="C346" s="14">
        <f>debut+ROW()-ROW(Tableau1[[#Headers],[Date]])-1</f>
        <v>44993</v>
      </c>
      <c r="D346" s="16">
        <f>MONTH(Tableau1[[#This Row],[Date]])</f>
        <v>3</v>
      </c>
      <c r="E346" s="16">
        <f>YEAR(Tableau1[[#This Row],[Date]])</f>
        <v>2023</v>
      </c>
      <c r="F346" s="32"/>
      <c r="G346" s="32"/>
      <c r="H346" s="32"/>
      <c r="I346" s="32"/>
      <c r="J346" s="3"/>
      <c r="K346" s="18">
        <f>MOD(Tableau1[[#This Row],[Fin
apm]]-Tableau1[[#This Row],[Début
apm]],1)+MOD(Tableau1[[#This Row],[Fin
matin]]-Tableau1[[#This Row],[Début
matin]],1)</f>
        <v>0</v>
      </c>
      <c r="L346" s="18">
        <f>IFERROR(VLOOKUP(Tableau1[[#This Row],[Abs.]],Tmotif[],3,0),0)</f>
        <v>0</v>
      </c>
      <c r="M346" s="18">
        <f ca="1">IF(WEEKDAY(Tableau1[[#This Row],[Date]],2)&lt;7,0,MAX(0,SUM(OFFSET(Tableau1[[#This Row],[Heures]],-6,,7))+SUM(OFFSET(Tableau1[[#This Row],[H_Abs]],-6,,7))-_HS))</f>
        <v>0</v>
      </c>
      <c r="N346" s="18" t="str">
        <f ca="1">IF(Tableau1[[#This Row],[HS]]&gt;0,IF(Tableau1[[#This Row],[HS]]*24&gt;8,8/24,Tableau1[[#This Row],[HS]]),"")</f>
        <v/>
      </c>
      <c r="O346" s="18" t="str">
        <f ca="1">IF(Tableau1[[#This Row],[HS]]*24&gt;8,Tableau1[[#This Row],[HS]]-Tableau1[[#This Row],[Dont
HS 30%]],"")</f>
        <v/>
      </c>
      <c r="P346" s="18" t="e">
        <f ca="1">Tableau1[[#This Row],[Dont
HS 30%]]*1.3</f>
        <v>#VALUE!</v>
      </c>
      <c r="Q346" s="18" t="e">
        <f ca="1">Tableau1[[#This Row],[Dont 
HS 50%]]*1.5</f>
        <v>#VALUE!</v>
      </c>
    </row>
    <row r="347" spans="2:17" hidden="1" x14ac:dyDescent="0.25">
      <c r="B347" s="37">
        <f>_xlfn.ISOWEEKNUM(Tableau1[[#This Row],[Date]])</f>
        <v>10</v>
      </c>
      <c r="C347" s="14">
        <f>debut+ROW()-ROW(Tableau1[[#Headers],[Date]])-1</f>
        <v>44994</v>
      </c>
      <c r="D347" s="16">
        <f>MONTH(Tableau1[[#This Row],[Date]])</f>
        <v>3</v>
      </c>
      <c r="E347" s="16">
        <f>YEAR(Tableau1[[#This Row],[Date]])</f>
        <v>2023</v>
      </c>
      <c r="F347" s="32"/>
      <c r="G347" s="32"/>
      <c r="H347" s="32"/>
      <c r="I347" s="32"/>
      <c r="J347" s="3"/>
      <c r="K347" s="18">
        <f>MOD(Tableau1[[#This Row],[Fin
apm]]-Tableau1[[#This Row],[Début
apm]],1)+MOD(Tableau1[[#This Row],[Fin
matin]]-Tableau1[[#This Row],[Début
matin]],1)</f>
        <v>0</v>
      </c>
      <c r="L347" s="18">
        <f>IFERROR(VLOOKUP(Tableau1[[#This Row],[Abs.]],Tmotif[],3,0),0)</f>
        <v>0</v>
      </c>
      <c r="M347" s="18">
        <f ca="1">IF(WEEKDAY(Tableau1[[#This Row],[Date]],2)&lt;7,0,MAX(0,SUM(OFFSET(Tableau1[[#This Row],[Heures]],-6,,7))+SUM(OFFSET(Tableau1[[#This Row],[H_Abs]],-6,,7))-_HS))</f>
        <v>0</v>
      </c>
      <c r="N347" s="18" t="str">
        <f ca="1">IF(Tableau1[[#This Row],[HS]]&gt;0,IF(Tableau1[[#This Row],[HS]]*24&gt;8,8/24,Tableau1[[#This Row],[HS]]),"")</f>
        <v/>
      </c>
      <c r="O347" s="18" t="str">
        <f ca="1">IF(Tableau1[[#This Row],[HS]]*24&gt;8,Tableau1[[#This Row],[HS]]-Tableau1[[#This Row],[Dont
HS 30%]],"")</f>
        <v/>
      </c>
      <c r="P347" s="18" t="e">
        <f ca="1">Tableau1[[#This Row],[Dont
HS 30%]]*1.3</f>
        <v>#VALUE!</v>
      </c>
      <c r="Q347" s="18" t="e">
        <f ca="1">Tableau1[[#This Row],[Dont 
HS 50%]]*1.5</f>
        <v>#VALUE!</v>
      </c>
    </row>
    <row r="348" spans="2:17" hidden="1" x14ac:dyDescent="0.25">
      <c r="B348" s="37">
        <f>_xlfn.ISOWEEKNUM(Tableau1[[#This Row],[Date]])</f>
        <v>10</v>
      </c>
      <c r="C348" s="14">
        <f>debut+ROW()-ROW(Tableau1[[#Headers],[Date]])-1</f>
        <v>44995</v>
      </c>
      <c r="D348" s="16">
        <f>MONTH(Tableau1[[#This Row],[Date]])</f>
        <v>3</v>
      </c>
      <c r="E348" s="16">
        <f>YEAR(Tableau1[[#This Row],[Date]])</f>
        <v>2023</v>
      </c>
      <c r="F348" s="32"/>
      <c r="G348" s="32"/>
      <c r="H348" s="32"/>
      <c r="I348" s="32"/>
      <c r="J348" s="3"/>
      <c r="K348" s="18">
        <f>MOD(Tableau1[[#This Row],[Fin
apm]]-Tableau1[[#This Row],[Début
apm]],1)+MOD(Tableau1[[#This Row],[Fin
matin]]-Tableau1[[#This Row],[Début
matin]],1)</f>
        <v>0</v>
      </c>
      <c r="L348" s="18">
        <f>IFERROR(VLOOKUP(Tableau1[[#This Row],[Abs.]],Tmotif[],3,0),0)</f>
        <v>0</v>
      </c>
      <c r="M348" s="18">
        <f ca="1">IF(WEEKDAY(Tableau1[[#This Row],[Date]],2)&lt;7,0,MAX(0,SUM(OFFSET(Tableau1[[#This Row],[Heures]],-6,,7))+SUM(OFFSET(Tableau1[[#This Row],[H_Abs]],-6,,7))-_HS))</f>
        <v>0</v>
      </c>
      <c r="N348" s="18" t="str">
        <f ca="1">IF(Tableau1[[#This Row],[HS]]&gt;0,IF(Tableau1[[#This Row],[HS]]*24&gt;8,8/24,Tableau1[[#This Row],[HS]]),"")</f>
        <v/>
      </c>
      <c r="O348" s="18" t="str">
        <f ca="1">IF(Tableau1[[#This Row],[HS]]*24&gt;8,Tableau1[[#This Row],[HS]]-Tableau1[[#This Row],[Dont
HS 30%]],"")</f>
        <v/>
      </c>
      <c r="P348" s="18" t="e">
        <f ca="1">Tableau1[[#This Row],[Dont
HS 30%]]*1.3</f>
        <v>#VALUE!</v>
      </c>
      <c r="Q348" s="18" t="e">
        <f ca="1">Tableau1[[#This Row],[Dont 
HS 50%]]*1.5</f>
        <v>#VALUE!</v>
      </c>
    </row>
    <row r="349" spans="2:17" hidden="1" x14ac:dyDescent="0.25">
      <c r="B349" s="37">
        <f>_xlfn.ISOWEEKNUM(Tableau1[[#This Row],[Date]])</f>
        <v>10</v>
      </c>
      <c r="C349" s="14">
        <f>debut+ROW()-ROW(Tableau1[[#Headers],[Date]])-1</f>
        <v>44996</v>
      </c>
      <c r="D349" s="16">
        <f>MONTH(Tableau1[[#This Row],[Date]])</f>
        <v>3</v>
      </c>
      <c r="E349" s="16">
        <f>YEAR(Tableau1[[#This Row],[Date]])</f>
        <v>2023</v>
      </c>
      <c r="F349" s="32"/>
      <c r="G349" s="32"/>
      <c r="H349" s="32"/>
      <c r="I349" s="32"/>
      <c r="J349" s="3"/>
      <c r="K349" s="18">
        <f>MOD(Tableau1[[#This Row],[Fin
apm]]-Tableau1[[#This Row],[Début
apm]],1)+MOD(Tableau1[[#This Row],[Fin
matin]]-Tableau1[[#This Row],[Début
matin]],1)</f>
        <v>0</v>
      </c>
      <c r="L349" s="18">
        <f>IFERROR(VLOOKUP(Tableau1[[#This Row],[Abs.]],Tmotif[],3,0),0)</f>
        <v>0</v>
      </c>
      <c r="M349" s="18">
        <f ca="1">IF(WEEKDAY(Tableau1[[#This Row],[Date]],2)&lt;7,0,MAX(0,SUM(OFFSET(Tableau1[[#This Row],[Heures]],-6,,7))+SUM(OFFSET(Tableau1[[#This Row],[H_Abs]],-6,,7))-_HS))</f>
        <v>0</v>
      </c>
      <c r="N349" s="18" t="str">
        <f ca="1">IF(Tableau1[[#This Row],[HS]]&gt;0,IF(Tableau1[[#This Row],[HS]]*24&gt;8,8/24,Tableau1[[#This Row],[HS]]),"")</f>
        <v/>
      </c>
      <c r="O349" s="18" t="str">
        <f ca="1">IF(Tableau1[[#This Row],[HS]]*24&gt;8,Tableau1[[#This Row],[HS]]-Tableau1[[#This Row],[Dont
HS 30%]],"")</f>
        <v/>
      </c>
      <c r="P349" s="18" t="e">
        <f ca="1">Tableau1[[#This Row],[Dont
HS 30%]]*1.3</f>
        <v>#VALUE!</v>
      </c>
      <c r="Q349" s="18" t="e">
        <f ca="1">Tableau1[[#This Row],[Dont 
HS 50%]]*1.5</f>
        <v>#VALUE!</v>
      </c>
    </row>
    <row r="350" spans="2:17" hidden="1" x14ac:dyDescent="0.25">
      <c r="B350" s="37">
        <f>_xlfn.ISOWEEKNUM(Tableau1[[#This Row],[Date]])</f>
        <v>10</v>
      </c>
      <c r="C350" s="14">
        <f>debut+ROW()-ROW(Tableau1[[#Headers],[Date]])-1</f>
        <v>44997</v>
      </c>
      <c r="D350" s="16">
        <f>MONTH(Tableau1[[#This Row],[Date]])</f>
        <v>3</v>
      </c>
      <c r="E350" s="16">
        <f>YEAR(Tableau1[[#This Row],[Date]])</f>
        <v>2023</v>
      </c>
      <c r="F350" s="32"/>
      <c r="G350" s="32"/>
      <c r="H350" s="32"/>
      <c r="I350" s="32"/>
      <c r="J350" s="3"/>
      <c r="K350" s="18">
        <f>MOD(Tableau1[[#This Row],[Fin
apm]]-Tableau1[[#This Row],[Début
apm]],1)+MOD(Tableau1[[#This Row],[Fin
matin]]-Tableau1[[#This Row],[Début
matin]],1)</f>
        <v>0</v>
      </c>
      <c r="L350" s="18">
        <f>IFERROR(VLOOKUP(Tableau1[[#This Row],[Abs.]],Tmotif[],3,0),0)</f>
        <v>0</v>
      </c>
      <c r="M350" s="18">
        <f ca="1">IF(WEEKDAY(Tableau1[[#This Row],[Date]],2)&lt;7,0,MAX(0,SUM(OFFSET(Tableau1[[#This Row],[Heures]],-6,,7))+SUM(OFFSET(Tableau1[[#This Row],[H_Abs]],-6,,7))-_HS))</f>
        <v>0</v>
      </c>
      <c r="N350" s="18" t="str">
        <f ca="1">IF(Tableau1[[#This Row],[HS]]&gt;0,IF(Tableau1[[#This Row],[HS]]*24&gt;8,8/24,Tableau1[[#This Row],[HS]]),"")</f>
        <v/>
      </c>
      <c r="O350" s="18" t="str">
        <f ca="1">IF(Tableau1[[#This Row],[HS]]*24&gt;8,Tableau1[[#This Row],[HS]]-Tableau1[[#This Row],[Dont
HS 30%]],"")</f>
        <v/>
      </c>
      <c r="P350" s="18" t="e">
        <f ca="1">Tableau1[[#This Row],[Dont
HS 30%]]*1.3</f>
        <v>#VALUE!</v>
      </c>
      <c r="Q350" s="18" t="e">
        <f ca="1">Tableau1[[#This Row],[Dont 
HS 50%]]*1.5</f>
        <v>#VALUE!</v>
      </c>
    </row>
    <row r="351" spans="2:17" hidden="1" x14ac:dyDescent="0.25">
      <c r="B351" s="37">
        <f>_xlfn.ISOWEEKNUM(Tableau1[[#This Row],[Date]])</f>
        <v>11</v>
      </c>
      <c r="C351" s="14">
        <f>debut+ROW()-ROW(Tableau1[[#Headers],[Date]])-1</f>
        <v>44998</v>
      </c>
      <c r="D351" s="16">
        <f>MONTH(Tableau1[[#This Row],[Date]])</f>
        <v>3</v>
      </c>
      <c r="E351" s="16">
        <f>YEAR(Tableau1[[#This Row],[Date]])</f>
        <v>2023</v>
      </c>
      <c r="F351" s="32"/>
      <c r="G351" s="32"/>
      <c r="H351" s="32"/>
      <c r="I351" s="32"/>
      <c r="J351" s="3"/>
      <c r="K351" s="18">
        <f>MOD(Tableau1[[#This Row],[Fin
apm]]-Tableau1[[#This Row],[Début
apm]],1)+MOD(Tableau1[[#This Row],[Fin
matin]]-Tableau1[[#This Row],[Début
matin]],1)</f>
        <v>0</v>
      </c>
      <c r="L351" s="18">
        <f>IFERROR(VLOOKUP(Tableau1[[#This Row],[Abs.]],Tmotif[],3,0),0)</f>
        <v>0</v>
      </c>
      <c r="M351" s="18">
        <f ca="1">IF(WEEKDAY(Tableau1[[#This Row],[Date]],2)&lt;7,0,MAX(0,SUM(OFFSET(Tableau1[[#This Row],[Heures]],-6,,7))+SUM(OFFSET(Tableau1[[#This Row],[H_Abs]],-6,,7))-_HS))</f>
        <v>0</v>
      </c>
      <c r="N351" s="18" t="str">
        <f ca="1">IF(Tableau1[[#This Row],[HS]]&gt;0,IF(Tableau1[[#This Row],[HS]]*24&gt;8,8/24,Tableau1[[#This Row],[HS]]),"")</f>
        <v/>
      </c>
      <c r="O351" s="18" t="str">
        <f ca="1">IF(Tableau1[[#This Row],[HS]]*24&gt;8,Tableau1[[#This Row],[HS]]-Tableau1[[#This Row],[Dont
HS 30%]],"")</f>
        <v/>
      </c>
      <c r="P351" s="18" t="e">
        <f ca="1">Tableau1[[#This Row],[Dont
HS 30%]]*1.3</f>
        <v>#VALUE!</v>
      </c>
      <c r="Q351" s="18" t="e">
        <f ca="1">Tableau1[[#This Row],[Dont 
HS 50%]]*1.5</f>
        <v>#VALUE!</v>
      </c>
    </row>
    <row r="352" spans="2:17" hidden="1" x14ac:dyDescent="0.25">
      <c r="B352" s="37">
        <f>_xlfn.ISOWEEKNUM(Tableau1[[#This Row],[Date]])</f>
        <v>11</v>
      </c>
      <c r="C352" s="14">
        <f>debut+ROW()-ROW(Tableau1[[#Headers],[Date]])-1</f>
        <v>44999</v>
      </c>
      <c r="D352" s="16">
        <f>MONTH(Tableau1[[#This Row],[Date]])</f>
        <v>3</v>
      </c>
      <c r="E352" s="16">
        <f>YEAR(Tableau1[[#This Row],[Date]])</f>
        <v>2023</v>
      </c>
      <c r="F352" s="32"/>
      <c r="G352" s="32"/>
      <c r="H352" s="32"/>
      <c r="I352" s="32"/>
      <c r="J352" s="3"/>
      <c r="K352" s="18">
        <f>MOD(Tableau1[[#This Row],[Fin
apm]]-Tableau1[[#This Row],[Début
apm]],1)+MOD(Tableau1[[#This Row],[Fin
matin]]-Tableau1[[#This Row],[Début
matin]],1)</f>
        <v>0</v>
      </c>
      <c r="L352" s="18">
        <f>IFERROR(VLOOKUP(Tableau1[[#This Row],[Abs.]],Tmotif[],3,0),0)</f>
        <v>0</v>
      </c>
      <c r="M352" s="18">
        <f ca="1">IF(WEEKDAY(Tableau1[[#This Row],[Date]],2)&lt;7,0,MAX(0,SUM(OFFSET(Tableau1[[#This Row],[Heures]],-6,,7))+SUM(OFFSET(Tableau1[[#This Row],[H_Abs]],-6,,7))-_HS))</f>
        <v>0</v>
      </c>
      <c r="N352" s="18" t="str">
        <f ca="1">IF(Tableau1[[#This Row],[HS]]&gt;0,IF(Tableau1[[#This Row],[HS]]*24&gt;8,8/24,Tableau1[[#This Row],[HS]]),"")</f>
        <v/>
      </c>
      <c r="O352" s="18" t="str">
        <f ca="1">IF(Tableau1[[#This Row],[HS]]*24&gt;8,Tableau1[[#This Row],[HS]]-Tableau1[[#This Row],[Dont
HS 30%]],"")</f>
        <v/>
      </c>
      <c r="P352" s="18" t="e">
        <f ca="1">Tableau1[[#This Row],[Dont
HS 30%]]*1.3</f>
        <v>#VALUE!</v>
      </c>
      <c r="Q352" s="18" t="e">
        <f ca="1">Tableau1[[#This Row],[Dont 
HS 50%]]*1.5</f>
        <v>#VALUE!</v>
      </c>
    </row>
    <row r="353" spans="2:17" hidden="1" x14ac:dyDescent="0.25">
      <c r="B353" s="37">
        <f>_xlfn.ISOWEEKNUM(Tableau1[[#This Row],[Date]])</f>
        <v>11</v>
      </c>
      <c r="C353" s="14">
        <f>debut+ROW()-ROW(Tableau1[[#Headers],[Date]])-1</f>
        <v>45000</v>
      </c>
      <c r="D353" s="16">
        <f>MONTH(Tableau1[[#This Row],[Date]])</f>
        <v>3</v>
      </c>
      <c r="E353" s="16">
        <f>YEAR(Tableau1[[#This Row],[Date]])</f>
        <v>2023</v>
      </c>
      <c r="F353" s="32"/>
      <c r="G353" s="32"/>
      <c r="H353" s="32"/>
      <c r="I353" s="32"/>
      <c r="J353" s="3"/>
      <c r="K353" s="18">
        <f>MOD(Tableau1[[#This Row],[Fin
apm]]-Tableau1[[#This Row],[Début
apm]],1)+MOD(Tableau1[[#This Row],[Fin
matin]]-Tableau1[[#This Row],[Début
matin]],1)</f>
        <v>0</v>
      </c>
      <c r="L353" s="18">
        <f>IFERROR(VLOOKUP(Tableau1[[#This Row],[Abs.]],Tmotif[],3,0),0)</f>
        <v>0</v>
      </c>
      <c r="M353" s="18">
        <f ca="1">IF(WEEKDAY(Tableau1[[#This Row],[Date]],2)&lt;7,0,MAX(0,SUM(OFFSET(Tableau1[[#This Row],[Heures]],-6,,7))+SUM(OFFSET(Tableau1[[#This Row],[H_Abs]],-6,,7))-_HS))</f>
        <v>0</v>
      </c>
      <c r="N353" s="18" t="str">
        <f ca="1">IF(Tableau1[[#This Row],[HS]]&gt;0,IF(Tableau1[[#This Row],[HS]]*24&gt;8,8/24,Tableau1[[#This Row],[HS]]),"")</f>
        <v/>
      </c>
      <c r="O353" s="18" t="str">
        <f ca="1">IF(Tableau1[[#This Row],[HS]]*24&gt;8,Tableau1[[#This Row],[HS]]-Tableau1[[#This Row],[Dont
HS 30%]],"")</f>
        <v/>
      </c>
      <c r="P353" s="18" t="e">
        <f ca="1">Tableau1[[#This Row],[Dont
HS 30%]]*1.3</f>
        <v>#VALUE!</v>
      </c>
      <c r="Q353" s="18" t="e">
        <f ca="1">Tableau1[[#This Row],[Dont 
HS 50%]]*1.5</f>
        <v>#VALUE!</v>
      </c>
    </row>
    <row r="354" spans="2:17" hidden="1" x14ac:dyDescent="0.25">
      <c r="B354" s="37">
        <f>_xlfn.ISOWEEKNUM(Tableau1[[#This Row],[Date]])</f>
        <v>11</v>
      </c>
      <c r="C354" s="14">
        <f>debut+ROW()-ROW(Tableau1[[#Headers],[Date]])-1</f>
        <v>45001</v>
      </c>
      <c r="D354" s="16">
        <f>MONTH(Tableau1[[#This Row],[Date]])</f>
        <v>3</v>
      </c>
      <c r="E354" s="16">
        <f>YEAR(Tableau1[[#This Row],[Date]])</f>
        <v>2023</v>
      </c>
      <c r="F354" s="32"/>
      <c r="G354" s="32"/>
      <c r="H354" s="32"/>
      <c r="I354" s="32"/>
      <c r="J354" s="3"/>
      <c r="K354" s="18">
        <f>MOD(Tableau1[[#This Row],[Fin
apm]]-Tableau1[[#This Row],[Début
apm]],1)+MOD(Tableau1[[#This Row],[Fin
matin]]-Tableau1[[#This Row],[Début
matin]],1)</f>
        <v>0</v>
      </c>
      <c r="L354" s="18">
        <f>IFERROR(VLOOKUP(Tableau1[[#This Row],[Abs.]],Tmotif[],3,0),0)</f>
        <v>0</v>
      </c>
      <c r="M354" s="18">
        <f ca="1">IF(WEEKDAY(Tableau1[[#This Row],[Date]],2)&lt;7,0,MAX(0,SUM(OFFSET(Tableau1[[#This Row],[Heures]],-6,,7))+SUM(OFFSET(Tableau1[[#This Row],[H_Abs]],-6,,7))-_HS))</f>
        <v>0</v>
      </c>
      <c r="N354" s="18" t="str">
        <f ca="1">IF(Tableau1[[#This Row],[HS]]&gt;0,IF(Tableau1[[#This Row],[HS]]*24&gt;8,8/24,Tableau1[[#This Row],[HS]]),"")</f>
        <v/>
      </c>
      <c r="O354" s="18" t="str">
        <f ca="1">IF(Tableau1[[#This Row],[HS]]*24&gt;8,Tableau1[[#This Row],[HS]]-Tableau1[[#This Row],[Dont
HS 30%]],"")</f>
        <v/>
      </c>
      <c r="P354" s="18" t="e">
        <f ca="1">Tableau1[[#This Row],[Dont
HS 30%]]*1.3</f>
        <v>#VALUE!</v>
      </c>
      <c r="Q354" s="18" t="e">
        <f ca="1">Tableau1[[#This Row],[Dont 
HS 50%]]*1.5</f>
        <v>#VALUE!</v>
      </c>
    </row>
    <row r="355" spans="2:17" hidden="1" x14ac:dyDescent="0.25">
      <c r="B355" s="37">
        <f>_xlfn.ISOWEEKNUM(Tableau1[[#This Row],[Date]])</f>
        <v>11</v>
      </c>
      <c r="C355" s="14">
        <f>debut+ROW()-ROW(Tableau1[[#Headers],[Date]])-1</f>
        <v>45002</v>
      </c>
      <c r="D355" s="16">
        <f>MONTH(Tableau1[[#This Row],[Date]])</f>
        <v>3</v>
      </c>
      <c r="E355" s="16">
        <f>YEAR(Tableau1[[#This Row],[Date]])</f>
        <v>2023</v>
      </c>
      <c r="F355" s="32"/>
      <c r="G355" s="32"/>
      <c r="H355" s="32"/>
      <c r="I355" s="32"/>
      <c r="J355" s="3"/>
      <c r="K355" s="18">
        <f>MOD(Tableau1[[#This Row],[Fin
apm]]-Tableau1[[#This Row],[Début
apm]],1)+MOD(Tableau1[[#This Row],[Fin
matin]]-Tableau1[[#This Row],[Début
matin]],1)</f>
        <v>0</v>
      </c>
      <c r="L355" s="18">
        <f>IFERROR(VLOOKUP(Tableau1[[#This Row],[Abs.]],Tmotif[],3,0),0)</f>
        <v>0</v>
      </c>
      <c r="M355" s="18">
        <f ca="1">IF(WEEKDAY(Tableau1[[#This Row],[Date]],2)&lt;7,0,MAX(0,SUM(OFFSET(Tableau1[[#This Row],[Heures]],-6,,7))+SUM(OFFSET(Tableau1[[#This Row],[H_Abs]],-6,,7))-_HS))</f>
        <v>0</v>
      </c>
      <c r="N355" s="18" t="str">
        <f ca="1">IF(Tableau1[[#This Row],[HS]]&gt;0,IF(Tableau1[[#This Row],[HS]]*24&gt;8,8/24,Tableau1[[#This Row],[HS]]),"")</f>
        <v/>
      </c>
      <c r="O355" s="18" t="str">
        <f ca="1">IF(Tableau1[[#This Row],[HS]]*24&gt;8,Tableau1[[#This Row],[HS]]-Tableau1[[#This Row],[Dont
HS 30%]],"")</f>
        <v/>
      </c>
      <c r="P355" s="18" t="e">
        <f ca="1">Tableau1[[#This Row],[Dont
HS 30%]]*1.3</f>
        <v>#VALUE!</v>
      </c>
      <c r="Q355" s="18" t="e">
        <f ca="1">Tableau1[[#This Row],[Dont 
HS 50%]]*1.5</f>
        <v>#VALUE!</v>
      </c>
    </row>
    <row r="356" spans="2:17" hidden="1" x14ac:dyDescent="0.25">
      <c r="B356" s="37">
        <f>_xlfn.ISOWEEKNUM(Tableau1[[#This Row],[Date]])</f>
        <v>11</v>
      </c>
      <c r="C356" s="14">
        <f>debut+ROW()-ROW(Tableau1[[#Headers],[Date]])-1</f>
        <v>45003</v>
      </c>
      <c r="D356" s="16">
        <f>MONTH(Tableau1[[#This Row],[Date]])</f>
        <v>3</v>
      </c>
      <c r="E356" s="16">
        <f>YEAR(Tableau1[[#This Row],[Date]])</f>
        <v>2023</v>
      </c>
      <c r="F356" s="32"/>
      <c r="G356" s="32"/>
      <c r="H356" s="32"/>
      <c r="I356" s="32"/>
      <c r="J356" s="3"/>
      <c r="K356" s="18">
        <f>MOD(Tableau1[[#This Row],[Fin
apm]]-Tableau1[[#This Row],[Début
apm]],1)+MOD(Tableau1[[#This Row],[Fin
matin]]-Tableau1[[#This Row],[Début
matin]],1)</f>
        <v>0</v>
      </c>
      <c r="L356" s="18">
        <f>IFERROR(VLOOKUP(Tableau1[[#This Row],[Abs.]],Tmotif[],3,0),0)</f>
        <v>0</v>
      </c>
      <c r="M356" s="18">
        <f ca="1">IF(WEEKDAY(Tableau1[[#This Row],[Date]],2)&lt;7,0,MAX(0,SUM(OFFSET(Tableau1[[#This Row],[Heures]],-6,,7))+SUM(OFFSET(Tableau1[[#This Row],[H_Abs]],-6,,7))-_HS))</f>
        <v>0</v>
      </c>
      <c r="N356" s="18" t="str">
        <f ca="1">IF(Tableau1[[#This Row],[HS]]&gt;0,IF(Tableau1[[#This Row],[HS]]*24&gt;8,8/24,Tableau1[[#This Row],[HS]]),"")</f>
        <v/>
      </c>
      <c r="O356" s="18" t="str">
        <f ca="1">IF(Tableau1[[#This Row],[HS]]*24&gt;8,Tableau1[[#This Row],[HS]]-Tableau1[[#This Row],[Dont
HS 30%]],"")</f>
        <v/>
      </c>
      <c r="P356" s="18" t="e">
        <f ca="1">Tableau1[[#This Row],[Dont
HS 30%]]*1.3</f>
        <v>#VALUE!</v>
      </c>
      <c r="Q356" s="18" t="e">
        <f ca="1">Tableau1[[#This Row],[Dont 
HS 50%]]*1.5</f>
        <v>#VALUE!</v>
      </c>
    </row>
    <row r="357" spans="2:17" hidden="1" x14ac:dyDescent="0.25">
      <c r="B357" s="37">
        <f>_xlfn.ISOWEEKNUM(Tableau1[[#This Row],[Date]])</f>
        <v>11</v>
      </c>
      <c r="C357" s="14">
        <f>debut+ROW()-ROW(Tableau1[[#Headers],[Date]])-1</f>
        <v>45004</v>
      </c>
      <c r="D357" s="16">
        <f>MONTH(Tableau1[[#This Row],[Date]])</f>
        <v>3</v>
      </c>
      <c r="E357" s="16">
        <f>YEAR(Tableau1[[#This Row],[Date]])</f>
        <v>2023</v>
      </c>
      <c r="F357" s="32"/>
      <c r="G357" s="32"/>
      <c r="H357" s="32"/>
      <c r="I357" s="32"/>
      <c r="J357" s="3"/>
      <c r="K357" s="18">
        <f>MOD(Tableau1[[#This Row],[Fin
apm]]-Tableau1[[#This Row],[Début
apm]],1)+MOD(Tableau1[[#This Row],[Fin
matin]]-Tableau1[[#This Row],[Début
matin]],1)</f>
        <v>0</v>
      </c>
      <c r="L357" s="18">
        <f>IFERROR(VLOOKUP(Tableau1[[#This Row],[Abs.]],Tmotif[],3,0),0)</f>
        <v>0</v>
      </c>
      <c r="M357" s="18">
        <f ca="1">IF(WEEKDAY(Tableau1[[#This Row],[Date]],2)&lt;7,0,MAX(0,SUM(OFFSET(Tableau1[[#This Row],[Heures]],-6,,7))+SUM(OFFSET(Tableau1[[#This Row],[H_Abs]],-6,,7))-_HS))</f>
        <v>0</v>
      </c>
      <c r="N357" s="18" t="str">
        <f ca="1">IF(Tableau1[[#This Row],[HS]]&gt;0,IF(Tableau1[[#This Row],[HS]]*24&gt;8,8/24,Tableau1[[#This Row],[HS]]),"")</f>
        <v/>
      </c>
      <c r="O357" s="18" t="str">
        <f ca="1">IF(Tableau1[[#This Row],[HS]]*24&gt;8,Tableau1[[#This Row],[HS]]-Tableau1[[#This Row],[Dont
HS 30%]],"")</f>
        <v/>
      </c>
      <c r="P357" s="18" t="e">
        <f ca="1">Tableau1[[#This Row],[Dont
HS 30%]]*1.3</f>
        <v>#VALUE!</v>
      </c>
      <c r="Q357" s="18" t="e">
        <f ca="1">Tableau1[[#This Row],[Dont 
HS 50%]]*1.5</f>
        <v>#VALUE!</v>
      </c>
    </row>
    <row r="358" spans="2:17" hidden="1" x14ac:dyDescent="0.25">
      <c r="B358" s="37">
        <f>_xlfn.ISOWEEKNUM(Tableau1[[#This Row],[Date]])</f>
        <v>12</v>
      </c>
      <c r="C358" s="14">
        <f>debut+ROW()-ROW(Tableau1[[#Headers],[Date]])-1</f>
        <v>45005</v>
      </c>
      <c r="D358" s="16">
        <f>MONTH(Tableau1[[#This Row],[Date]])</f>
        <v>3</v>
      </c>
      <c r="E358" s="16">
        <f>YEAR(Tableau1[[#This Row],[Date]])</f>
        <v>2023</v>
      </c>
      <c r="F358" s="32"/>
      <c r="G358" s="32"/>
      <c r="H358" s="32"/>
      <c r="I358" s="32"/>
      <c r="J358" s="3"/>
      <c r="K358" s="18">
        <f>MOD(Tableau1[[#This Row],[Fin
apm]]-Tableau1[[#This Row],[Début
apm]],1)+MOD(Tableau1[[#This Row],[Fin
matin]]-Tableau1[[#This Row],[Début
matin]],1)</f>
        <v>0</v>
      </c>
      <c r="L358" s="18">
        <f>IFERROR(VLOOKUP(Tableau1[[#This Row],[Abs.]],Tmotif[],3,0),0)</f>
        <v>0</v>
      </c>
      <c r="M358" s="18">
        <f ca="1">IF(WEEKDAY(Tableau1[[#This Row],[Date]],2)&lt;7,0,MAX(0,SUM(OFFSET(Tableau1[[#This Row],[Heures]],-6,,7))+SUM(OFFSET(Tableau1[[#This Row],[H_Abs]],-6,,7))-_HS))</f>
        <v>0</v>
      </c>
      <c r="N358" s="18" t="str">
        <f ca="1">IF(Tableau1[[#This Row],[HS]]&gt;0,IF(Tableau1[[#This Row],[HS]]*24&gt;8,8/24,Tableau1[[#This Row],[HS]]),"")</f>
        <v/>
      </c>
      <c r="O358" s="18" t="str">
        <f ca="1">IF(Tableau1[[#This Row],[HS]]*24&gt;8,Tableau1[[#This Row],[HS]]-Tableau1[[#This Row],[Dont
HS 30%]],"")</f>
        <v/>
      </c>
      <c r="P358" s="18" t="e">
        <f ca="1">Tableau1[[#This Row],[Dont
HS 30%]]*1.3</f>
        <v>#VALUE!</v>
      </c>
      <c r="Q358" s="18" t="e">
        <f ca="1">Tableau1[[#This Row],[Dont 
HS 50%]]*1.5</f>
        <v>#VALUE!</v>
      </c>
    </row>
    <row r="359" spans="2:17" hidden="1" x14ac:dyDescent="0.25">
      <c r="B359" s="37">
        <f>_xlfn.ISOWEEKNUM(Tableau1[[#This Row],[Date]])</f>
        <v>12</v>
      </c>
      <c r="C359" s="14">
        <f>debut+ROW()-ROW(Tableau1[[#Headers],[Date]])-1</f>
        <v>45006</v>
      </c>
      <c r="D359" s="16">
        <f>MONTH(Tableau1[[#This Row],[Date]])</f>
        <v>3</v>
      </c>
      <c r="E359" s="16">
        <f>YEAR(Tableau1[[#This Row],[Date]])</f>
        <v>2023</v>
      </c>
      <c r="F359" s="32"/>
      <c r="G359" s="32"/>
      <c r="H359" s="32"/>
      <c r="I359" s="32"/>
      <c r="J359" s="3"/>
      <c r="K359" s="18">
        <f>MOD(Tableau1[[#This Row],[Fin
apm]]-Tableau1[[#This Row],[Début
apm]],1)+MOD(Tableau1[[#This Row],[Fin
matin]]-Tableau1[[#This Row],[Début
matin]],1)</f>
        <v>0</v>
      </c>
      <c r="L359" s="18">
        <f>IFERROR(VLOOKUP(Tableau1[[#This Row],[Abs.]],Tmotif[],3,0),0)</f>
        <v>0</v>
      </c>
      <c r="M359" s="18">
        <f ca="1">IF(WEEKDAY(Tableau1[[#This Row],[Date]],2)&lt;7,0,MAX(0,SUM(OFFSET(Tableau1[[#This Row],[Heures]],-6,,7))+SUM(OFFSET(Tableau1[[#This Row],[H_Abs]],-6,,7))-_HS))</f>
        <v>0</v>
      </c>
      <c r="N359" s="18" t="str">
        <f ca="1">IF(Tableau1[[#This Row],[HS]]&gt;0,IF(Tableau1[[#This Row],[HS]]*24&gt;8,8/24,Tableau1[[#This Row],[HS]]),"")</f>
        <v/>
      </c>
      <c r="O359" s="18" t="str">
        <f ca="1">IF(Tableau1[[#This Row],[HS]]*24&gt;8,Tableau1[[#This Row],[HS]]-Tableau1[[#This Row],[Dont
HS 30%]],"")</f>
        <v/>
      </c>
      <c r="P359" s="18" t="e">
        <f ca="1">Tableau1[[#This Row],[Dont
HS 30%]]*1.3</f>
        <v>#VALUE!</v>
      </c>
      <c r="Q359" s="18" t="e">
        <f ca="1">Tableau1[[#This Row],[Dont 
HS 50%]]*1.5</f>
        <v>#VALUE!</v>
      </c>
    </row>
    <row r="360" spans="2:17" hidden="1" x14ac:dyDescent="0.25">
      <c r="B360" s="37">
        <f>_xlfn.ISOWEEKNUM(Tableau1[[#This Row],[Date]])</f>
        <v>12</v>
      </c>
      <c r="C360" s="14">
        <f>debut+ROW()-ROW(Tableau1[[#Headers],[Date]])-1</f>
        <v>45007</v>
      </c>
      <c r="D360" s="16">
        <f>MONTH(Tableau1[[#This Row],[Date]])</f>
        <v>3</v>
      </c>
      <c r="E360" s="16">
        <f>YEAR(Tableau1[[#This Row],[Date]])</f>
        <v>2023</v>
      </c>
      <c r="F360" s="32"/>
      <c r="G360" s="32"/>
      <c r="H360" s="32"/>
      <c r="I360" s="32"/>
      <c r="J360" s="3"/>
      <c r="K360" s="18">
        <f>MOD(Tableau1[[#This Row],[Fin
apm]]-Tableau1[[#This Row],[Début
apm]],1)+MOD(Tableau1[[#This Row],[Fin
matin]]-Tableau1[[#This Row],[Début
matin]],1)</f>
        <v>0</v>
      </c>
      <c r="L360" s="18">
        <f>IFERROR(VLOOKUP(Tableau1[[#This Row],[Abs.]],Tmotif[],3,0),0)</f>
        <v>0</v>
      </c>
      <c r="M360" s="18">
        <f ca="1">IF(WEEKDAY(Tableau1[[#This Row],[Date]],2)&lt;7,0,MAX(0,SUM(OFFSET(Tableau1[[#This Row],[Heures]],-6,,7))+SUM(OFFSET(Tableau1[[#This Row],[H_Abs]],-6,,7))-_HS))</f>
        <v>0</v>
      </c>
      <c r="N360" s="18" t="str">
        <f ca="1">IF(Tableau1[[#This Row],[HS]]&gt;0,IF(Tableau1[[#This Row],[HS]]*24&gt;8,8/24,Tableau1[[#This Row],[HS]]),"")</f>
        <v/>
      </c>
      <c r="O360" s="18" t="str">
        <f ca="1">IF(Tableau1[[#This Row],[HS]]*24&gt;8,Tableau1[[#This Row],[HS]]-Tableau1[[#This Row],[Dont
HS 30%]],"")</f>
        <v/>
      </c>
      <c r="P360" s="18" t="e">
        <f ca="1">Tableau1[[#This Row],[Dont
HS 30%]]*1.3</f>
        <v>#VALUE!</v>
      </c>
      <c r="Q360" s="18" t="e">
        <f ca="1">Tableau1[[#This Row],[Dont 
HS 50%]]*1.5</f>
        <v>#VALUE!</v>
      </c>
    </row>
    <row r="361" spans="2:17" hidden="1" x14ac:dyDescent="0.25">
      <c r="B361" s="37">
        <f>_xlfn.ISOWEEKNUM(Tableau1[[#This Row],[Date]])</f>
        <v>12</v>
      </c>
      <c r="C361" s="14">
        <f>debut+ROW()-ROW(Tableau1[[#Headers],[Date]])-1</f>
        <v>45008</v>
      </c>
      <c r="D361" s="16">
        <f>MONTH(Tableau1[[#This Row],[Date]])</f>
        <v>3</v>
      </c>
      <c r="E361" s="16">
        <f>YEAR(Tableau1[[#This Row],[Date]])</f>
        <v>2023</v>
      </c>
      <c r="F361" s="32"/>
      <c r="G361" s="32"/>
      <c r="H361" s="32"/>
      <c r="I361" s="32"/>
      <c r="J361" s="3"/>
      <c r="K361" s="18">
        <f>MOD(Tableau1[[#This Row],[Fin
apm]]-Tableau1[[#This Row],[Début
apm]],1)+MOD(Tableau1[[#This Row],[Fin
matin]]-Tableau1[[#This Row],[Début
matin]],1)</f>
        <v>0</v>
      </c>
      <c r="L361" s="18">
        <f>IFERROR(VLOOKUP(Tableau1[[#This Row],[Abs.]],Tmotif[],3,0),0)</f>
        <v>0</v>
      </c>
      <c r="M361" s="18">
        <f ca="1">IF(WEEKDAY(Tableau1[[#This Row],[Date]],2)&lt;7,0,MAX(0,SUM(OFFSET(Tableau1[[#This Row],[Heures]],-6,,7))+SUM(OFFSET(Tableau1[[#This Row],[H_Abs]],-6,,7))-_HS))</f>
        <v>0</v>
      </c>
      <c r="N361" s="18" t="str">
        <f ca="1">IF(Tableau1[[#This Row],[HS]]&gt;0,IF(Tableau1[[#This Row],[HS]]*24&gt;8,8/24,Tableau1[[#This Row],[HS]]),"")</f>
        <v/>
      </c>
      <c r="O361" s="18" t="str">
        <f ca="1">IF(Tableau1[[#This Row],[HS]]*24&gt;8,Tableau1[[#This Row],[HS]]-Tableau1[[#This Row],[Dont
HS 30%]],"")</f>
        <v/>
      </c>
      <c r="P361" s="18" t="e">
        <f ca="1">Tableau1[[#This Row],[Dont
HS 30%]]*1.3</f>
        <v>#VALUE!</v>
      </c>
      <c r="Q361" s="18" t="e">
        <f ca="1">Tableau1[[#This Row],[Dont 
HS 50%]]*1.5</f>
        <v>#VALUE!</v>
      </c>
    </row>
    <row r="362" spans="2:17" hidden="1" x14ac:dyDescent="0.25">
      <c r="B362" s="37">
        <f>_xlfn.ISOWEEKNUM(Tableau1[[#This Row],[Date]])</f>
        <v>12</v>
      </c>
      <c r="C362" s="14">
        <f>debut+ROW()-ROW(Tableau1[[#Headers],[Date]])-1</f>
        <v>45009</v>
      </c>
      <c r="D362" s="16">
        <f>MONTH(Tableau1[[#This Row],[Date]])</f>
        <v>3</v>
      </c>
      <c r="E362" s="16">
        <f>YEAR(Tableau1[[#This Row],[Date]])</f>
        <v>2023</v>
      </c>
      <c r="F362" s="32"/>
      <c r="G362" s="32"/>
      <c r="H362" s="32"/>
      <c r="I362" s="32"/>
      <c r="J362" s="3"/>
      <c r="K362" s="18">
        <f>MOD(Tableau1[[#This Row],[Fin
apm]]-Tableau1[[#This Row],[Début
apm]],1)+MOD(Tableau1[[#This Row],[Fin
matin]]-Tableau1[[#This Row],[Début
matin]],1)</f>
        <v>0</v>
      </c>
      <c r="L362" s="18">
        <f>IFERROR(VLOOKUP(Tableau1[[#This Row],[Abs.]],Tmotif[],3,0),0)</f>
        <v>0</v>
      </c>
      <c r="M362" s="18">
        <f ca="1">IF(WEEKDAY(Tableau1[[#This Row],[Date]],2)&lt;7,0,MAX(0,SUM(OFFSET(Tableau1[[#This Row],[Heures]],-6,,7))+SUM(OFFSET(Tableau1[[#This Row],[H_Abs]],-6,,7))-_HS))</f>
        <v>0</v>
      </c>
      <c r="N362" s="18" t="str">
        <f ca="1">IF(Tableau1[[#This Row],[HS]]&gt;0,IF(Tableau1[[#This Row],[HS]]*24&gt;8,8/24,Tableau1[[#This Row],[HS]]),"")</f>
        <v/>
      </c>
      <c r="O362" s="18" t="str">
        <f ca="1">IF(Tableau1[[#This Row],[HS]]*24&gt;8,Tableau1[[#This Row],[HS]]-Tableau1[[#This Row],[Dont
HS 30%]],"")</f>
        <v/>
      </c>
      <c r="P362" s="18" t="e">
        <f ca="1">Tableau1[[#This Row],[Dont
HS 30%]]*1.3</f>
        <v>#VALUE!</v>
      </c>
      <c r="Q362" s="18" t="e">
        <f ca="1">Tableau1[[#This Row],[Dont 
HS 50%]]*1.5</f>
        <v>#VALUE!</v>
      </c>
    </row>
    <row r="363" spans="2:17" hidden="1" x14ac:dyDescent="0.25">
      <c r="B363" s="37">
        <f>_xlfn.ISOWEEKNUM(Tableau1[[#This Row],[Date]])</f>
        <v>12</v>
      </c>
      <c r="C363" s="14">
        <f>debut+ROW()-ROW(Tableau1[[#Headers],[Date]])-1</f>
        <v>45010</v>
      </c>
      <c r="D363" s="16">
        <f>MONTH(Tableau1[[#This Row],[Date]])</f>
        <v>3</v>
      </c>
      <c r="E363" s="16">
        <f>YEAR(Tableau1[[#This Row],[Date]])</f>
        <v>2023</v>
      </c>
      <c r="F363" s="32"/>
      <c r="G363" s="32"/>
      <c r="H363" s="32"/>
      <c r="I363" s="32"/>
      <c r="J363" s="3"/>
      <c r="K363" s="18">
        <f>MOD(Tableau1[[#This Row],[Fin
apm]]-Tableau1[[#This Row],[Début
apm]],1)+MOD(Tableau1[[#This Row],[Fin
matin]]-Tableau1[[#This Row],[Début
matin]],1)</f>
        <v>0</v>
      </c>
      <c r="L363" s="18">
        <f>IFERROR(VLOOKUP(Tableau1[[#This Row],[Abs.]],Tmotif[],3,0),0)</f>
        <v>0</v>
      </c>
      <c r="M363" s="18">
        <f ca="1">IF(WEEKDAY(Tableau1[[#This Row],[Date]],2)&lt;7,0,MAX(0,SUM(OFFSET(Tableau1[[#This Row],[Heures]],-6,,7))+SUM(OFFSET(Tableau1[[#This Row],[H_Abs]],-6,,7))-_HS))</f>
        <v>0</v>
      </c>
      <c r="N363" s="18" t="str">
        <f ca="1">IF(Tableau1[[#This Row],[HS]]&gt;0,IF(Tableau1[[#This Row],[HS]]*24&gt;8,8/24,Tableau1[[#This Row],[HS]]),"")</f>
        <v/>
      </c>
      <c r="O363" s="18" t="str">
        <f ca="1">IF(Tableau1[[#This Row],[HS]]*24&gt;8,Tableau1[[#This Row],[HS]]-Tableau1[[#This Row],[Dont
HS 30%]],"")</f>
        <v/>
      </c>
      <c r="P363" s="18" t="e">
        <f ca="1">Tableau1[[#This Row],[Dont
HS 30%]]*1.3</f>
        <v>#VALUE!</v>
      </c>
      <c r="Q363" s="18" t="e">
        <f ca="1">Tableau1[[#This Row],[Dont 
HS 50%]]*1.5</f>
        <v>#VALUE!</v>
      </c>
    </row>
    <row r="364" spans="2:17" hidden="1" x14ac:dyDescent="0.25">
      <c r="B364" s="37">
        <f>_xlfn.ISOWEEKNUM(Tableau1[[#This Row],[Date]])</f>
        <v>12</v>
      </c>
      <c r="C364" s="14">
        <f>debut+ROW()-ROW(Tableau1[[#Headers],[Date]])-1</f>
        <v>45011</v>
      </c>
      <c r="D364" s="16">
        <f>MONTH(Tableau1[[#This Row],[Date]])</f>
        <v>3</v>
      </c>
      <c r="E364" s="16">
        <f>YEAR(Tableau1[[#This Row],[Date]])</f>
        <v>2023</v>
      </c>
      <c r="F364" s="32"/>
      <c r="G364" s="32"/>
      <c r="H364" s="32"/>
      <c r="I364" s="32"/>
      <c r="J364" s="3"/>
      <c r="K364" s="18">
        <f>MOD(Tableau1[[#This Row],[Fin
apm]]-Tableau1[[#This Row],[Début
apm]],1)+MOD(Tableau1[[#This Row],[Fin
matin]]-Tableau1[[#This Row],[Début
matin]],1)</f>
        <v>0</v>
      </c>
      <c r="L364" s="18">
        <f>IFERROR(VLOOKUP(Tableau1[[#This Row],[Abs.]],Tmotif[],3,0),0)</f>
        <v>0</v>
      </c>
      <c r="M364" s="18">
        <f ca="1">IF(WEEKDAY(Tableau1[[#This Row],[Date]],2)&lt;7,0,MAX(0,SUM(OFFSET(Tableau1[[#This Row],[Heures]],-6,,7))+SUM(OFFSET(Tableau1[[#This Row],[H_Abs]],-6,,7))-_HS))</f>
        <v>0</v>
      </c>
      <c r="N364" s="18" t="str">
        <f ca="1">IF(Tableau1[[#This Row],[HS]]&gt;0,IF(Tableau1[[#This Row],[HS]]*24&gt;8,8/24,Tableau1[[#This Row],[HS]]),"")</f>
        <v/>
      </c>
      <c r="O364" s="18" t="str">
        <f ca="1">IF(Tableau1[[#This Row],[HS]]*24&gt;8,Tableau1[[#This Row],[HS]]-Tableau1[[#This Row],[Dont
HS 30%]],"")</f>
        <v/>
      </c>
      <c r="P364" s="18" t="e">
        <f ca="1">Tableau1[[#This Row],[Dont
HS 30%]]*1.3</f>
        <v>#VALUE!</v>
      </c>
      <c r="Q364" s="18" t="e">
        <f ca="1">Tableau1[[#This Row],[Dont 
HS 50%]]*1.5</f>
        <v>#VALUE!</v>
      </c>
    </row>
    <row r="365" spans="2:17" hidden="1" x14ac:dyDescent="0.25">
      <c r="B365" s="37">
        <f>_xlfn.ISOWEEKNUM(Tableau1[[#This Row],[Date]])</f>
        <v>13</v>
      </c>
      <c r="C365" s="14">
        <f>debut+ROW()-ROW(Tableau1[[#Headers],[Date]])-1</f>
        <v>45012</v>
      </c>
      <c r="D365" s="16">
        <f>MONTH(Tableau1[[#This Row],[Date]])</f>
        <v>3</v>
      </c>
      <c r="E365" s="16">
        <f>YEAR(Tableau1[[#This Row],[Date]])</f>
        <v>2023</v>
      </c>
      <c r="F365" s="32"/>
      <c r="G365" s="32"/>
      <c r="H365" s="32"/>
      <c r="I365" s="32"/>
      <c r="J365" s="3"/>
      <c r="K365" s="18">
        <f>MOD(Tableau1[[#This Row],[Fin
apm]]-Tableau1[[#This Row],[Début
apm]],1)+MOD(Tableau1[[#This Row],[Fin
matin]]-Tableau1[[#This Row],[Début
matin]],1)</f>
        <v>0</v>
      </c>
      <c r="L365" s="18">
        <f>IFERROR(VLOOKUP(Tableau1[[#This Row],[Abs.]],Tmotif[],3,0),0)</f>
        <v>0</v>
      </c>
      <c r="M365" s="18">
        <f ca="1">IF(WEEKDAY(Tableau1[[#This Row],[Date]],2)&lt;7,0,MAX(0,SUM(OFFSET(Tableau1[[#This Row],[Heures]],-6,,7))+SUM(OFFSET(Tableau1[[#This Row],[H_Abs]],-6,,7))-_HS))</f>
        <v>0</v>
      </c>
      <c r="N365" s="18" t="str">
        <f ca="1">IF(Tableau1[[#This Row],[HS]]&gt;0,IF(Tableau1[[#This Row],[HS]]*24&gt;8,8/24,Tableau1[[#This Row],[HS]]),"")</f>
        <v/>
      </c>
      <c r="O365" s="18" t="str">
        <f ca="1">IF(Tableau1[[#This Row],[HS]]*24&gt;8,Tableau1[[#This Row],[HS]]-Tableau1[[#This Row],[Dont
HS 30%]],"")</f>
        <v/>
      </c>
      <c r="P365" s="18" t="e">
        <f ca="1">Tableau1[[#This Row],[Dont
HS 30%]]*1.3</f>
        <v>#VALUE!</v>
      </c>
      <c r="Q365" s="18" t="e">
        <f ca="1">Tableau1[[#This Row],[Dont 
HS 50%]]*1.5</f>
        <v>#VALUE!</v>
      </c>
    </row>
    <row r="366" spans="2:17" hidden="1" x14ac:dyDescent="0.25">
      <c r="B366" s="37">
        <f>_xlfn.ISOWEEKNUM(Tableau1[[#This Row],[Date]])</f>
        <v>13</v>
      </c>
      <c r="C366" s="14">
        <f>debut+ROW()-ROW(Tableau1[[#Headers],[Date]])-1</f>
        <v>45013</v>
      </c>
      <c r="D366" s="16">
        <f>MONTH(Tableau1[[#This Row],[Date]])</f>
        <v>3</v>
      </c>
      <c r="E366" s="16">
        <f>YEAR(Tableau1[[#This Row],[Date]])</f>
        <v>2023</v>
      </c>
      <c r="F366" s="32"/>
      <c r="G366" s="32"/>
      <c r="H366" s="32"/>
      <c r="I366" s="32"/>
      <c r="J366" s="3"/>
      <c r="K366" s="18">
        <f>MOD(Tableau1[[#This Row],[Fin
apm]]-Tableau1[[#This Row],[Début
apm]],1)+MOD(Tableau1[[#This Row],[Fin
matin]]-Tableau1[[#This Row],[Début
matin]],1)</f>
        <v>0</v>
      </c>
      <c r="L366" s="18">
        <f>IFERROR(VLOOKUP(Tableau1[[#This Row],[Abs.]],Tmotif[],3,0),0)</f>
        <v>0</v>
      </c>
      <c r="M366" s="18">
        <f ca="1">IF(WEEKDAY(Tableau1[[#This Row],[Date]],2)&lt;7,0,MAX(0,SUM(OFFSET(Tableau1[[#This Row],[Heures]],-6,,7))+SUM(OFFSET(Tableau1[[#This Row],[H_Abs]],-6,,7))-_HS))</f>
        <v>0</v>
      </c>
      <c r="N366" s="18" t="str">
        <f ca="1">IF(Tableau1[[#This Row],[HS]]&gt;0,IF(Tableau1[[#This Row],[HS]]*24&gt;8,8/24,Tableau1[[#This Row],[HS]]),"")</f>
        <v/>
      </c>
      <c r="O366" s="18" t="str">
        <f ca="1">IF(Tableau1[[#This Row],[HS]]*24&gt;8,Tableau1[[#This Row],[HS]]-Tableau1[[#This Row],[Dont
HS 30%]],"")</f>
        <v/>
      </c>
      <c r="P366" s="18" t="e">
        <f ca="1">Tableau1[[#This Row],[Dont
HS 30%]]*1.3</f>
        <v>#VALUE!</v>
      </c>
      <c r="Q366" s="18" t="e">
        <f ca="1">Tableau1[[#This Row],[Dont 
HS 50%]]*1.5</f>
        <v>#VALUE!</v>
      </c>
    </row>
    <row r="367" spans="2:17" hidden="1" x14ac:dyDescent="0.25">
      <c r="B367" s="37">
        <f>_xlfn.ISOWEEKNUM(Tableau1[[#This Row],[Date]])</f>
        <v>13</v>
      </c>
      <c r="C367" s="14">
        <f>debut+ROW()-ROW(Tableau1[[#Headers],[Date]])-1</f>
        <v>45014</v>
      </c>
      <c r="D367" s="16">
        <f>MONTH(Tableau1[[#This Row],[Date]])</f>
        <v>3</v>
      </c>
      <c r="E367" s="16">
        <f>YEAR(Tableau1[[#This Row],[Date]])</f>
        <v>2023</v>
      </c>
      <c r="F367" s="32"/>
      <c r="G367" s="32"/>
      <c r="H367" s="32"/>
      <c r="I367" s="32"/>
      <c r="J367" s="3"/>
      <c r="K367" s="18">
        <f>MOD(Tableau1[[#This Row],[Fin
apm]]-Tableau1[[#This Row],[Début
apm]],1)+MOD(Tableau1[[#This Row],[Fin
matin]]-Tableau1[[#This Row],[Début
matin]],1)</f>
        <v>0</v>
      </c>
      <c r="L367" s="18">
        <f>IFERROR(VLOOKUP(Tableau1[[#This Row],[Abs.]],Tmotif[],3,0),0)</f>
        <v>0</v>
      </c>
      <c r="M367" s="18">
        <f ca="1">IF(WEEKDAY(Tableau1[[#This Row],[Date]],2)&lt;7,0,MAX(0,SUM(OFFSET(Tableau1[[#This Row],[Heures]],-6,,7))+SUM(OFFSET(Tableau1[[#This Row],[H_Abs]],-6,,7))-_HS))</f>
        <v>0</v>
      </c>
      <c r="N367" s="18" t="str">
        <f ca="1">IF(Tableau1[[#This Row],[HS]]&gt;0,IF(Tableau1[[#This Row],[HS]]*24&gt;8,8/24,Tableau1[[#This Row],[HS]]),"")</f>
        <v/>
      </c>
      <c r="O367" s="18" t="str">
        <f ca="1">IF(Tableau1[[#This Row],[HS]]*24&gt;8,Tableau1[[#This Row],[HS]]-Tableau1[[#This Row],[Dont
HS 30%]],"")</f>
        <v/>
      </c>
      <c r="P367" s="18" t="e">
        <f ca="1">Tableau1[[#This Row],[Dont
HS 30%]]*1.3</f>
        <v>#VALUE!</v>
      </c>
      <c r="Q367" s="18" t="e">
        <f ca="1">Tableau1[[#This Row],[Dont 
HS 50%]]*1.5</f>
        <v>#VALUE!</v>
      </c>
    </row>
    <row r="368" spans="2:17" hidden="1" x14ac:dyDescent="0.25">
      <c r="B368" s="37">
        <f>_xlfn.ISOWEEKNUM(Tableau1[[#This Row],[Date]])</f>
        <v>13</v>
      </c>
      <c r="C368" s="14">
        <f>debut+ROW()-ROW(Tableau1[[#Headers],[Date]])-1</f>
        <v>45015</v>
      </c>
      <c r="D368" s="16">
        <f>MONTH(Tableau1[[#This Row],[Date]])</f>
        <v>3</v>
      </c>
      <c r="E368" s="16">
        <f>YEAR(Tableau1[[#This Row],[Date]])</f>
        <v>2023</v>
      </c>
      <c r="F368" s="32"/>
      <c r="G368" s="32"/>
      <c r="H368" s="32"/>
      <c r="I368" s="32"/>
      <c r="J368" s="3"/>
      <c r="K368" s="18">
        <f>MOD(Tableau1[[#This Row],[Fin
apm]]-Tableau1[[#This Row],[Début
apm]],1)+MOD(Tableau1[[#This Row],[Fin
matin]]-Tableau1[[#This Row],[Début
matin]],1)</f>
        <v>0</v>
      </c>
      <c r="L368" s="18">
        <f>IFERROR(VLOOKUP(Tableau1[[#This Row],[Abs.]],Tmotif[],3,0),0)</f>
        <v>0</v>
      </c>
      <c r="M368" s="18">
        <f ca="1">IF(WEEKDAY(Tableau1[[#This Row],[Date]],2)&lt;7,0,MAX(0,SUM(OFFSET(Tableau1[[#This Row],[Heures]],-6,,7))+SUM(OFFSET(Tableau1[[#This Row],[H_Abs]],-6,,7))-_HS))</f>
        <v>0</v>
      </c>
      <c r="N368" s="18" t="str">
        <f ca="1">IF(Tableau1[[#This Row],[HS]]&gt;0,IF(Tableau1[[#This Row],[HS]]*24&gt;8,8/24,Tableau1[[#This Row],[HS]]),"")</f>
        <v/>
      </c>
      <c r="O368" s="18" t="str">
        <f ca="1">IF(Tableau1[[#This Row],[HS]]*24&gt;8,Tableau1[[#This Row],[HS]]-Tableau1[[#This Row],[Dont
HS 30%]],"")</f>
        <v/>
      </c>
      <c r="P368" s="18" t="e">
        <f ca="1">Tableau1[[#This Row],[Dont
HS 30%]]*1.3</f>
        <v>#VALUE!</v>
      </c>
      <c r="Q368" s="18" t="e">
        <f ca="1">Tableau1[[#This Row],[Dont 
HS 50%]]*1.5</f>
        <v>#VALUE!</v>
      </c>
    </row>
    <row r="369" spans="2:17" hidden="1" x14ac:dyDescent="0.25">
      <c r="B369" s="37">
        <f>_xlfn.ISOWEEKNUM(Tableau1[[#This Row],[Date]])</f>
        <v>13</v>
      </c>
      <c r="C369" s="14">
        <f>debut+ROW()-ROW(Tableau1[[#Headers],[Date]])-1</f>
        <v>45016</v>
      </c>
      <c r="D369" s="16">
        <f>MONTH(Tableau1[[#This Row],[Date]])</f>
        <v>3</v>
      </c>
      <c r="E369" s="16">
        <f>YEAR(Tableau1[[#This Row],[Date]])</f>
        <v>2023</v>
      </c>
      <c r="F369" s="32"/>
      <c r="G369" s="32"/>
      <c r="H369" s="32"/>
      <c r="I369" s="32"/>
      <c r="J369" s="3"/>
      <c r="K369" s="18">
        <f>MOD(Tableau1[[#This Row],[Fin
apm]]-Tableau1[[#This Row],[Début
apm]],1)+MOD(Tableau1[[#This Row],[Fin
matin]]-Tableau1[[#This Row],[Début
matin]],1)</f>
        <v>0</v>
      </c>
      <c r="L369" s="18">
        <f>IFERROR(VLOOKUP(Tableau1[[#This Row],[Abs.]],Tmotif[],3,0),0)</f>
        <v>0</v>
      </c>
      <c r="M369" s="18">
        <f ca="1">IF(WEEKDAY(Tableau1[[#This Row],[Date]],2)&lt;7,0,MAX(0,SUM(OFFSET(Tableau1[[#This Row],[Heures]],-6,,7))+SUM(OFFSET(Tableau1[[#This Row],[H_Abs]],-6,,7))-_HS))</f>
        <v>0</v>
      </c>
      <c r="N369" s="18" t="str">
        <f ca="1">IF(Tableau1[[#This Row],[HS]]&gt;0,IF(Tableau1[[#This Row],[HS]]*24&gt;8,8/24,Tableau1[[#This Row],[HS]]),"")</f>
        <v/>
      </c>
      <c r="O369" s="18" t="str">
        <f ca="1">IF(Tableau1[[#This Row],[HS]]*24&gt;8,Tableau1[[#This Row],[HS]]-Tableau1[[#This Row],[Dont
HS 30%]],"")</f>
        <v/>
      </c>
      <c r="P369" s="18" t="e">
        <f ca="1">Tableau1[[#This Row],[Dont
HS 30%]]*1.3</f>
        <v>#VALUE!</v>
      </c>
      <c r="Q369" s="18" t="e">
        <f ca="1">Tableau1[[#This Row],[Dont 
HS 50%]]*1.5</f>
        <v>#VALUE!</v>
      </c>
    </row>
    <row r="370" spans="2:17" hidden="1" x14ac:dyDescent="0.25">
      <c r="B370" s="37">
        <f>_xlfn.ISOWEEKNUM(Tableau1[[#This Row],[Date]])</f>
        <v>13</v>
      </c>
      <c r="C370" s="14">
        <f>debut+ROW()-ROW(Tableau1[[#Headers],[Date]])-1</f>
        <v>45017</v>
      </c>
      <c r="D370" s="16">
        <f>MONTH(Tableau1[[#This Row],[Date]])</f>
        <v>4</v>
      </c>
      <c r="E370" s="16">
        <f>YEAR(Tableau1[[#This Row],[Date]])</f>
        <v>2023</v>
      </c>
      <c r="F370" s="32"/>
      <c r="G370" s="32"/>
      <c r="H370" s="32"/>
      <c r="I370" s="32"/>
      <c r="J370" s="3"/>
      <c r="K370" s="18">
        <f>MOD(Tableau1[[#This Row],[Fin
apm]]-Tableau1[[#This Row],[Début
apm]],1)+MOD(Tableau1[[#This Row],[Fin
matin]]-Tableau1[[#This Row],[Début
matin]],1)</f>
        <v>0</v>
      </c>
      <c r="L370" s="18">
        <f>IFERROR(VLOOKUP(Tableau1[[#This Row],[Abs.]],Tmotif[],3,0),0)</f>
        <v>0</v>
      </c>
      <c r="M370" s="18">
        <f ca="1">IF(WEEKDAY(Tableau1[[#This Row],[Date]],2)&lt;7,0,MAX(0,SUM(OFFSET(Tableau1[[#This Row],[Heures]],-6,,7))+SUM(OFFSET(Tableau1[[#This Row],[H_Abs]],-6,,7))-_HS))</f>
        <v>0</v>
      </c>
      <c r="N370" s="18" t="str">
        <f ca="1">IF(Tableau1[[#This Row],[HS]]&gt;0,IF(Tableau1[[#This Row],[HS]]*24&gt;8,8/24,Tableau1[[#This Row],[HS]]),"")</f>
        <v/>
      </c>
      <c r="O370" s="18" t="str">
        <f ca="1">IF(Tableau1[[#This Row],[HS]]*24&gt;8,Tableau1[[#This Row],[HS]]-Tableau1[[#This Row],[Dont
HS 30%]],"")</f>
        <v/>
      </c>
      <c r="P370" s="18" t="e">
        <f ca="1">Tableau1[[#This Row],[Dont
HS 30%]]*1.3</f>
        <v>#VALUE!</v>
      </c>
      <c r="Q370" s="18" t="e">
        <f ca="1">Tableau1[[#This Row],[Dont 
HS 50%]]*1.5</f>
        <v>#VALUE!</v>
      </c>
    </row>
    <row r="371" spans="2:17" hidden="1" x14ac:dyDescent="0.25">
      <c r="B371" s="37">
        <f>_xlfn.ISOWEEKNUM(Tableau1[[#This Row],[Date]])</f>
        <v>13</v>
      </c>
      <c r="C371" s="14">
        <f>debut+ROW()-ROW(Tableau1[[#Headers],[Date]])-1</f>
        <v>45018</v>
      </c>
      <c r="D371" s="16">
        <f>MONTH(Tableau1[[#This Row],[Date]])</f>
        <v>4</v>
      </c>
      <c r="E371" s="16">
        <f>YEAR(Tableau1[[#This Row],[Date]])</f>
        <v>2023</v>
      </c>
      <c r="F371" s="32"/>
      <c r="G371" s="32"/>
      <c r="H371" s="32"/>
      <c r="I371" s="32"/>
      <c r="J371" s="3"/>
      <c r="K371" s="18">
        <f>MOD(Tableau1[[#This Row],[Fin
apm]]-Tableau1[[#This Row],[Début
apm]],1)+MOD(Tableau1[[#This Row],[Fin
matin]]-Tableau1[[#This Row],[Début
matin]],1)</f>
        <v>0</v>
      </c>
      <c r="L371" s="18">
        <f>IFERROR(VLOOKUP(Tableau1[[#This Row],[Abs.]],Tmotif[],3,0),0)</f>
        <v>0</v>
      </c>
      <c r="M371" s="18">
        <f ca="1">IF(WEEKDAY(Tableau1[[#This Row],[Date]],2)&lt;7,0,MAX(0,SUM(OFFSET(Tableau1[[#This Row],[Heures]],-6,,7))+SUM(OFFSET(Tableau1[[#This Row],[H_Abs]],-6,,7))-_HS))</f>
        <v>0</v>
      </c>
      <c r="N371" s="18" t="str">
        <f ca="1">IF(Tableau1[[#This Row],[HS]]&gt;0,IF(Tableau1[[#This Row],[HS]]*24&gt;8,8/24,Tableau1[[#This Row],[HS]]),"")</f>
        <v/>
      </c>
      <c r="O371" s="18" t="str">
        <f ca="1">IF(Tableau1[[#This Row],[HS]]*24&gt;8,Tableau1[[#This Row],[HS]]-Tableau1[[#This Row],[Dont
HS 30%]],"")</f>
        <v/>
      </c>
      <c r="P371" s="18" t="e">
        <f ca="1">Tableau1[[#This Row],[Dont
HS 30%]]*1.3</f>
        <v>#VALUE!</v>
      </c>
      <c r="Q371" s="18" t="e">
        <f ca="1">Tableau1[[#This Row],[Dont 
HS 50%]]*1.5</f>
        <v>#VALUE!</v>
      </c>
    </row>
    <row r="372" spans="2:17" hidden="1" x14ac:dyDescent="0.25">
      <c r="B372" s="37">
        <f>_xlfn.ISOWEEKNUM(Tableau1[[#This Row],[Date]])</f>
        <v>14</v>
      </c>
      <c r="C372" s="14">
        <f>debut+ROW()-ROW(Tableau1[[#Headers],[Date]])-1</f>
        <v>45019</v>
      </c>
      <c r="D372" s="16">
        <f>MONTH(Tableau1[[#This Row],[Date]])</f>
        <v>4</v>
      </c>
      <c r="E372" s="16">
        <f>YEAR(Tableau1[[#This Row],[Date]])</f>
        <v>2023</v>
      </c>
      <c r="F372" s="32"/>
      <c r="G372" s="32"/>
      <c r="H372" s="32"/>
      <c r="I372" s="32"/>
      <c r="J372" s="3"/>
      <c r="K372" s="18">
        <f>MOD(Tableau1[[#This Row],[Fin
apm]]-Tableau1[[#This Row],[Début
apm]],1)+MOD(Tableau1[[#This Row],[Fin
matin]]-Tableau1[[#This Row],[Début
matin]],1)</f>
        <v>0</v>
      </c>
      <c r="L372" s="18">
        <f>IFERROR(VLOOKUP(Tableau1[[#This Row],[Abs.]],Tmotif[],3,0),0)</f>
        <v>0</v>
      </c>
      <c r="M372" s="18">
        <f ca="1">IF(WEEKDAY(Tableau1[[#This Row],[Date]],2)&lt;7,0,MAX(0,SUM(OFFSET(Tableau1[[#This Row],[Heures]],-6,,7))+SUM(OFFSET(Tableau1[[#This Row],[H_Abs]],-6,,7))-_HS))</f>
        <v>0</v>
      </c>
      <c r="N372" s="18" t="str">
        <f ca="1">IF(Tableau1[[#This Row],[HS]]&gt;0,IF(Tableau1[[#This Row],[HS]]*24&gt;8,8/24,Tableau1[[#This Row],[HS]]),"")</f>
        <v/>
      </c>
      <c r="O372" s="18" t="str">
        <f ca="1">IF(Tableau1[[#This Row],[HS]]*24&gt;8,Tableau1[[#This Row],[HS]]-Tableau1[[#This Row],[Dont
HS 30%]],"")</f>
        <v/>
      </c>
      <c r="P372" s="18" t="e">
        <f ca="1">Tableau1[[#This Row],[Dont
HS 30%]]*1.3</f>
        <v>#VALUE!</v>
      </c>
      <c r="Q372" s="18" t="e">
        <f ca="1">Tableau1[[#This Row],[Dont 
HS 50%]]*1.5</f>
        <v>#VALUE!</v>
      </c>
    </row>
    <row r="373" spans="2:17" hidden="1" x14ac:dyDescent="0.25">
      <c r="B373" s="37">
        <f>_xlfn.ISOWEEKNUM(Tableau1[[#This Row],[Date]])</f>
        <v>14</v>
      </c>
      <c r="C373" s="14">
        <f>debut+ROW()-ROW(Tableau1[[#Headers],[Date]])-1</f>
        <v>45020</v>
      </c>
      <c r="D373" s="16">
        <f>MONTH(Tableau1[[#This Row],[Date]])</f>
        <v>4</v>
      </c>
      <c r="E373" s="16">
        <f>YEAR(Tableau1[[#This Row],[Date]])</f>
        <v>2023</v>
      </c>
      <c r="F373" s="32"/>
      <c r="G373" s="32"/>
      <c r="H373" s="32"/>
      <c r="I373" s="32"/>
      <c r="J373" s="3"/>
      <c r="K373" s="18">
        <f>MOD(Tableau1[[#This Row],[Fin
apm]]-Tableau1[[#This Row],[Début
apm]],1)+MOD(Tableau1[[#This Row],[Fin
matin]]-Tableau1[[#This Row],[Début
matin]],1)</f>
        <v>0</v>
      </c>
      <c r="L373" s="18">
        <f>IFERROR(VLOOKUP(Tableau1[[#This Row],[Abs.]],Tmotif[],3,0),0)</f>
        <v>0</v>
      </c>
      <c r="M373" s="18">
        <f ca="1">IF(WEEKDAY(Tableau1[[#This Row],[Date]],2)&lt;7,0,MAX(0,SUM(OFFSET(Tableau1[[#This Row],[Heures]],-6,,7))+SUM(OFFSET(Tableau1[[#This Row],[H_Abs]],-6,,7))-_HS))</f>
        <v>0</v>
      </c>
      <c r="N373" s="18" t="str">
        <f ca="1">IF(Tableau1[[#This Row],[HS]]&gt;0,IF(Tableau1[[#This Row],[HS]]*24&gt;8,8/24,Tableau1[[#This Row],[HS]]),"")</f>
        <v/>
      </c>
      <c r="O373" s="18" t="str">
        <f ca="1">IF(Tableau1[[#This Row],[HS]]*24&gt;8,Tableau1[[#This Row],[HS]]-Tableau1[[#This Row],[Dont
HS 30%]],"")</f>
        <v/>
      </c>
      <c r="P373" s="18" t="e">
        <f ca="1">Tableau1[[#This Row],[Dont
HS 30%]]*1.3</f>
        <v>#VALUE!</v>
      </c>
      <c r="Q373" s="18" t="e">
        <f ca="1">Tableau1[[#This Row],[Dont 
HS 50%]]*1.5</f>
        <v>#VALUE!</v>
      </c>
    </row>
    <row r="374" spans="2:17" hidden="1" x14ac:dyDescent="0.25">
      <c r="B374" s="37">
        <f>_xlfn.ISOWEEKNUM(Tableau1[[#This Row],[Date]])</f>
        <v>14</v>
      </c>
      <c r="C374" s="14">
        <f>debut+ROW()-ROW(Tableau1[[#Headers],[Date]])-1</f>
        <v>45021</v>
      </c>
      <c r="D374" s="16">
        <f>MONTH(Tableau1[[#This Row],[Date]])</f>
        <v>4</v>
      </c>
      <c r="E374" s="16">
        <f>YEAR(Tableau1[[#This Row],[Date]])</f>
        <v>2023</v>
      </c>
      <c r="F374" s="32"/>
      <c r="G374" s="32"/>
      <c r="H374" s="32"/>
      <c r="I374" s="32"/>
      <c r="J374" s="3"/>
      <c r="K374" s="18">
        <f>MOD(Tableau1[[#This Row],[Fin
apm]]-Tableau1[[#This Row],[Début
apm]],1)+MOD(Tableau1[[#This Row],[Fin
matin]]-Tableau1[[#This Row],[Début
matin]],1)</f>
        <v>0</v>
      </c>
      <c r="L374" s="18">
        <f>IFERROR(VLOOKUP(Tableau1[[#This Row],[Abs.]],Tmotif[],3,0),0)</f>
        <v>0</v>
      </c>
      <c r="M374" s="18">
        <f ca="1">IF(WEEKDAY(Tableau1[[#This Row],[Date]],2)&lt;7,0,MAX(0,SUM(OFFSET(Tableau1[[#This Row],[Heures]],-6,,7))+SUM(OFFSET(Tableau1[[#This Row],[H_Abs]],-6,,7))-_HS))</f>
        <v>0</v>
      </c>
      <c r="N374" s="18" t="str">
        <f ca="1">IF(Tableau1[[#This Row],[HS]]&gt;0,IF(Tableau1[[#This Row],[HS]]*24&gt;8,8/24,Tableau1[[#This Row],[HS]]),"")</f>
        <v/>
      </c>
      <c r="O374" s="18" t="str">
        <f ca="1">IF(Tableau1[[#This Row],[HS]]*24&gt;8,Tableau1[[#This Row],[HS]]-Tableau1[[#This Row],[Dont
HS 30%]],"")</f>
        <v/>
      </c>
      <c r="P374" s="18" t="e">
        <f ca="1">Tableau1[[#This Row],[Dont
HS 30%]]*1.3</f>
        <v>#VALUE!</v>
      </c>
      <c r="Q374" s="18" t="e">
        <f ca="1">Tableau1[[#This Row],[Dont 
HS 50%]]*1.5</f>
        <v>#VALUE!</v>
      </c>
    </row>
    <row r="375" spans="2:17" hidden="1" x14ac:dyDescent="0.25">
      <c r="B375" s="37">
        <f>_xlfn.ISOWEEKNUM(Tableau1[[#This Row],[Date]])</f>
        <v>14</v>
      </c>
      <c r="C375" s="14">
        <f>debut+ROW()-ROW(Tableau1[[#Headers],[Date]])-1</f>
        <v>45022</v>
      </c>
      <c r="D375" s="16">
        <f>MONTH(Tableau1[[#This Row],[Date]])</f>
        <v>4</v>
      </c>
      <c r="E375" s="16">
        <f>YEAR(Tableau1[[#This Row],[Date]])</f>
        <v>2023</v>
      </c>
      <c r="F375" s="32"/>
      <c r="G375" s="32"/>
      <c r="H375" s="32"/>
      <c r="I375" s="32"/>
      <c r="J375" s="3"/>
      <c r="K375" s="18">
        <f>MOD(Tableau1[[#This Row],[Fin
apm]]-Tableau1[[#This Row],[Début
apm]],1)+MOD(Tableau1[[#This Row],[Fin
matin]]-Tableau1[[#This Row],[Début
matin]],1)</f>
        <v>0</v>
      </c>
      <c r="L375" s="18">
        <f>IFERROR(VLOOKUP(Tableau1[[#This Row],[Abs.]],Tmotif[],3,0),0)</f>
        <v>0</v>
      </c>
      <c r="M375" s="18">
        <f ca="1">IF(WEEKDAY(Tableau1[[#This Row],[Date]],2)&lt;7,0,MAX(0,SUM(OFFSET(Tableau1[[#This Row],[Heures]],-6,,7))+SUM(OFFSET(Tableau1[[#This Row],[H_Abs]],-6,,7))-_HS))</f>
        <v>0</v>
      </c>
      <c r="N375" s="18" t="str">
        <f ca="1">IF(Tableau1[[#This Row],[HS]]&gt;0,IF(Tableau1[[#This Row],[HS]]*24&gt;8,8/24,Tableau1[[#This Row],[HS]]),"")</f>
        <v/>
      </c>
      <c r="O375" s="18" t="str">
        <f ca="1">IF(Tableau1[[#This Row],[HS]]*24&gt;8,Tableau1[[#This Row],[HS]]-Tableau1[[#This Row],[Dont
HS 30%]],"")</f>
        <v/>
      </c>
      <c r="P375" s="18" t="e">
        <f ca="1">Tableau1[[#This Row],[Dont
HS 30%]]*1.3</f>
        <v>#VALUE!</v>
      </c>
      <c r="Q375" s="18" t="e">
        <f ca="1">Tableau1[[#This Row],[Dont 
HS 50%]]*1.5</f>
        <v>#VALUE!</v>
      </c>
    </row>
    <row r="376" spans="2:17" hidden="1" x14ac:dyDescent="0.25">
      <c r="B376" s="37">
        <f>_xlfn.ISOWEEKNUM(Tableau1[[#This Row],[Date]])</f>
        <v>14</v>
      </c>
      <c r="C376" s="14">
        <f>debut+ROW()-ROW(Tableau1[[#Headers],[Date]])-1</f>
        <v>45023</v>
      </c>
      <c r="D376" s="16">
        <f>MONTH(Tableau1[[#This Row],[Date]])</f>
        <v>4</v>
      </c>
      <c r="E376" s="16">
        <f>YEAR(Tableau1[[#This Row],[Date]])</f>
        <v>2023</v>
      </c>
      <c r="F376" s="32"/>
      <c r="G376" s="32"/>
      <c r="H376" s="32"/>
      <c r="I376" s="32"/>
      <c r="J376" s="3"/>
      <c r="K376" s="18">
        <f>MOD(Tableau1[[#This Row],[Fin
apm]]-Tableau1[[#This Row],[Début
apm]],1)+MOD(Tableau1[[#This Row],[Fin
matin]]-Tableau1[[#This Row],[Début
matin]],1)</f>
        <v>0</v>
      </c>
      <c r="L376" s="18">
        <f>IFERROR(VLOOKUP(Tableau1[[#This Row],[Abs.]],Tmotif[],3,0),0)</f>
        <v>0</v>
      </c>
      <c r="M376" s="18">
        <f ca="1">IF(WEEKDAY(Tableau1[[#This Row],[Date]],2)&lt;7,0,MAX(0,SUM(OFFSET(Tableau1[[#This Row],[Heures]],-6,,7))+SUM(OFFSET(Tableau1[[#This Row],[H_Abs]],-6,,7))-_HS))</f>
        <v>0</v>
      </c>
      <c r="N376" s="18" t="str">
        <f ca="1">IF(Tableau1[[#This Row],[HS]]&gt;0,IF(Tableau1[[#This Row],[HS]]*24&gt;8,8/24,Tableau1[[#This Row],[HS]]),"")</f>
        <v/>
      </c>
      <c r="O376" s="18" t="str">
        <f ca="1">IF(Tableau1[[#This Row],[HS]]*24&gt;8,Tableau1[[#This Row],[HS]]-Tableau1[[#This Row],[Dont
HS 30%]],"")</f>
        <v/>
      </c>
      <c r="P376" s="18" t="e">
        <f ca="1">Tableau1[[#This Row],[Dont
HS 30%]]*1.3</f>
        <v>#VALUE!</v>
      </c>
      <c r="Q376" s="18" t="e">
        <f ca="1">Tableau1[[#This Row],[Dont 
HS 50%]]*1.5</f>
        <v>#VALUE!</v>
      </c>
    </row>
    <row r="377" spans="2:17" hidden="1" x14ac:dyDescent="0.25">
      <c r="B377" s="37">
        <f>_xlfn.ISOWEEKNUM(Tableau1[[#This Row],[Date]])</f>
        <v>14</v>
      </c>
      <c r="C377" s="14">
        <f>debut+ROW()-ROW(Tableau1[[#Headers],[Date]])-1</f>
        <v>45024</v>
      </c>
      <c r="D377" s="16">
        <f>MONTH(Tableau1[[#This Row],[Date]])</f>
        <v>4</v>
      </c>
      <c r="E377" s="16">
        <f>YEAR(Tableau1[[#This Row],[Date]])</f>
        <v>2023</v>
      </c>
      <c r="F377" s="32"/>
      <c r="G377" s="32"/>
      <c r="H377" s="32"/>
      <c r="I377" s="32"/>
      <c r="J377" s="3"/>
      <c r="K377" s="18">
        <f>MOD(Tableau1[[#This Row],[Fin
apm]]-Tableau1[[#This Row],[Début
apm]],1)+MOD(Tableau1[[#This Row],[Fin
matin]]-Tableau1[[#This Row],[Début
matin]],1)</f>
        <v>0</v>
      </c>
      <c r="L377" s="18">
        <f>IFERROR(VLOOKUP(Tableau1[[#This Row],[Abs.]],Tmotif[],3,0),0)</f>
        <v>0</v>
      </c>
      <c r="M377" s="18">
        <f ca="1">IF(WEEKDAY(Tableau1[[#This Row],[Date]],2)&lt;7,0,MAX(0,SUM(OFFSET(Tableau1[[#This Row],[Heures]],-6,,7))+SUM(OFFSET(Tableau1[[#This Row],[H_Abs]],-6,,7))-_HS))</f>
        <v>0</v>
      </c>
      <c r="N377" s="18" t="str">
        <f ca="1">IF(Tableau1[[#This Row],[HS]]&gt;0,IF(Tableau1[[#This Row],[HS]]*24&gt;8,8/24,Tableau1[[#This Row],[HS]]),"")</f>
        <v/>
      </c>
      <c r="O377" s="18" t="str">
        <f ca="1">IF(Tableau1[[#This Row],[HS]]*24&gt;8,Tableau1[[#This Row],[HS]]-Tableau1[[#This Row],[Dont
HS 30%]],"")</f>
        <v/>
      </c>
      <c r="P377" s="18" t="e">
        <f ca="1">Tableau1[[#This Row],[Dont
HS 30%]]*1.3</f>
        <v>#VALUE!</v>
      </c>
      <c r="Q377" s="18" t="e">
        <f ca="1">Tableau1[[#This Row],[Dont 
HS 50%]]*1.5</f>
        <v>#VALUE!</v>
      </c>
    </row>
    <row r="378" spans="2:17" hidden="1" x14ac:dyDescent="0.25">
      <c r="B378" s="37">
        <f>_xlfn.ISOWEEKNUM(Tableau1[[#This Row],[Date]])</f>
        <v>14</v>
      </c>
      <c r="C378" s="14">
        <f>debut+ROW()-ROW(Tableau1[[#Headers],[Date]])-1</f>
        <v>45025</v>
      </c>
      <c r="D378" s="16">
        <f>MONTH(Tableau1[[#This Row],[Date]])</f>
        <v>4</v>
      </c>
      <c r="E378" s="16">
        <f>YEAR(Tableau1[[#This Row],[Date]])</f>
        <v>2023</v>
      </c>
      <c r="F378" s="32"/>
      <c r="G378" s="32"/>
      <c r="H378" s="32"/>
      <c r="I378" s="32"/>
      <c r="J378" s="3"/>
      <c r="K378" s="18">
        <f>MOD(Tableau1[[#This Row],[Fin
apm]]-Tableau1[[#This Row],[Début
apm]],1)+MOD(Tableau1[[#This Row],[Fin
matin]]-Tableau1[[#This Row],[Début
matin]],1)</f>
        <v>0</v>
      </c>
      <c r="L378" s="18">
        <f>IFERROR(VLOOKUP(Tableau1[[#This Row],[Abs.]],Tmotif[],3,0),0)</f>
        <v>0</v>
      </c>
      <c r="M378" s="18">
        <f ca="1">IF(WEEKDAY(Tableau1[[#This Row],[Date]],2)&lt;7,0,MAX(0,SUM(OFFSET(Tableau1[[#This Row],[Heures]],-6,,7))+SUM(OFFSET(Tableau1[[#This Row],[H_Abs]],-6,,7))-_HS))</f>
        <v>0</v>
      </c>
      <c r="N378" s="18" t="str">
        <f ca="1">IF(Tableau1[[#This Row],[HS]]&gt;0,IF(Tableau1[[#This Row],[HS]]*24&gt;8,8/24,Tableau1[[#This Row],[HS]]),"")</f>
        <v/>
      </c>
      <c r="O378" s="18" t="str">
        <f ca="1">IF(Tableau1[[#This Row],[HS]]*24&gt;8,Tableau1[[#This Row],[HS]]-Tableau1[[#This Row],[Dont
HS 30%]],"")</f>
        <v/>
      </c>
      <c r="P378" s="18" t="e">
        <f ca="1">Tableau1[[#This Row],[Dont
HS 30%]]*1.3</f>
        <v>#VALUE!</v>
      </c>
      <c r="Q378" s="18" t="e">
        <f ca="1">Tableau1[[#This Row],[Dont 
HS 50%]]*1.5</f>
        <v>#VALUE!</v>
      </c>
    </row>
    <row r="379" spans="2:17" hidden="1" x14ac:dyDescent="0.25">
      <c r="B379" s="37">
        <f>_xlfn.ISOWEEKNUM(Tableau1[[#This Row],[Date]])</f>
        <v>15</v>
      </c>
      <c r="C379" s="14">
        <f>debut+ROW()-ROW(Tableau1[[#Headers],[Date]])-1</f>
        <v>45026</v>
      </c>
      <c r="D379" s="16">
        <f>MONTH(Tableau1[[#This Row],[Date]])</f>
        <v>4</v>
      </c>
      <c r="E379" s="16">
        <f>YEAR(Tableau1[[#This Row],[Date]])</f>
        <v>2023</v>
      </c>
      <c r="F379" s="32"/>
      <c r="G379" s="32"/>
      <c r="H379" s="32"/>
      <c r="I379" s="32"/>
      <c r="J379" s="3"/>
      <c r="K379" s="18">
        <f>MOD(Tableau1[[#This Row],[Fin
apm]]-Tableau1[[#This Row],[Début
apm]],1)+MOD(Tableau1[[#This Row],[Fin
matin]]-Tableau1[[#This Row],[Début
matin]],1)</f>
        <v>0</v>
      </c>
      <c r="L379" s="18">
        <f>IFERROR(VLOOKUP(Tableau1[[#This Row],[Abs.]],Tmotif[],3,0),0)</f>
        <v>0</v>
      </c>
      <c r="M379" s="18">
        <f ca="1">IF(WEEKDAY(Tableau1[[#This Row],[Date]],2)&lt;7,0,MAX(0,SUM(OFFSET(Tableau1[[#This Row],[Heures]],-6,,7))+SUM(OFFSET(Tableau1[[#This Row],[H_Abs]],-6,,7))-_HS))</f>
        <v>0</v>
      </c>
      <c r="N379" s="18" t="str">
        <f ca="1">IF(Tableau1[[#This Row],[HS]]&gt;0,IF(Tableau1[[#This Row],[HS]]*24&gt;8,8/24,Tableau1[[#This Row],[HS]]),"")</f>
        <v/>
      </c>
      <c r="O379" s="18" t="str">
        <f ca="1">IF(Tableau1[[#This Row],[HS]]*24&gt;8,Tableau1[[#This Row],[HS]]-Tableau1[[#This Row],[Dont
HS 30%]],"")</f>
        <v/>
      </c>
      <c r="P379" s="18" t="e">
        <f ca="1">Tableau1[[#This Row],[Dont
HS 30%]]*1.3</f>
        <v>#VALUE!</v>
      </c>
      <c r="Q379" s="18" t="e">
        <f ca="1">Tableau1[[#This Row],[Dont 
HS 50%]]*1.5</f>
        <v>#VALUE!</v>
      </c>
    </row>
    <row r="380" spans="2:17" hidden="1" x14ac:dyDescent="0.25">
      <c r="B380" s="37">
        <f>_xlfn.ISOWEEKNUM(Tableau1[[#This Row],[Date]])</f>
        <v>15</v>
      </c>
      <c r="C380" s="14">
        <f>debut+ROW()-ROW(Tableau1[[#Headers],[Date]])-1</f>
        <v>45027</v>
      </c>
      <c r="D380" s="16">
        <f>MONTH(Tableau1[[#This Row],[Date]])</f>
        <v>4</v>
      </c>
      <c r="E380" s="16">
        <f>YEAR(Tableau1[[#This Row],[Date]])</f>
        <v>2023</v>
      </c>
      <c r="F380" s="32"/>
      <c r="G380" s="32"/>
      <c r="H380" s="32"/>
      <c r="I380" s="32"/>
      <c r="J380" s="3"/>
      <c r="K380" s="18">
        <f>MOD(Tableau1[[#This Row],[Fin
apm]]-Tableau1[[#This Row],[Début
apm]],1)+MOD(Tableau1[[#This Row],[Fin
matin]]-Tableau1[[#This Row],[Début
matin]],1)</f>
        <v>0</v>
      </c>
      <c r="L380" s="18">
        <f>IFERROR(VLOOKUP(Tableau1[[#This Row],[Abs.]],Tmotif[],3,0),0)</f>
        <v>0</v>
      </c>
      <c r="M380" s="18">
        <f ca="1">IF(WEEKDAY(Tableau1[[#This Row],[Date]],2)&lt;7,0,MAX(0,SUM(OFFSET(Tableau1[[#This Row],[Heures]],-6,,7))+SUM(OFFSET(Tableau1[[#This Row],[H_Abs]],-6,,7))-_HS))</f>
        <v>0</v>
      </c>
      <c r="N380" s="18" t="str">
        <f ca="1">IF(Tableau1[[#This Row],[HS]]&gt;0,IF(Tableau1[[#This Row],[HS]]*24&gt;8,8/24,Tableau1[[#This Row],[HS]]),"")</f>
        <v/>
      </c>
      <c r="O380" s="18" t="str">
        <f ca="1">IF(Tableau1[[#This Row],[HS]]*24&gt;8,Tableau1[[#This Row],[HS]]-Tableau1[[#This Row],[Dont
HS 30%]],"")</f>
        <v/>
      </c>
      <c r="P380" s="18" t="e">
        <f ca="1">Tableau1[[#This Row],[Dont
HS 30%]]*1.3</f>
        <v>#VALUE!</v>
      </c>
      <c r="Q380" s="18" t="e">
        <f ca="1">Tableau1[[#This Row],[Dont 
HS 50%]]*1.5</f>
        <v>#VALUE!</v>
      </c>
    </row>
    <row r="381" spans="2:17" hidden="1" x14ac:dyDescent="0.25">
      <c r="B381" s="37">
        <f>_xlfn.ISOWEEKNUM(Tableau1[[#This Row],[Date]])</f>
        <v>15</v>
      </c>
      <c r="C381" s="14">
        <f>debut+ROW()-ROW(Tableau1[[#Headers],[Date]])-1</f>
        <v>45028</v>
      </c>
      <c r="D381" s="16">
        <f>MONTH(Tableau1[[#This Row],[Date]])</f>
        <v>4</v>
      </c>
      <c r="E381" s="16">
        <f>YEAR(Tableau1[[#This Row],[Date]])</f>
        <v>2023</v>
      </c>
      <c r="F381" s="32"/>
      <c r="G381" s="32"/>
      <c r="H381" s="32"/>
      <c r="I381" s="32"/>
      <c r="J381" s="3"/>
      <c r="K381" s="18">
        <f>MOD(Tableau1[[#This Row],[Fin
apm]]-Tableau1[[#This Row],[Début
apm]],1)+MOD(Tableau1[[#This Row],[Fin
matin]]-Tableau1[[#This Row],[Début
matin]],1)</f>
        <v>0</v>
      </c>
      <c r="L381" s="18">
        <f>IFERROR(VLOOKUP(Tableau1[[#This Row],[Abs.]],Tmotif[],3,0),0)</f>
        <v>0</v>
      </c>
      <c r="M381" s="18">
        <f ca="1">IF(WEEKDAY(Tableau1[[#This Row],[Date]],2)&lt;7,0,MAX(0,SUM(OFFSET(Tableau1[[#This Row],[Heures]],-6,,7))+SUM(OFFSET(Tableau1[[#This Row],[H_Abs]],-6,,7))-_HS))</f>
        <v>0</v>
      </c>
      <c r="N381" s="18" t="str">
        <f ca="1">IF(Tableau1[[#This Row],[HS]]&gt;0,IF(Tableau1[[#This Row],[HS]]*24&gt;8,8/24,Tableau1[[#This Row],[HS]]),"")</f>
        <v/>
      </c>
      <c r="O381" s="18" t="str">
        <f ca="1">IF(Tableau1[[#This Row],[HS]]*24&gt;8,Tableau1[[#This Row],[HS]]-Tableau1[[#This Row],[Dont
HS 30%]],"")</f>
        <v/>
      </c>
      <c r="P381" s="18" t="e">
        <f ca="1">Tableau1[[#This Row],[Dont
HS 30%]]*1.3</f>
        <v>#VALUE!</v>
      </c>
      <c r="Q381" s="18" t="e">
        <f ca="1">Tableau1[[#This Row],[Dont 
HS 50%]]*1.5</f>
        <v>#VALUE!</v>
      </c>
    </row>
    <row r="382" spans="2:17" hidden="1" x14ac:dyDescent="0.25">
      <c r="B382" s="37">
        <f>_xlfn.ISOWEEKNUM(Tableau1[[#This Row],[Date]])</f>
        <v>15</v>
      </c>
      <c r="C382" s="14">
        <f>debut+ROW()-ROW(Tableau1[[#Headers],[Date]])-1</f>
        <v>45029</v>
      </c>
      <c r="D382" s="16">
        <f>MONTH(Tableau1[[#This Row],[Date]])</f>
        <v>4</v>
      </c>
      <c r="E382" s="16">
        <f>YEAR(Tableau1[[#This Row],[Date]])</f>
        <v>2023</v>
      </c>
      <c r="F382" s="32"/>
      <c r="G382" s="32"/>
      <c r="H382" s="32"/>
      <c r="I382" s="32"/>
      <c r="J382" s="3"/>
      <c r="K382" s="18">
        <f>MOD(Tableau1[[#This Row],[Fin
apm]]-Tableau1[[#This Row],[Début
apm]],1)+MOD(Tableau1[[#This Row],[Fin
matin]]-Tableau1[[#This Row],[Début
matin]],1)</f>
        <v>0</v>
      </c>
      <c r="L382" s="18">
        <f>IFERROR(VLOOKUP(Tableau1[[#This Row],[Abs.]],Tmotif[],3,0),0)</f>
        <v>0</v>
      </c>
      <c r="M382" s="18">
        <f ca="1">IF(WEEKDAY(Tableau1[[#This Row],[Date]],2)&lt;7,0,MAX(0,SUM(OFFSET(Tableau1[[#This Row],[Heures]],-6,,7))+SUM(OFFSET(Tableau1[[#This Row],[H_Abs]],-6,,7))-_HS))</f>
        <v>0</v>
      </c>
      <c r="N382" s="18" t="str">
        <f ca="1">IF(Tableau1[[#This Row],[HS]]&gt;0,IF(Tableau1[[#This Row],[HS]]*24&gt;8,8/24,Tableau1[[#This Row],[HS]]),"")</f>
        <v/>
      </c>
      <c r="O382" s="18" t="str">
        <f ca="1">IF(Tableau1[[#This Row],[HS]]*24&gt;8,Tableau1[[#This Row],[HS]]-Tableau1[[#This Row],[Dont
HS 30%]],"")</f>
        <v/>
      </c>
      <c r="P382" s="18" t="e">
        <f ca="1">Tableau1[[#This Row],[Dont
HS 30%]]*1.3</f>
        <v>#VALUE!</v>
      </c>
      <c r="Q382" s="18" t="e">
        <f ca="1">Tableau1[[#This Row],[Dont 
HS 50%]]*1.5</f>
        <v>#VALUE!</v>
      </c>
    </row>
    <row r="383" spans="2:17" hidden="1" x14ac:dyDescent="0.25">
      <c r="B383" s="37">
        <f>_xlfn.ISOWEEKNUM(Tableau1[[#This Row],[Date]])</f>
        <v>15</v>
      </c>
      <c r="C383" s="14">
        <f>debut+ROW()-ROW(Tableau1[[#Headers],[Date]])-1</f>
        <v>45030</v>
      </c>
      <c r="D383" s="16">
        <f>MONTH(Tableau1[[#This Row],[Date]])</f>
        <v>4</v>
      </c>
      <c r="E383" s="16">
        <f>YEAR(Tableau1[[#This Row],[Date]])</f>
        <v>2023</v>
      </c>
      <c r="F383" s="32"/>
      <c r="G383" s="32"/>
      <c r="H383" s="32"/>
      <c r="I383" s="32"/>
      <c r="J383" s="3"/>
      <c r="K383" s="18">
        <f>MOD(Tableau1[[#This Row],[Fin
apm]]-Tableau1[[#This Row],[Début
apm]],1)+MOD(Tableau1[[#This Row],[Fin
matin]]-Tableau1[[#This Row],[Début
matin]],1)</f>
        <v>0</v>
      </c>
      <c r="L383" s="18">
        <f>IFERROR(VLOOKUP(Tableau1[[#This Row],[Abs.]],Tmotif[],3,0),0)</f>
        <v>0</v>
      </c>
      <c r="M383" s="18">
        <f ca="1">IF(WEEKDAY(Tableau1[[#This Row],[Date]],2)&lt;7,0,MAX(0,SUM(OFFSET(Tableau1[[#This Row],[Heures]],-6,,7))+SUM(OFFSET(Tableau1[[#This Row],[H_Abs]],-6,,7))-_HS))</f>
        <v>0</v>
      </c>
      <c r="N383" s="18" t="str">
        <f ca="1">IF(Tableau1[[#This Row],[HS]]&gt;0,IF(Tableau1[[#This Row],[HS]]*24&gt;8,8/24,Tableau1[[#This Row],[HS]]),"")</f>
        <v/>
      </c>
      <c r="O383" s="18" t="str">
        <f ca="1">IF(Tableau1[[#This Row],[HS]]*24&gt;8,Tableau1[[#This Row],[HS]]-Tableau1[[#This Row],[Dont
HS 30%]],"")</f>
        <v/>
      </c>
      <c r="P383" s="18" t="e">
        <f ca="1">Tableau1[[#This Row],[Dont
HS 30%]]*1.3</f>
        <v>#VALUE!</v>
      </c>
      <c r="Q383" s="18" t="e">
        <f ca="1">Tableau1[[#This Row],[Dont 
HS 50%]]*1.5</f>
        <v>#VALUE!</v>
      </c>
    </row>
    <row r="384" spans="2:17" hidden="1" x14ac:dyDescent="0.25">
      <c r="B384" s="37">
        <f>_xlfn.ISOWEEKNUM(Tableau1[[#This Row],[Date]])</f>
        <v>15</v>
      </c>
      <c r="C384" s="14">
        <f>debut+ROW()-ROW(Tableau1[[#Headers],[Date]])-1</f>
        <v>45031</v>
      </c>
      <c r="D384" s="16">
        <f>MONTH(Tableau1[[#This Row],[Date]])</f>
        <v>4</v>
      </c>
      <c r="E384" s="16">
        <f>YEAR(Tableau1[[#This Row],[Date]])</f>
        <v>2023</v>
      </c>
      <c r="F384" s="32"/>
      <c r="G384" s="32"/>
      <c r="H384" s="32"/>
      <c r="I384" s="32"/>
      <c r="J384" s="3"/>
      <c r="K384" s="18">
        <f>MOD(Tableau1[[#This Row],[Fin
apm]]-Tableau1[[#This Row],[Début
apm]],1)+MOD(Tableau1[[#This Row],[Fin
matin]]-Tableau1[[#This Row],[Début
matin]],1)</f>
        <v>0</v>
      </c>
      <c r="L384" s="18">
        <f>IFERROR(VLOOKUP(Tableau1[[#This Row],[Abs.]],Tmotif[],3,0),0)</f>
        <v>0</v>
      </c>
      <c r="M384" s="18">
        <f ca="1">IF(WEEKDAY(Tableau1[[#This Row],[Date]],2)&lt;7,0,MAX(0,SUM(OFFSET(Tableau1[[#This Row],[Heures]],-6,,7))+SUM(OFFSET(Tableau1[[#This Row],[H_Abs]],-6,,7))-_HS))</f>
        <v>0</v>
      </c>
      <c r="N384" s="18" t="str">
        <f ca="1">IF(Tableau1[[#This Row],[HS]]&gt;0,IF(Tableau1[[#This Row],[HS]]*24&gt;8,8/24,Tableau1[[#This Row],[HS]]),"")</f>
        <v/>
      </c>
      <c r="O384" s="18" t="str">
        <f ca="1">IF(Tableau1[[#This Row],[HS]]*24&gt;8,Tableau1[[#This Row],[HS]]-Tableau1[[#This Row],[Dont
HS 30%]],"")</f>
        <v/>
      </c>
      <c r="P384" s="18" t="e">
        <f ca="1">Tableau1[[#This Row],[Dont
HS 30%]]*1.3</f>
        <v>#VALUE!</v>
      </c>
      <c r="Q384" s="18" t="e">
        <f ca="1">Tableau1[[#This Row],[Dont 
HS 50%]]*1.5</f>
        <v>#VALUE!</v>
      </c>
    </row>
    <row r="385" spans="2:17" hidden="1" x14ac:dyDescent="0.25">
      <c r="B385" s="37">
        <f>_xlfn.ISOWEEKNUM(Tableau1[[#This Row],[Date]])</f>
        <v>15</v>
      </c>
      <c r="C385" s="14">
        <f>debut+ROW()-ROW(Tableau1[[#Headers],[Date]])-1</f>
        <v>45032</v>
      </c>
      <c r="D385" s="16">
        <f>MONTH(Tableau1[[#This Row],[Date]])</f>
        <v>4</v>
      </c>
      <c r="E385" s="16">
        <f>YEAR(Tableau1[[#This Row],[Date]])</f>
        <v>2023</v>
      </c>
      <c r="F385" s="32"/>
      <c r="G385" s="32"/>
      <c r="H385" s="32"/>
      <c r="I385" s="32"/>
      <c r="J385" s="3"/>
      <c r="K385" s="18">
        <f>MOD(Tableau1[[#This Row],[Fin
apm]]-Tableau1[[#This Row],[Début
apm]],1)+MOD(Tableau1[[#This Row],[Fin
matin]]-Tableau1[[#This Row],[Début
matin]],1)</f>
        <v>0</v>
      </c>
      <c r="L385" s="18">
        <f>IFERROR(VLOOKUP(Tableau1[[#This Row],[Abs.]],Tmotif[],3,0),0)</f>
        <v>0</v>
      </c>
      <c r="M385" s="18">
        <f ca="1">IF(WEEKDAY(Tableau1[[#This Row],[Date]],2)&lt;7,0,MAX(0,SUM(OFFSET(Tableau1[[#This Row],[Heures]],-6,,7))+SUM(OFFSET(Tableau1[[#This Row],[H_Abs]],-6,,7))-_HS))</f>
        <v>0</v>
      </c>
      <c r="N385" s="18" t="str">
        <f ca="1">IF(Tableau1[[#This Row],[HS]]&gt;0,IF(Tableau1[[#This Row],[HS]]*24&gt;8,8/24,Tableau1[[#This Row],[HS]]),"")</f>
        <v/>
      </c>
      <c r="O385" s="18" t="str">
        <f ca="1">IF(Tableau1[[#This Row],[HS]]*24&gt;8,Tableau1[[#This Row],[HS]]-Tableau1[[#This Row],[Dont
HS 30%]],"")</f>
        <v/>
      </c>
      <c r="P385" s="18" t="e">
        <f ca="1">Tableau1[[#This Row],[Dont
HS 30%]]*1.3</f>
        <v>#VALUE!</v>
      </c>
      <c r="Q385" s="18" t="e">
        <f ca="1">Tableau1[[#This Row],[Dont 
HS 50%]]*1.5</f>
        <v>#VALUE!</v>
      </c>
    </row>
    <row r="386" spans="2:17" hidden="1" x14ac:dyDescent="0.25">
      <c r="B386" s="37">
        <f>_xlfn.ISOWEEKNUM(Tableau1[[#This Row],[Date]])</f>
        <v>16</v>
      </c>
      <c r="C386" s="14">
        <f>debut+ROW()-ROW(Tableau1[[#Headers],[Date]])-1</f>
        <v>45033</v>
      </c>
      <c r="D386" s="16">
        <f>MONTH(Tableau1[[#This Row],[Date]])</f>
        <v>4</v>
      </c>
      <c r="E386" s="16">
        <f>YEAR(Tableau1[[#This Row],[Date]])</f>
        <v>2023</v>
      </c>
      <c r="F386" s="32"/>
      <c r="G386" s="32"/>
      <c r="H386" s="32"/>
      <c r="I386" s="32"/>
      <c r="J386" s="3"/>
      <c r="K386" s="18">
        <f>MOD(Tableau1[[#This Row],[Fin
apm]]-Tableau1[[#This Row],[Début
apm]],1)+MOD(Tableau1[[#This Row],[Fin
matin]]-Tableau1[[#This Row],[Début
matin]],1)</f>
        <v>0</v>
      </c>
      <c r="L386" s="18">
        <f>IFERROR(VLOOKUP(Tableau1[[#This Row],[Abs.]],Tmotif[],3,0),0)</f>
        <v>0</v>
      </c>
      <c r="M386" s="18">
        <f ca="1">IF(WEEKDAY(Tableau1[[#This Row],[Date]],2)&lt;7,0,MAX(0,SUM(OFFSET(Tableau1[[#This Row],[Heures]],-6,,7))+SUM(OFFSET(Tableau1[[#This Row],[H_Abs]],-6,,7))-_HS))</f>
        <v>0</v>
      </c>
      <c r="N386" s="18" t="str">
        <f ca="1">IF(Tableau1[[#This Row],[HS]]&gt;0,IF(Tableau1[[#This Row],[HS]]*24&gt;8,8/24,Tableau1[[#This Row],[HS]]),"")</f>
        <v/>
      </c>
      <c r="O386" s="18" t="str">
        <f ca="1">IF(Tableau1[[#This Row],[HS]]*24&gt;8,Tableau1[[#This Row],[HS]]-Tableau1[[#This Row],[Dont
HS 30%]],"")</f>
        <v/>
      </c>
      <c r="P386" s="18" t="e">
        <f ca="1">Tableau1[[#This Row],[Dont
HS 30%]]*1.3</f>
        <v>#VALUE!</v>
      </c>
      <c r="Q386" s="18" t="e">
        <f ca="1">Tableau1[[#This Row],[Dont 
HS 50%]]*1.5</f>
        <v>#VALUE!</v>
      </c>
    </row>
    <row r="387" spans="2:17" hidden="1" x14ac:dyDescent="0.25">
      <c r="B387" s="37">
        <f>_xlfn.ISOWEEKNUM(Tableau1[[#This Row],[Date]])</f>
        <v>16</v>
      </c>
      <c r="C387" s="14">
        <f>debut+ROW()-ROW(Tableau1[[#Headers],[Date]])-1</f>
        <v>45034</v>
      </c>
      <c r="D387" s="16">
        <f>MONTH(Tableau1[[#This Row],[Date]])</f>
        <v>4</v>
      </c>
      <c r="E387" s="16">
        <f>YEAR(Tableau1[[#This Row],[Date]])</f>
        <v>2023</v>
      </c>
      <c r="F387" s="32"/>
      <c r="G387" s="32"/>
      <c r="H387" s="32"/>
      <c r="I387" s="32"/>
      <c r="J387" s="3"/>
      <c r="K387" s="18">
        <f>MOD(Tableau1[[#This Row],[Fin
apm]]-Tableau1[[#This Row],[Début
apm]],1)+MOD(Tableau1[[#This Row],[Fin
matin]]-Tableau1[[#This Row],[Début
matin]],1)</f>
        <v>0</v>
      </c>
      <c r="L387" s="18">
        <f>IFERROR(VLOOKUP(Tableau1[[#This Row],[Abs.]],Tmotif[],3,0),0)</f>
        <v>0</v>
      </c>
      <c r="M387" s="18">
        <f ca="1">IF(WEEKDAY(Tableau1[[#This Row],[Date]],2)&lt;7,0,MAX(0,SUM(OFFSET(Tableau1[[#This Row],[Heures]],-6,,7))+SUM(OFFSET(Tableau1[[#This Row],[H_Abs]],-6,,7))-_HS))</f>
        <v>0</v>
      </c>
      <c r="N387" s="18" t="str">
        <f ca="1">IF(Tableau1[[#This Row],[HS]]&gt;0,IF(Tableau1[[#This Row],[HS]]*24&gt;8,8/24,Tableau1[[#This Row],[HS]]),"")</f>
        <v/>
      </c>
      <c r="O387" s="18" t="str">
        <f ca="1">IF(Tableau1[[#This Row],[HS]]*24&gt;8,Tableau1[[#This Row],[HS]]-Tableau1[[#This Row],[Dont
HS 30%]],"")</f>
        <v/>
      </c>
      <c r="P387" s="18" t="e">
        <f ca="1">Tableau1[[#This Row],[Dont
HS 30%]]*1.3</f>
        <v>#VALUE!</v>
      </c>
      <c r="Q387" s="18" t="e">
        <f ca="1">Tableau1[[#This Row],[Dont 
HS 50%]]*1.5</f>
        <v>#VALUE!</v>
      </c>
    </row>
    <row r="388" spans="2:17" hidden="1" x14ac:dyDescent="0.25">
      <c r="B388" s="37">
        <f>_xlfn.ISOWEEKNUM(Tableau1[[#This Row],[Date]])</f>
        <v>16</v>
      </c>
      <c r="C388" s="14">
        <f>debut+ROW()-ROW(Tableau1[[#Headers],[Date]])-1</f>
        <v>45035</v>
      </c>
      <c r="D388" s="16">
        <f>MONTH(Tableau1[[#This Row],[Date]])</f>
        <v>4</v>
      </c>
      <c r="E388" s="16">
        <f>YEAR(Tableau1[[#This Row],[Date]])</f>
        <v>2023</v>
      </c>
      <c r="F388" s="32"/>
      <c r="G388" s="32"/>
      <c r="H388" s="32"/>
      <c r="I388" s="32"/>
      <c r="J388" s="3"/>
      <c r="K388" s="18">
        <f>MOD(Tableau1[[#This Row],[Fin
apm]]-Tableau1[[#This Row],[Début
apm]],1)+MOD(Tableau1[[#This Row],[Fin
matin]]-Tableau1[[#This Row],[Début
matin]],1)</f>
        <v>0</v>
      </c>
      <c r="L388" s="18">
        <f>IFERROR(VLOOKUP(Tableau1[[#This Row],[Abs.]],Tmotif[],3,0),0)</f>
        <v>0</v>
      </c>
      <c r="M388" s="18">
        <f ca="1">IF(WEEKDAY(Tableau1[[#This Row],[Date]],2)&lt;7,0,MAX(0,SUM(OFFSET(Tableau1[[#This Row],[Heures]],-6,,7))+SUM(OFFSET(Tableau1[[#This Row],[H_Abs]],-6,,7))-_HS))</f>
        <v>0</v>
      </c>
      <c r="N388" s="18" t="str">
        <f ca="1">IF(Tableau1[[#This Row],[HS]]&gt;0,IF(Tableau1[[#This Row],[HS]]*24&gt;8,8/24,Tableau1[[#This Row],[HS]]),"")</f>
        <v/>
      </c>
      <c r="O388" s="18" t="str">
        <f ca="1">IF(Tableau1[[#This Row],[HS]]*24&gt;8,Tableau1[[#This Row],[HS]]-Tableau1[[#This Row],[Dont
HS 30%]],"")</f>
        <v/>
      </c>
      <c r="P388" s="18" t="e">
        <f ca="1">Tableau1[[#This Row],[Dont
HS 30%]]*1.3</f>
        <v>#VALUE!</v>
      </c>
      <c r="Q388" s="18" t="e">
        <f ca="1">Tableau1[[#This Row],[Dont 
HS 50%]]*1.5</f>
        <v>#VALUE!</v>
      </c>
    </row>
    <row r="389" spans="2:17" hidden="1" x14ac:dyDescent="0.25">
      <c r="B389" s="37">
        <f>_xlfn.ISOWEEKNUM(Tableau1[[#This Row],[Date]])</f>
        <v>16</v>
      </c>
      <c r="C389" s="14">
        <f>debut+ROW()-ROW(Tableau1[[#Headers],[Date]])-1</f>
        <v>45036</v>
      </c>
      <c r="D389" s="16">
        <f>MONTH(Tableau1[[#This Row],[Date]])</f>
        <v>4</v>
      </c>
      <c r="E389" s="16">
        <f>YEAR(Tableau1[[#This Row],[Date]])</f>
        <v>2023</v>
      </c>
      <c r="F389" s="32"/>
      <c r="G389" s="32"/>
      <c r="H389" s="32"/>
      <c r="I389" s="32"/>
      <c r="J389" s="3"/>
      <c r="K389" s="18">
        <f>MOD(Tableau1[[#This Row],[Fin
apm]]-Tableau1[[#This Row],[Début
apm]],1)+MOD(Tableau1[[#This Row],[Fin
matin]]-Tableau1[[#This Row],[Début
matin]],1)</f>
        <v>0</v>
      </c>
      <c r="L389" s="18">
        <f>IFERROR(VLOOKUP(Tableau1[[#This Row],[Abs.]],Tmotif[],3,0),0)</f>
        <v>0</v>
      </c>
      <c r="M389" s="18">
        <f ca="1">IF(WEEKDAY(Tableau1[[#This Row],[Date]],2)&lt;7,0,MAX(0,SUM(OFFSET(Tableau1[[#This Row],[Heures]],-6,,7))+SUM(OFFSET(Tableau1[[#This Row],[H_Abs]],-6,,7))-_HS))</f>
        <v>0</v>
      </c>
      <c r="N389" s="18" t="str">
        <f ca="1">IF(Tableau1[[#This Row],[HS]]&gt;0,IF(Tableau1[[#This Row],[HS]]*24&gt;8,8/24,Tableau1[[#This Row],[HS]]),"")</f>
        <v/>
      </c>
      <c r="O389" s="18" t="str">
        <f ca="1">IF(Tableau1[[#This Row],[HS]]*24&gt;8,Tableau1[[#This Row],[HS]]-Tableau1[[#This Row],[Dont
HS 30%]],"")</f>
        <v/>
      </c>
      <c r="P389" s="18" t="e">
        <f ca="1">Tableau1[[#This Row],[Dont
HS 30%]]*1.3</f>
        <v>#VALUE!</v>
      </c>
      <c r="Q389" s="18" t="e">
        <f ca="1">Tableau1[[#This Row],[Dont 
HS 50%]]*1.5</f>
        <v>#VALUE!</v>
      </c>
    </row>
    <row r="390" spans="2:17" hidden="1" x14ac:dyDescent="0.25">
      <c r="B390" s="37">
        <f>_xlfn.ISOWEEKNUM(Tableau1[[#This Row],[Date]])</f>
        <v>16</v>
      </c>
      <c r="C390" s="14">
        <f>debut+ROW()-ROW(Tableau1[[#Headers],[Date]])-1</f>
        <v>45037</v>
      </c>
      <c r="D390" s="16">
        <f>MONTH(Tableau1[[#This Row],[Date]])</f>
        <v>4</v>
      </c>
      <c r="E390" s="16">
        <f>YEAR(Tableau1[[#This Row],[Date]])</f>
        <v>2023</v>
      </c>
      <c r="F390" s="32"/>
      <c r="G390" s="32"/>
      <c r="H390" s="32"/>
      <c r="I390" s="32"/>
      <c r="J390" s="3"/>
      <c r="K390" s="18">
        <f>MOD(Tableau1[[#This Row],[Fin
apm]]-Tableau1[[#This Row],[Début
apm]],1)+MOD(Tableau1[[#This Row],[Fin
matin]]-Tableau1[[#This Row],[Début
matin]],1)</f>
        <v>0</v>
      </c>
      <c r="L390" s="18">
        <f>IFERROR(VLOOKUP(Tableau1[[#This Row],[Abs.]],Tmotif[],3,0),0)</f>
        <v>0</v>
      </c>
      <c r="M390" s="18">
        <f ca="1">IF(WEEKDAY(Tableau1[[#This Row],[Date]],2)&lt;7,0,MAX(0,SUM(OFFSET(Tableau1[[#This Row],[Heures]],-6,,7))+SUM(OFFSET(Tableau1[[#This Row],[H_Abs]],-6,,7))-_HS))</f>
        <v>0</v>
      </c>
      <c r="N390" s="18" t="str">
        <f ca="1">IF(Tableau1[[#This Row],[HS]]&gt;0,IF(Tableau1[[#This Row],[HS]]*24&gt;8,8/24,Tableau1[[#This Row],[HS]]),"")</f>
        <v/>
      </c>
      <c r="O390" s="18" t="str">
        <f ca="1">IF(Tableau1[[#This Row],[HS]]*24&gt;8,Tableau1[[#This Row],[HS]]-Tableau1[[#This Row],[Dont
HS 30%]],"")</f>
        <v/>
      </c>
      <c r="P390" s="18" t="e">
        <f ca="1">Tableau1[[#This Row],[Dont
HS 30%]]*1.3</f>
        <v>#VALUE!</v>
      </c>
      <c r="Q390" s="18" t="e">
        <f ca="1">Tableau1[[#This Row],[Dont 
HS 50%]]*1.5</f>
        <v>#VALUE!</v>
      </c>
    </row>
    <row r="391" spans="2:17" hidden="1" x14ac:dyDescent="0.25">
      <c r="B391" s="37">
        <f>_xlfn.ISOWEEKNUM(Tableau1[[#This Row],[Date]])</f>
        <v>16</v>
      </c>
      <c r="C391" s="14">
        <f>debut+ROW()-ROW(Tableau1[[#Headers],[Date]])-1</f>
        <v>45038</v>
      </c>
      <c r="D391" s="16">
        <f>MONTH(Tableau1[[#This Row],[Date]])</f>
        <v>4</v>
      </c>
      <c r="E391" s="16">
        <f>YEAR(Tableau1[[#This Row],[Date]])</f>
        <v>2023</v>
      </c>
      <c r="F391" s="32"/>
      <c r="G391" s="32"/>
      <c r="H391" s="32"/>
      <c r="I391" s="32"/>
      <c r="J391" s="3"/>
      <c r="K391" s="18">
        <f>MOD(Tableau1[[#This Row],[Fin
apm]]-Tableau1[[#This Row],[Début
apm]],1)+MOD(Tableau1[[#This Row],[Fin
matin]]-Tableau1[[#This Row],[Début
matin]],1)</f>
        <v>0</v>
      </c>
      <c r="L391" s="18">
        <f>IFERROR(VLOOKUP(Tableau1[[#This Row],[Abs.]],Tmotif[],3,0),0)</f>
        <v>0</v>
      </c>
      <c r="M391" s="18">
        <f ca="1">IF(WEEKDAY(Tableau1[[#This Row],[Date]],2)&lt;7,0,MAX(0,SUM(OFFSET(Tableau1[[#This Row],[Heures]],-6,,7))+SUM(OFFSET(Tableau1[[#This Row],[H_Abs]],-6,,7))-_HS))</f>
        <v>0</v>
      </c>
      <c r="N391" s="18" t="str">
        <f ca="1">IF(Tableau1[[#This Row],[HS]]&gt;0,IF(Tableau1[[#This Row],[HS]]*24&gt;8,8/24,Tableau1[[#This Row],[HS]]),"")</f>
        <v/>
      </c>
      <c r="O391" s="18" t="str">
        <f ca="1">IF(Tableau1[[#This Row],[HS]]*24&gt;8,Tableau1[[#This Row],[HS]]-Tableau1[[#This Row],[Dont
HS 30%]],"")</f>
        <v/>
      </c>
      <c r="P391" s="18" t="e">
        <f ca="1">Tableau1[[#This Row],[Dont
HS 30%]]*1.3</f>
        <v>#VALUE!</v>
      </c>
      <c r="Q391" s="18" t="e">
        <f ca="1">Tableau1[[#This Row],[Dont 
HS 50%]]*1.5</f>
        <v>#VALUE!</v>
      </c>
    </row>
    <row r="392" spans="2:17" hidden="1" x14ac:dyDescent="0.25">
      <c r="B392" s="37">
        <f>_xlfn.ISOWEEKNUM(Tableau1[[#This Row],[Date]])</f>
        <v>16</v>
      </c>
      <c r="C392" s="14">
        <f>debut+ROW()-ROW(Tableau1[[#Headers],[Date]])-1</f>
        <v>45039</v>
      </c>
      <c r="D392" s="16">
        <f>MONTH(Tableau1[[#This Row],[Date]])</f>
        <v>4</v>
      </c>
      <c r="E392" s="16">
        <f>YEAR(Tableau1[[#This Row],[Date]])</f>
        <v>2023</v>
      </c>
      <c r="F392" s="32"/>
      <c r="G392" s="32"/>
      <c r="H392" s="32"/>
      <c r="I392" s="32"/>
      <c r="J392" s="3"/>
      <c r="K392" s="18">
        <f>MOD(Tableau1[[#This Row],[Fin
apm]]-Tableau1[[#This Row],[Début
apm]],1)+MOD(Tableau1[[#This Row],[Fin
matin]]-Tableau1[[#This Row],[Début
matin]],1)</f>
        <v>0</v>
      </c>
      <c r="L392" s="18">
        <f>IFERROR(VLOOKUP(Tableau1[[#This Row],[Abs.]],Tmotif[],3,0),0)</f>
        <v>0</v>
      </c>
      <c r="M392" s="18">
        <f ca="1">IF(WEEKDAY(Tableau1[[#This Row],[Date]],2)&lt;7,0,MAX(0,SUM(OFFSET(Tableau1[[#This Row],[Heures]],-6,,7))+SUM(OFFSET(Tableau1[[#This Row],[H_Abs]],-6,,7))-_HS))</f>
        <v>0</v>
      </c>
      <c r="N392" s="18" t="str">
        <f ca="1">IF(Tableau1[[#This Row],[HS]]&gt;0,IF(Tableau1[[#This Row],[HS]]*24&gt;8,8/24,Tableau1[[#This Row],[HS]]),"")</f>
        <v/>
      </c>
      <c r="O392" s="18" t="str">
        <f ca="1">IF(Tableau1[[#This Row],[HS]]*24&gt;8,Tableau1[[#This Row],[HS]]-Tableau1[[#This Row],[Dont
HS 30%]],"")</f>
        <v/>
      </c>
      <c r="P392" s="18" t="e">
        <f ca="1">Tableau1[[#This Row],[Dont
HS 30%]]*1.3</f>
        <v>#VALUE!</v>
      </c>
      <c r="Q392" s="18" t="e">
        <f ca="1">Tableau1[[#This Row],[Dont 
HS 50%]]*1.5</f>
        <v>#VALUE!</v>
      </c>
    </row>
    <row r="393" spans="2:17" hidden="1" x14ac:dyDescent="0.25">
      <c r="B393" s="37">
        <f>_xlfn.ISOWEEKNUM(Tableau1[[#This Row],[Date]])</f>
        <v>17</v>
      </c>
      <c r="C393" s="14">
        <f>debut+ROW()-ROW(Tableau1[[#Headers],[Date]])-1</f>
        <v>45040</v>
      </c>
      <c r="D393" s="16">
        <f>MONTH(Tableau1[[#This Row],[Date]])</f>
        <v>4</v>
      </c>
      <c r="E393" s="16">
        <f>YEAR(Tableau1[[#This Row],[Date]])</f>
        <v>2023</v>
      </c>
      <c r="F393" s="32"/>
      <c r="G393" s="32"/>
      <c r="H393" s="32"/>
      <c r="I393" s="32"/>
      <c r="J393" s="3"/>
      <c r="K393" s="18">
        <f>MOD(Tableau1[[#This Row],[Fin
apm]]-Tableau1[[#This Row],[Début
apm]],1)+MOD(Tableau1[[#This Row],[Fin
matin]]-Tableau1[[#This Row],[Début
matin]],1)</f>
        <v>0</v>
      </c>
      <c r="L393" s="18">
        <f>IFERROR(VLOOKUP(Tableau1[[#This Row],[Abs.]],Tmotif[],3,0),0)</f>
        <v>0</v>
      </c>
      <c r="M393" s="18">
        <f ca="1">IF(WEEKDAY(Tableau1[[#This Row],[Date]],2)&lt;7,0,MAX(0,SUM(OFFSET(Tableau1[[#This Row],[Heures]],-6,,7))+SUM(OFFSET(Tableau1[[#This Row],[H_Abs]],-6,,7))-_HS))</f>
        <v>0</v>
      </c>
      <c r="N393" s="18" t="str">
        <f ca="1">IF(Tableau1[[#This Row],[HS]]&gt;0,IF(Tableau1[[#This Row],[HS]]*24&gt;8,8/24,Tableau1[[#This Row],[HS]]),"")</f>
        <v/>
      </c>
      <c r="O393" s="18" t="str">
        <f ca="1">IF(Tableau1[[#This Row],[HS]]*24&gt;8,Tableau1[[#This Row],[HS]]-Tableau1[[#This Row],[Dont
HS 30%]],"")</f>
        <v/>
      </c>
      <c r="P393" s="18" t="e">
        <f ca="1">Tableau1[[#This Row],[Dont
HS 30%]]*1.3</f>
        <v>#VALUE!</v>
      </c>
      <c r="Q393" s="18" t="e">
        <f ca="1">Tableau1[[#This Row],[Dont 
HS 50%]]*1.5</f>
        <v>#VALUE!</v>
      </c>
    </row>
    <row r="394" spans="2:17" hidden="1" x14ac:dyDescent="0.25">
      <c r="B394" s="37">
        <f>_xlfn.ISOWEEKNUM(Tableau1[[#This Row],[Date]])</f>
        <v>17</v>
      </c>
      <c r="C394" s="14">
        <f>debut+ROW()-ROW(Tableau1[[#Headers],[Date]])-1</f>
        <v>45041</v>
      </c>
      <c r="D394" s="16">
        <f>MONTH(Tableau1[[#This Row],[Date]])</f>
        <v>4</v>
      </c>
      <c r="E394" s="16">
        <f>YEAR(Tableau1[[#This Row],[Date]])</f>
        <v>2023</v>
      </c>
      <c r="F394" s="32"/>
      <c r="G394" s="32"/>
      <c r="H394" s="32"/>
      <c r="I394" s="32"/>
      <c r="J394" s="3"/>
      <c r="K394" s="18">
        <f>MOD(Tableau1[[#This Row],[Fin
apm]]-Tableau1[[#This Row],[Début
apm]],1)+MOD(Tableau1[[#This Row],[Fin
matin]]-Tableau1[[#This Row],[Début
matin]],1)</f>
        <v>0</v>
      </c>
      <c r="L394" s="18">
        <f>IFERROR(VLOOKUP(Tableau1[[#This Row],[Abs.]],Tmotif[],3,0),0)</f>
        <v>0</v>
      </c>
      <c r="M394" s="18">
        <f ca="1">IF(WEEKDAY(Tableau1[[#This Row],[Date]],2)&lt;7,0,MAX(0,SUM(OFFSET(Tableau1[[#This Row],[Heures]],-6,,7))+SUM(OFFSET(Tableau1[[#This Row],[H_Abs]],-6,,7))-_HS))</f>
        <v>0</v>
      </c>
      <c r="N394" s="18" t="str">
        <f ca="1">IF(Tableau1[[#This Row],[HS]]&gt;0,IF(Tableau1[[#This Row],[HS]]*24&gt;8,8/24,Tableau1[[#This Row],[HS]]),"")</f>
        <v/>
      </c>
      <c r="O394" s="18" t="str">
        <f ca="1">IF(Tableau1[[#This Row],[HS]]*24&gt;8,Tableau1[[#This Row],[HS]]-Tableau1[[#This Row],[Dont
HS 30%]],"")</f>
        <v/>
      </c>
      <c r="P394" s="18" t="e">
        <f ca="1">Tableau1[[#This Row],[Dont
HS 30%]]*1.3</f>
        <v>#VALUE!</v>
      </c>
      <c r="Q394" s="18" t="e">
        <f ca="1">Tableau1[[#This Row],[Dont 
HS 50%]]*1.5</f>
        <v>#VALUE!</v>
      </c>
    </row>
    <row r="395" spans="2:17" hidden="1" x14ac:dyDescent="0.25">
      <c r="B395" s="37">
        <f>_xlfn.ISOWEEKNUM(Tableau1[[#This Row],[Date]])</f>
        <v>17</v>
      </c>
      <c r="C395" s="14">
        <f>debut+ROW()-ROW(Tableau1[[#Headers],[Date]])-1</f>
        <v>45042</v>
      </c>
      <c r="D395" s="16">
        <f>MONTH(Tableau1[[#This Row],[Date]])</f>
        <v>4</v>
      </c>
      <c r="E395" s="16">
        <f>YEAR(Tableau1[[#This Row],[Date]])</f>
        <v>2023</v>
      </c>
      <c r="F395" s="32"/>
      <c r="G395" s="32"/>
      <c r="H395" s="32"/>
      <c r="I395" s="32"/>
      <c r="J395" s="3"/>
      <c r="K395" s="18">
        <f>MOD(Tableau1[[#This Row],[Fin
apm]]-Tableau1[[#This Row],[Début
apm]],1)+MOD(Tableau1[[#This Row],[Fin
matin]]-Tableau1[[#This Row],[Début
matin]],1)</f>
        <v>0</v>
      </c>
      <c r="L395" s="18">
        <f>IFERROR(VLOOKUP(Tableau1[[#This Row],[Abs.]],Tmotif[],3,0),0)</f>
        <v>0</v>
      </c>
      <c r="M395" s="18">
        <f ca="1">IF(WEEKDAY(Tableau1[[#This Row],[Date]],2)&lt;7,0,MAX(0,SUM(OFFSET(Tableau1[[#This Row],[Heures]],-6,,7))+SUM(OFFSET(Tableau1[[#This Row],[H_Abs]],-6,,7))-_HS))</f>
        <v>0</v>
      </c>
      <c r="N395" s="18" t="str">
        <f ca="1">IF(Tableau1[[#This Row],[HS]]&gt;0,IF(Tableau1[[#This Row],[HS]]*24&gt;8,8/24,Tableau1[[#This Row],[HS]]),"")</f>
        <v/>
      </c>
      <c r="O395" s="18" t="str">
        <f ca="1">IF(Tableau1[[#This Row],[HS]]*24&gt;8,Tableau1[[#This Row],[HS]]-Tableau1[[#This Row],[Dont
HS 30%]],"")</f>
        <v/>
      </c>
      <c r="P395" s="18" t="e">
        <f ca="1">Tableau1[[#This Row],[Dont
HS 30%]]*1.3</f>
        <v>#VALUE!</v>
      </c>
      <c r="Q395" s="18" t="e">
        <f ca="1">Tableau1[[#This Row],[Dont 
HS 50%]]*1.5</f>
        <v>#VALUE!</v>
      </c>
    </row>
    <row r="396" spans="2:17" hidden="1" x14ac:dyDescent="0.25">
      <c r="B396" s="37">
        <f>_xlfn.ISOWEEKNUM(Tableau1[[#This Row],[Date]])</f>
        <v>17</v>
      </c>
      <c r="C396" s="14">
        <f>debut+ROW()-ROW(Tableau1[[#Headers],[Date]])-1</f>
        <v>45043</v>
      </c>
      <c r="D396" s="16">
        <f>MONTH(Tableau1[[#This Row],[Date]])</f>
        <v>4</v>
      </c>
      <c r="E396" s="16">
        <f>YEAR(Tableau1[[#This Row],[Date]])</f>
        <v>2023</v>
      </c>
      <c r="F396" s="32"/>
      <c r="G396" s="32"/>
      <c r="H396" s="32"/>
      <c r="I396" s="32"/>
      <c r="J396" s="3"/>
      <c r="K396" s="18">
        <f>MOD(Tableau1[[#This Row],[Fin
apm]]-Tableau1[[#This Row],[Début
apm]],1)+MOD(Tableau1[[#This Row],[Fin
matin]]-Tableau1[[#This Row],[Début
matin]],1)</f>
        <v>0</v>
      </c>
      <c r="L396" s="18">
        <f>IFERROR(VLOOKUP(Tableau1[[#This Row],[Abs.]],Tmotif[],3,0),0)</f>
        <v>0</v>
      </c>
      <c r="M396" s="18">
        <f ca="1">IF(WEEKDAY(Tableau1[[#This Row],[Date]],2)&lt;7,0,MAX(0,SUM(OFFSET(Tableau1[[#This Row],[Heures]],-6,,7))+SUM(OFFSET(Tableau1[[#This Row],[H_Abs]],-6,,7))-_HS))</f>
        <v>0</v>
      </c>
      <c r="N396" s="18" t="str">
        <f ca="1">IF(Tableau1[[#This Row],[HS]]&gt;0,IF(Tableau1[[#This Row],[HS]]*24&gt;8,8/24,Tableau1[[#This Row],[HS]]),"")</f>
        <v/>
      </c>
      <c r="O396" s="18" t="str">
        <f ca="1">IF(Tableau1[[#This Row],[HS]]*24&gt;8,Tableau1[[#This Row],[HS]]-Tableau1[[#This Row],[Dont
HS 30%]],"")</f>
        <v/>
      </c>
      <c r="P396" s="18" t="e">
        <f ca="1">Tableau1[[#This Row],[Dont
HS 30%]]*1.3</f>
        <v>#VALUE!</v>
      </c>
      <c r="Q396" s="18" t="e">
        <f ca="1">Tableau1[[#This Row],[Dont 
HS 50%]]*1.5</f>
        <v>#VALUE!</v>
      </c>
    </row>
    <row r="397" spans="2:17" hidden="1" x14ac:dyDescent="0.25">
      <c r="B397" s="37">
        <f>_xlfn.ISOWEEKNUM(Tableau1[[#This Row],[Date]])</f>
        <v>17</v>
      </c>
      <c r="C397" s="14">
        <f>debut+ROW()-ROW(Tableau1[[#Headers],[Date]])-1</f>
        <v>45044</v>
      </c>
      <c r="D397" s="16">
        <f>MONTH(Tableau1[[#This Row],[Date]])</f>
        <v>4</v>
      </c>
      <c r="E397" s="16">
        <f>YEAR(Tableau1[[#This Row],[Date]])</f>
        <v>2023</v>
      </c>
      <c r="F397" s="32"/>
      <c r="G397" s="32"/>
      <c r="H397" s="32"/>
      <c r="I397" s="32"/>
      <c r="J397" s="3"/>
      <c r="K397" s="18">
        <f>MOD(Tableau1[[#This Row],[Fin
apm]]-Tableau1[[#This Row],[Début
apm]],1)+MOD(Tableau1[[#This Row],[Fin
matin]]-Tableau1[[#This Row],[Début
matin]],1)</f>
        <v>0</v>
      </c>
      <c r="L397" s="18">
        <f>IFERROR(VLOOKUP(Tableau1[[#This Row],[Abs.]],Tmotif[],3,0),0)</f>
        <v>0</v>
      </c>
      <c r="M397" s="18">
        <f ca="1">IF(WEEKDAY(Tableau1[[#This Row],[Date]],2)&lt;7,0,MAX(0,SUM(OFFSET(Tableau1[[#This Row],[Heures]],-6,,7))+SUM(OFFSET(Tableau1[[#This Row],[H_Abs]],-6,,7))-_HS))</f>
        <v>0</v>
      </c>
      <c r="N397" s="18" t="str">
        <f ca="1">IF(Tableau1[[#This Row],[HS]]&gt;0,IF(Tableau1[[#This Row],[HS]]*24&gt;8,8/24,Tableau1[[#This Row],[HS]]),"")</f>
        <v/>
      </c>
      <c r="O397" s="18" t="str">
        <f ca="1">IF(Tableau1[[#This Row],[HS]]*24&gt;8,Tableau1[[#This Row],[HS]]-Tableau1[[#This Row],[Dont
HS 30%]],"")</f>
        <v/>
      </c>
      <c r="P397" s="18" t="e">
        <f ca="1">Tableau1[[#This Row],[Dont
HS 30%]]*1.3</f>
        <v>#VALUE!</v>
      </c>
      <c r="Q397" s="18" t="e">
        <f ca="1">Tableau1[[#This Row],[Dont 
HS 50%]]*1.5</f>
        <v>#VALUE!</v>
      </c>
    </row>
    <row r="398" spans="2:17" hidden="1" x14ac:dyDescent="0.25">
      <c r="B398" s="37">
        <f>_xlfn.ISOWEEKNUM(Tableau1[[#This Row],[Date]])</f>
        <v>17</v>
      </c>
      <c r="C398" s="14">
        <f>debut+ROW()-ROW(Tableau1[[#Headers],[Date]])-1</f>
        <v>45045</v>
      </c>
      <c r="D398" s="16">
        <f>MONTH(Tableau1[[#This Row],[Date]])</f>
        <v>4</v>
      </c>
      <c r="E398" s="16">
        <f>YEAR(Tableau1[[#This Row],[Date]])</f>
        <v>2023</v>
      </c>
      <c r="F398" s="32"/>
      <c r="G398" s="32"/>
      <c r="H398" s="32"/>
      <c r="I398" s="32"/>
      <c r="J398" s="3"/>
      <c r="K398" s="18">
        <f>MOD(Tableau1[[#This Row],[Fin
apm]]-Tableau1[[#This Row],[Début
apm]],1)+MOD(Tableau1[[#This Row],[Fin
matin]]-Tableau1[[#This Row],[Début
matin]],1)</f>
        <v>0</v>
      </c>
      <c r="L398" s="18">
        <f>IFERROR(VLOOKUP(Tableau1[[#This Row],[Abs.]],Tmotif[],3,0),0)</f>
        <v>0</v>
      </c>
      <c r="M398" s="18">
        <f ca="1">IF(WEEKDAY(Tableau1[[#This Row],[Date]],2)&lt;7,0,MAX(0,SUM(OFFSET(Tableau1[[#This Row],[Heures]],-6,,7))+SUM(OFFSET(Tableau1[[#This Row],[H_Abs]],-6,,7))-_HS))</f>
        <v>0</v>
      </c>
      <c r="N398" s="18" t="str">
        <f ca="1">IF(Tableau1[[#This Row],[HS]]&gt;0,IF(Tableau1[[#This Row],[HS]]*24&gt;8,8/24,Tableau1[[#This Row],[HS]]),"")</f>
        <v/>
      </c>
      <c r="O398" s="18" t="str">
        <f ca="1">IF(Tableau1[[#This Row],[HS]]*24&gt;8,Tableau1[[#This Row],[HS]]-Tableau1[[#This Row],[Dont
HS 30%]],"")</f>
        <v/>
      </c>
      <c r="P398" s="18" t="e">
        <f ca="1">Tableau1[[#This Row],[Dont
HS 30%]]*1.3</f>
        <v>#VALUE!</v>
      </c>
      <c r="Q398" s="18" t="e">
        <f ca="1">Tableau1[[#This Row],[Dont 
HS 50%]]*1.5</f>
        <v>#VALUE!</v>
      </c>
    </row>
    <row r="399" spans="2:17" hidden="1" x14ac:dyDescent="0.25">
      <c r="B399" s="37">
        <f>_xlfn.ISOWEEKNUM(Tableau1[[#This Row],[Date]])</f>
        <v>17</v>
      </c>
      <c r="C399" s="14">
        <f>debut+ROW()-ROW(Tableau1[[#Headers],[Date]])-1</f>
        <v>45046</v>
      </c>
      <c r="D399" s="16">
        <f>MONTH(Tableau1[[#This Row],[Date]])</f>
        <v>4</v>
      </c>
      <c r="E399" s="16">
        <f>YEAR(Tableau1[[#This Row],[Date]])</f>
        <v>2023</v>
      </c>
      <c r="F399" s="32"/>
      <c r="G399" s="32"/>
      <c r="H399" s="32"/>
      <c r="I399" s="32"/>
      <c r="J399" s="3"/>
      <c r="K399" s="18">
        <f>MOD(Tableau1[[#This Row],[Fin
apm]]-Tableau1[[#This Row],[Début
apm]],1)+MOD(Tableau1[[#This Row],[Fin
matin]]-Tableau1[[#This Row],[Début
matin]],1)</f>
        <v>0</v>
      </c>
      <c r="L399" s="18">
        <f>IFERROR(VLOOKUP(Tableau1[[#This Row],[Abs.]],Tmotif[],3,0),0)</f>
        <v>0</v>
      </c>
      <c r="M399" s="18">
        <f ca="1">IF(WEEKDAY(Tableau1[[#This Row],[Date]],2)&lt;7,0,MAX(0,SUM(OFFSET(Tableau1[[#This Row],[Heures]],-6,,7))+SUM(OFFSET(Tableau1[[#This Row],[H_Abs]],-6,,7))-_HS))</f>
        <v>0</v>
      </c>
      <c r="N399" s="18" t="str">
        <f ca="1">IF(Tableau1[[#This Row],[HS]]&gt;0,IF(Tableau1[[#This Row],[HS]]*24&gt;8,8/24,Tableau1[[#This Row],[HS]]),"")</f>
        <v/>
      </c>
      <c r="O399" s="18" t="str">
        <f ca="1">IF(Tableau1[[#This Row],[HS]]*24&gt;8,Tableau1[[#This Row],[HS]]-Tableau1[[#This Row],[Dont
HS 30%]],"")</f>
        <v/>
      </c>
      <c r="P399" s="18" t="e">
        <f ca="1">Tableau1[[#This Row],[Dont
HS 30%]]*1.3</f>
        <v>#VALUE!</v>
      </c>
      <c r="Q399" s="18" t="e">
        <f ca="1">Tableau1[[#This Row],[Dont 
HS 50%]]*1.5</f>
        <v>#VALUE!</v>
      </c>
    </row>
    <row r="400" spans="2:17" hidden="1" x14ac:dyDescent="0.25">
      <c r="B400" s="37">
        <f>_xlfn.ISOWEEKNUM(Tableau1[[#This Row],[Date]])</f>
        <v>18</v>
      </c>
      <c r="C400" s="14">
        <f>debut+ROW()-ROW(Tableau1[[#Headers],[Date]])-1</f>
        <v>45047</v>
      </c>
      <c r="D400" s="16">
        <f>MONTH(Tableau1[[#This Row],[Date]])</f>
        <v>5</v>
      </c>
      <c r="E400" s="16">
        <f>YEAR(Tableau1[[#This Row],[Date]])</f>
        <v>2023</v>
      </c>
      <c r="F400" s="32"/>
      <c r="G400" s="32"/>
      <c r="H400" s="32"/>
      <c r="I400" s="32"/>
      <c r="J400" s="3"/>
      <c r="K400" s="18">
        <f>MOD(Tableau1[[#This Row],[Fin
apm]]-Tableau1[[#This Row],[Début
apm]],1)+MOD(Tableau1[[#This Row],[Fin
matin]]-Tableau1[[#This Row],[Début
matin]],1)</f>
        <v>0</v>
      </c>
      <c r="L400" s="18">
        <f>IFERROR(VLOOKUP(Tableau1[[#This Row],[Abs.]],Tmotif[],3,0),0)</f>
        <v>0</v>
      </c>
      <c r="M400" s="18">
        <f ca="1">IF(WEEKDAY(Tableau1[[#This Row],[Date]],2)&lt;7,0,MAX(0,SUM(OFFSET(Tableau1[[#This Row],[Heures]],-6,,7))+SUM(OFFSET(Tableau1[[#This Row],[H_Abs]],-6,,7))-_HS))</f>
        <v>0</v>
      </c>
      <c r="N400" s="18" t="str">
        <f ca="1">IF(Tableau1[[#This Row],[HS]]&gt;0,IF(Tableau1[[#This Row],[HS]]*24&gt;8,8/24,Tableau1[[#This Row],[HS]]),"")</f>
        <v/>
      </c>
      <c r="O400" s="18" t="str">
        <f ca="1">IF(Tableau1[[#This Row],[HS]]*24&gt;8,Tableau1[[#This Row],[HS]]-Tableau1[[#This Row],[Dont
HS 30%]],"")</f>
        <v/>
      </c>
      <c r="P400" s="18" t="e">
        <f ca="1">Tableau1[[#This Row],[Dont
HS 30%]]*1.3</f>
        <v>#VALUE!</v>
      </c>
      <c r="Q400" s="18" t="e">
        <f ca="1">Tableau1[[#This Row],[Dont 
HS 50%]]*1.5</f>
        <v>#VALUE!</v>
      </c>
    </row>
    <row r="401" spans="2:17" hidden="1" x14ac:dyDescent="0.25">
      <c r="B401" s="37">
        <f>_xlfn.ISOWEEKNUM(Tableau1[[#This Row],[Date]])</f>
        <v>18</v>
      </c>
      <c r="C401" s="14">
        <f>debut+ROW()-ROW(Tableau1[[#Headers],[Date]])-1</f>
        <v>45048</v>
      </c>
      <c r="D401" s="16">
        <f>MONTH(Tableau1[[#This Row],[Date]])</f>
        <v>5</v>
      </c>
      <c r="E401" s="16">
        <f>YEAR(Tableau1[[#This Row],[Date]])</f>
        <v>2023</v>
      </c>
      <c r="F401" s="32"/>
      <c r="G401" s="32"/>
      <c r="H401" s="32"/>
      <c r="I401" s="32"/>
      <c r="J401" s="3"/>
      <c r="K401" s="18">
        <f>MOD(Tableau1[[#This Row],[Fin
apm]]-Tableau1[[#This Row],[Début
apm]],1)+MOD(Tableau1[[#This Row],[Fin
matin]]-Tableau1[[#This Row],[Début
matin]],1)</f>
        <v>0</v>
      </c>
      <c r="L401" s="18">
        <f>IFERROR(VLOOKUP(Tableau1[[#This Row],[Abs.]],Tmotif[],3,0),0)</f>
        <v>0</v>
      </c>
      <c r="M401" s="18">
        <f ca="1">IF(WEEKDAY(Tableau1[[#This Row],[Date]],2)&lt;7,0,MAX(0,SUM(OFFSET(Tableau1[[#This Row],[Heures]],-6,,7))+SUM(OFFSET(Tableau1[[#This Row],[H_Abs]],-6,,7))-_HS))</f>
        <v>0</v>
      </c>
      <c r="N401" s="18" t="str">
        <f ca="1">IF(Tableau1[[#This Row],[HS]]&gt;0,IF(Tableau1[[#This Row],[HS]]*24&gt;8,8/24,Tableau1[[#This Row],[HS]]),"")</f>
        <v/>
      </c>
      <c r="O401" s="18" t="str">
        <f ca="1">IF(Tableau1[[#This Row],[HS]]*24&gt;8,Tableau1[[#This Row],[HS]]-Tableau1[[#This Row],[Dont
HS 30%]],"")</f>
        <v/>
      </c>
      <c r="P401" s="18" t="e">
        <f ca="1">Tableau1[[#This Row],[Dont
HS 30%]]*1.3</f>
        <v>#VALUE!</v>
      </c>
      <c r="Q401" s="18" t="e">
        <f ca="1">Tableau1[[#This Row],[Dont 
HS 50%]]*1.5</f>
        <v>#VALUE!</v>
      </c>
    </row>
    <row r="402" spans="2:17" hidden="1" x14ac:dyDescent="0.25">
      <c r="B402" s="37">
        <f>_xlfn.ISOWEEKNUM(Tableau1[[#This Row],[Date]])</f>
        <v>18</v>
      </c>
      <c r="C402" s="14">
        <f>debut+ROW()-ROW(Tableau1[[#Headers],[Date]])-1</f>
        <v>45049</v>
      </c>
      <c r="D402" s="16">
        <f>MONTH(Tableau1[[#This Row],[Date]])</f>
        <v>5</v>
      </c>
      <c r="E402" s="16">
        <f>YEAR(Tableau1[[#This Row],[Date]])</f>
        <v>2023</v>
      </c>
      <c r="F402" s="32"/>
      <c r="G402" s="32"/>
      <c r="H402" s="32"/>
      <c r="I402" s="32"/>
      <c r="J402" s="3"/>
      <c r="K402" s="18">
        <f>MOD(Tableau1[[#This Row],[Fin
apm]]-Tableau1[[#This Row],[Début
apm]],1)+MOD(Tableau1[[#This Row],[Fin
matin]]-Tableau1[[#This Row],[Début
matin]],1)</f>
        <v>0</v>
      </c>
      <c r="L402" s="18">
        <f>IFERROR(VLOOKUP(Tableau1[[#This Row],[Abs.]],Tmotif[],3,0),0)</f>
        <v>0</v>
      </c>
      <c r="M402" s="18">
        <f ca="1">IF(WEEKDAY(Tableau1[[#This Row],[Date]],2)&lt;7,0,MAX(0,SUM(OFFSET(Tableau1[[#This Row],[Heures]],-6,,7))+SUM(OFFSET(Tableau1[[#This Row],[H_Abs]],-6,,7))-_HS))</f>
        <v>0</v>
      </c>
      <c r="N402" s="18" t="str">
        <f ca="1">IF(Tableau1[[#This Row],[HS]]&gt;0,IF(Tableau1[[#This Row],[HS]]*24&gt;8,8/24,Tableau1[[#This Row],[HS]]),"")</f>
        <v/>
      </c>
      <c r="O402" s="18" t="str">
        <f ca="1">IF(Tableau1[[#This Row],[HS]]*24&gt;8,Tableau1[[#This Row],[HS]]-Tableau1[[#This Row],[Dont
HS 30%]],"")</f>
        <v/>
      </c>
      <c r="P402" s="18" t="e">
        <f ca="1">Tableau1[[#This Row],[Dont
HS 30%]]*1.3</f>
        <v>#VALUE!</v>
      </c>
      <c r="Q402" s="18" t="e">
        <f ca="1">Tableau1[[#This Row],[Dont 
HS 50%]]*1.5</f>
        <v>#VALUE!</v>
      </c>
    </row>
    <row r="403" spans="2:17" hidden="1" x14ac:dyDescent="0.25">
      <c r="B403" s="37">
        <f>_xlfn.ISOWEEKNUM(Tableau1[[#This Row],[Date]])</f>
        <v>18</v>
      </c>
      <c r="C403" s="14">
        <f>debut+ROW()-ROW(Tableau1[[#Headers],[Date]])-1</f>
        <v>45050</v>
      </c>
      <c r="D403" s="16">
        <f>MONTH(Tableau1[[#This Row],[Date]])</f>
        <v>5</v>
      </c>
      <c r="E403" s="16">
        <f>YEAR(Tableau1[[#This Row],[Date]])</f>
        <v>2023</v>
      </c>
      <c r="F403" s="32"/>
      <c r="G403" s="32"/>
      <c r="H403" s="32"/>
      <c r="I403" s="32"/>
      <c r="J403" s="3"/>
      <c r="K403" s="18">
        <f>MOD(Tableau1[[#This Row],[Fin
apm]]-Tableau1[[#This Row],[Début
apm]],1)+MOD(Tableau1[[#This Row],[Fin
matin]]-Tableau1[[#This Row],[Début
matin]],1)</f>
        <v>0</v>
      </c>
      <c r="L403" s="18">
        <f>IFERROR(VLOOKUP(Tableau1[[#This Row],[Abs.]],Tmotif[],3,0),0)</f>
        <v>0</v>
      </c>
      <c r="M403" s="18">
        <f ca="1">IF(WEEKDAY(Tableau1[[#This Row],[Date]],2)&lt;7,0,MAX(0,SUM(OFFSET(Tableau1[[#This Row],[Heures]],-6,,7))+SUM(OFFSET(Tableau1[[#This Row],[H_Abs]],-6,,7))-_HS))</f>
        <v>0</v>
      </c>
      <c r="N403" s="18" t="str">
        <f ca="1">IF(Tableau1[[#This Row],[HS]]&gt;0,IF(Tableau1[[#This Row],[HS]]*24&gt;8,8/24,Tableau1[[#This Row],[HS]]),"")</f>
        <v/>
      </c>
      <c r="O403" s="18" t="str">
        <f ca="1">IF(Tableau1[[#This Row],[HS]]*24&gt;8,Tableau1[[#This Row],[HS]]-Tableau1[[#This Row],[Dont
HS 30%]],"")</f>
        <v/>
      </c>
      <c r="P403" s="18" t="e">
        <f ca="1">Tableau1[[#This Row],[Dont
HS 30%]]*1.3</f>
        <v>#VALUE!</v>
      </c>
      <c r="Q403" s="18" t="e">
        <f ca="1">Tableau1[[#This Row],[Dont 
HS 50%]]*1.5</f>
        <v>#VALUE!</v>
      </c>
    </row>
    <row r="404" spans="2:17" hidden="1" x14ac:dyDescent="0.25">
      <c r="B404" s="37">
        <f>_xlfn.ISOWEEKNUM(Tableau1[[#This Row],[Date]])</f>
        <v>18</v>
      </c>
      <c r="C404" s="14">
        <f>debut+ROW()-ROW(Tableau1[[#Headers],[Date]])-1</f>
        <v>45051</v>
      </c>
      <c r="D404" s="16">
        <f>MONTH(Tableau1[[#This Row],[Date]])</f>
        <v>5</v>
      </c>
      <c r="E404" s="16">
        <f>YEAR(Tableau1[[#This Row],[Date]])</f>
        <v>2023</v>
      </c>
      <c r="F404" s="32"/>
      <c r="G404" s="32"/>
      <c r="H404" s="32"/>
      <c r="I404" s="32"/>
      <c r="J404" s="3"/>
      <c r="K404" s="18">
        <f>MOD(Tableau1[[#This Row],[Fin
apm]]-Tableau1[[#This Row],[Début
apm]],1)+MOD(Tableau1[[#This Row],[Fin
matin]]-Tableau1[[#This Row],[Début
matin]],1)</f>
        <v>0</v>
      </c>
      <c r="L404" s="18">
        <f>IFERROR(VLOOKUP(Tableau1[[#This Row],[Abs.]],Tmotif[],3,0),0)</f>
        <v>0</v>
      </c>
      <c r="M404" s="18">
        <f ca="1">IF(WEEKDAY(Tableau1[[#This Row],[Date]],2)&lt;7,0,MAX(0,SUM(OFFSET(Tableau1[[#This Row],[Heures]],-6,,7))+SUM(OFFSET(Tableau1[[#This Row],[H_Abs]],-6,,7))-_HS))</f>
        <v>0</v>
      </c>
      <c r="N404" s="18" t="str">
        <f ca="1">IF(Tableau1[[#This Row],[HS]]&gt;0,IF(Tableau1[[#This Row],[HS]]*24&gt;8,8/24,Tableau1[[#This Row],[HS]]),"")</f>
        <v/>
      </c>
      <c r="O404" s="18" t="str">
        <f ca="1">IF(Tableau1[[#This Row],[HS]]*24&gt;8,Tableau1[[#This Row],[HS]]-Tableau1[[#This Row],[Dont
HS 30%]],"")</f>
        <v/>
      </c>
      <c r="P404" s="18" t="e">
        <f ca="1">Tableau1[[#This Row],[Dont
HS 30%]]*1.3</f>
        <v>#VALUE!</v>
      </c>
      <c r="Q404" s="18" t="e">
        <f ca="1">Tableau1[[#This Row],[Dont 
HS 50%]]*1.5</f>
        <v>#VALUE!</v>
      </c>
    </row>
    <row r="405" spans="2:17" hidden="1" x14ac:dyDescent="0.25">
      <c r="B405" s="37">
        <f>_xlfn.ISOWEEKNUM(Tableau1[[#This Row],[Date]])</f>
        <v>18</v>
      </c>
      <c r="C405" s="14">
        <f>debut+ROW()-ROW(Tableau1[[#Headers],[Date]])-1</f>
        <v>45052</v>
      </c>
      <c r="D405" s="16">
        <f>MONTH(Tableau1[[#This Row],[Date]])</f>
        <v>5</v>
      </c>
      <c r="E405" s="16">
        <f>YEAR(Tableau1[[#This Row],[Date]])</f>
        <v>2023</v>
      </c>
      <c r="F405" s="32"/>
      <c r="G405" s="32"/>
      <c r="H405" s="32"/>
      <c r="I405" s="32"/>
      <c r="J405" s="3"/>
      <c r="K405" s="18">
        <f>MOD(Tableau1[[#This Row],[Fin
apm]]-Tableau1[[#This Row],[Début
apm]],1)+MOD(Tableau1[[#This Row],[Fin
matin]]-Tableau1[[#This Row],[Début
matin]],1)</f>
        <v>0</v>
      </c>
      <c r="L405" s="18">
        <f>IFERROR(VLOOKUP(Tableau1[[#This Row],[Abs.]],Tmotif[],3,0),0)</f>
        <v>0</v>
      </c>
      <c r="M405" s="18">
        <f ca="1">IF(WEEKDAY(Tableau1[[#This Row],[Date]],2)&lt;7,0,MAX(0,SUM(OFFSET(Tableau1[[#This Row],[Heures]],-6,,7))+SUM(OFFSET(Tableau1[[#This Row],[H_Abs]],-6,,7))-_HS))</f>
        <v>0</v>
      </c>
      <c r="N405" s="18" t="str">
        <f ca="1">IF(Tableau1[[#This Row],[HS]]&gt;0,IF(Tableau1[[#This Row],[HS]]*24&gt;8,8/24,Tableau1[[#This Row],[HS]]),"")</f>
        <v/>
      </c>
      <c r="O405" s="18" t="str">
        <f ca="1">IF(Tableau1[[#This Row],[HS]]*24&gt;8,Tableau1[[#This Row],[HS]]-Tableau1[[#This Row],[Dont
HS 30%]],"")</f>
        <v/>
      </c>
      <c r="P405" s="18" t="e">
        <f ca="1">Tableau1[[#This Row],[Dont
HS 30%]]*1.3</f>
        <v>#VALUE!</v>
      </c>
      <c r="Q405" s="18" t="e">
        <f ca="1">Tableau1[[#This Row],[Dont 
HS 50%]]*1.5</f>
        <v>#VALUE!</v>
      </c>
    </row>
    <row r="406" spans="2:17" hidden="1" x14ac:dyDescent="0.25">
      <c r="B406" s="37">
        <f>_xlfn.ISOWEEKNUM(Tableau1[[#This Row],[Date]])</f>
        <v>18</v>
      </c>
      <c r="C406" s="14">
        <f>debut+ROW()-ROW(Tableau1[[#Headers],[Date]])-1</f>
        <v>45053</v>
      </c>
      <c r="D406" s="16">
        <f>MONTH(Tableau1[[#This Row],[Date]])</f>
        <v>5</v>
      </c>
      <c r="E406" s="16">
        <f>YEAR(Tableau1[[#This Row],[Date]])</f>
        <v>2023</v>
      </c>
      <c r="F406" s="32"/>
      <c r="G406" s="32"/>
      <c r="H406" s="32"/>
      <c r="I406" s="32"/>
      <c r="J406" s="3"/>
      <c r="K406" s="18">
        <f>MOD(Tableau1[[#This Row],[Fin
apm]]-Tableau1[[#This Row],[Début
apm]],1)+MOD(Tableau1[[#This Row],[Fin
matin]]-Tableau1[[#This Row],[Début
matin]],1)</f>
        <v>0</v>
      </c>
      <c r="L406" s="18">
        <f>IFERROR(VLOOKUP(Tableau1[[#This Row],[Abs.]],Tmotif[],3,0),0)</f>
        <v>0</v>
      </c>
      <c r="M406" s="18">
        <f ca="1">IF(WEEKDAY(Tableau1[[#This Row],[Date]],2)&lt;7,0,MAX(0,SUM(OFFSET(Tableau1[[#This Row],[Heures]],-6,,7))+SUM(OFFSET(Tableau1[[#This Row],[H_Abs]],-6,,7))-_HS))</f>
        <v>0</v>
      </c>
      <c r="N406" s="18" t="str">
        <f ca="1">IF(Tableau1[[#This Row],[HS]]&gt;0,IF(Tableau1[[#This Row],[HS]]*24&gt;8,8/24,Tableau1[[#This Row],[HS]]),"")</f>
        <v/>
      </c>
      <c r="O406" s="18" t="str">
        <f ca="1">IF(Tableau1[[#This Row],[HS]]*24&gt;8,Tableau1[[#This Row],[HS]]-Tableau1[[#This Row],[Dont
HS 30%]],"")</f>
        <v/>
      </c>
      <c r="P406" s="18" t="e">
        <f ca="1">Tableau1[[#This Row],[Dont
HS 30%]]*1.3</f>
        <v>#VALUE!</v>
      </c>
      <c r="Q406" s="18" t="e">
        <f ca="1">Tableau1[[#This Row],[Dont 
HS 50%]]*1.5</f>
        <v>#VALUE!</v>
      </c>
    </row>
    <row r="407" spans="2:17" hidden="1" x14ac:dyDescent="0.25">
      <c r="B407" s="37">
        <f>_xlfn.ISOWEEKNUM(Tableau1[[#This Row],[Date]])</f>
        <v>19</v>
      </c>
      <c r="C407" s="14">
        <f>debut+ROW()-ROW(Tableau1[[#Headers],[Date]])-1</f>
        <v>45054</v>
      </c>
      <c r="D407" s="16">
        <f>MONTH(Tableau1[[#This Row],[Date]])</f>
        <v>5</v>
      </c>
      <c r="E407" s="16">
        <f>YEAR(Tableau1[[#This Row],[Date]])</f>
        <v>2023</v>
      </c>
      <c r="F407" s="32"/>
      <c r="G407" s="32"/>
      <c r="H407" s="32"/>
      <c r="I407" s="32"/>
      <c r="J407" s="3"/>
      <c r="K407" s="18">
        <f>MOD(Tableau1[[#This Row],[Fin
apm]]-Tableau1[[#This Row],[Début
apm]],1)+MOD(Tableau1[[#This Row],[Fin
matin]]-Tableau1[[#This Row],[Début
matin]],1)</f>
        <v>0</v>
      </c>
      <c r="L407" s="18">
        <f>IFERROR(VLOOKUP(Tableau1[[#This Row],[Abs.]],Tmotif[],3,0),0)</f>
        <v>0</v>
      </c>
      <c r="M407" s="18">
        <f ca="1">IF(WEEKDAY(Tableau1[[#This Row],[Date]],2)&lt;7,0,MAX(0,SUM(OFFSET(Tableau1[[#This Row],[Heures]],-6,,7))+SUM(OFFSET(Tableau1[[#This Row],[H_Abs]],-6,,7))-_HS))</f>
        <v>0</v>
      </c>
      <c r="N407" s="18" t="str">
        <f ca="1">IF(Tableau1[[#This Row],[HS]]&gt;0,IF(Tableau1[[#This Row],[HS]]*24&gt;8,8/24,Tableau1[[#This Row],[HS]]),"")</f>
        <v/>
      </c>
      <c r="O407" s="18" t="str">
        <f ca="1">IF(Tableau1[[#This Row],[HS]]*24&gt;8,Tableau1[[#This Row],[HS]]-Tableau1[[#This Row],[Dont
HS 30%]],"")</f>
        <v/>
      </c>
      <c r="P407" s="18" t="e">
        <f ca="1">Tableau1[[#This Row],[Dont
HS 30%]]*1.3</f>
        <v>#VALUE!</v>
      </c>
      <c r="Q407" s="18" t="e">
        <f ca="1">Tableau1[[#This Row],[Dont 
HS 50%]]*1.5</f>
        <v>#VALUE!</v>
      </c>
    </row>
    <row r="408" spans="2:17" hidden="1" x14ac:dyDescent="0.25">
      <c r="B408" s="37">
        <f>_xlfn.ISOWEEKNUM(Tableau1[[#This Row],[Date]])</f>
        <v>19</v>
      </c>
      <c r="C408" s="14">
        <f>debut+ROW()-ROW(Tableau1[[#Headers],[Date]])-1</f>
        <v>45055</v>
      </c>
      <c r="D408" s="16">
        <f>MONTH(Tableau1[[#This Row],[Date]])</f>
        <v>5</v>
      </c>
      <c r="E408" s="16">
        <f>YEAR(Tableau1[[#This Row],[Date]])</f>
        <v>2023</v>
      </c>
      <c r="F408" s="32"/>
      <c r="G408" s="32"/>
      <c r="H408" s="32"/>
      <c r="I408" s="32"/>
      <c r="J408" s="3"/>
      <c r="K408" s="18">
        <f>MOD(Tableau1[[#This Row],[Fin
apm]]-Tableau1[[#This Row],[Début
apm]],1)+MOD(Tableau1[[#This Row],[Fin
matin]]-Tableau1[[#This Row],[Début
matin]],1)</f>
        <v>0</v>
      </c>
      <c r="L408" s="18">
        <f>IFERROR(VLOOKUP(Tableau1[[#This Row],[Abs.]],Tmotif[],3,0),0)</f>
        <v>0</v>
      </c>
      <c r="M408" s="18">
        <f ca="1">IF(WEEKDAY(Tableau1[[#This Row],[Date]],2)&lt;7,0,MAX(0,SUM(OFFSET(Tableau1[[#This Row],[Heures]],-6,,7))+SUM(OFFSET(Tableau1[[#This Row],[H_Abs]],-6,,7))-_HS))</f>
        <v>0</v>
      </c>
      <c r="N408" s="18" t="str">
        <f ca="1">IF(Tableau1[[#This Row],[HS]]&gt;0,IF(Tableau1[[#This Row],[HS]]*24&gt;8,8/24,Tableau1[[#This Row],[HS]]),"")</f>
        <v/>
      </c>
      <c r="O408" s="18" t="str">
        <f ca="1">IF(Tableau1[[#This Row],[HS]]*24&gt;8,Tableau1[[#This Row],[HS]]-Tableau1[[#This Row],[Dont
HS 30%]],"")</f>
        <v/>
      </c>
      <c r="P408" s="18" t="e">
        <f ca="1">Tableau1[[#This Row],[Dont
HS 30%]]*1.3</f>
        <v>#VALUE!</v>
      </c>
      <c r="Q408" s="18" t="e">
        <f ca="1">Tableau1[[#This Row],[Dont 
HS 50%]]*1.5</f>
        <v>#VALUE!</v>
      </c>
    </row>
    <row r="409" spans="2:17" hidden="1" x14ac:dyDescent="0.25">
      <c r="B409" s="37">
        <f>_xlfn.ISOWEEKNUM(Tableau1[[#This Row],[Date]])</f>
        <v>19</v>
      </c>
      <c r="C409" s="14">
        <f>debut+ROW()-ROW(Tableau1[[#Headers],[Date]])-1</f>
        <v>45056</v>
      </c>
      <c r="D409" s="16">
        <f>MONTH(Tableau1[[#This Row],[Date]])</f>
        <v>5</v>
      </c>
      <c r="E409" s="16">
        <f>YEAR(Tableau1[[#This Row],[Date]])</f>
        <v>2023</v>
      </c>
      <c r="F409" s="32"/>
      <c r="G409" s="32"/>
      <c r="H409" s="32"/>
      <c r="I409" s="32"/>
      <c r="J409" s="3"/>
      <c r="K409" s="18">
        <f>MOD(Tableau1[[#This Row],[Fin
apm]]-Tableau1[[#This Row],[Début
apm]],1)+MOD(Tableau1[[#This Row],[Fin
matin]]-Tableau1[[#This Row],[Début
matin]],1)</f>
        <v>0</v>
      </c>
      <c r="L409" s="18">
        <f>IFERROR(VLOOKUP(Tableau1[[#This Row],[Abs.]],Tmotif[],3,0),0)</f>
        <v>0</v>
      </c>
      <c r="M409" s="18">
        <f ca="1">IF(WEEKDAY(Tableau1[[#This Row],[Date]],2)&lt;7,0,MAX(0,SUM(OFFSET(Tableau1[[#This Row],[Heures]],-6,,7))+SUM(OFFSET(Tableau1[[#This Row],[H_Abs]],-6,,7))-_HS))</f>
        <v>0</v>
      </c>
      <c r="N409" s="18" t="str">
        <f ca="1">IF(Tableau1[[#This Row],[HS]]&gt;0,IF(Tableau1[[#This Row],[HS]]*24&gt;8,8/24,Tableau1[[#This Row],[HS]]),"")</f>
        <v/>
      </c>
      <c r="O409" s="18" t="str">
        <f ca="1">IF(Tableau1[[#This Row],[HS]]*24&gt;8,Tableau1[[#This Row],[HS]]-Tableau1[[#This Row],[Dont
HS 30%]],"")</f>
        <v/>
      </c>
      <c r="P409" s="18" t="e">
        <f ca="1">Tableau1[[#This Row],[Dont
HS 30%]]*1.3</f>
        <v>#VALUE!</v>
      </c>
      <c r="Q409" s="18" t="e">
        <f ca="1">Tableau1[[#This Row],[Dont 
HS 50%]]*1.5</f>
        <v>#VALUE!</v>
      </c>
    </row>
    <row r="410" spans="2:17" hidden="1" x14ac:dyDescent="0.25">
      <c r="B410" s="37">
        <f>_xlfn.ISOWEEKNUM(Tableau1[[#This Row],[Date]])</f>
        <v>19</v>
      </c>
      <c r="C410" s="14">
        <f>debut+ROW()-ROW(Tableau1[[#Headers],[Date]])-1</f>
        <v>45057</v>
      </c>
      <c r="D410" s="16">
        <f>MONTH(Tableau1[[#This Row],[Date]])</f>
        <v>5</v>
      </c>
      <c r="E410" s="16">
        <f>YEAR(Tableau1[[#This Row],[Date]])</f>
        <v>2023</v>
      </c>
      <c r="F410" s="32"/>
      <c r="G410" s="32"/>
      <c r="H410" s="32"/>
      <c r="I410" s="32"/>
      <c r="J410" s="3"/>
      <c r="K410" s="18">
        <f>MOD(Tableau1[[#This Row],[Fin
apm]]-Tableau1[[#This Row],[Début
apm]],1)+MOD(Tableau1[[#This Row],[Fin
matin]]-Tableau1[[#This Row],[Début
matin]],1)</f>
        <v>0</v>
      </c>
      <c r="L410" s="18">
        <f>IFERROR(VLOOKUP(Tableau1[[#This Row],[Abs.]],Tmotif[],3,0),0)</f>
        <v>0</v>
      </c>
      <c r="M410" s="18">
        <f ca="1">IF(WEEKDAY(Tableau1[[#This Row],[Date]],2)&lt;7,0,MAX(0,SUM(OFFSET(Tableau1[[#This Row],[Heures]],-6,,7))+SUM(OFFSET(Tableau1[[#This Row],[H_Abs]],-6,,7))-_HS))</f>
        <v>0</v>
      </c>
      <c r="N410" s="18" t="str">
        <f ca="1">IF(Tableau1[[#This Row],[HS]]&gt;0,IF(Tableau1[[#This Row],[HS]]*24&gt;8,8/24,Tableau1[[#This Row],[HS]]),"")</f>
        <v/>
      </c>
      <c r="O410" s="18" t="str">
        <f ca="1">IF(Tableau1[[#This Row],[HS]]*24&gt;8,Tableau1[[#This Row],[HS]]-Tableau1[[#This Row],[Dont
HS 30%]],"")</f>
        <v/>
      </c>
      <c r="P410" s="18" t="e">
        <f ca="1">Tableau1[[#This Row],[Dont
HS 30%]]*1.3</f>
        <v>#VALUE!</v>
      </c>
      <c r="Q410" s="18" t="e">
        <f ca="1">Tableau1[[#This Row],[Dont 
HS 50%]]*1.5</f>
        <v>#VALUE!</v>
      </c>
    </row>
    <row r="411" spans="2:17" hidden="1" x14ac:dyDescent="0.25">
      <c r="B411" s="37">
        <f>_xlfn.ISOWEEKNUM(Tableau1[[#This Row],[Date]])</f>
        <v>19</v>
      </c>
      <c r="C411" s="14">
        <f>debut+ROW()-ROW(Tableau1[[#Headers],[Date]])-1</f>
        <v>45058</v>
      </c>
      <c r="D411" s="16">
        <f>MONTH(Tableau1[[#This Row],[Date]])</f>
        <v>5</v>
      </c>
      <c r="E411" s="16">
        <f>YEAR(Tableau1[[#This Row],[Date]])</f>
        <v>2023</v>
      </c>
      <c r="F411" s="32"/>
      <c r="G411" s="32"/>
      <c r="H411" s="32"/>
      <c r="I411" s="32"/>
      <c r="J411" s="3"/>
      <c r="K411" s="18">
        <f>MOD(Tableau1[[#This Row],[Fin
apm]]-Tableau1[[#This Row],[Début
apm]],1)+MOD(Tableau1[[#This Row],[Fin
matin]]-Tableau1[[#This Row],[Début
matin]],1)</f>
        <v>0</v>
      </c>
      <c r="L411" s="18">
        <f>IFERROR(VLOOKUP(Tableau1[[#This Row],[Abs.]],Tmotif[],3,0),0)</f>
        <v>0</v>
      </c>
      <c r="M411" s="18">
        <f ca="1">IF(WEEKDAY(Tableau1[[#This Row],[Date]],2)&lt;7,0,MAX(0,SUM(OFFSET(Tableau1[[#This Row],[Heures]],-6,,7))+SUM(OFFSET(Tableau1[[#This Row],[H_Abs]],-6,,7))-_HS))</f>
        <v>0</v>
      </c>
      <c r="N411" s="18" t="str">
        <f ca="1">IF(Tableau1[[#This Row],[HS]]&gt;0,IF(Tableau1[[#This Row],[HS]]*24&gt;8,8/24,Tableau1[[#This Row],[HS]]),"")</f>
        <v/>
      </c>
      <c r="O411" s="18" t="str">
        <f ca="1">IF(Tableau1[[#This Row],[HS]]*24&gt;8,Tableau1[[#This Row],[HS]]-Tableau1[[#This Row],[Dont
HS 30%]],"")</f>
        <v/>
      </c>
      <c r="P411" s="18" t="e">
        <f ca="1">Tableau1[[#This Row],[Dont
HS 30%]]*1.3</f>
        <v>#VALUE!</v>
      </c>
      <c r="Q411" s="18" t="e">
        <f ca="1">Tableau1[[#This Row],[Dont 
HS 50%]]*1.5</f>
        <v>#VALUE!</v>
      </c>
    </row>
    <row r="412" spans="2:17" hidden="1" x14ac:dyDescent="0.25">
      <c r="B412" s="37">
        <f>_xlfn.ISOWEEKNUM(Tableau1[[#This Row],[Date]])</f>
        <v>19</v>
      </c>
      <c r="C412" s="14">
        <f>debut+ROW()-ROW(Tableau1[[#Headers],[Date]])-1</f>
        <v>45059</v>
      </c>
      <c r="D412" s="16">
        <f>MONTH(Tableau1[[#This Row],[Date]])</f>
        <v>5</v>
      </c>
      <c r="E412" s="16">
        <f>YEAR(Tableau1[[#This Row],[Date]])</f>
        <v>2023</v>
      </c>
      <c r="F412" s="32"/>
      <c r="G412" s="32"/>
      <c r="H412" s="32"/>
      <c r="I412" s="32"/>
      <c r="J412" s="3"/>
      <c r="K412" s="18">
        <f>MOD(Tableau1[[#This Row],[Fin
apm]]-Tableau1[[#This Row],[Début
apm]],1)+MOD(Tableau1[[#This Row],[Fin
matin]]-Tableau1[[#This Row],[Début
matin]],1)</f>
        <v>0</v>
      </c>
      <c r="L412" s="18">
        <f>IFERROR(VLOOKUP(Tableau1[[#This Row],[Abs.]],Tmotif[],3,0),0)</f>
        <v>0</v>
      </c>
      <c r="M412" s="18">
        <f ca="1">IF(WEEKDAY(Tableau1[[#This Row],[Date]],2)&lt;7,0,MAX(0,SUM(OFFSET(Tableau1[[#This Row],[Heures]],-6,,7))+SUM(OFFSET(Tableau1[[#This Row],[H_Abs]],-6,,7))-_HS))</f>
        <v>0</v>
      </c>
      <c r="N412" s="18" t="str">
        <f ca="1">IF(Tableau1[[#This Row],[HS]]&gt;0,IF(Tableau1[[#This Row],[HS]]*24&gt;8,8/24,Tableau1[[#This Row],[HS]]),"")</f>
        <v/>
      </c>
      <c r="O412" s="18" t="str">
        <f ca="1">IF(Tableau1[[#This Row],[HS]]*24&gt;8,Tableau1[[#This Row],[HS]]-Tableau1[[#This Row],[Dont
HS 30%]],"")</f>
        <v/>
      </c>
      <c r="P412" s="18" t="e">
        <f ca="1">Tableau1[[#This Row],[Dont
HS 30%]]*1.3</f>
        <v>#VALUE!</v>
      </c>
      <c r="Q412" s="18" t="e">
        <f ca="1">Tableau1[[#This Row],[Dont 
HS 50%]]*1.5</f>
        <v>#VALUE!</v>
      </c>
    </row>
    <row r="413" spans="2:17" hidden="1" x14ac:dyDescent="0.25">
      <c r="B413" s="37">
        <f>_xlfn.ISOWEEKNUM(Tableau1[[#This Row],[Date]])</f>
        <v>19</v>
      </c>
      <c r="C413" s="14">
        <f>debut+ROW()-ROW(Tableau1[[#Headers],[Date]])-1</f>
        <v>45060</v>
      </c>
      <c r="D413" s="16">
        <f>MONTH(Tableau1[[#This Row],[Date]])</f>
        <v>5</v>
      </c>
      <c r="E413" s="16">
        <f>YEAR(Tableau1[[#This Row],[Date]])</f>
        <v>2023</v>
      </c>
      <c r="F413" s="32"/>
      <c r="G413" s="32"/>
      <c r="H413" s="32"/>
      <c r="I413" s="32"/>
      <c r="J413" s="3"/>
      <c r="K413" s="18">
        <f>MOD(Tableau1[[#This Row],[Fin
apm]]-Tableau1[[#This Row],[Début
apm]],1)+MOD(Tableau1[[#This Row],[Fin
matin]]-Tableau1[[#This Row],[Début
matin]],1)</f>
        <v>0</v>
      </c>
      <c r="L413" s="18">
        <f>IFERROR(VLOOKUP(Tableau1[[#This Row],[Abs.]],Tmotif[],3,0),0)</f>
        <v>0</v>
      </c>
      <c r="M413" s="18">
        <f ca="1">IF(WEEKDAY(Tableau1[[#This Row],[Date]],2)&lt;7,0,MAX(0,SUM(OFFSET(Tableau1[[#This Row],[Heures]],-6,,7))+SUM(OFFSET(Tableau1[[#This Row],[H_Abs]],-6,,7))-_HS))</f>
        <v>0</v>
      </c>
      <c r="N413" s="18" t="str">
        <f ca="1">IF(Tableau1[[#This Row],[HS]]&gt;0,IF(Tableau1[[#This Row],[HS]]*24&gt;8,8/24,Tableau1[[#This Row],[HS]]),"")</f>
        <v/>
      </c>
      <c r="O413" s="18" t="str">
        <f ca="1">IF(Tableau1[[#This Row],[HS]]*24&gt;8,Tableau1[[#This Row],[HS]]-Tableau1[[#This Row],[Dont
HS 30%]],"")</f>
        <v/>
      </c>
      <c r="P413" s="18" t="e">
        <f ca="1">Tableau1[[#This Row],[Dont
HS 30%]]*1.3</f>
        <v>#VALUE!</v>
      </c>
      <c r="Q413" s="18" t="e">
        <f ca="1">Tableau1[[#This Row],[Dont 
HS 50%]]*1.5</f>
        <v>#VALUE!</v>
      </c>
    </row>
    <row r="414" spans="2:17" hidden="1" x14ac:dyDescent="0.25">
      <c r="B414" s="37">
        <f>_xlfn.ISOWEEKNUM(Tableau1[[#This Row],[Date]])</f>
        <v>20</v>
      </c>
      <c r="C414" s="14">
        <f>debut+ROW()-ROW(Tableau1[[#Headers],[Date]])-1</f>
        <v>45061</v>
      </c>
      <c r="D414" s="16">
        <f>MONTH(Tableau1[[#This Row],[Date]])</f>
        <v>5</v>
      </c>
      <c r="E414" s="16">
        <f>YEAR(Tableau1[[#This Row],[Date]])</f>
        <v>2023</v>
      </c>
      <c r="F414" s="32"/>
      <c r="G414" s="32"/>
      <c r="H414" s="32"/>
      <c r="I414" s="32"/>
      <c r="J414" s="3"/>
      <c r="K414" s="18">
        <f>MOD(Tableau1[[#This Row],[Fin
apm]]-Tableau1[[#This Row],[Début
apm]],1)+MOD(Tableau1[[#This Row],[Fin
matin]]-Tableau1[[#This Row],[Début
matin]],1)</f>
        <v>0</v>
      </c>
      <c r="L414" s="18">
        <f>IFERROR(VLOOKUP(Tableau1[[#This Row],[Abs.]],Tmotif[],3,0),0)</f>
        <v>0</v>
      </c>
      <c r="M414" s="18">
        <f ca="1">IF(WEEKDAY(Tableau1[[#This Row],[Date]],2)&lt;7,0,MAX(0,SUM(OFFSET(Tableau1[[#This Row],[Heures]],-6,,7))+SUM(OFFSET(Tableau1[[#This Row],[H_Abs]],-6,,7))-_HS))</f>
        <v>0</v>
      </c>
      <c r="N414" s="18" t="str">
        <f ca="1">IF(Tableau1[[#This Row],[HS]]&gt;0,IF(Tableau1[[#This Row],[HS]]*24&gt;8,8/24,Tableau1[[#This Row],[HS]]),"")</f>
        <v/>
      </c>
      <c r="O414" s="18" t="str">
        <f ca="1">IF(Tableau1[[#This Row],[HS]]*24&gt;8,Tableau1[[#This Row],[HS]]-Tableau1[[#This Row],[Dont
HS 30%]],"")</f>
        <v/>
      </c>
      <c r="P414" s="18" t="e">
        <f ca="1">Tableau1[[#This Row],[Dont
HS 30%]]*1.3</f>
        <v>#VALUE!</v>
      </c>
      <c r="Q414" s="18" t="e">
        <f ca="1">Tableau1[[#This Row],[Dont 
HS 50%]]*1.5</f>
        <v>#VALUE!</v>
      </c>
    </row>
    <row r="415" spans="2:17" hidden="1" x14ac:dyDescent="0.25">
      <c r="B415" s="37">
        <f>_xlfn.ISOWEEKNUM(Tableau1[[#This Row],[Date]])</f>
        <v>20</v>
      </c>
      <c r="C415" s="14">
        <f>debut+ROW()-ROW(Tableau1[[#Headers],[Date]])-1</f>
        <v>45062</v>
      </c>
      <c r="D415" s="16">
        <f>MONTH(Tableau1[[#This Row],[Date]])</f>
        <v>5</v>
      </c>
      <c r="E415" s="16">
        <f>YEAR(Tableau1[[#This Row],[Date]])</f>
        <v>2023</v>
      </c>
      <c r="F415" s="32"/>
      <c r="G415" s="32"/>
      <c r="H415" s="32"/>
      <c r="I415" s="32"/>
      <c r="J415" s="3"/>
      <c r="K415" s="18">
        <f>MOD(Tableau1[[#This Row],[Fin
apm]]-Tableau1[[#This Row],[Début
apm]],1)+MOD(Tableau1[[#This Row],[Fin
matin]]-Tableau1[[#This Row],[Début
matin]],1)</f>
        <v>0</v>
      </c>
      <c r="L415" s="18">
        <f>IFERROR(VLOOKUP(Tableau1[[#This Row],[Abs.]],Tmotif[],3,0),0)</f>
        <v>0</v>
      </c>
      <c r="M415" s="18">
        <f ca="1">IF(WEEKDAY(Tableau1[[#This Row],[Date]],2)&lt;7,0,MAX(0,SUM(OFFSET(Tableau1[[#This Row],[Heures]],-6,,7))+SUM(OFFSET(Tableau1[[#This Row],[H_Abs]],-6,,7))-_HS))</f>
        <v>0</v>
      </c>
      <c r="N415" s="18" t="str">
        <f ca="1">IF(Tableau1[[#This Row],[HS]]&gt;0,IF(Tableau1[[#This Row],[HS]]*24&gt;8,8/24,Tableau1[[#This Row],[HS]]),"")</f>
        <v/>
      </c>
      <c r="O415" s="18" t="str">
        <f ca="1">IF(Tableau1[[#This Row],[HS]]*24&gt;8,Tableau1[[#This Row],[HS]]-Tableau1[[#This Row],[Dont
HS 30%]],"")</f>
        <v/>
      </c>
      <c r="P415" s="18" t="e">
        <f ca="1">Tableau1[[#This Row],[Dont
HS 30%]]*1.3</f>
        <v>#VALUE!</v>
      </c>
      <c r="Q415" s="18" t="e">
        <f ca="1">Tableau1[[#This Row],[Dont 
HS 50%]]*1.5</f>
        <v>#VALUE!</v>
      </c>
    </row>
    <row r="416" spans="2:17" hidden="1" x14ac:dyDescent="0.25">
      <c r="B416" s="37">
        <f>_xlfn.ISOWEEKNUM(Tableau1[[#This Row],[Date]])</f>
        <v>20</v>
      </c>
      <c r="C416" s="14">
        <f>debut+ROW()-ROW(Tableau1[[#Headers],[Date]])-1</f>
        <v>45063</v>
      </c>
      <c r="D416" s="16">
        <f>MONTH(Tableau1[[#This Row],[Date]])</f>
        <v>5</v>
      </c>
      <c r="E416" s="16">
        <f>YEAR(Tableau1[[#This Row],[Date]])</f>
        <v>2023</v>
      </c>
      <c r="F416" s="32"/>
      <c r="G416" s="32"/>
      <c r="H416" s="32"/>
      <c r="I416" s="32"/>
      <c r="J416" s="3"/>
      <c r="K416" s="18">
        <f>MOD(Tableau1[[#This Row],[Fin
apm]]-Tableau1[[#This Row],[Début
apm]],1)+MOD(Tableau1[[#This Row],[Fin
matin]]-Tableau1[[#This Row],[Début
matin]],1)</f>
        <v>0</v>
      </c>
      <c r="L416" s="18">
        <f>IFERROR(VLOOKUP(Tableau1[[#This Row],[Abs.]],Tmotif[],3,0),0)</f>
        <v>0</v>
      </c>
      <c r="M416" s="18">
        <f ca="1">IF(WEEKDAY(Tableau1[[#This Row],[Date]],2)&lt;7,0,MAX(0,SUM(OFFSET(Tableau1[[#This Row],[Heures]],-6,,7))+SUM(OFFSET(Tableau1[[#This Row],[H_Abs]],-6,,7))-_HS))</f>
        <v>0</v>
      </c>
      <c r="N416" s="18" t="str">
        <f ca="1">IF(Tableau1[[#This Row],[HS]]&gt;0,IF(Tableau1[[#This Row],[HS]]*24&gt;8,8/24,Tableau1[[#This Row],[HS]]),"")</f>
        <v/>
      </c>
      <c r="O416" s="18" t="str">
        <f ca="1">IF(Tableau1[[#This Row],[HS]]*24&gt;8,Tableau1[[#This Row],[HS]]-Tableau1[[#This Row],[Dont
HS 30%]],"")</f>
        <v/>
      </c>
      <c r="P416" s="18" t="e">
        <f ca="1">Tableau1[[#This Row],[Dont
HS 30%]]*1.3</f>
        <v>#VALUE!</v>
      </c>
      <c r="Q416" s="18" t="e">
        <f ca="1">Tableau1[[#This Row],[Dont 
HS 50%]]*1.5</f>
        <v>#VALUE!</v>
      </c>
    </row>
    <row r="417" spans="2:17" hidden="1" x14ac:dyDescent="0.25">
      <c r="B417" s="37">
        <f>_xlfn.ISOWEEKNUM(Tableau1[[#This Row],[Date]])</f>
        <v>20</v>
      </c>
      <c r="C417" s="14">
        <f>debut+ROW()-ROW(Tableau1[[#Headers],[Date]])-1</f>
        <v>45064</v>
      </c>
      <c r="D417" s="16">
        <f>MONTH(Tableau1[[#This Row],[Date]])</f>
        <v>5</v>
      </c>
      <c r="E417" s="16">
        <f>YEAR(Tableau1[[#This Row],[Date]])</f>
        <v>2023</v>
      </c>
      <c r="F417" s="32"/>
      <c r="G417" s="32"/>
      <c r="H417" s="32"/>
      <c r="I417" s="32"/>
      <c r="J417" s="3"/>
      <c r="K417" s="18">
        <f>MOD(Tableau1[[#This Row],[Fin
apm]]-Tableau1[[#This Row],[Début
apm]],1)+MOD(Tableau1[[#This Row],[Fin
matin]]-Tableau1[[#This Row],[Début
matin]],1)</f>
        <v>0</v>
      </c>
      <c r="L417" s="18">
        <f>IFERROR(VLOOKUP(Tableau1[[#This Row],[Abs.]],Tmotif[],3,0),0)</f>
        <v>0</v>
      </c>
      <c r="M417" s="18">
        <f ca="1">IF(WEEKDAY(Tableau1[[#This Row],[Date]],2)&lt;7,0,MAX(0,SUM(OFFSET(Tableau1[[#This Row],[Heures]],-6,,7))+SUM(OFFSET(Tableau1[[#This Row],[H_Abs]],-6,,7))-_HS))</f>
        <v>0</v>
      </c>
      <c r="N417" s="18" t="str">
        <f ca="1">IF(Tableau1[[#This Row],[HS]]&gt;0,IF(Tableau1[[#This Row],[HS]]*24&gt;8,8/24,Tableau1[[#This Row],[HS]]),"")</f>
        <v/>
      </c>
      <c r="O417" s="18" t="str">
        <f ca="1">IF(Tableau1[[#This Row],[HS]]*24&gt;8,Tableau1[[#This Row],[HS]]-Tableau1[[#This Row],[Dont
HS 30%]],"")</f>
        <v/>
      </c>
      <c r="P417" s="18" t="e">
        <f ca="1">Tableau1[[#This Row],[Dont
HS 30%]]*1.3</f>
        <v>#VALUE!</v>
      </c>
      <c r="Q417" s="18" t="e">
        <f ca="1">Tableau1[[#This Row],[Dont 
HS 50%]]*1.5</f>
        <v>#VALUE!</v>
      </c>
    </row>
    <row r="418" spans="2:17" hidden="1" x14ac:dyDescent="0.25">
      <c r="B418" s="37">
        <f>_xlfn.ISOWEEKNUM(Tableau1[[#This Row],[Date]])</f>
        <v>20</v>
      </c>
      <c r="C418" s="14">
        <f>debut+ROW()-ROW(Tableau1[[#Headers],[Date]])-1</f>
        <v>45065</v>
      </c>
      <c r="D418" s="16">
        <f>MONTH(Tableau1[[#This Row],[Date]])</f>
        <v>5</v>
      </c>
      <c r="E418" s="16">
        <f>YEAR(Tableau1[[#This Row],[Date]])</f>
        <v>2023</v>
      </c>
      <c r="F418" s="32"/>
      <c r="G418" s="32"/>
      <c r="H418" s="32"/>
      <c r="I418" s="32"/>
      <c r="J418" s="3"/>
      <c r="K418" s="18">
        <f>MOD(Tableau1[[#This Row],[Fin
apm]]-Tableau1[[#This Row],[Début
apm]],1)+MOD(Tableau1[[#This Row],[Fin
matin]]-Tableau1[[#This Row],[Début
matin]],1)</f>
        <v>0</v>
      </c>
      <c r="L418" s="18">
        <f>IFERROR(VLOOKUP(Tableau1[[#This Row],[Abs.]],Tmotif[],3,0),0)</f>
        <v>0</v>
      </c>
      <c r="M418" s="18">
        <f ca="1">IF(WEEKDAY(Tableau1[[#This Row],[Date]],2)&lt;7,0,MAX(0,SUM(OFFSET(Tableau1[[#This Row],[Heures]],-6,,7))+SUM(OFFSET(Tableau1[[#This Row],[H_Abs]],-6,,7))-_HS))</f>
        <v>0</v>
      </c>
      <c r="N418" s="18" t="str">
        <f ca="1">IF(Tableau1[[#This Row],[HS]]&gt;0,IF(Tableau1[[#This Row],[HS]]*24&gt;8,8/24,Tableau1[[#This Row],[HS]]),"")</f>
        <v/>
      </c>
      <c r="O418" s="18" t="str">
        <f ca="1">IF(Tableau1[[#This Row],[HS]]*24&gt;8,Tableau1[[#This Row],[HS]]-Tableau1[[#This Row],[Dont
HS 30%]],"")</f>
        <v/>
      </c>
      <c r="P418" s="18" t="e">
        <f ca="1">Tableau1[[#This Row],[Dont
HS 30%]]*1.3</f>
        <v>#VALUE!</v>
      </c>
      <c r="Q418" s="18" t="e">
        <f ca="1">Tableau1[[#This Row],[Dont 
HS 50%]]*1.5</f>
        <v>#VALUE!</v>
      </c>
    </row>
    <row r="419" spans="2:17" hidden="1" x14ac:dyDescent="0.25">
      <c r="B419" s="37">
        <f>_xlfn.ISOWEEKNUM(Tableau1[[#This Row],[Date]])</f>
        <v>20</v>
      </c>
      <c r="C419" s="14">
        <f>debut+ROW()-ROW(Tableau1[[#Headers],[Date]])-1</f>
        <v>45066</v>
      </c>
      <c r="D419" s="16">
        <f>MONTH(Tableau1[[#This Row],[Date]])</f>
        <v>5</v>
      </c>
      <c r="E419" s="16">
        <f>YEAR(Tableau1[[#This Row],[Date]])</f>
        <v>2023</v>
      </c>
      <c r="F419" s="32"/>
      <c r="G419" s="32"/>
      <c r="H419" s="32"/>
      <c r="I419" s="32"/>
      <c r="J419" s="3"/>
      <c r="K419" s="18">
        <f>MOD(Tableau1[[#This Row],[Fin
apm]]-Tableau1[[#This Row],[Début
apm]],1)+MOD(Tableau1[[#This Row],[Fin
matin]]-Tableau1[[#This Row],[Début
matin]],1)</f>
        <v>0</v>
      </c>
      <c r="L419" s="18">
        <f>IFERROR(VLOOKUP(Tableau1[[#This Row],[Abs.]],Tmotif[],3,0),0)</f>
        <v>0</v>
      </c>
      <c r="M419" s="18">
        <f ca="1">IF(WEEKDAY(Tableau1[[#This Row],[Date]],2)&lt;7,0,MAX(0,SUM(OFFSET(Tableau1[[#This Row],[Heures]],-6,,7))+SUM(OFFSET(Tableau1[[#This Row],[H_Abs]],-6,,7))-_HS))</f>
        <v>0</v>
      </c>
      <c r="N419" s="18" t="str">
        <f ca="1">IF(Tableau1[[#This Row],[HS]]&gt;0,IF(Tableau1[[#This Row],[HS]]*24&gt;8,8/24,Tableau1[[#This Row],[HS]]),"")</f>
        <v/>
      </c>
      <c r="O419" s="18" t="str">
        <f ca="1">IF(Tableau1[[#This Row],[HS]]*24&gt;8,Tableau1[[#This Row],[HS]]-Tableau1[[#This Row],[Dont
HS 30%]],"")</f>
        <v/>
      </c>
      <c r="P419" s="18" t="e">
        <f ca="1">Tableau1[[#This Row],[Dont
HS 30%]]*1.3</f>
        <v>#VALUE!</v>
      </c>
      <c r="Q419" s="18" t="e">
        <f ca="1">Tableau1[[#This Row],[Dont 
HS 50%]]*1.5</f>
        <v>#VALUE!</v>
      </c>
    </row>
    <row r="420" spans="2:17" hidden="1" x14ac:dyDescent="0.25">
      <c r="B420" s="37">
        <f>_xlfn.ISOWEEKNUM(Tableau1[[#This Row],[Date]])</f>
        <v>20</v>
      </c>
      <c r="C420" s="14">
        <f>debut+ROW()-ROW(Tableau1[[#Headers],[Date]])-1</f>
        <v>45067</v>
      </c>
      <c r="D420" s="16">
        <f>MONTH(Tableau1[[#This Row],[Date]])</f>
        <v>5</v>
      </c>
      <c r="E420" s="16">
        <f>YEAR(Tableau1[[#This Row],[Date]])</f>
        <v>2023</v>
      </c>
      <c r="F420" s="32"/>
      <c r="G420" s="32"/>
      <c r="H420" s="32"/>
      <c r="I420" s="32"/>
      <c r="J420" s="3"/>
      <c r="K420" s="18">
        <f>MOD(Tableau1[[#This Row],[Fin
apm]]-Tableau1[[#This Row],[Début
apm]],1)+MOD(Tableau1[[#This Row],[Fin
matin]]-Tableau1[[#This Row],[Début
matin]],1)</f>
        <v>0</v>
      </c>
      <c r="L420" s="18">
        <f>IFERROR(VLOOKUP(Tableau1[[#This Row],[Abs.]],Tmotif[],3,0),0)</f>
        <v>0</v>
      </c>
      <c r="M420" s="18">
        <f ca="1">IF(WEEKDAY(Tableau1[[#This Row],[Date]],2)&lt;7,0,MAX(0,SUM(OFFSET(Tableau1[[#This Row],[Heures]],-6,,7))+SUM(OFFSET(Tableau1[[#This Row],[H_Abs]],-6,,7))-_HS))</f>
        <v>0</v>
      </c>
      <c r="N420" s="18" t="str">
        <f ca="1">IF(Tableau1[[#This Row],[HS]]&gt;0,IF(Tableau1[[#This Row],[HS]]*24&gt;8,8/24,Tableau1[[#This Row],[HS]]),"")</f>
        <v/>
      </c>
      <c r="O420" s="18" t="str">
        <f ca="1">IF(Tableau1[[#This Row],[HS]]*24&gt;8,Tableau1[[#This Row],[HS]]-Tableau1[[#This Row],[Dont
HS 30%]],"")</f>
        <v/>
      </c>
      <c r="P420" s="18" t="e">
        <f ca="1">Tableau1[[#This Row],[Dont
HS 30%]]*1.3</f>
        <v>#VALUE!</v>
      </c>
      <c r="Q420" s="18" t="e">
        <f ca="1">Tableau1[[#This Row],[Dont 
HS 50%]]*1.5</f>
        <v>#VALUE!</v>
      </c>
    </row>
    <row r="421" spans="2:17" hidden="1" x14ac:dyDescent="0.25">
      <c r="B421" s="37">
        <f>_xlfn.ISOWEEKNUM(Tableau1[[#This Row],[Date]])</f>
        <v>21</v>
      </c>
      <c r="C421" s="14">
        <f>debut+ROW()-ROW(Tableau1[[#Headers],[Date]])-1</f>
        <v>45068</v>
      </c>
      <c r="D421" s="16">
        <f>MONTH(Tableau1[[#This Row],[Date]])</f>
        <v>5</v>
      </c>
      <c r="E421" s="16">
        <f>YEAR(Tableau1[[#This Row],[Date]])</f>
        <v>2023</v>
      </c>
      <c r="F421" s="32"/>
      <c r="G421" s="32"/>
      <c r="H421" s="32"/>
      <c r="I421" s="32"/>
      <c r="J421" s="3"/>
      <c r="K421" s="18">
        <f>MOD(Tableau1[[#This Row],[Fin
apm]]-Tableau1[[#This Row],[Début
apm]],1)+MOD(Tableau1[[#This Row],[Fin
matin]]-Tableau1[[#This Row],[Début
matin]],1)</f>
        <v>0</v>
      </c>
      <c r="L421" s="18">
        <f>IFERROR(VLOOKUP(Tableau1[[#This Row],[Abs.]],Tmotif[],3,0),0)</f>
        <v>0</v>
      </c>
      <c r="M421" s="18">
        <f ca="1">IF(WEEKDAY(Tableau1[[#This Row],[Date]],2)&lt;7,0,MAX(0,SUM(OFFSET(Tableau1[[#This Row],[Heures]],-6,,7))+SUM(OFFSET(Tableau1[[#This Row],[H_Abs]],-6,,7))-_HS))</f>
        <v>0</v>
      </c>
      <c r="N421" s="18" t="str">
        <f ca="1">IF(Tableau1[[#This Row],[HS]]&gt;0,IF(Tableau1[[#This Row],[HS]]*24&gt;8,8/24,Tableau1[[#This Row],[HS]]),"")</f>
        <v/>
      </c>
      <c r="O421" s="18" t="str">
        <f ca="1">IF(Tableau1[[#This Row],[HS]]*24&gt;8,Tableau1[[#This Row],[HS]]-Tableau1[[#This Row],[Dont
HS 30%]],"")</f>
        <v/>
      </c>
      <c r="P421" s="18" t="e">
        <f ca="1">Tableau1[[#This Row],[Dont
HS 30%]]*1.3</f>
        <v>#VALUE!</v>
      </c>
      <c r="Q421" s="18" t="e">
        <f ca="1">Tableau1[[#This Row],[Dont 
HS 50%]]*1.5</f>
        <v>#VALUE!</v>
      </c>
    </row>
    <row r="422" spans="2:17" hidden="1" x14ac:dyDescent="0.25">
      <c r="B422" s="37">
        <f>_xlfn.ISOWEEKNUM(Tableau1[[#This Row],[Date]])</f>
        <v>21</v>
      </c>
      <c r="C422" s="14">
        <f>debut+ROW()-ROW(Tableau1[[#Headers],[Date]])-1</f>
        <v>45069</v>
      </c>
      <c r="D422" s="16">
        <f>MONTH(Tableau1[[#This Row],[Date]])</f>
        <v>5</v>
      </c>
      <c r="E422" s="16">
        <f>YEAR(Tableau1[[#This Row],[Date]])</f>
        <v>2023</v>
      </c>
      <c r="F422" s="32"/>
      <c r="G422" s="32"/>
      <c r="H422" s="32"/>
      <c r="I422" s="32"/>
      <c r="J422" s="3"/>
      <c r="K422" s="18">
        <f>MOD(Tableau1[[#This Row],[Fin
apm]]-Tableau1[[#This Row],[Début
apm]],1)+MOD(Tableau1[[#This Row],[Fin
matin]]-Tableau1[[#This Row],[Début
matin]],1)</f>
        <v>0</v>
      </c>
      <c r="L422" s="18">
        <f>IFERROR(VLOOKUP(Tableau1[[#This Row],[Abs.]],Tmotif[],3,0),0)</f>
        <v>0</v>
      </c>
      <c r="M422" s="18">
        <f ca="1">IF(WEEKDAY(Tableau1[[#This Row],[Date]],2)&lt;7,0,MAX(0,SUM(OFFSET(Tableau1[[#This Row],[Heures]],-6,,7))+SUM(OFFSET(Tableau1[[#This Row],[H_Abs]],-6,,7))-_HS))</f>
        <v>0</v>
      </c>
      <c r="N422" s="18" t="str">
        <f ca="1">IF(Tableau1[[#This Row],[HS]]&gt;0,IF(Tableau1[[#This Row],[HS]]*24&gt;8,8/24,Tableau1[[#This Row],[HS]]),"")</f>
        <v/>
      </c>
      <c r="O422" s="18" t="str">
        <f ca="1">IF(Tableau1[[#This Row],[HS]]*24&gt;8,Tableau1[[#This Row],[HS]]-Tableau1[[#This Row],[Dont
HS 30%]],"")</f>
        <v/>
      </c>
      <c r="P422" s="18" t="e">
        <f ca="1">Tableau1[[#This Row],[Dont
HS 30%]]*1.3</f>
        <v>#VALUE!</v>
      </c>
      <c r="Q422" s="18" t="e">
        <f ca="1">Tableau1[[#This Row],[Dont 
HS 50%]]*1.5</f>
        <v>#VALUE!</v>
      </c>
    </row>
    <row r="423" spans="2:17" hidden="1" x14ac:dyDescent="0.25">
      <c r="B423" s="37">
        <f>_xlfn.ISOWEEKNUM(Tableau1[[#This Row],[Date]])</f>
        <v>21</v>
      </c>
      <c r="C423" s="14">
        <f>debut+ROW()-ROW(Tableau1[[#Headers],[Date]])-1</f>
        <v>45070</v>
      </c>
      <c r="D423" s="16">
        <f>MONTH(Tableau1[[#This Row],[Date]])</f>
        <v>5</v>
      </c>
      <c r="E423" s="16">
        <f>YEAR(Tableau1[[#This Row],[Date]])</f>
        <v>2023</v>
      </c>
      <c r="F423" s="32"/>
      <c r="G423" s="32"/>
      <c r="H423" s="32"/>
      <c r="I423" s="32"/>
      <c r="J423" s="3"/>
      <c r="K423" s="18">
        <f>MOD(Tableau1[[#This Row],[Fin
apm]]-Tableau1[[#This Row],[Début
apm]],1)+MOD(Tableau1[[#This Row],[Fin
matin]]-Tableau1[[#This Row],[Début
matin]],1)</f>
        <v>0</v>
      </c>
      <c r="L423" s="18">
        <f>IFERROR(VLOOKUP(Tableau1[[#This Row],[Abs.]],Tmotif[],3,0),0)</f>
        <v>0</v>
      </c>
      <c r="M423" s="18">
        <f ca="1">IF(WEEKDAY(Tableau1[[#This Row],[Date]],2)&lt;7,0,MAX(0,SUM(OFFSET(Tableau1[[#This Row],[Heures]],-6,,7))+SUM(OFFSET(Tableau1[[#This Row],[H_Abs]],-6,,7))-_HS))</f>
        <v>0</v>
      </c>
      <c r="N423" s="18" t="str">
        <f ca="1">IF(Tableau1[[#This Row],[HS]]&gt;0,IF(Tableau1[[#This Row],[HS]]*24&gt;8,8/24,Tableau1[[#This Row],[HS]]),"")</f>
        <v/>
      </c>
      <c r="O423" s="18" t="str">
        <f ca="1">IF(Tableau1[[#This Row],[HS]]*24&gt;8,Tableau1[[#This Row],[HS]]-Tableau1[[#This Row],[Dont
HS 30%]],"")</f>
        <v/>
      </c>
      <c r="P423" s="18" t="e">
        <f ca="1">Tableau1[[#This Row],[Dont
HS 30%]]*1.3</f>
        <v>#VALUE!</v>
      </c>
      <c r="Q423" s="18" t="e">
        <f ca="1">Tableau1[[#This Row],[Dont 
HS 50%]]*1.5</f>
        <v>#VALUE!</v>
      </c>
    </row>
    <row r="424" spans="2:17" hidden="1" x14ac:dyDescent="0.25">
      <c r="B424" s="37">
        <f>_xlfn.ISOWEEKNUM(Tableau1[[#This Row],[Date]])</f>
        <v>21</v>
      </c>
      <c r="C424" s="14">
        <f>debut+ROW()-ROW(Tableau1[[#Headers],[Date]])-1</f>
        <v>45071</v>
      </c>
      <c r="D424" s="16">
        <f>MONTH(Tableau1[[#This Row],[Date]])</f>
        <v>5</v>
      </c>
      <c r="E424" s="16">
        <f>YEAR(Tableau1[[#This Row],[Date]])</f>
        <v>2023</v>
      </c>
      <c r="F424" s="32"/>
      <c r="G424" s="32"/>
      <c r="H424" s="32"/>
      <c r="I424" s="32"/>
      <c r="J424" s="3"/>
      <c r="K424" s="18">
        <f>MOD(Tableau1[[#This Row],[Fin
apm]]-Tableau1[[#This Row],[Début
apm]],1)+MOD(Tableau1[[#This Row],[Fin
matin]]-Tableau1[[#This Row],[Début
matin]],1)</f>
        <v>0</v>
      </c>
      <c r="L424" s="18">
        <f>IFERROR(VLOOKUP(Tableau1[[#This Row],[Abs.]],Tmotif[],3,0),0)</f>
        <v>0</v>
      </c>
      <c r="M424" s="18">
        <f ca="1">IF(WEEKDAY(Tableau1[[#This Row],[Date]],2)&lt;7,0,MAX(0,SUM(OFFSET(Tableau1[[#This Row],[Heures]],-6,,7))+SUM(OFFSET(Tableau1[[#This Row],[H_Abs]],-6,,7))-_HS))</f>
        <v>0</v>
      </c>
      <c r="N424" s="18" t="str">
        <f ca="1">IF(Tableau1[[#This Row],[HS]]&gt;0,IF(Tableau1[[#This Row],[HS]]*24&gt;8,8/24,Tableau1[[#This Row],[HS]]),"")</f>
        <v/>
      </c>
      <c r="O424" s="18" t="str">
        <f ca="1">IF(Tableau1[[#This Row],[HS]]*24&gt;8,Tableau1[[#This Row],[HS]]-Tableau1[[#This Row],[Dont
HS 30%]],"")</f>
        <v/>
      </c>
      <c r="P424" s="18" t="e">
        <f ca="1">Tableau1[[#This Row],[Dont
HS 30%]]*1.3</f>
        <v>#VALUE!</v>
      </c>
      <c r="Q424" s="18" t="e">
        <f ca="1">Tableau1[[#This Row],[Dont 
HS 50%]]*1.5</f>
        <v>#VALUE!</v>
      </c>
    </row>
    <row r="425" spans="2:17" hidden="1" x14ac:dyDescent="0.25">
      <c r="B425" s="37">
        <f>_xlfn.ISOWEEKNUM(Tableau1[[#This Row],[Date]])</f>
        <v>21</v>
      </c>
      <c r="C425" s="14">
        <f>debut+ROW()-ROW(Tableau1[[#Headers],[Date]])-1</f>
        <v>45072</v>
      </c>
      <c r="D425" s="16">
        <f>MONTH(Tableau1[[#This Row],[Date]])</f>
        <v>5</v>
      </c>
      <c r="E425" s="16">
        <f>YEAR(Tableau1[[#This Row],[Date]])</f>
        <v>2023</v>
      </c>
      <c r="F425" s="32"/>
      <c r="G425" s="32"/>
      <c r="H425" s="32"/>
      <c r="I425" s="32"/>
      <c r="J425" s="3"/>
      <c r="K425" s="18">
        <f>MOD(Tableau1[[#This Row],[Fin
apm]]-Tableau1[[#This Row],[Début
apm]],1)+MOD(Tableau1[[#This Row],[Fin
matin]]-Tableau1[[#This Row],[Début
matin]],1)</f>
        <v>0</v>
      </c>
      <c r="L425" s="18">
        <f>IFERROR(VLOOKUP(Tableau1[[#This Row],[Abs.]],Tmotif[],3,0),0)</f>
        <v>0</v>
      </c>
      <c r="M425" s="18">
        <f ca="1">IF(WEEKDAY(Tableau1[[#This Row],[Date]],2)&lt;7,0,MAX(0,SUM(OFFSET(Tableau1[[#This Row],[Heures]],-6,,7))+SUM(OFFSET(Tableau1[[#This Row],[H_Abs]],-6,,7))-_HS))</f>
        <v>0</v>
      </c>
      <c r="N425" s="18" t="str">
        <f ca="1">IF(Tableau1[[#This Row],[HS]]&gt;0,IF(Tableau1[[#This Row],[HS]]*24&gt;8,8/24,Tableau1[[#This Row],[HS]]),"")</f>
        <v/>
      </c>
      <c r="O425" s="18" t="str">
        <f ca="1">IF(Tableau1[[#This Row],[HS]]*24&gt;8,Tableau1[[#This Row],[HS]]-Tableau1[[#This Row],[Dont
HS 30%]],"")</f>
        <v/>
      </c>
      <c r="P425" s="18" t="e">
        <f ca="1">Tableau1[[#This Row],[Dont
HS 30%]]*1.3</f>
        <v>#VALUE!</v>
      </c>
      <c r="Q425" s="18" t="e">
        <f ca="1">Tableau1[[#This Row],[Dont 
HS 50%]]*1.5</f>
        <v>#VALUE!</v>
      </c>
    </row>
    <row r="426" spans="2:17" hidden="1" x14ac:dyDescent="0.25">
      <c r="B426" s="37">
        <f>_xlfn.ISOWEEKNUM(Tableau1[[#This Row],[Date]])</f>
        <v>21</v>
      </c>
      <c r="C426" s="14">
        <f>debut+ROW()-ROW(Tableau1[[#Headers],[Date]])-1</f>
        <v>45073</v>
      </c>
      <c r="D426" s="16">
        <f>MONTH(Tableau1[[#This Row],[Date]])</f>
        <v>5</v>
      </c>
      <c r="E426" s="16">
        <f>YEAR(Tableau1[[#This Row],[Date]])</f>
        <v>2023</v>
      </c>
      <c r="F426" s="32"/>
      <c r="G426" s="32"/>
      <c r="H426" s="32"/>
      <c r="I426" s="32"/>
      <c r="J426" s="3"/>
      <c r="K426" s="18">
        <f>MOD(Tableau1[[#This Row],[Fin
apm]]-Tableau1[[#This Row],[Début
apm]],1)+MOD(Tableau1[[#This Row],[Fin
matin]]-Tableau1[[#This Row],[Début
matin]],1)</f>
        <v>0</v>
      </c>
      <c r="L426" s="18">
        <f>IFERROR(VLOOKUP(Tableau1[[#This Row],[Abs.]],Tmotif[],3,0),0)</f>
        <v>0</v>
      </c>
      <c r="M426" s="18">
        <f ca="1">IF(WEEKDAY(Tableau1[[#This Row],[Date]],2)&lt;7,0,MAX(0,SUM(OFFSET(Tableau1[[#This Row],[Heures]],-6,,7))+SUM(OFFSET(Tableau1[[#This Row],[H_Abs]],-6,,7))-_HS))</f>
        <v>0</v>
      </c>
      <c r="N426" s="18" t="str">
        <f ca="1">IF(Tableau1[[#This Row],[HS]]&gt;0,IF(Tableau1[[#This Row],[HS]]*24&gt;8,8/24,Tableau1[[#This Row],[HS]]),"")</f>
        <v/>
      </c>
      <c r="O426" s="18" t="str">
        <f ca="1">IF(Tableau1[[#This Row],[HS]]*24&gt;8,Tableau1[[#This Row],[HS]]-Tableau1[[#This Row],[Dont
HS 30%]],"")</f>
        <v/>
      </c>
      <c r="P426" s="18" t="e">
        <f ca="1">Tableau1[[#This Row],[Dont
HS 30%]]*1.3</f>
        <v>#VALUE!</v>
      </c>
      <c r="Q426" s="18" t="e">
        <f ca="1">Tableau1[[#This Row],[Dont 
HS 50%]]*1.5</f>
        <v>#VALUE!</v>
      </c>
    </row>
    <row r="427" spans="2:17" hidden="1" x14ac:dyDescent="0.25">
      <c r="B427" s="37">
        <f>_xlfn.ISOWEEKNUM(Tableau1[[#This Row],[Date]])</f>
        <v>21</v>
      </c>
      <c r="C427" s="14">
        <f>debut+ROW()-ROW(Tableau1[[#Headers],[Date]])-1</f>
        <v>45074</v>
      </c>
      <c r="D427" s="16">
        <f>MONTH(Tableau1[[#This Row],[Date]])</f>
        <v>5</v>
      </c>
      <c r="E427" s="16">
        <f>YEAR(Tableau1[[#This Row],[Date]])</f>
        <v>2023</v>
      </c>
      <c r="F427" s="32"/>
      <c r="G427" s="32"/>
      <c r="H427" s="32"/>
      <c r="I427" s="32"/>
      <c r="J427" s="3"/>
      <c r="K427" s="18">
        <f>MOD(Tableau1[[#This Row],[Fin
apm]]-Tableau1[[#This Row],[Début
apm]],1)+MOD(Tableau1[[#This Row],[Fin
matin]]-Tableau1[[#This Row],[Début
matin]],1)</f>
        <v>0</v>
      </c>
      <c r="L427" s="18">
        <f>IFERROR(VLOOKUP(Tableau1[[#This Row],[Abs.]],Tmotif[],3,0),0)</f>
        <v>0</v>
      </c>
      <c r="M427" s="18">
        <f ca="1">IF(WEEKDAY(Tableau1[[#This Row],[Date]],2)&lt;7,0,MAX(0,SUM(OFFSET(Tableau1[[#This Row],[Heures]],-6,,7))+SUM(OFFSET(Tableau1[[#This Row],[H_Abs]],-6,,7))-_HS))</f>
        <v>0</v>
      </c>
      <c r="N427" s="18" t="str">
        <f ca="1">IF(Tableau1[[#This Row],[HS]]&gt;0,IF(Tableau1[[#This Row],[HS]]*24&gt;8,8/24,Tableau1[[#This Row],[HS]]),"")</f>
        <v/>
      </c>
      <c r="O427" s="18" t="str">
        <f ca="1">IF(Tableau1[[#This Row],[HS]]*24&gt;8,Tableau1[[#This Row],[HS]]-Tableau1[[#This Row],[Dont
HS 30%]],"")</f>
        <v/>
      </c>
      <c r="P427" s="18" t="e">
        <f ca="1">Tableau1[[#This Row],[Dont
HS 30%]]*1.3</f>
        <v>#VALUE!</v>
      </c>
      <c r="Q427" s="18" t="e">
        <f ca="1">Tableau1[[#This Row],[Dont 
HS 50%]]*1.5</f>
        <v>#VALUE!</v>
      </c>
    </row>
    <row r="428" spans="2:17" hidden="1" x14ac:dyDescent="0.25">
      <c r="B428" s="37">
        <f>_xlfn.ISOWEEKNUM(Tableau1[[#This Row],[Date]])</f>
        <v>22</v>
      </c>
      <c r="C428" s="14">
        <f>debut+ROW()-ROW(Tableau1[[#Headers],[Date]])-1</f>
        <v>45075</v>
      </c>
      <c r="D428" s="16">
        <f>MONTH(Tableau1[[#This Row],[Date]])</f>
        <v>5</v>
      </c>
      <c r="E428" s="16">
        <f>YEAR(Tableau1[[#This Row],[Date]])</f>
        <v>2023</v>
      </c>
      <c r="F428" s="32"/>
      <c r="G428" s="32"/>
      <c r="H428" s="32"/>
      <c r="I428" s="32"/>
      <c r="J428" s="3"/>
      <c r="K428" s="18">
        <f>MOD(Tableau1[[#This Row],[Fin
apm]]-Tableau1[[#This Row],[Début
apm]],1)+MOD(Tableau1[[#This Row],[Fin
matin]]-Tableau1[[#This Row],[Début
matin]],1)</f>
        <v>0</v>
      </c>
      <c r="L428" s="18">
        <f>IFERROR(VLOOKUP(Tableau1[[#This Row],[Abs.]],Tmotif[],3,0),0)</f>
        <v>0</v>
      </c>
      <c r="M428" s="18">
        <f ca="1">IF(WEEKDAY(Tableau1[[#This Row],[Date]],2)&lt;7,0,MAX(0,SUM(OFFSET(Tableau1[[#This Row],[Heures]],-6,,7))+SUM(OFFSET(Tableau1[[#This Row],[H_Abs]],-6,,7))-_HS))</f>
        <v>0</v>
      </c>
      <c r="N428" s="18" t="str">
        <f ca="1">IF(Tableau1[[#This Row],[HS]]&gt;0,IF(Tableau1[[#This Row],[HS]]*24&gt;8,8/24,Tableau1[[#This Row],[HS]]),"")</f>
        <v/>
      </c>
      <c r="O428" s="18" t="str">
        <f ca="1">IF(Tableau1[[#This Row],[HS]]*24&gt;8,Tableau1[[#This Row],[HS]]-Tableau1[[#This Row],[Dont
HS 30%]],"")</f>
        <v/>
      </c>
      <c r="P428" s="18" t="e">
        <f ca="1">Tableau1[[#This Row],[Dont
HS 30%]]*1.3</f>
        <v>#VALUE!</v>
      </c>
      <c r="Q428" s="18" t="e">
        <f ca="1">Tableau1[[#This Row],[Dont 
HS 50%]]*1.5</f>
        <v>#VALUE!</v>
      </c>
    </row>
    <row r="429" spans="2:17" hidden="1" x14ac:dyDescent="0.25">
      <c r="B429" s="37">
        <f>_xlfn.ISOWEEKNUM(Tableau1[[#This Row],[Date]])</f>
        <v>22</v>
      </c>
      <c r="C429" s="14">
        <f>debut+ROW()-ROW(Tableau1[[#Headers],[Date]])-1</f>
        <v>45076</v>
      </c>
      <c r="D429" s="16">
        <f>MONTH(Tableau1[[#This Row],[Date]])</f>
        <v>5</v>
      </c>
      <c r="E429" s="16">
        <f>YEAR(Tableau1[[#This Row],[Date]])</f>
        <v>2023</v>
      </c>
      <c r="F429" s="32"/>
      <c r="G429" s="32"/>
      <c r="H429" s="32"/>
      <c r="I429" s="32"/>
      <c r="J429" s="3"/>
      <c r="K429" s="18">
        <f>MOD(Tableau1[[#This Row],[Fin
apm]]-Tableau1[[#This Row],[Début
apm]],1)+MOD(Tableau1[[#This Row],[Fin
matin]]-Tableau1[[#This Row],[Début
matin]],1)</f>
        <v>0</v>
      </c>
      <c r="L429" s="18">
        <f>IFERROR(VLOOKUP(Tableau1[[#This Row],[Abs.]],Tmotif[],3,0),0)</f>
        <v>0</v>
      </c>
      <c r="M429" s="18">
        <f ca="1">IF(WEEKDAY(Tableau1[[#This Row],[Date]],2)&lt;7,0,MAX(0,SUM(OFFSET(Tableau1[[#This Row],[Heures]],-6,,7))+SUM(OFFSET(Tableau1[[#This Row],[H_Abs]],-6,,7))-_HS))</f>
        <v>0</v>
      </c>
      <c r="N429" s="18" t="str">
        <f ca="1">IF(Tableau1[[#This Row],[HS]]&gt;0,IF(Tableau1[[#This Row],[HS]]*24&gt;8,8/24,Tableau1[[#This Row],[HS]]),"")</f>
        <v/>
      </c>
      <c r="O429" s="18" t="str">
        <f ca="1">IF(Tableau1[[#This Row],[HS]]*24&gt;8,Tableau1[[#This Row],[HS]]-Tableau1[[#This Row],[Dont
HS 30%]],"")</f>
        <v/>
      </c>
      <c r="P429" s="18" t="e">
        <f ca="1">Tableau1[[#This Row],[Dont
HS 30%]]*1.3</f>
        <v>#VALUE!</v>
      </c>
      <c r="Q429" s="18" t="e">
        <f ca="1">Tableau1[[#This Row],[Dont 
HS 50%]]*1.5</f>
        <v>#VALUE!</v>
      </c>
    </row>
    <row r="430" spans="2:17" hidden="1" x14ac:dyDescent="0.25">
      <c r="B430" s="37">
        <f>_xlfn.ISOWEEKNUM(Tableau1[[#This Row],[Date]])</f>
        <v>22</v>
      </c>
      <c r="C430" s="14">
        <f>debut+ROW()-ROW(Tableau1[[#Headers],[Date]])-1</f>
        <v>45077</v>
      </c>
      <c r="D430" s="16">
        <f>MONTH(Tableau1[[#This Row],[Date]])</f>
        <v>5</v>
      </c>
      <c r="E430" s="16">
        <f>YEAR(Tableau1[[#This Row],[Date]])</f>
        <v>2023</v>
      </c>
      <c r="F430" s="32"/>
      <c r="G430" s="32"/>
      <c r="H430" s="32"/>
      <c r="I430" s="32"/>
      <c r="J430" s="3"/>
      <c r="K430" s="18">
        <f>MOD(Tableau1[[#This Row],[Fin
apm]]-Tableau1[[#This Row],[Début
apm]],1)+MOD(Tableau1[[#This Row],[Fin
matin]]-Tableau1[[#This Row],[Début
matin]],1)</f>
        <v>0</v>
      </c>
      <c r="L430" s="18">
        <f>IFERROR(VLOOKUP(Tableau1[[#This Row],[Abs.]],Tmotif[],3,0),0)</f>
        <v>0</v>
      </c>
      <c r="M430" s="18">
        <f ca="1">IF(WEEKDAY(Tableau1[[#This Row],[Date]],2)&lt;7,0,MAX(0,SUM(OFFSET(Tableau1[[#This Row],[Heures]],-6,,7))+SUM(OFFSET(Tableau1[[#This Row],[H_Abs]],-6,,7))-_HS))</f>
        <v>0</v>
      </c>
      <c r="N430" s="18" t="str">
        <f ca="1">IF(Tableau1[[#This Row],[HS]]&gt;0,IF(Tableau1[[#This Row],[HS]]*24&gt;8,8/24,Tableau1[[#This Row],[HS]]),"")</f>
        <v/>
      </c>
      <c r="O430" s="18" t="str">
        <f ca="1">IF(Tableau1[[#This Row],[HS]]*24&gt;8,Tableau1[[#This Row],[HS]]-Tableau1[[#This Row],[Dont
HS 30%]],"")</f>
        <v/>
      </c>
      <c r="P430" s="18" t="e">
        <f ca="1">Tableau1[[#This Row],[Dont
HS 30%]]*1.3</f>
        <v>#VALUE!</v>
      </c>
      <c r="Q430" s="18" t="e">
        <f ca="1">Tableau1[[#This Row],[Dont 
HS 50%]]*1.5</f>
        <v>#VALUE!</v>
      </c>
    </row>
    <row r="431" spans="2:17" hidden="1" x14ac:dyDescent="0.25">
      <c r="B431" s="37">
        <f>_xlfn.ISOWEEKNUM(Tableau1[[#This Row],[Date]])</f>
        <v>22</v>
      </c>
      <c r="C431" s="14">
        <f>debut+ROW()-ROW(Tableau1[[#Headers],[Date]])-1</f>
        <v>45078</v>
      </c>
      <c r="D431" s="16">
        <f>MONTH(Tableau1[[#This Row],[Date]])</f>
        <v>6</v>
      </c>
      <c r="E431" s="16">
        <f>YEAR(Tableau1[[#This Row],[Date]])</f>
        <v>2023</v>
      </c>
      <c r="F431" s="32"/>
      <c r="G431" s="32"/>
      <c r="H431" s="32"/>
      <c r="I431" s="32"/>
      <c r="J431" s="3"/>
      <c r="K431" s="18">
        <f>MOD(Tableau1[[#This Row],[Fin
apm]]-Tableau1[[#This Row],[Début
apm]],1)+MOD(Tableau1[[#This Row],[Fin
matin]]-Tableau1[[#This Row],[Début
matin]],1)</f>
        <v>0</v>
      </c>
      <c r="L431" s="18">
        <f>IFERROR(VLOOKUP(Tableau1[[#This Row],[Abs.]],Tmotif[],3,0),0)</f>
        <v>0</v>
      </c>
      <c r="M431" s="18">
        <f ca="1">IF(WEEKDAY(Tableau1[[#This Row],[Date]],2)&lt;7,0,MAX(0,SUM(OFFSET(Tableau1[[#This Row],[Heures]],-6,,7))+SUM(OFFSET(Tableau1[[#This Row],[H_Abs]],-6,,7))-_HS))</f>
        <v>0</v>
      </c>
      <c r="N431" s="18" t="str">
        <f ca="1">IF(Tableau1[[#This Row],[HS]]&gt;0,IF(Tableau1[[#This Row],[HS]]*24&gt;8,8/24,Tableau1[[#This Row],[HS]]),"")</f>
        <v/>
      </c>
      <c r="O431" s="18" t="str">
        <f ca="1">IF(Tableau1[[#This Row],[HS]]*24&gt;8,Tableau1[[#This Row],[HS]]-Tableau1[[#This Row],[Dont
HS 30%]],"")</f>
        <v/>
      </c>
      <c r="P431" s="18" t="e">
        <f ca="1">Tableau1[[#This Row],[Dont
HS 30%]]*1.3</f>
        <v>#VALUE!</v>
      </c>
      <c r="Q431" s="18" t="e">
        <f ca="1">Tableau1[[#This Row],[Dont 
HS 50%]]*1.5</f>
        <v>#VALUE!</v>
      </c>
    </row>
    <row r="432" spans="2:17" hidden="1" x14ac:dyDescent="0.25">
      <c r="B432" s="37">
        <f>_xlfn.ISOWEEKNUM(Tableau1[[#This Row],[Date]])</f>
        <v>22</v>
      </c>
      <c r="C432" s="14">
        <f>debut+ROW()-ROW(Tableau1[[#Headers],[Date]])-1</f>
        <v>45079</v>
      </c>
      <c r="D432" s="16">
        <f>MONTH(Tableau1[[#This Row],[Date]])</f>
        <v>6</v>
      </c>
      <c r="E432" s="16">
        <f>YEAR(Tableau1[[#This Row],[Date]])</f>
        <v>2023</v>
      </c>
      <c r="F432" s="32"/>
      <c r="G432" s="32"/>
      <c r="H432" s="32"/>
      <c r="I432" s="32"/>
      <c r="J432" s="3"/>
      <c r="K432" s="18">
        <f>MOD(Tableau1[[#This Row],[Fin
apm]]-Tableau1[[#This Row],[Début
apm]],1)+MOD(Tableau1[[#This Row],[Fin
matin]]-Tableau1[[#This Row],[Début
matin]],1)</f>
        <v>0</v>
      </c>
      <c r="L432" s="18">
        <f>IFERROR(VLOOKUP(Tableau1[[#This Row],[Abs.]],Tmotif[],3,0),0)</f>
        <v>0</v>
      </c>
      <c r="M432" s="18">
        <f ca="1">IF(WEEKDAY(Tableau1[[#This Row],[Date]],2)&lt;7,0,MAX(0,SUM(OFFSET(Tableau1[[#This Row],[Heures]],-6,,7))+SUM(OFFSET(Tableau1[[#This Row],[H_Abs]],-6,,7))-_HS))</f>
        <v>0</v>
      </c>
      <c r="N432" s="18" t="str">
        <f ca="1">IF(Tableau1[[#This Row],[HS]]&gt;0,IF(Tableau1[[#This Row],[HS]]*24&gt;8,8/24,Tableau1[[#This Row],[HS]]),"")</f>
        <v/>
      </c>
      <c r="O432" s="18" t="str">
        <f ca="1">IF(Tableau1[[#This Row],[HS]]*24&gt;8,Tableau1[[#This Row],[HS]]-Tableau1[[#This Row],[Dont
HS 30%]],"")</f>
        <v/>
      </c>
      <c r="P432" s="18" t="e">
        <f ca="1">Tableau1[[#This Row],[Dont
HS 30%]]*1.3</f>
        <v>#VALUE!</v>
      </c>
      <c r="Q432" s="18" t="e">
        <f ca="1">Tableau1[[#This Row],[Dont 
HS 50%]]*1.5</f>
        <v>#VALUE!</v>
      </c>
    </row>
    <row r="433" spans="2:17" hidden="1" x14ac:dyDescent="0.25">
      <c r="B433" s="37">
        <f>_xlfn.ISOWEEKNUM(Tableau1[[#This Row],[Date]])</f>
        <v>22</v>
      </c>
      <c r="C433" s="14">
        <f>debut+ROW()-ROW(Tableau1[[#Headers],[Date]])-1</f>
        <v>45080</v>
      </c>
      <c r="D433" s="16">
        <f>MONTH(Tableau1[[#This Row],[Date]])</f>
        <v>6</v>
      </c>
      <c r="E433" s="16">
        <f>YEAR(Tableau1[[#This Row],[Date]])</f>
        <v>2023</v>
      </c>
      <c r="F433" s="32"/>
      <c r="G433" s="32"/>
      <c r="H433" s="32"/>
      <c r="I433" s="32"/>
      <c r="J433" s="3"/>
      <c r="K433" s="18">
        <f>MOD(Tableau1[[#This Row],[Fin
apm]]-Tableau1[[#This Row],[Début
apm]],1)+MOD(Tableau1[[#This Row],[Fin
matin]]-Tableau1[[#This Row],[Début
matin]],1)</f>
        <v>0</v>
      </c>
      <c r="L433" s="18">
        <f>IFERROR(VLOOKUP(Tableau1[[#This Row],[Abs.]],Tmotif[],3,0),0)</f>
        <v>0</v>
      </c>
      <c r="M433" s="18">
        <f ca="1">IF(WEEKDAY(Tableau1[[#This Row],[Date]],2)&lt;7,0,MAX(0,SUM(OFFSET(Tableau1[[#This Row],[Heures]],-6,,7))+SUM(OFFSET(Tableau1[[#This Row],[H_Abs]],-6,,7))-_HS))</f>
        <v>0</v>
      </c>
      <c r="N433" s="18" t="str">
        <f ca="1">IF(Tableau1[[#This Row],[HS]]&gt;0,IF(Tableau1[[#This Row],[HS]]*24&gt;8,8/24,Tableau1[[#This Row],[HS]]),"")</f>
        <v/>
      </c>
      <c r="O433" s="18" t="str">
        <f ca="1">IF(Tableau1[[#This Row],[HS]]*24&gt;8,Tableau1[[#This Row],[HS]]-Tableau1[[#This Row],[Dont
HS 30%]],"")</f>
        <v/>
      </c>
      <c r="P433" s="18" t="e">
        <f ca="1">Tableau1[[#This Row],[Dont
HS 30%]]*1.3</f>
        <v>#VALUE!</v>
      </c>
      <c r="Q433" s="18" t="e">
        <f ca="1">Tableau1[[#This Row],[Dont 
HS 50%]]*1.5</f>
        <v>#VALUE!</v>
      </c>
    </row>
    <row r="434" spans="2:17" hidden="1" x14ac:dyDescent="0.25">
      <c r="B434" s="37">
        <f>_xlfn.ISOWEEKNUM(Tableau1[[#This Row],[Date]])</f>
        <v>22</v>
      </c>
      <c r="C434" s="14">
        <f>debut+ROW()-ROW(Tableau1[[#Headers],[Date]])-1</f>
        <v>45081</v>
      </c>
      <c r="D434" s="16">
        <f>MONTH(Tableau1[[#This Row],[Date]])</f>
        <v>6</v>
      </c>
      <c r="E434" s="16">
        <f>YEAR(Tableau1[[#This Row],[Date]])</f>
        <v>2023</v>
      </c>
      <c r="F434" s="32"/>
      <c r="G434" s="32"/>
      <c r="H434" s="32"/>
      <c r="I434" s="32"/>
      <c r="J434" s="3"/>
      <c r="K434" s="18">
        <f>MOD(Tableau1[[#This Row],[Fin
apm]]-Tableau1[[#This Row],[Début
apm]],1)+MOD(Tableau1[[#This Row],[Fin
matin]]-Tableau1[[#This Row],[Début
matin]],1)</f>
        <v>0</v>
      </c>
      <c r="L434" s="18">
        <f>IFERROR(VLOOKUP(Tableau1[[#This Row],[Abs.]],Tmotif[],3,0),0)</f>
        <v>0</v>
      </c>
      <c r="M434" s="18">
        <f ca="1">IF(WEEKDAY(Tableau1[[#This Row],[Date]],2)&lt;7,0,MAX(0,SUM(OFFSET(Tableau1[[#This Row],[Heures]],-6,,7))+SUM(OFFSET(Tableau1[[#This Row],[H_Abs]],-6,,7))-_HS))</f>
        <v>0</v>
      </c>
      <c r="N434" s="18" t="str">
        <f ca="1">IF(Tableau1[[#This Row],[HS]]&gt;0,IF(Tableau1[[#This Row],[HS]]*24&gt;8,8/24,Tableau1[[#This Row],[HS]]),"")</f>
        <v/>
      </c>
      <c r="O434" s="18" t="str">
        <f ca="1">IF(Tableau1[[#This Row],[HS]]*24&gt;8,Tableau1[[#This Row],[HS]]-Tableau1[[#This Row],[Dont
HS 30%]],"")</f>
        <v/>
      </c>
      <c r="P434" s="18" t="e">
        <f ca="1">Tableau1[[#This Row],[Dont
HS 30%]]*1.3</f>
        <v>#VALUE!</v>
      </c>
      <c r="Q434" s="18" t="e">
        <f ca="1">Tableau1[[#This Row],[Dont 
HS 50%]]*1.5</f>
        <v>#VALUE!</v>
      </c>
    </row>
    <row r="435" spans="2:17" hidden="1" x14ac:dyDescent="0.25">
      <c r="B435" s="37">
        <f>_xlfn.ISOWEEKNUM(Tableau1[[#This Row],[Date]])</f>
        <v>23</v>
      </c>
      <c r="C435" s="14">
        <f>debut+ROW()-ROW(Tableau1[[#Headers],[Date]])-1</f>
        <v>45082</v>
      </c>
      <c r="D435" s="16">
        <f>MONTH(Tableau1[[#This Row],[Date]])</f>
        <v>6</v>
      </c>
      <c r="E435" s="16">
        <f>YEAR(Tableau1[[#This Row],[Date]])</f>
        <v>2023</v>
      </c>
      <c r="F435" s="32"/>
      <c r="G435" s="32"/>
      <c r="H435" s="32"/>
      <c r="I435" s="32"/>
      <c r="J435" s="3"/>
      <c r="K435" s="18">
        <f>MOD(Tableau1[[#This Row],[Fin
apm]]-Tableau1[[#This Row],[Début
apm]],1)+MOD(Tableau1[[#This Row],[Fin
matin]]-Tableau1[[#This Row],[Début
matin]],1)</f>
        <v>0</v>
      </c>
      <c r="L435" s="18">
        <f>IFERROR(VLOOKUP(Tableau1[[#This Row],[Abs.]],Tmotif[],3,0),0)</f>
        <v>0</v>
      </c>
      <c r="M435" s="18">
        <f ca="1">IF(WEEKDAY(Tableau1[[#This Row],[Date]],2)&lt;7,0,MAX(0,SUM(OFFSET(Tableau1[[#This Row],[Heures]],-6,,7))+SUM(OFFSET(Tableau1[[#This Row],[H_Abs]],-6,,7))-_HS))</f>
        <v>0</v>
      </c>
      <c r="N435" s="18" t="str">
        <f ca="1">IF(Tableau1[[#This Row],[HS]]&gt;0,IF(Tableau1[[#This Row],[HS]]*24&gt;8,8/24,Tableau1[[#This Row],[HS]]),"")</f>
        <v/>
      </c>
      <c r="O435" s="18" t="str">
        <f ca="1">IF(Tableau1[[#This Row],[HS]]*24&gt;8,Tableau1[[#This Row],[HS]]-Tableau1[[#This Row],[Dont
HS 30%]],"")</f>
        <v/>
      </c>
      <c r="P435" s="18" t="e">
        <f ca="1">Tableau1[[#This Row],[Dont
HS 30%]]*1.3</f>
        <v>#VALUE!</v>
      </c>
      <c r="Q435" s="18" t="e">
        <f ca="1">Tableau1[[#This Row],[Dont 
HS 50%]]*1.5</f>
        <v>#VALUE!</v>
      </c>
    </row>
    <row r="436" spans="2:17" hidden="1" x14ac:dyDescent="0.25">
      <c r="B436" s="37">
        <f>_xlfn.ISOWEEKNUM(Tableau1[[#This Row],[Date]])</f>
        <v>23</v>
      </c>
      <c r="C436" s="14">
        <f>debut+ROW()-ROW(Tableau1[[#Headers],[Date]])-1</f>
        <v>45083</v>
      </c>
      <c r="D436" s="16">
        <f>MONTH(Tableau1[[#This Row],[Date]])</f>
        <v>6</v>
      </c>
      <c r="E436" s="16">
        <f>YEAR(Tableau1[[#This Row],[Date]])</f>
        <v>2023</v>
      </c>
      <c r="F436" s="32"/>
      <c r="G436" s="32"/>
      <c r="H436" s="32"/>
      <c r="I436" s="32"/>
      <c r="J436" s="3"/>
      <c r="K436" s="18">
        <f>MOD(Tableau1[[#This Row],[Fin
apm]]-Tableau1[[#This Row],[Début
apm]],1)+MOD(Tableau1[[#This Row],[Fin
matin]]-Tableau1[[#This Row],[Début
matin]],1)</f>
        <v>0</v>
      </c>
      <c r="L436" s="18">
        <f>IFERROR(VLOOKUP(Tableau1[[#This Row],[Abs.]],Tmotif[],3,0),0)</f>
        <v>0</v>
      </c>
      <c r="M436" s="18">
        <f ca="1">IF(WEEKDAY(Tableau1[[#This Row],[Date]],2)&lt;7,0,MAX(0,SUM(OFFSET(Tableau1[[#This Row],[Heures]],-6,,7))+SUM(OFFSET(Tableau1[[#This Row],[H_Abs]],-6,,7))-_HS))</f>
        <v>0</v>
      </c>
      <c r="N436" s="18" t="str">
        <f ca="1">IF(Tableau1[[#This Row],[HS]]&gt;0,IF(Tableau1[[#This Row],[HS]]*24&gt;8,8/24,Tableau1[[#This Row],[HS]]),"")</f>
        <v/>
      </c>
      <c r="O436" s="18" t="str">
        <f ca="1">IF(Tableau1[[#This Row],[HS]]*24&gt;8,Tableau1[[#This Row],[HS]]-Tableau1[[#This Row],[Dont
HS 30%]],"")</f>
        <v/>
      </c>
      <c r="P436" s="18" t="e">
        <f ca="1">Tableau1[[#This Row],[Dont
HS 30%]]*1.3</f>
        <v>#VALUE!</v>
      </c>
      <c r="Q436" s="18" t="e">
        <f ca="1">Tableau1[[#This Row],[Dont 
HS 50%]]*1.5</f>
        <v>#VALUE!</v>
      </c>
    </row>
    <row r="437" spans="2:17" hidden="1" x14ac:dyDescent="0.25">
      <c r="B437" s="37">
        <f>_xlfn.ISOWEEKNUM(Tableau1[[#This Row],[Date]])</f>
        <v>23</v>
      </c>
      <c r="C437" s="14">
        <f>debut+ROW()-ROW(Tableau1[[#Headers],[Date]])-1</f>
        <v>45084</v>
      </c>
      <c r="D437" s="16">
        <f>MONTH(Tableau1[[#This Row],[Date]])</f>
        <v>6</v>
      </c>
      <c r="E437" s="16">
        <f>YEAR(Tableau1[[#This Row],[Date]])</f>
        <v>2023</v>
      </c>
      <c r="F437" s="32"/>
      <c r="G437" s="32"/>
      <c r="H437" s="32"/>
      <c r="I437" s="32"/>
      <c r="J437" s="3"/>
      <c r="K437" s="18">
        <f>MOD(Tableau1[[#This Row],[Fin
apm]]-Tableau1[[#This Row],[Début
apm]],1)+MOD(Tableau1[[#This Row],[Fin
matin]]-Tableau1[[#This Row],[Début
matin]],1)</f>
        <v>0</v>
      </c>
      <c r="L437" s="18">
        <f>IFERROR(VLOOKUP(Tableau1[[#This Row],[Abs.]],Tmotif[],3,0),0)</f>
        <v>0</v>
      </c>
      <c r="M437" s="18">
        <f ca="1">IF(WEEKDAY(Tableau1[[#This Row],[Date]],2)&lt;7,0,MAX(0,SUM(OFFSET(Tableau1[[#This Row],[Heures]],-6,,7))+SUM(OFFSET(Tableau1[[#This Row],[H_Abs]],-6,,7))-_HS))</f>
        <v>0</v>
      </c>
      <c r="N437" s="18" t="str">
        <f ca="1">IF(Tableau1[[#This Row],[HS]]&gt;0,IF(Tableau1[[#This Row],[HS]]*24&gt;8,8/24,Tableau1[[#This Row],[HS]]),"")</f>
        <v/>
      </c>
      <c r="O437" s="18" t="str">
        <f ca="1">IF(Tableau1[[#This Row],[HS]]*24&gt;8,Tableau1[[#This Row],[HS]]-Tableau1[[#This Row],[Dont
HS 30%]],"")</f>
        <v/>
      </c>
      <c r="P437" s="18" t="e">
        <f ca="1">Tableau1[[#This Row],[Dont
HS 30%]]*1.3</f>
        <v>#VALUE!</v>
      </c>
      <c r="Q437" s="18" t="e">
        <f ca="1">Tableau1[[#This Row],[Dont 
HS 50%]]*1.5</f>
        <v>#VALUE!</v>
      </c>
    </row>
    <row r="438" spans="2:17" hidden="1" x14ac:dyDescent="0.25">
      <c r="B438" s="37">
        <f>_xlfn.ISOWEEKNUM(Tableau1[[#This Row],[Date]])</f>
        <v>23</v>
      </c>
      <c r="C438" s="14">
        <f>debut+ROW()-ROW(Tableau1[[#Headers],[Date]])-1</f>
        <v>45085</v>
      </c>
      <c r="D438" s="16">
        <f>MONTH(Tableau1[[#This Row],[Date]])</f>
        <v>6</v>
      </c>
      <c r="E438" s="16">
        <f>YEAR(Tableau1[[#This Row],[Date]])</f>
        <v>2023</v>
      </c>
      <c r="F438" s="32"/>
      <c r="G438" s="32"/>
      <c r="H438" s="32"/>
      <c r="I438" s="32"/>
      <c r="J438" s="3"/>
      <c r="K438" s="18">
        <f>MOD(Tableau1[[#This Row],[Fin
apm]]-Tableau1[[#This Row],[Début
apm]],1)+MOD(Tableau1[[#This Row],[Fin
matin]]-Tableau1[[#This Row],[Début
matin]],1)</f>
        <v>0</v>
      </c>
      <c r="L438" s="18">
        <f>IFERROR(VLOOKUP(Tableau1[[#This Row],[Abs.]],Tmotif[],3,0),0)</f>
        <v>0</v>
      </c>
      <c r="M438" s="18">
        <f ca="1">IF(WEEKDAY(Tableau1[[#This Row],[Date]],2)&lt;7,0,MAX(0,SUM(OFFSET(Tableau1[[#This Row],[Heures]],-6,,7))+SUM(OFFSET(Tableau1[[#This Row],[H_Abs]],-6,,7))-_HS))</f>
        <v>0</v>
      </c>
      <c r="N438" s="18" t="str">
        <f ca="1">IF(Tableau1[[#This Row],[HS]]&gt;0,IF(Tableau1[[#This Row],[HS]]*24&gt;8,8/24,Tableau1[[#This Row],[HS]]),"")</f>
        <v/>
      </c>
      <c r="O438" s="18" t="str">
        <f ca="1">IF(Tableau1[[#This Row],[HS]]*24&gt;8,Tableau1[[#This Row],[HS]]-Tableau1[[#This Row],[Dont
HS 30%]],"")</f>
        <v/>
      </c>
      <c r="P438" s="18" t="e">
        <f ca="1">Tableau1[[#This Row],[Dont
HS 30%]]*1.3</f>
        <v>#VALUE!</v>
      </c>
      <c r="Q438" s="18" t="e">
        <f ca="1">Tableau1[[#This Row],[Dont 
HS 50%]]*1.5</f>
        <v>#VALUE!</v>
      </c>
    </row>
    <row r="439" spans="2:17" hidden="1" x14ac:dyDescent="0.25">
      <c r="B439" s="37">
        <f>_xlfn.ISOWEEKNUM(Tableau1[[#This Row],[Date]])</f>
        <v>23</v>
      </c>
      <c r="C439" s="14">
        <f>debut+ROW()-ROW(Tableau1[[#Headers],[Date]])-1</f>
        <v>45086</v>
      </c>
      <c r="D439" s="16">
        <f>MONTH(Tableau1[[#This Row],[Date]])</f>
        <v>6</v>
      </c>
      <c r="E439" s="16">
        <f>YEAR(Tableau1[[#This Row],[Date]])</f>
        <v>2023</v>
      </c>
      <c r="F439" s="32"/>
      <c r="G439" s="32"/>
      <c r="H439" s="32"/>
      <c r="I439" s="32"/>
      <c r="J439" s="3"/>
      <c r="K439" s="18">
        <f>MOD(Tableau1[[#This Row],[Fin
apm]]-Tableau1[[#This Row],[Début
apm]],1)+MOD(Tableau1[[#This Row],[Fin
matin]]-Tableau1[[#This Row],[Début
matin]],1)</f>
        <v>0</v>
      </c>
      <c r="L439" s="18">
        <f>IFERROR(VLOOKUP(Tableau1[[#This Row],[Abs.]],Tmotif[],3,0),0)</f>
        <v>0</v>
      </c>
      <c r="M439" s="18">
        <f ca="1">IF(WEEKDAY(Tableau1[[#This Row],[Date]],2)&lt;7,0,MAX(0,SUM(OFFSET(Tableau1[[#This Row],[Heures]],-6,,7))+SUM(OFFSET(Tableau1[[#This Row],[H_Abs]],-6,,7))-_HS))</f>
        <v>0</v>
      </c>
      <c r="N439" s="18" t="str">
        <f ca="1">IF(Tableau1[[#This Row],[HS]]&gt;0,IF(Tableau1[[#This Row],[HS]]*24&gt;8,8/24,Tableau1[[#This Row],[HS]]),"")</f>
        <v/>
      </c>
      <c r="O439" s="18" t="str">
        <f ca="1">IF(Tableau1[[#This Row],[HS]]*24&gt;8,Tableau1[[#This Row],[HS]]-Tableau1[[#This Row],[Dont
HS 30%]],"")</f>
        <v/>
      </c>
      <c r="P439" s="18" t="e">
        <f ca="1">Tableau1[[#This Row],[Dont
HS 30%]]*1.3</f>
        <v>#VALUE!</v>
      </c>
      <c r="Q439" s="18" t="e">
        <f ca="1">Tableau1[[#This Row],[Dont 
HS 50%]]*1.5</f>
        <v>#VALUE!</v>
      </c>
    </row>
    <row r="440" spans="2:17" hidden="1" x14ac:dyDescent="0.25">
      <c r="B440" s="37">
        <f>_xlfn.ISOWEEKNUM(Tableau1[[#This Row],[Date]])</f>
        <v>23</v>
      </c>
      <c r="C440" s="14">
        <f>debut+ROW()-ROW(Tableau1[[#Headers],[Date]])-1</f>
        <v>45087</v>
      </c>
      <c r="D440" s="16">
        <f>MONTH(Tableau1[[#This Row],[Date]])</f>
        <v>6</v>
      </c>
      <c r="E440" s="16">
        <f>YEAR(Tableau1[[#This Row],[Date]])</f>
        <v>2023</v>
      </c>
      <c r="F440" s="32"/>
      <c r="G440" s="32"/>
      <c r="H440" s="32"/>
      <c r="I440" s="32"/>
      <c r="J440" s="3"/>
      <c r="K440" s="18">
        <f>MOD(Tableau1[[#This Row],[Fin
apm]]-Tableau1[[#This Row],[Début
apm]],1)+MOD(Tableau1[[#This Row],[Fin
matin]]-Tableau1[[#This Row],[Début
matin]],1)</f>
        <v>0</v>
      </c>
      <c r="L440" s="18">
        <f>IFERROR(VLOOKUP(Tableau1[[#This Row],[Abs.]],Tmotif[],3,0),0)</f>
        <v>0</v>
      </c>
      <c r="M440" s="18">
        <f ca="1">IF(WEEKDAY(Tableau1[[#This Row],[Date]],2)&lt;7,0,MAX(0,SUM(OFFSET(Tableau1[[#This Row],[Heures]],-6,,7))+SUM(OFFSET(Tableau1[[#This Row],[H_Abs]],-6,,7))-_HS))</f>
        <v>0</v>
      </c>
      <c r="N440" s="18" t="str">
        <f ca="1">IF(Tableau1[[#This Row],[HS]]&gt;0,IF(Tableau1[[#This Row],[HS]]*24&gt;8,8/24,Tableau1[[#This Row],[HS]]),"")</f>
        <v/>
      </c>
      <c r="O440" s="18" t="str">
        <f ca="1">IF(Tableau1[[#This Row],[HS]]*24&gt;8,Tableau1[[#This Row],[HS]]-Tableau1[[#This Row],[Dont
HS 30%]],"")</f>
        <v/>
      </c>
      <c r="P440" s="18" t="e">
        <f ca="1">Tableau1[[#This Row],[Dont
HS 30%]]*1.3</f>
        <v>#VALUE!</v>
      </c>
      <c r="Q440" s="18" t="e">
        <f ca="1">Tableau1[[#This Row],[Dont 
HS 50%]]*1.5</f>
        <v>#VALUE!</v>
      </c>
    </row>
    <row r="441" spans="2:17" hidden="1" x14ac:dyDescent="0.25">
      <c r="B441" s="37">
        <f>_xlfn.ISOWEEKNUM(Tableau1[[#This Row],[Date]])</f>
        <v>23</v>
      </c>
      <c r="C441" s="14">
        <f>debut+ROW()-ROW(Tableau1[[#Headers],[Date]])-1</f>
        <v>45088</v>
      </c>
      <c r="D441" s="16">
        <f>MONTH(Tableau1[[#This Row],[Date]])</f>
        <v>6</v>
      </c>
      <c r="E441" s="16">
        <f>YEAR(Tableau1[[#This Row],[Date]])</f>
        <v>2023</v>
      </c>
      <c r="F441" s="32"/>
      <c r="G441" s="32"/>
      <c r="H441" s="32"/>
      <c r="I441" s="32"/>
      <c r="J441" s="3"/>
      <c r="K441" s="18">
        <f>MOD(Tableau1[[#This Row],[Fin
apm]]-Tableau1[[#This Row],[Début
apm]],1)+MOD(Tableau1[[#This Row],[Fin
matin]]-Tableau1[[#This Row],[Début
matin]],1)</f>
        <v>0</v>
      </c>
      <c r="L441" s="18">
        <f>IFERROR(VLOOKUP(Tableau1[[#This Row],[Abs.]],Tmotif[],3,0),0)</f>
        <v>0</v>
      </c>
      <c r="M441" s="18">
        <f ca="1">IF(WEEKDAY(Tableau1[[#This Row],[Date]],2)&lt;7,0,MAX(0,SUM(OFFSET(Tableau1[[#This Row],[Heures]],-6,,7))+SUM(OFFSET(Tableau1[[#This Row],[H_Abs]],-6,,7))-_HS))</f>
        <v>0</v>
      </c>
      <c r="N441" s="18" t="str">
        <f ca="1">IF(Tableau1[[#This Row],[HS]]&gt;0,IF(Tableau1[[#This Row],[HS]]*24&gt;8,8/24,Tableau1[[#This Row],[HS]]),"")</f>
        <v/>
      </c>
      <c r="O441" s="18" t="str">
        <f ca="1">IF(Tableau1[[#This Row],[HS]]*24&gt;8,Tableau1[[#This Row],[HS]]-Tableau1[[#This Row],[Dont
HS 30%]],"")</f>
        <v/>
      </c>
      <c r="P441" s="18" t="e">
        <f ca="1">Tableau1[[#This Row],[Dont
HS 30%]]*1.3</f>
        <v>#VALUE!</v>
      </c>
      <c r="Q441" s="18" t="e">
        <f ca="1">Tableau1[[#This Row],[Dont 
HS 50%]]*1.5</f>
        <v>#VALUE!</v>
      </c>
    </row>
    <row r="442" spans="2:17" hidden="1" x14ac:dyDescent="0.25">
      <c r="B442" s="37">
        <f>_xlfn.ISOWEEKNUM(Tableau1[[#This Row],[Date]])</f>
        <v>24</v>
      </c>
      <c r="C442" s="14">
        <f>debut+ROW()-ROW(Tableau1[[#Headers],[Date]])-1</f>
        <v>45089</v>
      </c>
      <c r="D442" s="16">
        <f>MONTH(Tableau1[[#This Row],[Date]])</f>
        <v>6</v>
      </c>
      <c r="E442" s="16">
        <f>YEAR(Tableau1[[#This Row],[Date]])</f>
        <v>2023</v>
      </c>
      <c r="F442" s="32"/>
      <c r="G442" s="32"/>
      <c r="H442" s="32"/>
      <c r="I442" s="32"/>
      <c r="J442" s="3"/>
      <c r="K442" s="18">
        <f>MOD(Tableau1[[#This Row],[Fin
apm]]-Tableau1[[#This Row],[Début
apm]],1)+MOD(Tableau1[[#This Row],[Fin
matin]]-Tableau1[[#This Row],[Début
matin]],1)</f>
        <v>0</v>
      </c>
      <c r="L442" s="18">
        <f>IFERROR(VLOOKUP(Tableau1[[#This Row],[Abs.]],Tmotif[],3,0),0)</f>
        <v>0</v>
      </c>
      <c r="M442" s="18">
        <f ca="1">IF(WEEKDAY(Tableau1[[#This Row],[Date]],2)&lt;7,0,MAX(0,SUM(OFFSET(Tableau1[[#This Row],[Heures]],-6,,7))+SUM(OFFSET(Tableau1[[#This Row],[H_Abs]],-6,,7))-_HS))</f>
        <v>0</v>
      </c>
      <c r="N442" s="18" t="str">
        <f ca="1">IF(Tableau1[[#This Row],[HS]]&gt;0,IF(Tableau1[[#This Row],[HS]]*24&gt;8,8/24,Tableau1[[#This Row],[HS]]),"")</f>
        <v/>
      </c>
      <c r="O442" s="18" t="str">
        <f ca="1">IF(Tableau1[[#This Row],[HS]]*24&gt;8,Tableau1[[#This Row],[HS]]-Tableau1[[#This Row],[Dont
HS 30%]],"")</f>
        <v/>
      </c>
      <c r="P442" s="18" t="e">
        <f ca="1">Tableau1[[#This Row],[Dont
HS 30%]]*1.3</f>
        <v>#VALUE!</v>
      </c>
      <c r="Q442" s="18" t="e">
        <f ca="1">Tableau1[[#This Row],[Dont 
HS 50%]]*1.5</f>
        <v>#VALUE!</v>
      </c>
    </row>
    <row r="443" spans="2:17" hidden="1" x14ac:dyDescent="0.25">
      <c r="B443" s="37">
        <f>_xlfn.ISOWEEKNUM(Tableau1[[#This Row],[Date]])</f>
        <v>24</v>
      </c>
      <c r="C443" s="14">
        <f>debut+ROW()-ROW(Tableau1[[#Headers],[Date]])-1</f>
        <v>45090</v>
      </c>
      <c r="D443" s="16">
        <f>MONTH(Tableau1[[#This Row],[Date]])</f>
        <v>6</v>
      </c>
      <c r="E443" s="16">
        <f>YEAR(Tableau1[[#This Row],[Date]])</f>
        <v>2023</v>
      </c>
      <c r="F443" s="32"/>
      <c r="G443" s="32"/>
      <c r="H443" s="32"/>
      <c r="I443" s="32"/>
      <c r="J443" s="3"/>
      <c r="K443" s="18">
        <f>MOD(Tableau1[[#This Row],[Fin
apm]]-Tableau1[[#This Row],[Début
apm]],1)+MOD(Tableau1[[#This Row],[Fin
matin]]-Tableau1[[#This Row],[Début
matin]],1)</f>
        <v>0</v>
      </c>
      <c r="L443" s="18">
        <f>IFERROR(VLOOKUP(Tableau1[[#This Row],[Abs.]],Tmotif[],3,0),0)</f>
        <v>0</v>
      </c>
      <c r="M443" s="18">
        <f ca="1">IF(WEEKDAY(Tableau1[[#This Row],[Date]],2)&lt;7,0,MAX(0,SUM(OFFSET(Tableau1[[#This Row],[Heures]],-6,,7))+SUM(OFFSET(Tableau1[[#This Row],[H_Abs]],-6,,7))-_HS))</f>
        <v>0</v>
      </c>
      <c r="N443" s="18" t="str">
        <f ca="1">IF(Tableau1[[#This Row],[HS]]&gt;0,IF(Tableau1[[#This Row],[HS]]*24&gt;8,8/24,Tableau1[[#This Row],[HS]]),"")</f>
        <v/>
      </c>
      <c r="O443" s="18" t="str">
        <f ca="1">IF(Tableau1[[#This Row],[HS]]*24&gt;8,Tableau1[[#This Row],[HS]]-Tableau1[[#This Row],[Dont
HS 30%]],"")</f>
        <v/>
      </c>
      <c r="P443" s="18" t="e">
        <f ca="1">Tableau1[[#This Row],[Dont
HS 30%]]*1.3</f>
        <v>#VALUE!</v>
      </c>
      <c r="Q443" s="18" t="e">
        <f ca="1">Tableau1[[#This Row],[Dont 
HS 50%]]*1.5</f>
        <v>#VALUE!</v>
      </c>
    </row>
    <row r="444" spans="2:17" hidden="1" x14ac:dyDescent="0.25">
      <c r="B444" s="37">
        <f>_xlfn.ISOWEEKNUM(Tableau1[[#This Row],[Date]])</f>
        <v>24</v>
      </c>
      <c r="C444" s="14">
        <f>debut+ROW()-ROW(Tableau1[[#Headers],[Date]])-1</f>
        <v>45091</v>
      </c>
      <c r="D444" s="16">
        <f>MONTH(Tableau1[[#This Row],[Date]])</f>
        <v>6</v>
      </c>
      <c r="E444" s="16">
        <f>YEAR(Tableau1[[#This Row],[Date]])</f>
        <v>2023</v>
      </c>
      <c r="F444" s="32"/>
      <c r="G444" s="32"/>
      <c r="H444" s="32"/>
      <c r="I444" s="32"/>
      <c r="J444" s="3"/>
      <c r="K444" s="18">
        <f>MOD(Tableau1[[#This Row],[Fin
apm]]-Tableau1[[#This Row],[Début
apm]],1)+MOD(Tableau1[[#This Row],[Fin
matin]]-Tableau1[[#This Row],[Début
matin]],1)</f>
        <v>0</v>
      </c>
      <c r="L444" s="18">
        <f>IFERROR(VLOOKUP(Tableau1[[#This Row],[Abs.]],Tmotif[],3,0),0)</f>
        <v>0</v>
      </c>
      <c r="M444" s="18">
        <f ca="1">IF(WEEKDAY(Tableau1[[#This Row],[Date]],2)&lt;7,0,MAX(0,SUM(OFFSET(Tableau1[[#This Row],[Heures]],-6,,7))+SUM(OFFSET(Tableau1[[#This Row],[H_Abs]],-6,,7))-_HS))</f>
        <v>0</v>
      </c>
      <c r="N444" s="18" t="str">
        <f ca="1">IF(Tableau1[[#This Row],[HS]]&gt;0,IF(Tableau1[[#This Row],[HS]]*24&gt;8,8/24,Tableau1[[#This Row],[HS]]),"")</f>
        <v/>
      </c>
      <c r="O444" s="18" t="str">
        <f ca="1">IF(Tableau1[[#This Row],[HS]]*24&gt;8,Tableau1[[#This Row],[HS]]-Tableau1[[#This Row],[Dont
HS 30%]],"")</f>
        <v/>
      </c>
      <c r="P444" s="18" t="e">
        <f ca="1">Tableau1[[#This Row],[Dont
HS 30%]]*1.3</f>
        <v>#VALUE!</v>
      </c>
      <c r="Q444" s="18" t="e">
        <f ca="1">Tableau1[[#This Row],[Dont 
HS 50%]]*1.5</f>
        <v>#VALUE!</v>
      </c>
    </row>
    <row r="445" spans="2:17" hidden="1" x14ac:dyDescent="0.25">
      <c r="B445" s="37">
        <f>_xlfn.ISOWEEKNUM(Tableau1[[#This Row],[Date]])</f>
        <v>24</v>
      </c>
      <c r="C445" s="14">
        <f>debut+ROW()-ROW(Tableau1[[#Headers],[Date]])-1</f>
        <v>45092</v>
      </c>
      <c r="D445" s="16">
        <f>MONTH(Tableau1[[#This Row],[Date]])</f>
        <v>6</v>
      </c>
      <c r="E445" s="16">
        <f>YEAR(Tableau1[[#This Row],[Date]])</f>
        <v>2023</v>
      </c>
      <c r="F445" s="32"/>
      <c r="G445" s="32"/>
      <c r="H445" s="32"/>
      <c r="I445" s="32"/>
      <c r="J445" s="3"/>
      <c r="K445" s="18">
        <f>MOD(Tableau1[[#This Row],[Fin
apm]]-Tableau1[[#This Row],[Début
apm]],1)+MOD(Tableau1[[#This Row],[Fin
matin]]-Tableau1[[#This Row],[Début
matin]],1)</f>
        <v>0</v>
      </c>
      <c r="L445" s="18">
        <f>IFERROR(VLOOKUP(Tableau1[[#This Row],[Abs.]],Tmotif[],3,0),0)</f>
        <v>0</v>
      </c>
      <c r="M445" s="18">
        <f ca="1">IF(WEEKDAY(Tableau1[[#This Row],[Date]],2)&lt;7,0,MAX(0,SUM(OFFSET(Tableau1[[#This Row],[Heures]],-6,,7))+SUM(OFFSET(Tableau1[[#This Row],[H_Abs]],-6,,7))-_HS))</f>
        <v>0</v>
      </c>
      <c r="N445" s="18" t="str">
        <f ca="1">IF(Tableau1[[#This Row],[HS]]&gt;0,IF(Tableau1[[#This Row],[HS]]*24&gt;8,8/24,Tableau1[[#This Row],[HS]]),"")</f>
        <v/>
      </c>
      <c r="O445" s="18" t="str">
        <f ca="1">IF(Tableau1[[#This Row],[HS]]*24&gt;8,Tableau1[[#This Row],[HS]]-Tableau1[[#This Row],[Dont
HS 30%]],"")</f>
        <v/>
      </c>
      <c r="P445" s="18" t="e">
        <f ca="1">Tableau1[[#This Row],[Dont
HS 30%]]*1.3</f>
        <v>#VALUE!</v>
      </c>
      <c r="Q445" s="18" t="e">
        <f ca="1">Tableau1[[#This Row],[Dont 
HS 50%]]*1.5</f>
        <v>#VALUE!</v>
      </c>
    </row>
    <row r="446" spans="2:17" hidden="1" x14ac:dyDescent="0.25">
      <c r="B446" s="37">
        <f>_xlfn.ISOWEEKNUM(Tableau1[[#This Row],[Date]])</f>
        <v>24</v>
      </c>
      <c r="C446" s="14">
        <f>debut+ROW()-ROW(Tableau1[[#Headers],[Date]])-1</f>
        <v>45093</v>
      </c>
      <c r="D446" s="16">
        <f>MONTH(Tableau1[[#This Row],[Date]])</f>
        <v>6</v>
      </c>
      <c r="E446" s="16">
        <f>YEAR(Tableau1[[#This Row],[Date]])</f>
        <v>2023</v>
      </c>
      <c r="F446" s="32"/>
      <c r="G446" s="32"/>
      <c r="H446" s="32"/>
      <c r="I446" s="32"/>
      <c r="J446" s="3"/>
      <c r="K446" s="18">
        <f>MOD(Tableau1[[#This Row],[Fin
apm]]-Tableau1[[#This Row],[Début
apm]],1)+MOD(Tableau1[[#This Row],[Fin
matin]]-Tableau1[[#This Row],[Début
matin]],1)</f>
        <v>0</v>
      </c>
      <c r="L446" s="18">
        <f>IFERROR(VLOOKUP(Tableau1[[#This Row],[Abs.]],Tmotif[],3,0),0)</f>
        <v>0</v>
      </c>
      <c r="M446" s="18">
        <f ca="1">IF(WEEKDAY(Tableau1[[#This Row],[Date]],2)&lt;7,0,MAX(0,SUM(OFFSET(Tableau1[[#This Row],[Heures]],-6,,7))+SUM(OFFSET(Tableau1[[#This Row],[H_Abs]],-6,,7))-_HS))</f>
        <v>0</v>
      </c>
      <c r="N446" s="18" t="str">
        <f ca="1">IF(Tableau1[[#This Row],[HS]]&gt;0,IF(Tableau1[[#This Row],[HS]]*24&gt;8,8/24,Tableau1[[#This Row],[HS]]),"")</f>
        <v/>
      </c>
      <c r="O446" s="18" t="str">
        <f ca="1">IF(Tableau1[[#This Row],[HS]]*24&gt;8,Tableau1[[#This Row],[HS]]-Tableau1[[#This Row],[Dont
HS 30%]],"")</f>
        <v/>
      </c>
      <c r="P446" s="18" t="e">
        <f ca="1">Tableau1[[#This Row],[Dont
HS 30%]]*1.3</f>
        <v>#VALUE!</v>
      </c>
      <c r="Q446" s="18" t="e">
        <f ca="1">Tableau1[[#This Row],[Dont 
HS 50%]]*1.5</f>
        <v>#VALUE!</v>
      </c>
    </row>
    <row r="447" spans="2:17" hidden="1" x14ac:dyDescent="0.25">
      <c r="B447" s="37">
        <f>_xlfn.ISOWEEKNUM(Tableau1[[#This Row],[Date]])</f>
        <v>24</v>
      </c>
      <c r="C447" s="14">
        <f>debut+ROW()-ROW(Tableau1[[#Headers],[Date]])-1</f>
        <v>45094</v>
      </c>
      <c r="D447" s="16">
        <f>MONTH(Tableau1[[#This Row],[Date]])</f>
        <v>6</v>
      </c>
      <c r="E447" s="16">
        <f>YEAR(Tableau1[[#This Row],[Date]])</f>
        <v>2023</v>
      </c>
      <c r="F447" s="32"/>
      <c r="G447" s="32"/>
      <c r="H447" s="32"/>
      <c r="I447" s="32"/>
      <c r="J447" s="3"/>
      <c r="K447" s="18">
        <f>MOD(Tableau1[[#This Row],[Fin
apm]]-Tableau1[[#This Row],[Début
apm]],1)+MOD(Tableau1[[#This Row],[Fin
matin]]-Tableau1[[#This Row],[Début
matin]],1)</f>
        <v>0</v>
      </c>
      <c r="L447" s="18">
        <f>IFERROR(VLOOKUP(Tableau1[[#This Row],[Abs.]],Tmotif[],3,0),0)</f>
        <v>0</v>
      </c>
      <c r="M447" s="18">
        <f ca="1">IF(WEEKDAY(Tableau1[[#This Row],[Date]],2)&lt;7,0,MAX(0,SUM(OFFSET(Tableau1[[#This Row],[Heures]],-6,,7))+SUM(OFFSET(Tableau1[[#This Row],[H_Abs]],-6,,7))-_HS))</f>
        <v>0</v>
      </c>
      <c r="N447" s="18" t="str">
        <f ca="1">IF(Tableau1[[#This Row],[HS]]&gt;0,IF(Tableau1[[#This Row],[HS]]*24&gt;8,8/24,Tableau1[[#This Row],[HS]]),"")</f>
        <v/>
      </c>
      <c r="O447" s="18" t="str">
        <f ca="1">IF(Tableau1[[#This Row],[HS]]*24&gt;8,Tableau1[[#This Row],[HS]]-Tableau1[[#This Row],[Dont
HS 30%]],"")</f>
        <v/>
      </c>
      <c r="P447" s="18" t="e">
        <f ca="1">Tableau1[[#This Row],[Dont
HS 30%]]*1.3</f>
        <v>#VALUE!</v>
      </c>
      <c r="Q447" s="18" t="e">
        <f ca="1">Tableau1[[#This Row],[Dont 
HS 50%]]*1.5</f>
        <v>#VALUE!</v>
      </c>
    </row>
    <row r="448" spans="2:17" hidden="1" x14ac:dyDescent="0.25">
      <c r="B448" s="37">
        <f>_xlfn.ISOWEEKNUM(Tableau1[[#This Row],[Date]])</f>
        <v>24</v>
      </c>
      <c r="C448" s="14">
        <f>debut+ROW()-ROW(Tableau1[[#Headers],[Date]])-1</f>
        <v>45095</v>
      </c>
      <c r="D448" s="16">
        <f>MONTH(Tableau1[[#This Row],[Date]])</f>
        <v>6</v>
      </c>
      <c r="E448" s="16">
        <f>YEAR(Tableau1[[#This Row],[Date]])</f>
        <v>2023</v>
      </c>
      <c r="F448" s="32"/>
      <c r="G448" s="32"/>
      <c r="H448" s="32"/>
      <c r="I448" s="32"/>
      <c r="J448" s="3"/>
      <c r="K448" s="18">
        <f>MOD(Tableau1[[#This Row],[Fin
apm]]-Tableau1[[#This Row],[Début
apm]],1)+MOD(Tableau1[[#This Row],[Fin
matin]]-Tableau1[[#This Row],[Début
matin]],1)</f>
        <v>0</v>
      </c>
      <c r="L448" s="18">
        <f>IFERROR(VLOOKUP(Tableau1[[#This Row],[Abs.]],Tmotif[],3,0),0)</f>
        <v>0</v>
      </c>
      <c r="M448" s="18">
        <f ca="1">IF(WEEKDAY(Tableau1[[#This Row],[Date]],2)&lt;7,0,MAX(0,SUM(OFFSET(Tableau1[[#This Row],[Heures]],-6,,7))+SUM(OFFSET(Tableau1[[#This Row],[H_Abs]],-6,,7))-_HS))</f>
        <v>0</v>
      </c>
      <c r="N448" s="18" t="str">
        <f ca="1">IF(Tableau1[[#This Row],[HS]]&gt;0,IF(Tableau1[[#This Row],[HS]]*24&gt;8,8/24,Tableau1[[#This Row],[HS]]),"")</f>
        <v/>
      </c>
      <c r="O448" s="18" t="str">
        <f ca="1">IF(Tableau1[[#This Row],[HS]]*24&gt;8,Tableau1[[#This Row],[HS]]-Tableau1[[#This Row],[Dont
HS 30%]],"")</f>
        <v/>
      </c>
      <c r="P448" s="18" t="e">
        <f ca="1">Tableau1[[#This Row],[Dont
HS 30%]]*1.3</f>
        <v>#VALUE!</v>
      </c>
      <c r="Q448" s="18" t="e">
        <f ca="1">Tableau1[[#This Row],[Dont 
HS 50%]]*1.5</f>
        <v>#VALUE!</v>
      </c>
    </row>
    <row r="449" spans="2:17" hidden="1" x14ac:dyDescent="0.25">
      <c r="B449" s="37">
        <f>_xlfn.ISOWEEKNUM(Tableau1[[#This Row],[Date]])</f>
        <v>25</v>
      </c>
      <c r="C449" s="14">
        <f>debut+ROW()-ROW(Tableau1[[#Headers],[Date]])-1</f>
        <v>45096</v>
      </c>
      <c r="D449" s="16">
        <f>MONTH(Tableau1[[#This Row],[Date]])</f>
        <v>6</v>
      </c>
      <c r="E449" s="16">
        <f>YEAR(Tableau1[[#This Row],[Date]])</f>
        <v>2023</v>
      </c>
      <c r="F449" s="32"/>
      <c r="G449" s="32"/>
      <c r="H449" s="32"/>
      <c r="I449" s="32"/>
      <c r="J449" s="3"/>
      <c r="K449" s="18">
        <f>MOD(Tableau1[[#This Row],[Fin
apm]]-Tableau1[[#This Row],[Début
apm]],1)+MOD(Tableau1[[#This Row],[Fin
matin]]-Tableau1[[#This Row],[Début
matin]],1)</f>
        <v>0</v>
      </c>
      <c r="L449" s="18">
        <f>IFERROR(VLOOKUP(Tableau1[[#This Row],[Abs.]],Tmotif[],3,0),0)</f>
        <v>0</v>
      </c>
      <c r="M449" s="18">
        <f ca="1">IF(WEEKDAY(Tableau1[[#This Row],[Date]],2)&lt;7,0,MAX(0,SUM(OFFSET(Tableau1[[#This Row],[Heures]],-6,,7))+SUM(OFFSET(Tableau1[[#This Row],[H_Abs]],-6,,7))-_HS))</f>
        <v>0</v>
      </c>
      <c r="N449" s="18" t="str">
        <f ca="1">IF(Tableau1[[#This Row],[HS]]&gt;0,IF(Tableau1[[#This Row],[HS]]*24&gt;8,8/24,Tableau1[[#This Row],[HS]]),"")</f>
        <v/>
      </c>
      <c r="O449" s="18" t="str">
        <f ca="1">IF(Tableau1[[#This Row],[HS]]*24&gt;8,Tableau1[[#This Row],[HS]]-Tableau1[[#This Row],[Dont
HS 30%]],"")</f>
        <v/>
      </c>
      <c r="P449" s="18" t="e">
        <f ca="1">Tableau1[[#This Row],[Dont
HS 30%]]*1.3</f>
        <v>#VALUE!</v>
      </c>
      <c r="Q449" s="18" t="e">
        <f ca="1">Tableau1[[#This Row],[Dont 
HS 50%]]*1.5</f>
        <v>#VALUE!</v>
      </c>
    </row>
    <row r="450" spans="2:17" hidden="1" x14ac:dyDescent="0.25">
      <c r="B450" s="37">
        <f>_xlfn.ISOWEEKNUM(Tableau1[[#This Row],[Date]])</f>
        <v>25</v>
      </c>
      <c r="C450" s="14">
        <f>debut+ROW()-ROW(Tableau1[[#Headers],[Date]])-1</f>
        <v>45097</v>
      </c>
      <c r="D450" s="16">
        <f>MONTH(Tableau1[[#This Row],[Date]])</f>
        <v>6</v>
      </c>
      <c r="E450" s="16">
        <f>YEAR(Tableau1[[#This Row],[Date]])</f>
        <v>2023</v>
      </c>
      <c r="F450" s="32"/>
      <c r="G450" s="32"/>
      <c r="H450" s="32"/>
      <c r="I450" s="32"/>
      <c r="J450" s="3"/>
      <c r="K450" s="18">
        <f>MOD(Tableau1[[#This Row],[Fin
apm]]-Tableau1[[#This Row],[Début
apm]],1)+MOD(Tableau1[[#This Row],[Fin
matin]]-Tableau1[[#This Row],[Début
matin]],1)</f>
        <v>0</v>
      </c>
      <c r="L450" s="18">
        <f>IFERROR(VLOOKUP(Tableau1[[#This Row],[Abs.]],Tmotif[],3,0),0)</f>
        <v>0</v>
      </c>
      <c r="M450" s="18">
        <f ca="1">IF(WEEKDAY(Tableau1[[#This Row],[Date]],2)&lt;7,0,MAX(0,SUM(OFFSET(Tableau1[[#This Row],[Heures]],-6,,7))+SUM(OFFSET(Tableau1[[#This Row],[H_Abs]],-6,,7))-_HS))</f>
        <v>0</v>
      </c>
      <c r="N450" s="18" t="str">
        <f ca="1">IF(Tableau1[[#This Row],[HS]]&gt;0,IF(Tableau1[[#This Row],[HS]]*24&gt;8,8/24,Tableau1[[#This Row],[HS]]),"")</f>
        <v/>
      </c>
      <c r="O450" s="18" t="str">
        <f ca="1">IF(Tableau1[[#This Row],[HS]]*24&gt;8,Tableau1[[#This Row],[HS]]-Tableau1[[#This Row],[Dont
HS 30%]],"")</f>
        <v/>
      </c>
      <c r="P450" s="18" t="e">
        <f ca="1">Tableau1[[#This Row],[Dont
HS 30%]]*1.3</f>
        <v>#VALUE!</v>
      </c>
      <c r="Q450" s="18" t="e">
        <f ca="1">Tableau1[[#This Row],[Dont 
HS 50%]]*1.5</f>
        <v>#VALUE!</v>
      </c>
    </row>
    <row r="451" spans="2:17" hidden="1" x14ac:dyDescent="0.25">
      <c r="B451" s="37">
        <f>_xlfn.ISOWEEKNUM(Tableau1[[#This Row],[Date]])</f>
        <v>25</v>
      </c>
      <c r="C451" s="14">
        <f>debut+ROW()-ROW(Tableau1[[#Headers],[Date]])-1</f>
        <v>45098</v>
      </c>
      <c r="D451" s="16">
        <f>MONTH(Tableau1[[#This Row],[Date]])</f>
        <v>6</v>
      </c>
      <c r="E451" s="16">
        <f>YEAR(Tableau1[[#This Row],[Date]])</f>
        <v>2023</v>
      </c>
      <c r="F451" s="32"/>
      <c r="G451" s="32"/>
      <c r="H451" s="32"/>
      <c r="I451" s="32"/>
      <c r="J451" s="3"/>
      <c r="K451" s="18">
        <f>MOD(Tableau1[[#This Row],[Fin
apm]]-Tableau1[[#This Row],[Début
apm]],1)+MOD(Tableau1[[#This Row],[Fin
matin]]-Tableau1[[#This Row],[Début
matin]],1)</f>
        <v>0</v>
      </c>
      <c r="L451" s="18">
        <f>IFERROR(VLOOKUP(Tableau1[[#This Row],[Abs.]],Tmotif[],3,0),0)</f>
        <v>0</v>
      </c>
      <c r="M451" s="18">
        <f ca="1">IF(WEEKDAY(Tableau1[[#This Row],[Date]],2)&lt;7,0,MAX(0,SUM(OFFSET(Tableau1[[#This Row],[Heures]],-6,,7))+SUM(OFFSET(Tableau1[[#This Row],[H_Abs]],-6,,7))-_HS))</f>
        <v>0</v>
      </c>
      <c r="N451" s="18" t="str">
        <f ca="1">IF(Tableau1[[#This Row],[HS]]&gt;0,IF(Tableau1[[#This Row],[HS]]*24&gt;8,8/24,Tableau1[[#This Row],[HS]]),"")</f>
        <v/>
      </c>
      <c r="O451" s="18" t="str">
        <f ca="1">IF(Tableau1[[#This Row],[HS]]*24&gt;8,Tableau1[[#This Row],[HS]]-Tableau1[[#This Row],[Dont
HS 30%]],"")</f>
        <v/>
      </c>
      <c r="P451" s="18" t="e">
        <f ca="1">Tableau1[[#This Row],[Dont
HS 30%]]*1.3</f>
        <v>#VALUE!</v>
      </c>
      <c r="Q451" s="18" t="e">
        <f ca="1">Tableau1[[#This Row],[Dont 
HS 50%]]*1.5</f>
        <v>#VALUE!</v>
      </c>
    </row>
    <row r="452" spans="2:17" hidden="1" x14ac:dyDescent="0.25">
      <c r="B452" s="37">
        <f>_xlfn.ISOWEEKNUM(Tableau1[[#This Row],[Date]])</f>
        <v>25</v>
      </c>
      <c r="C452" s="14">
        <f>debut+ROW()-ROW(Tableau1[[#Headers],[Date]])-1</f>
        <v>45099</v>
      </c>
      <c r="D452" s="16">
        <f>MONTH(Tableau1[[#This Row],[Date]])</f>
        <v>6</v>
      </c>
      <c r="E452" s="16">
        <f>YEAR(Tableau1[[#This Row],[Date]])</f>
        <v>2023</v>
      </c>
      <c r="F452" s="32"/>
      <c r="G452" s="32"/>
      <c r="H452" s="32"/>
      <c r="I452" s="32"/>
      <c r="J452" s="3"/>
      <c r="K452" s="18">
        <f>MOD(Tableau1[[#This Row],[Fin
apm]]-Tableau1[[#This Row],[Début
apm]],1)+MOD(Tableau1[[#This Row],[Fin
matin]]-Tableau1[[#This Row],[Début
matin]],1)</f>
        <v>0</v>
      </c>
      <c r="L452" s="18">
        <f>IFERROR(VLOOKUP(Tableau1[[#This Row],[Abs.]],Tmotif[],3,0),0)</f>
        <v>0</v>
      </c>
      <c r="M452" s="18">
        <f ca="1">IF(WEEKDAY(Tableau1[[#This Row],[Date]],2)&lt;7,0,MAX(0,SUM(OFFSET(Tableau1[[#This Row],[Heures]],-6,,7))+SUM(OFFSET(Tableau1[[#This Row],[H_Abs]],-6,,7))-_HS))</f>
        <v>0</v>
      </c>
      <c r="N452" s="18" t="str">
        <f ca="1">IF(Tableau1[[#This Row],[HS]]&gt;0,IF(Tableau1[[#This Row],[HS]]*24&gt;8,8/24,Tableau1[[#This Row],[HS]]),"")</f>
        <v/>
      </c>
      <c r="O452" s="18" t="str">
        <f ca="1">IF(Tableau1[[#This Row],[HS]]*24&gt;8,Tableau1[[#This Row],[HS]]-Tableau1[[#This Row],[Dont
HS 30%]],"")</f>
        <v/>
      </c>
      <c r="P452" s="18" t="e">
        <f ca="1">Tableau1[[#This Row],[Dont
HS 30%]]*1.3</f>
        <v>#VALUE!</v>
      </c>
      <c r="Q452" s="18" t="e">
        <f ca="1">Tableau1[[#This Row],[Dont 
HS 50%]]*1.5</f>
        <v>#VALUE!</v>
      </c>
    </row>
    <row r="453" spans="2:17" hidden="1" x14ac:dyDescent="0.25">
      <c r="B453" s="37">
        <f>_xlfn.ISOWEEKNUM(Tableau1[[#This Row],[Date]])</f>
        <v>25</v>
      </c>
      <c r="C453" s="14">
        <f>debut+ROW()-ROW(Tableau1[[#Headers],[Date]])-1</f>
        <v>45100</v>
      </c>
      <c r="D453" s="16">
        <f>MONTH(Tableau1[[#This Row],[Date]])</f>
        <v>6</v>
      </c>
      <c r="E453" s="16">
        <f>YEAR(Tableau1[[#This Row],[Date]])</f>
        <v>2023</v>
      </c>
      <c r="F453" s="32"/>
      <c r="G453" s="32"/>
      <c r="H453" s="32"/>
      <c r="I453" s="32"/>
      <c r="J453" s="3"/>
      <c r="K453" s="18">
        <f>MOD(Tableau1[[#This Row],[Fin
apm]]-Tableau1[[#This Row],[Début
apm]],1)+MOD(Tableau1[[#This Row],[Fin
matin]]-Tableau1[[#This Row],[Début
matin]],1)</f>
        <v>0</v>
      </c>
      <c r="L453" s="18">
        <f>IFERROR(VLOOKUP(Tableau1[[#This Row],[Abs.]],Tmotif[],3,0),0)</f>
        <v>0</v>
      </c>
      <c r="M453" s="18">
        <f ca="1">IF(WEEKDAY(Tableau1[[#This Row],[Date]],2)&lt;7,0,MAX(0,SUM(OFFSET(Tableau1[[#This Row],[Heures]],-6,,7))+SUM(OFFSET(Tableau1[[#This Row],[H_Abs]],-6,,7))-_HS))</f>
        <v>0</v>
      </c>
      <c r="N453" s="18" t="str">
        <f ca="1">IF(Tableau1[[#This Row],[HS]]&gt;0,IF(Tableau1[[#This Row],[HS]]*24&gt;8,8/24,Tableau1[[#This Row],[HS]]),"")</f>
        <v/>
      </c>
      <c r="O453" s="18" t="str">
        <f ca="1">IF(Tableau1[[#This Row],[HS]]*24&gt;8,Tableau1[[#This Row],[HS]]-Tableau1[[#This Row],[Dont
HS 30%]],"")</f>
        <v/>
      </c>
      <c r="P453" s="18" t="e">
        <f ca="1">Tableau1[[#This Row],[Dont
HS 30%]]*1.3</f>
        <v>#VALUE!</v>
      </c>
      <c r="Q453" s="18" t="e">
        <f ca="1">Tableau1[[#This Row],[Dont 
HS 50%]]*1.5</f>
        <v>#VALUE!</v>
      </c>
    </row>
    <row r="454" spans="2:17" hidden="1" x14ac:dyDescent="0.25">
      <c r="B454" s="37">
        <f>_xlfn.ISOWEEKNUM(Tableau1[[#This Row],[Date]])</f>
        <v>25</v>
      </c>
      <c r="C454" s="14">
        <f>debut+ROW()-ROW(Tableau1[[#Headers],[Date]])-1</f>
        <v>45101</v>
      </c>
      <c r="D454" s="16">
        <f>MONTH(Tableau1[[#This Row],[Date]])</f>
        <v>6</v>
      </c>
      <c r="E454" s="16">
        <f>YEAR(Tableau1[[#This Row],[Date]])</f>
        <v>2023</v>
      </c>
      <c r="F454" s="32"/>
      <c r="G454" s="32"/>
      <c r="H454" s="32"/>
      <c r="I454" s="32"/>
      <c r="J454" s="3"/>
      <c r="K454" s="18">
        <f>MOD(Tableau1[[#This Row],[Fin
apm]]-Tableau1[[#This Row],[Début
apm]],1)+MOD(Tableau1[[#This Row],[Fin
matin]]-Tableau1[[#This Row],[Début
matin]],1)</f>
        <v>0</v>
      </c>
      <c r="L454" s="18">
        <f>IFERROR(VLOOKUP(Tableau1[[#This Row],[Abs.]],Tmotif[],3,0),0)</f>
        <v>0</v>
      </c>
      <c r="M454" s="18">
        <f ca="1">IF(WEEKDAY(Tableau1[[#This Row],[Date]],2)&lt;7,0,MAX(0,SUM(OFFSET(Tableau1[[#This Row],[Heures]],-6,,7))+SUM(OFFSET(Tableau1[[#This Row],[H_Abs]],-6,,7))-_HS))</f>
        <v>0</v>
      </c>
      <c r="N454" s="18" t="str">
        <f ca="1">IF(Tableau1[[#This Row],[HS]]&gt;0,IF(Tableau1[[#This Row],[HS]]*24&gt;8,8/24,Tableau1[[#This Row],[HS]]),"")</f>
        <v/>
      </c>
      <c r="O454" s="18" t="str">
        <f ca="1">IF(Tableau1[[#This Row],[HS]]*24&gt;8,Tableau1[[#This Row],[HS]]-Tableau1[[#This Row],[Dont
HS 30%]],"")</f>
        <v/>
      </c>
      <c r="P454" s="18" t="e">
        <f ca="1">Tableau1[[#This Row],[Dont
HS 30%]]*1.3</f>
        <v>#VALUE!</v>
      </c>
      <c r="Q454" s="18" t="e">
        <f ca="1">Tableau1[[#This Row],[Dont 
HS 50%]]*1.5</f>
        <v>#VALUE!</v>
      </c>
    </row>
    <row r="455" spans="2:17" hidden="1" x14ac:dyDescent="0.25">
      <c r="B455" s="37">
        <f>_xlfn.ISOWEEKNUM(Tableau1[[#This Row],[Date]])</f>
        <v>25</v>
      </c>
      <c r="C455" s="14">
        <f>debut+ROW()-ROW(Tableau1[[#Headers],[Date]])-1</f>
        <v>45102</v>
      </c>
      <c r="D455" s="16">
        <f>MONTH(Tableau1[[#This Row],[Date]])</f>
        <v>6</v>
      </c>
      <c r="E455" s="16">
        <f>YEAR(Tableau1[[#This Row],[Date]])</f>
        <v>2023</v>
      </c>
      <c r="F455" s="32"/>
      <c r="G455" s="32"/>
      <c r="H455" s="32"/>
      <c r="I455" s="32"/>
      <c r="J455" s="3"/>
      <c r="K455" s="18">
        <f>MOD(Tableau1[[#This Row],[Fin
apm]]-Tableau1[[#This Row],[Début
apm]],1)+MOD(Tableau1[[#This Row],[Fin
matin]]-Tableau1[[#This Row],[Début
matin]],1)</f>
        <v>0</v>
      </c>
      <c r="L455" s="18">
        <f>IFERROR(VLOOKUP(Tableau1[[#This Row],[Abs.]],Tmotif[],3,0),0)</f>
        <v>0</v>
      </c>
      <c r="M455" s="18">
        <f ca="1">IF(WEEKDAY(Tableau1[[#This Row],[Date]],2)&lt;7,0,MAX(0,SUM(OFFSET(Tableau1[[#This Row],[Heures]],-6,,7))+SUM(OFFSET(Tableau1[[#This Row],[H_Abs]],-6,,7))-_HS))</f>
        <v>0</v>
      </c>
      <c r="N455" s="18" t="str">
        <f ca="1">IF(Tableau1[[#This Row],[HS]]&gt;0,IF(Tableau1[[#This Row],[HS]]*24&gt;8,8/24,Tableau1[[#This Row],[HS]]),"")</f>
        <v/>
      </c>
      <c r="O455" s="18" t="str">
        <f ca="1">IF(Tableau1[[#This Row],[HS]]*24&gt;8,Tableau1[[#This Row],[HS]]-Tableau1[[#This Row],[Dont
HS 30%]],"")</f>
        <v/>
      </c>
      <c r="P455" s="18" t="e">
        <f ca="1">Tableau1[[#This Row],[Dont
HS 30%]]*1.3</f>
        <v>#VALUE!</v>
      </c>
      <c r="Q455" s="18" t="e">
        <f ca="1">Tableau1[[#This Row],[Dont 
HS 50%]]*1.5</f>
        <v>#VALUE!</v>
      </c>
    </row>
    <row r="456" spans="2:17" hidden="1" x14ac:dyDescent="0.25">
      <c r="B456" s="37">
        <f>_xlfn.ISOWEEKNUM(Tableau1[[#This Row],[Date]])</f>
        <v>26</v>
      </c>
      <c r="C456" s="14">
        <f>debut+ROW()-ROW(Tableau1[[#Headers],[Date]])-1</f>
        <v>45103</v>
      </c>
      <c r="D456" s="16">
        <f>MONTH(Tableau1[[#This Row],[Date]])</f>
        <v>6</v>
      </c>
      <c r="E456" s="16">
        <f>YEAR(Tableau1[[#This Row],[Date]])</f>
        <v>2023</v>
      </c>
      <c r="F456" s="32"/>
      <c r="G456" s="32"/>
      <c r="H456" s="32"/>
      <c r="I456" s="32"/>
      <c r="J456" s="3"/>
      <c r="K456" s="18">
        <f>MOD(Tableau1[[#This Row],[Fin
apm]]-Tableau1[[#This Row],[Début
apm]],1)+MOD(Tableau1[[#This Row],[Fin
matin]]-Tableau1[[#This Row],[Début
matin]],1)</f>
        <v>0</v>
      </c>
      <c r="L456" s="18">
        <f>IFERROR(VLOOKUP(Tableau1[[#This Row],[Abs.]],Tmotif[],3,0),0)</f>
        <v>0</v>
      </c>
      <c r="M456" s="18">
        <f ca="1">IF(WEEKDAY(Tableau1[[#This Row],[Date]],2)&lt;7,0,MAX(0,SUM(OFFSET(Tableau1[[#This Row],[Heures]],-6,,7))+SUM(OFFSET(Tableau1[[#This Row],[H_Abs]],-6,,7))-_HS))</f>
        <v>0</v>
      </c>
      <c r="N456" s="18" t="str">
        <f ca="1">IF(Tableau1[[#This Row],[HS]]&gt;0,IF(Tableau1[[#This Row],[HS]]*24&gt;8,8/24,Tableau1[[#This Row],[HS]]),"")</f>
        <v/>
      </c>
      <c r="O456" s="18" t="str">
        <f ca="1">IF(Tableau1[[#This Row],[HS]]*24&gt;8,Tableau1[[#This Row],[HS]]-Tableau1[[#This Row],[Dont
HS 30%]],"")</f>
        <v/>
      </c>
      <c r="P456" s="18" t="e">
        <f ca="1">Tableau1[[#This Row],[Dont
HS 30%]]*1.3</f>
        <v>#VALUE!</v>
      </c>
      <c r="Q456" s="18" t="e">
        <f ca="1">Tableau1[[#This Row],[Dont 
HS 50%]]*1.5</f>
        <v>#VALUE!</v>
      </c>
    </row>
    <row r="457" spans="2:17" hidden="1" x14ac:dyDescent="0.25">
      <c r="B457" s="37">
        <f>_xlfn.ISOWEEKNUM(Tableau1[[#This Row],[Date]])</f>
        <v>26</v>
      </c>
      <c r="C457" s="14">
        <f>debut+ROW()-ROW(Tableau1[[#Headers],[Date]])-1</f>
        <v>45104</v>
      </c>
      <c r="D457" s="16">
        <f>MONTH(Tableau1[[#This Row],[Date]])</f>
        <v>6</v>
      </c>
      <c r="E457" s="16">
        <f>YEAR(Tableau1[[#This Row],[Date]])</f>
        <v>2023</v>
      </c>
      <c r="F457" s="32"/>
      <c r="G457" s="32"/>
      <c r="H457" s="32"/>
      <c r="I457" s="32"/>
      <c r="J457" s="3"/>
      <c r="K457" s="18">
        <f>MOD(Tableau1[[#This Row],[Fin
apm]]-Tableau1[[#This Row],[Début
apm]],1)+MOD(Tableau1[[#This Row],[Fin
matin]]-Tableau1[[#This Row],[Début
matin]],1)</f>
        <v>0</v>
      </c>
      <c r="L457" s="18">
        <f>IFERROR(VLOOKUP(Tableau1[[#This Row],[Abs.]],Tmotif[],3,0),0)</f>
        <v>0</v>
      </c>
      <c r="M457" s="18">
        <f ca="1">IF(WEEKDAY(Tableau1[[#This Row],[Date]],2)&lt;7,0,MAX(0,SUM(OFFSET(Tableau1[[#This Row],[Heures]],-6,,7))+SUM(OFFSET(Tableau1[[#This Row],[H_Abs]],-6,,7))-_HS))</f>
        <v>0</v>
      </c>
      <c r="N457" s="18" t="str">
        <f ca="1">IF(Tableau1[[#This Row],[HS]]&gt;0,IF(Tableau1[[#This Row],[HS]]*24&gt;8,8/24,Tableau1[[#This Row],[HS]]),"")</f>
        <v/>
      </c>
      <c r="O457" s="18" t="str">
        <f ca="1">IF(Tableau1[[#This Row],[HS]]*24&gt;8,Tableau1[[#This Row],[HS]]-Tableau1[[#This Row],[Dont
HS 30%]],"")</f>
        <v/>
      </c>
      <c r="P457" s="18" t="e">
        <f ca="1">Tableau1[[#This Row],[Dont
HS 30%]]*1.3</f>
        <v>#VALUE!</v>
      </c>
      <c r="Q457" s="18" t="e">
        <f ca="1">Tableau1[[#This Row],[Dont 
HS 50%]]*1.5</f>
        <v>#VALUE!</v>
      </c>
    </row>
    <row r="458" spans="2:17" hidden="1" x14ac:dyDescent="0.25">
      <c r="B458" s="37">
        <f>_xlfn.ISOWEEKNUM(Tableau1[[#This Row],[Date]])</f>
        <v>26</v>
      </c>
      <c r="C458" s="14">
        <f>debut+ROW()-ROW(Tableau1[[#Headers],[Date]])-1</f>
        <v>45105</v>
      </c>
      <c r="D458" s="16">
        <f>MONTH(Tableau1[[#This Row],[Date]])</f>
        <v>6</v>
      </c>
      <c r="E458" s="16">
        <f>YEAR(Tableau1[[#This Row],[Date]])</f>
        <v>2023</v>
      </c>
      <c r="F458" s="32"/>
      <c r="G458" s="32"/>
      <c r="H458" s="32"/>
      <c r="I458" s="32"/>
      <c r="J458" s="3"/>
      <c r="K458" s="18">
        <f>MOD(Tableau1[[#This Row],[Fin
apm]]-Tableau1[[#This Row],[Début
apm]],1)+MOD(Tableau1[[#This Row],[Fin
matin]]-Tableau1[[#This Row],[Début
matin]],1)</f>
        <v>0</v>
      </c>
      <c r="L458" s="18">
        <f>IFERROR(VLOOKUP(Tableau1[[#This Row],[Abs.]],Tmotif[],3,0),0)</f>
        <v>0</v>
      </c>
      <c r="M458" s="18">
        <f ca="1">IF(WEEKDAY(Tableau1[[#This Row],[Date]],2)&lt;7,0,MAX(0,SUM(OFFSET(Tableau1[[#This Row],[Heures]],-6,,7))+SUM(OFFSET(Tableau1[[#This Row],[H_Abs]],-6,,7))-_HS))</f>
        <v>0</v>
      </c>
      <c r="N458" s="18" t="str">
        <f ca="1">IF(Tableau1[[#This Row],[HS]]&gt;0,IF(Tableau1[[#This Row],[HS]]*24&gt;8,8/24,Tableau1[[#This Row],[HS]]),"")</f>
        <v/>
      </c>
      <c r="O458" s="18" t="str">
        <f ca="1">IF(Tableau1[[#This Row],[HS]]*24&gt;8,Tableau1[[#This Row],[HS]]-Tableau1[[#This Row],[Dont
HS 30%]],"")</f>
        <v/>
      </c>
      <c r="P458" s="18" t="e">
        <f ca="1">Tableau1[[#This Row],[Dont
HS 30%]]*1.3</f>
        <v>#VALUE!</v>
      </c>
      <c r="Q458" s="18" t="e">
        <f ca="1">Tableau1[[#This Row],[Dont 
HS 50%]]*1.5</f>
        <v>#VALUE!</v>
      </c>
    </row>
    <row r="459" spans="2:17" hidden="1" x14ac:dyDescent="0.25">
      <c r="B459" s="37">
        <f>_xlfn.ISOWEEKNUM(Tableau1[[#This Row],[Date]])</f>
        <v>26</v>
      </c>
      <c r="C459" s="14">
        <f>debut+ROW()-ROW(Tableau1[[#Headers],[Date]])-1</f>
        <v>45106</v>
      </c>
      <c r="D459" s="16">
        <f>MONTH(Tableau1[[#This Row],[Date]])</f>
        <v>6</v>
      </c>
      <c r="E459" s="16">
        <f>YEAR(Tableau1[[#This Row],[Date]])</f>
        <v>2023</v>
      </c>
      <c r="F459" s="32"/>
      <c r="G459" s="32"/>
      <c r="H459" s="32"/>
      <c r="I459" s="32"/>
      <c r="J459" s="3"/>
      <c r="K459" s="18">
        <f>MOD(Tableau1[[#This Row],[Fin
apm]]-Tableau1[[#This Row],[Début
apm]],1)+MOD(Tableau1[[#This Row],[Fin
matin]]-Tableau1[[#This Row],[Début
matin]],1)</f>
        <v>0</v>
      </c>
      <c r="L459" s="18">
        <f>IFERROR(VLOOKUP(Tableau1[[#This Row],[Abs.]],Tmotif[],3,0),0)</f>
        <v>0</v>
      </c>
      <c r="M459" s="18">
        <f ca="1">IF(WEEKDAY(Tableau1[[#This Row],[Date]],2)&lt;7,0,MAX(0,SUM(OFFSET(Tableau1[[#This Row],[Heures]],-6,,7))+SUM(OFFSET(Tableau1[[#This Row],[H_Abs]],-6,,7))-_HS))</f>
        <v>0</v>
      </c>
      <c r="N459" s="18" t="str">
        <f ca="1">IF(Tableau1[[#This Row],[HS]]&gt;0,IF(Tableau1[[#This Row],[HS]]*24&gt;8,8/24,Tableau1[[#This Row],[HS]]),"")</f>
        <v/>
      </c>
      <c r="O459" s="18" t="str">
        <f ca="1">IF(Tableau1[[#This Row],[HS]]*24&gt;8,Tableau1[[#This Row],[HS]]-Tableau1[[#This Row],[Dont
HS 30%]],"")</f>
        <v/>
      </c>
      <c r="P459" s="18" t="e">
        <f ca="1">Tableau1[[#This Row],[Dont
HS 30%]]*1.3</f>
        <v>#VALUE!</v>
      </c>
      <c r="Q459" s="18" t="e">
        <f ca="1">Tableau1[[#This Row],[Dont 
HS 50%]]*1.5</f>
        <v>#VALUE!</v>
      </c>
    </row>
    <row r="460" spans="2:17" hidden="1" x14ac:dyDescent="0.25">
      <c r="B460" s="37">
        <f>_xlfn.ISOWEEKNUM(Tableau1[[#This Row],[Date]])</f>
        <v>26</v>
      </c>
      <c r="C460" s="14">
        <f>debut+ROW()-ROW(Tableau1[[#Headers],[Date]])-1</f>
        <v>45107</v>
      </c>
      <c r="D460" s="16">
        <f>MONTH(Tableau1[[#This Row],[Date]])</f>
        <v>6</v>
      </c>
      <c r="E460" s="16">
        <f>YEAR(Tableau1[[#This Row],[Date]])</f>
        <v>2023</v>
      </c>
      <c r="F460" s="32"/>
      <c r="G460" s="32"/>
      <c r="H460" s="32"/>
      <c r="I460" s="32"/>
      <c r="J460" s="3"/>
      <c r="K460" s="18">
        <f>MOD(Tableau1[[#This Row],[Fin
apm]]-Tableau1[[#This Row],[Début
apm]],1)+MOD(Tableau1[[#This Row],[Fin
matin]]-Tableau1[[#This Row],[Début
matin]],1)</f>
        <v>0</v>
      </c>
      <c r="L460" s="18">
        <f>IFERROR(VLOOKUP(Tableau1[[#This Row],[Abs.]],Tmotif[],3,0),0)</f>
        <v>0</v>
      </c>
      <c r="M460" s="18">
        <f ca="1">IF(WEEKDAY(Tableau1[[#This Row],[Date]],2)&lt;7,0,MAX(0,SUM(OFFSET(Tableau1[[#This Row],[Heures]],-6,,7))+SUM(OFFSET(Tableau1[[#This Row],[H_Abs]],-6,,7))-_HS))</f>
        <v>0</v>
      </c>
      <c r="N460" s="18" t="str">
        <f ca="1">IF(Tableau1[[#This Row],[HS]]&gt;0,IF(Tableau1[[#This Row],[HS]]*24&gt;8,8/24,Tableau1[[#This Row],[HS]]),"")</f>
        <v/>
      </c>
      <c r="O460" s="18" t="str">
        <f ca="1">IF(Tableau1[[#This Row],[HS]]*24&gt;8,Tableau1[[#This Row],[HS]]-Tableau1[[#This Row],[Dont
HS 30%]],"")</f>
        <v/>
      </c>
      <c r="P460" s="18" t="e">
        <f ca="1">Tableau1[[#This Row],[Dont
HS 30%]]*1.3</f>
        <v>#VALUE!</v>
      </c>
      <c r="Q460" s="18" t="e">
        <f ca="1">Tableau1[[#This Row],[Dont 
HS 50%]]*1.5</f>
        <v>#VALUE!</v>
      </c>
    </row>
    <row r="461" spans="2:17" hidden="1" x14ac:dyDescent="0.25">
      <c r="B461" s="37">
        <f>_xlfn.ISOWEEKNUM(Tableau1[[#This Row],[Date]])</f>
        <v>26</v>
      </c>
      <c r="C461" s="14">
        <f>debut+ROW()-ROW(Tableau1[[#Headers],[Date]])-1</f>
        <v>45108</v>
      </c>
      <c r="D461" s="16">
        <f>MONTH(Tableau1[[#This Row],[Date]])</f>
        <v>7</v>
      </c>
      <c r="E461" s="16">
        <f>YEAR(Tableau1[[#This Row],[Date]])</f>
        <v>2023</v>
      </c>
      <c r="F461" s="32"/>
      <c r="G461" s="32"/>
      <c r="H461" s="32"/>
      <c r="I461" s="32"/>
      <c r="J461" s="3"/>
      <c r="K461" s="18">
        <f>MOD(Tableau1[[#This Row],[Fin
apm]]-Tableau1[[#This Row],[Début
apm]],1)+MOD(Tableau1[[#This Row],[Fin
matin]]-Tableau1[[#This Row],[Début
matin]],1)</f>
        <v>0</v>
      </c>
      <c r="L461" s="18">
        <f>IFERROR(VLOOKUP(Tableau1[[#This Row],[Abs.]],Tmotif[],3,0),0)</f>
        <v>0</v>
      </c>
      <c r="M461" s="18">
        <f ca="1">IF(WEEKDAY(Tableau1[[#This Row],[Date]],2)&lt;7,0,MAX(0,SUM(OFFSET(Tableau1[[#This Row],[Heures]],-6,,7))+SUM(OFFSET(Tableau1[[#This Row],[H_Abs]],-6,,7))-_HS))</f>
        <v>0</v>
      </c>
      <c r="N461" s="18" t="str">
        <f ca="1">IF(Tableau1[[#This Row],[HS]]&gt;0,IF(Tableau1[[#This Row],[HS]]*24&gt;8,8/24,Tableau1[[#This Row],[HS]]),"")</f>
        <v/>
      </c>
      <c r="O461" s="18" t="str">
        <f ca="1">IF(Tableau1[[#This Row],[HS]]*24&gt;8,Tableau1[[#This Row],[HS]]-Tableau1[[#This Row],[Dont
HS 30%]],"")</f>
        <v/>
      </c>
      <c r="P461" s="18" t="e">
        <f ca="1">Tableau1[[#This Row],[Dont
HS 30%]]*1.3</f>
        <v>#VALUE!</v>
      </c>
      <c r="Q461" s="18" t="e">
        <f ca="1">Tableau1[[#This Row],[Dont 
HS 50%]]*1.5</f>
        <v>#VALUE!</v>
      </c>
    </row>
    <row r="462" spans="2:17" hidden="1" x14ac:dyDescent="0.25">
      <c r="B462" s="37">
        <f>_xlfn.ISOWEEKNUM(Tableau1[[#This Row],[Date]])</f>
        <v>26</v>
      </c>
      <c r="C462" s="14">
        <f>debut+ROW()-ROW(Tableau1[[#Headers],[Date]])-1</f>
        <v>45109</v>
      </c>
      <c r="D462" s="16">
        <f>MONTH(Tableau1[[#This Row],[Date]])</f>
        <v>7</v>
      </c>
      <c r="E462" s="16">
        <f>YEAR(Tableau1[[#This Row],[Date]])</f>
        <v>2023</v>
      </c>
      <c r="F462" s="32"/>
      <c r="G462" s="32"/>
      <c r="H462" s="32"/>
      <c r="I462" s="32"/>
      <c r="J462" s="3"/>
      <c r="K462" s="18">
        <f>MOD(Tableau1[[#This Row],[Fin
apm]]-Tableau1[[#This Row],[Début
apm]],1)+MOD(Tableau1[[#This Row],[Fin
matin]]-Tableau1[[#This Row],[Début
matin]],1)</f>
        <v>0</v>
      </c>
      <c r="L462" s="18">
        <f>IFERROR(VLOOKUP(Tableau1[[#This Row],[Abs.]],Tmotif[],3,0),0)</f>
        <v>0</v>
      </c>
      <c r="M462" s="18">
        <f ca="1">IF(WEEKDAY(Tableau1[[#This Row],[Date]],2)&lt;7,0,MAX(0,SUM(OFFSET(Tableau1[[#This Row],[Heures]],-6,,7))+SUM(OFFSET(Tableau1[[#This Row],[H_Abs]],-6,,7))-_HS))</f>
        <v>0</v>
      </c>
      <c r="N462" s="18" t="str">
        <f ca="1">IF(Tableau1[[#This Row],[HS]]&gt;0,IF(Tableau1[[#This Row],[HS]]*24&gt;8,8/24,Tableau1[[#This Row],[HS]]),"")</f>
        <v/>
      </c>
      <c r="O462" s="18" t="str">
        <f ca="1">IF(Tableau1[[#This Row],[HS]]*24&gt;8,Tableau1[[#This Row],[HS]]-Tableau1[[#This Row],[Dont
HS 30%]],"")</f>
        <v/>
      </c>
      <c r="P462" s="18" t="e">
        <f ca="1">Tableau1[[#This Row],[Dont
HS 30%]]*1.3</f>
        <v>#VALUE!</v>
      </c>
      <c r="Q462" s="18" t="e">
        <f ca="1">Tableau1[[#This Row],[Dont 
HS 50%]]*1.5</f>
        <v>#VALUE!</v>
      </c>
    </row>
    <row r="463" spans="2:17" hidden="1" x14ac:dyDescent="0.25">
      <c r="B463" s="37">
        <f>_xlfn.ISOWEEKNUM(Tableau1[[#This Row],[Date]])</f>
        <v>27</v>
      </c>
      <c r="C463" s="14">
        <f>debut+ROW()-ROW(Tableau1[[#Headers],[Date]])-1</f>
        <v>45110</v>
      </c>
      <c r="D463" s="16">
        <f>MONTH(Tableau1[[#This Row],[Date]])</f>
        <v>7</v>
      </c>
      <c r="E463" s="16">
        <f>YEAR(Tableau1[[#This Row],[Date]])</f>
        <v>2023</v>
      </c>
      <c r="F463" s="32"/>
      <c r="G463" s="32"/>
      <c r="H463" s="32"/>
      <c r="I463" s="32"/>
      <c r="J463" s="3"/>
      <c r="K463" s="18">
        <f>MOD(Tableau1[[#This Row],[Fin
apm]]-Tableau1[[#This Row],[Début
apm]],1)+MOD(Tableau1[[#This Row],[Fin
matin]]-Tableau1[[#This Row],[Début
matin]],1)</f>
        <v>0</v>
      </c>
      <c r="L463" s="18">
        <f>IFERROR(VLOOKUP(Tableau1[[#This Row],[Abs.]],Tmotif[],3,0),0)</f>
        <v>0</v>
      </c>
      <c r="M463" s="18">
        <f ca="1">IF(WEEKDAY(Tableau1[[#This Row],[Date]],2)&lt;7,0,MAX(0,SUM(OFFSET(Tableau1[[#This Row],[Heures]],-6,,7))+SUM(OFFSET(Tableau1[[#This Row],[H_Abs]],-6,,7))-_HS))</f>
        <v>0</v>
      </c>
      <c r="N463" s="18" t="str">
        <f ca="1">IF(Tableau1[[#This Row],[HS]]&gt;0,IF(Tableau1[[#This Row],[HS]]*24&gt;8,8/24,Tableau1[[#This Row],[HS]]),"")</f>
        <v/>
      </c>
      <c r="O463" s="18" t="str">
        <f ca="1">IF(Tableau1[[#This Row],[HS]]*24&gt;8,Tableau1[[#This Row],[HS]]-Tableau1[[#This Row],[Dont
HS 30%]],"")</f>
        <v/>
      </c>
      <c r="P463" s="18" t="e">
        <f ca="1">Tableau1[[#This Row],[Dont
HS 30%]]*1.3</f>
        <v>#VALUE!</v>
      </c>
      <c r="Q463" s="18" t="e">
        <f ca="1">Tableau1[[#This Row],[Dont 
HS 50%]]*1.5</f>
        <v>#VALUE!</v>
      </c>
    </row>
    <row r="464" spans="2:17" hidden="1" x14ac:dyDescent="0.25">
      <c r="B464" s="37">
        <f>_xlfn.ISOWEEKNUM(Tableau1[[#This Row],[Date]])</f>
        <v>27</v>
      </c>
      <c r="C464" s="14">
        <f>debut+ROW()-ROW(Tableau1[[#Headers],[Date]])-1</f>
        <v>45111</v>
      </c>
      <c r="D464" s="16">
        <f>MONTH(Tableau1[[#This Row],[Date]])</f>
        <v>7</v>
      </c>
      <c r="E464" s="16">
        <f>YEAR(Tableau1[[#This Row],[Date]])</f>
        <v>2023</v>
      </c>
      <c r="F464" s="32"/>
      <c r="G464" s="32"/>
      <c r="H464" s="32"/>
      <c r="I464" s="32"/>
      <c r="J464" s="3"/>
      <c r="K464" s="18">
        <f>MOD(Tableau1[[#This Row],[Fin
apm]]-Tableau1[[#This Row],[Début
apm]],1)+MOD(Tableau1[[#This Row],[Fin
matin]]-Tableau1[[#This Row],[Début
matin]],1)</f>
        <v>0</v>
      </c>
      <c r="L464" s="18">
        <f>IFERROR(VLOOKUP(Tableau1[[#This Row],[Abs.]],Tmotif[],3,0),0)</f>
        <v>0</v>
      </c>
      <c r="M464" s="18">
        <f ca="1">IF(WEEKDAY(Tableau1[[#This Row],[Date]],2)&lt;7,0,MAX(0,SUM(OFFSET(Tableau1[[#This Row],[Heures]],-6,,7))+SUM(OFFSET(Tableau1[[#This Row],[H_Abs]],-6,,7))-_HS))</f>
        <v>0</v>
      </c>
      <c r="N464" s="18" t="str">
        <f ca="1">IF(Tableau1[[#This Row],[HS]]&gt;0,IF(Tableau1[[#This Row],[HS]]*24&gt;8,8/24,Tableau1[[#This Row],[HS]]),"")</f>
        <v/>
      </c>
      <c r="O464" s="18" t="str">
        <f ca="1">IF(Tableau1[[#This Row],[HS]]*24&gt;8,Tableau1[[#This Row],[HS]]-Tableau1[[#This Row],[Dont
HS 30%]],"")</f>
        <v/>
      </c>
      <c r="P464" s="18" t="e">
        <f ca="1">Tableau1[[#This Row],[Dont
HS 30%]]*1.3</f>
        <v>#VALUE!</v>
      </c>
      <c r="Q464" s="18" t="e">
        <f ca="1">Tableau1[[#This Row],[Dont 
HS 50%]]*1.5</f>
        <v>#VALUE!</v>
      </c>
    </row>
    <row r="465" spans="2:17" hidden="1" x14ac:dyDescent="0.25">
      <c r="B465" s="37">
        <f>_xlfn.ISOWEEKNUM(Tableau1[[#This Row],[Date]])</f>
        <v>27</v>
      </c>
      <c r="C465" s="14">
        <f>debut+ROW()-ROW(Tableau1[[#Headers],[Date]])-1</f>
        <v>45112</v>
      </c>
      <c r="D465" s="16">
        <f>MONTH(Tableau1[[#This Row],[Date]])</f>
        <v>7</v>
      </c>
      <c r="E465" s="16">
        <f>YEAR(Tableau1[[#This Row],[Date]])</f>
        <v>2023</v>
      </c>
      <c r="F465" s="32"/>
      <c r="G465" s="32"/>
      <c r="H465" s="32"/>
      <c r="I465" s="32"/>
      <c r="J465" s="3"/>
      <c r="K465" s="18">
        <f>MOD(Tableau1[[#This Row],[Fin
apm]]-Tableau1[[#This Row],[Début
apm]],1)+MOD(Tableau1[[#This Row],[Fin
matin]]-Tableau1[[#This Row],[Début
matin]],1)</f>
        <v>0</v>
      </c>
      <c r="L465" s="18">
        <f>IFERROR(VLOOKUP(Tableau1[[#This Row],[Abs.]],Tmotif[],3,0),0)</f>
        <v>0</v>
      </c>
      <c r="M465" s="18">
        <f ca="1">IF(WEEKDAY(Tableau1[[#This Row],[Date]],2)&lt;7,0,MAX(0,SUM(OFFSET(Tableau1[[#This Row],[Heures]],-6,,7))+SUM(OFFSET(Tableau1[[#This Row],[H_Abs]],-6,,7))-_HS))</f>
        <v>0</v>
      </c>
      <c r="N465" s="18" t="str">
        <f ca="1">IF(Tableau1[[#This Row],[HS]]&gt;0,IF(Tableau1[[#This Row],[HS]]*24&gt;8,8/24,Tableau1[[#This Row],[HS]]),"")</f>
        <v/>
      </c>
      <c r="O465" s="18" t="str">
        <f ca="1">IF(Tableau1[[#This Row],[HS]]*24&gt;8,Tableau1[[#This Row],[HS]]-Tableau1[[#This Row],[Dont
HS 30%]],"")</f>
        <v/>
      </c>
      <c r="P465" s="18" t="e">
        <f ca="1">Tableau1[[#This Row],[Dont
HS 30%]]*1.3</f>
        <v>#VALUE!</v>
      </c>
      <c r="Q465" s="18" t="e">
        <f ca="1">Tableau1[[#This Row],[Dont 
HS 50%]]*1.5</f>
        <v>#VALUE!</v>
      </c>
    </row>
    <row r="466" spans="2:17" x14ac:dyDescent="0.25">
      <c r="B466" s="41"/>
      <c r="C466" s="42" t="s">
        <v>37</v>
      </c>
      <c r="D466" s="43"/>
      <c r="E466" s="43"/>
      <c r="F466" s="44"/>
      <c r="G466" s="44"/>
      <c r="H466" s="44"/>
      <c r="I466" s="44"/>
      <c r="J466" s="43">
        <f>SUBTOTAL(103,Tableau1[Abs.])</f>
        <v>0</v>
      </c>
      <c r="K466" s="45">
        <f>SUBTOTAL(109,Tableau1[Heures])</f>
        <v>0</v>
      </c>
      <c r="L466" s="43"/>
      <c r="M466" s="45">
        <f ca="1">SUBTOTAL(109,Tableau1[HS])</f>
        <v>0</v>
      </c>
      <c r="N466" s="45"/>
      <c r="O466" s="45"/>
      <c r="P466" s="43"/>
      <c r="Q466" s="43"/>
    </row>
  </sheetData>
  <mergeCells count="1">
    <mergeCell ref="A2:A3"/>
  </mergeCells>
  <conditionalFormatting sqref="B5:M465">
    <cfRule type="expression" dxfId="40" priority="4">
      <formula>WEEKDAY($C5,2)=7</formula>
    </cfRule>
  </conditionalFormatting>
  <conditionalFormatting sqref="B5:B465">
    <cfRule type="expression" dxfId="39" priority="3">
      <formula>WEEKDAY($C5,2)&lt;&gt;4</formula>
    </cfRule>
  </conditionalFormatting>
  <conditionalFormatting sqref="C5:M465">
    <cfRule type="expression" dxfId="38" priority="5">
      <formula>COUNTIF(_JF,$C5)</formula>
    </cfRule>
    <cfRule type="expression" dxfId="37" priority="6">
      <formula>WEEKDAY($C5,2)&gt;5</formula>
    </cfRule>
    <cfRule type="expression" dxfId="36" priority="7">
      <formula>$C5=TODAY()</formula>
    </cfRule>
  </conditionalFormatting>
  <conditionalFormatting sqref="P35">
    <cfRule type="containsText" dxfId="35" priority="2" operator="containsText" text="valeur">
      <formula>NOT(ISERROR(SEARCH("valeur",P35)))</formula>
    </cfRule>
  </conditionalFormatting>
  <pageMargins left="0.7" right="0.7" top="0.75" bottom="0.75" header="0.3" footer="0.3"/>
  <pageSetup paperSize="9" scale="80" orientation="landscape" r:id="rId1"/>
  <ignoredErrors>
    <ignoredError sqref="N5 N6:N34" calculatedColumn="1"/>
    <ignoredError sqref="P35" evalError="1"/>
  </ignoredErrors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200-000000000000}">
          <x14:formula1>
            <xm:f>param!$A$5:$A$11</xm:f>
          </x14:formula1>
          <xm:sqref>J5:J465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05247-D255-4202-B076-6A6073862FB8}">
  <dimension ref="A1:F13"/>
  <sheetViews>
    <sheetView workbookViewId="0">
      <selection activeCell="C4" sqref="C4"/>
    </sheetView>
  </sheetViews>
  <sheetFormatPr baseColWidth="10" defaultRowHeight="15" x14ac:dyDescent="0.25"/>
  <cols>
    <col min="2" max="2" width="26.140625" customWidth="1"/>
    <col min="3" max="3" width="15.5703125" customWidth="1"/>
    <col min="5" max="5" width="4" customWidth="1"/>
  </cols>
  <sheetData>
    <row r="1" spans="1:6" x14ac:dyDescent="0.25">
      <c r="A1" s="47" t="s">
        <v>46</v>
      </c>
      <c r="B1" s="47" t="s">
        <v>47</v>
      </c>
      <c r="C1" s="57" t="s">
        <v>48</v>
      </c>
      <c r="D1" s="58"/>
    </row>
    <row r="2" spans="1:6" x14ac:dyDescent="0.25">
      <c r="A2" s="47"/>
      <c r="B2" s="47"/>
      <c r="C2" s="48" t="s">
        <v>49</v>
      </c>
      <c r="D2" s="49" t="s">
        <v>50</v>
      </c>
      <c r="F2" t="s">
        <v>52</v>
      </c>
    </row>
    <row r="3" spans="1:6" x14ac:dyDescent="0.25">
      <c r="A3" s="52">
        <v>44682</v>
      </c>
      <c r="B3" s="53" t="s">
        <v>51</v>
      </c>
      <c r="C3" s="54">
        <v>0</v>
      </c>
      <c r="D3" s="54"/>
      <c r="E3" s="51"/>
      <c r="F3" s="51">
        <f>+C3-D3</f>
        <v>0</v>
      </c>
    </row>
    <row r="4" spans="1:6" x14ac:dyDescent="0.25">
      <c r="C4" s="51"/>
      <c r="D4" s="51"/>
      <c r="E4" s="51"/>
      <c r="F4" s="51">
        <f>+F3+C4-D4</f>
        <v>0</v>
      </c>
    </row>
    <row r="5" spans="1:6" x14ac:dyDescent="0.25">
      <c r="C5" s="51"/>
      <c r="D5" s="51"/>
      <c r="E5" s="51"/>
      <c r="F5" s="51">
        <f t="shared" ref="F5:F13" si="0">+F4+C5-D5</f>
        <v>0</v>
      </c>
    </row>
    <row r="6" spans="1:6" x14ac:dyDescent="0.25">
      <c r="C6" s="51"/>
      <c r="D6" s="51"/>
      <c r="E6" s="51"/>
      <c r="F6" s="51">
        <f t="shared" si="0"/>
        <v>0</v>
      </c>
    </row>
    <row r="7" spans="1:6" x14ac:dyDescent="0.25">
      <c r="C7" s="51"/>
      <c r="D7" s="51"/>
      <c r="E7" s="51"/>
      <c r="F7" s="51">
        <f t="shared" si="0"/>
        <v>0</v>
      </c>
    </row>
    <row r="8" spans="1:6" x14ac:dyDescent="0.25">
      <c r="C8" s="51"/>
      <c r="D8" s="51"/>
      <c r="E8" s="51"/>
      <c r="F8" s="51">
        <f t="shared" si="0"/>
        <v>0</v>
      </c>
    </row>
    <row r="9" spans="1:6" x14ac:dyDescent="0.25">
      <c r="C9" s="51"/>
      <c r="D9" s="51"/>
      <c r="E9" s="51"/>
      <c r="F9" s="51">
        <f t="shared" si="0"/>
        <v>0</v>
      </c>
    </row>
    <row r="10" spans="1:6" x14ac:dyDescent="0.25">
      <c r="C10" s="51"/>
      <c r="D10" s="51"/>
      <c r="E10" s="51"/>
      <c r="F10" s="51">
        <f t="shared" si="0"/>
        <v>0</v>
      </c>
    </row>
    <row r="11" spans="1:6" x14ac:dyDescent="0.25">
      <c r="C11" s="51"/>
      <c r="D11" s="51"/>
      <c r="E11" s="51"/>
      <c r="F11" s="51">
        <f t="shared" si="0"/>
        <v>0</v>
      </c>
    </row>
    <row r="12" spans="1:6" x14ac:dyDescent="0.25">
      <c r="C12" s="51"/>
      <c r="D12" s="51"/>
      <c r="E12" s="51"/>
      <c r="F12" s="51">
        <f t="shared" si="0"/>
        <v>0</v>
      </c>
    </row>
    <row r="13" spans="1:6" x14ac:dyDescent="0.25">
      <c r="C13" s="51"/>
      <c r="D13" s="51"/>
      <c r="E13" s="51"/>
      <c r="F13" s="51">
        <f t="shared" si="0"/>
        <v>0</v>
      </c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M62"/>
  <sheetViews>
    <sheetView workbookViewId="0">
      <selection activeCell="B2" sqref="B2"/>
    </sheetView>
  </sheetViews>
  <sheetFormatPr baseColWidth="10" defaultRowHeight="15" x14ac:dyDescent="0.25"/>
  <cols>
    <col min="1" max="1" width="14" bestFit="1" customWidth="1"/>
    <col min="2" max="2" width="13.28515625" bestFit="1" customWidth="1"/>
    <col min="3" max="3" width="13.140625" bestFit="1" customWidth="1"/>
  </cols>
  <sheetData>
    <row r="1" spans="1:13" x14ac:dyDescent="0.25">
      <c r="A1" s="4" t="s">
        <v>4</v>
      </c>
      <c r="B1" s="5">
        <v>44652</v>
      </c>
      <c r="C1" s="34" t="s">
        <v>5</v>
      </c>
      <c r="L1" s="6"/>
      <c r="M1" s="6"/>
    </row>
    <row r="2" spans="1:13" x14ac:dyDescent="0.25">
      <c r="A2" s="4"/>
      <c r="B2" s="5"/>
      <c r="L2" s="6"/>
      <c r="M2" s="6"/>
    </row>
    <row r="3" spans="1:13" x14ac:dyDescent="0.25">
      <c r="A3" s="7">
        <f>YEAR(debut)</f>
        <v>2022</v>
      </c>
      <c r="B3" s="8" t="s">
        <v>6</v>
      </c>
      <c r="C3" s="9">
        <f>DATE(A3,1,1)</f>
        <v>44562</v>
      </c>
    </row>
    <row r="4" spans="1:13" x14ac:dyDescent="0.25">
      <c r="A4" s="8"/>
      <c r="B4" s="8" t="s">
        <v>7</v>
      </c>
      <c r="C4" s="9">
        <f>ROUND(DATE(A3,4,MOD(234-11*MOD(A3,19),30))/7,0)*7-6</f>
        <v>44668</v>
      </c>
    </row>
    <row r="5" spans="1:13" x14ac:dyDescent="0.25">
      <c r="A5" s="8"/>
      <c r="B5" s="8" t="s">
        <v>8</v>
      </c>
      <c r="C5" s="9">
        <f>C4+1</f>
        <v>44669</v>
      </c>
    </row>
    <row r="6" spans="1:13" x14ac:dyDescent="0.25">
      <c r="A6" s="8"/>
      <c r="B6" s="8" t="s">
        <v>9</v>
      </c>
      <c r="C6" s="9">
        <f>DATE(A3,5,1)</f>
        <v>44682</v>
      </c>
    </row>
    <row r="7" spans="1:13" x14ac:dyDescent="0.25">
      <c r="A7" s="8"/>
      <c r="B7" s="8" t="s">
        <v>10</v>
      </c>
      <c r="C7" s="9">
        <f>DATE(A3,5,8)</f>
        <v>44689</v>
      </c>
    </row>
    <row r="8" spans="1:13" x14ac:dyDescent="0.25">
      <c r="A8" s="8"/>
      <c r="B8" s="8" t="s">
        <v>11</v>
      </c>
      <c r="C8" s="9">
        <f>C4+39</f>
        <v>44707</v>
      </c>
    </row>
    <row r="9" spans="1:13" x14ac:dyDescent="0.25">
      <c r="A9" s="8"/>
      <c r="B9" s="8" t="s">
        <v>12</v>
      </c>
      <c r="C9" s="9">
        <f>C4+50</f>
        <v>44718</v>
      </c>
    </row>
    <row r="10" spans="1:13" x14ac:dyDescent="0.25">
      <c r="A10" s="8"/>
      <c r="B10" s="8" t="s">
        <v>13</v>
      </c>
      <c r="C10" s="9">
        <f>DATE(A3,7,14)</f>
        <v>44756</v>
      </c>
    </row>
    <row r="11" spans="1:13" x14ac:dyDescent="0.25">
      <c r="A11" s="8"/>
      <c r="B11" s="8" t="s">
        <v>14</v>
      </c>
      <c r="C11" s="9">
        <f>DATE(A3,8,15)</f>
        <v>44788</v>
      </c>
    </row>
    <row r="12" spans="1:13" x14ac:dyDescent="0.25">
      <c r="A12" s="8"/>
      <c r="B12" s="8" t="s">
        <v>15</v>
      </c>
      <c r="C12" s="9">
        <f>DATE(A3,11,1)</f>
        <v>44866</v>
      </c>
    </row>
    <row r="13" spans="1:13" x14ac:dyDescent="0.25">
      <c r="A13" s="8"/>
      <c r="B13" s="8" t="s">
        <v>16</v>
      </c>
      <c r="C13" s="9">
        <f>DATE(A3,11,11)</f>
        <v>44876</v>
      </c>
    </row>
    <row r="14" spans="1:13" x14ac:dyDescent="0.25">
      <c r="A14" s="8"/>
      <c r="B14" s="8" t="s">
        <v>17</v>
      </c>
      <c r="C14" s="9">
        <f>DATE(A3,12,25)</f>
        <v>44920</v>
      </c>
    </row>
    <row r="15" spans="1:13" x14ac:dyDescent="0.25">
      <c r="A15" s="7">
        <f>A3+1</f>
        <v>2023</v>
      </c>
      <c r="B15" s="8" t="s">
        <v>6</v>
      </c>
      <c r="C15" s="9">
        <f>DATE(A15,1,1)</f>
        <v>44927</v>
      </c>
    </row>
    <row r="16" spans="1:13" x14ac:dyDescent="0.25">
      <c r="A16" s="8"/>
      <c r="B16" s="8" t="s">
        <v>7</v>
      </c>
      <c r="C16" s="9">
        <f>ROUND(DATE(A15,4,MOD(234-11*MOD(A15,19),30))/7,0)*7-6</f>
        <v>45025</v>
      </c>
    </row>
    <row r="17" spans="1:3" x14ac:dyDescent="0.25">
      <c r="A17" s="8"/>
      <c r="B17" s="8" t="s">
        <v>8</v>
      </c>
      <c r="C17" s="9">
        <f>C16+1</f>
        <v>45026</v>
      </c>
    </row>
    <row r="18" spans="1:3" x14ac:dyDescent="0.25">
      <c r="A18" s="8"/>
      <c r="B18" s="8" t="s">
        <v>9</v>
      </c>
      <c r="C18" s="9">
        <f>DATE(A15,5,1)</f>
        <v>45047</v>
      </c>
    </row>
    <row r="19" spans="1:3" x14ac:dyDescent="0.25">
      <c r="A19" s="8"/>
      <c r="B19" s="8" t="s">
        <v>10</v>
      </c>
      <c r="C19" s="9">
        <f>DATE(A15,5,8)</f>
        <v>45054</v>
      </c>
    </row>
    <row r="20" spans="1:3" x14ac:dyDescent="0.25">
      <c r="A20" s="8"/>
      <c r="B20" s="8" t="s">
        <v>11</v>
      </c>
      <c r="C20" s="9">
        <f>C16+39</f>
        <v>45064</v>
      </c>
    </row>
    <row r="21" spans="1:3" x14ac:dyDescent="0.25">
      <c r="A21" s="8"/>
      <c r="B21" s="8" t="s">
        <v>12</v>
      </c>
      <c r="C21" s="9">
        <f>C16+50</f>
        <v>45075</v>
      </c>
    </row>
    <row r="22" spans="1:3" x14ac:dyDescent="0.25">
      <c r="A22" s="8"/>
      <c r="B22" s="8" t="s">
        <v>13</v>
      </c>
      <c r="C22" s="9">
        <f>DATE(A15,7,14)</f>
        <v>45121</v>
      </c>
    </row>
    <row r="23" spans="1:3" x14ac:dyDescent="0.25">
      <c r="A23" s="8"/>
      <c r="B23" s="8" t="s">
        <v>14</v>
      </c>
      <c r="C23" s="9">
        <f>DATE(A15,8,15)</f>
        <v>45153</v>
      </c>
    </row>
    <row r="24" spans="1:3" x14ac:dyDescent="0.25">
      <c r="A24" s="8"/>
      <c r="B24" s="8" t="s">
        <v>15</v>
      </c>
      <c r="C24" s="9">
        <f>DATE(A15,11,1)</f>
        <v>45231</v>
      </c>
    </row>
    <row r="25" spans="1:3" x14ac:dyDescent="0.25">
      <c r="A25" s="8"/>
      <c r="B25" s="8" t="s">
        <v>16</v>
      </c>
      <c r="C25" s="9">
        <f>DATE(A15,11,11)</f>
        <v>45241</v>
      </c>
    </row>
    <row r="26" spans="1:3" x14ac:dyDescent="0.25">
      <c r="A26" s="8"/>
      <c r="B26" s="8" t="s">
        <v>17</v>
      </c>
      <c r="C26" s="9">
        <f>DATE(A15,12,25)</f>
        <v>45285</v>
      </c>
    </row>
    <row r="27" spans="1:3" x14ac:dyDescent="0.25">
      <c r="A27" s="7">
        <f>A15+1</f>
        <v>2024</v>
      </c>
      <c r="B27" s="8" t="s">
        <v>6</v>
      </c>
      <c r="C27" s="9">
        <f>DATE(A27,1,1)</f>
        <v>45292</v>
      </c>
    </row>
    <row r="28" spans="1:3" x14ac:dyDescent="0.25">
      <c r="A28" s="8"/>
      <c r="B28" s="8" t="s">
        <v>7</v>
      </c>
      <c r="C28" s="9">
        <f>ROUND(DATE(A27,4,MOD(234-11*MOD(A27,19),30))/7,0)*7-6</f>
        <v>45382</v>
      </c>
    </row>
    <row r="29" spans="1:3" x14ac:dyDescent="0.25">
      <c r="A29" s="8"/>
      <c r="B29" s="8" t="s">
        <v>8</v>
      </c>
      <c r="C29" s="9">
        <f>C28+1</f>
        <v>45383</v>
      </c>
    </row>
    <row r="30" spans="1:3" x14ac:dyDescent="0.25">
      <c r="A30" s="8"/>
      <c r="B30" s="8" t="s">
        <v>9</v>
      </c>
      <c r="C30" s="9">
        <f>DATE(A27,5,1)</f>
        <v>45413</v>
      </c>
    </row>
    <row r="31" spans="1:3" x14ac:dyDescent="0.25">
      <c r="A31" s="8"/>
      <c r="B31" s="8" t="s">
        <v>10</v>
      </c>
      <c r="C31" s="9">
        <f>DATE(A27,5,8)</f>
        <v>45420</v>
      </c>
    </row>
    <row r="32" spans="1:3" x14ac:dyDescent="0.25">
      <c r="A32" s="8"/>
      <c r="B32" s="8" t="s">
        <v>11</v>
      </c>
      <c r="C32" s="9">
        <f>C28+39</f>
        <v>45421</v>
      </c>
    </row>
    <row r="33" spans="1:3" x14ac:dyDescent="0.25">
      <c r="A33" s="8"/>
      <c r="B33" s="8" t="s">
        <v>12</v>
      </c>
      <c r="C33" s="9">
        <f>C28+50</f>
        <v>45432</v>
      </c>
    </row>
    <row r="34" spans="1:3" x14ac:dyDescent="0.25">
      <c r="A34" s="8"/>
      <c r="B34" s="8" t="s">
        <v>13</v>
      </c>
      <c r="C34" s="9">
        <f>DATE(A27,7,14)</f>
        <v>45487</v>
      </c>
    </row>
    <row r="35" spans="1:3" x14ac:dyDescent="0.25">
      <c r="A35" s="8"/>
      <c r="B35" s="8" t="s">
        <v>14</v>
      </c>
      <c r="C35" s="9">
        <f>DATE(A27,8,15)</f>
        <v>45519</v>
      </c>
    </row>
    <row r="36" spans="1:3" x14ac:dyDescent="0.25">
      <c r="A36" s="8"/>
      <c r="B36" s="8" t="s">
        <v>15</v>
      </c>
      <c r="C36" s="9">
        <f>DATE(A27,11,1)</f>
        <v>45597</v>
      </c>
    </row>
    <row r="37" spans="1:3" x14ac:dyDescent="0.25">
      <c r="A37" s="8"/>
      <c r="B37" s="8" t="s">
        <v>16</v>
      </c>
      <c r="C37" s="9">
        <f>DATE(A27,11,11)</f>
        <v>45607</v>
      </c>
    </row>
    <row r="38" spans="1:3" x14ac:dyDescent="0.25">
      <c r="A38" s="8"/>
      <c r="B38" s="8" t="s">
        <v>17</v>
      </c>
      <c r="C38" s="9">
        <f>DATE(A27,12,25)</f>
        <v>45651</v>
      </c>
    </row>
    <row r="39" spans="1:3" x14ac:dyDescent="0.25">
      <c r="A39" s="7">
        <f>A27+1</f>
        <v>2025</v>
      </c>
      <c r="B39" s="8" t="s">
        <v>6</v>
      </c>
      <c r="C39" s="9">
        <f>DATE(A39,1,1)</f>
        <v>45658</v>
      </c>
    </row>
    <row r="40" spans="1:3" x14ac:dyDescent="0.25">
      <c r="A40" s="8"/>
      <c r="B40" s="8" t="s">
        <v>7</v>
      </c>
      <c r="C40" s="9">
        <f>ROUND(DATE(A39,4,MOD(234-11*MOD(A39,19),30))/7,0)*7-6</f>
        <v>45767</v>
      </c>
    </row>
    <row r="41" spans="1:3" x14ac:dyDescent="0.25">
      <c r="A41" s="8"/>
      <c r="B41" s="8" t="s">
        <v>8</v>
      </c>
      <c r="C41" s="9">
        <f>C40+1</f>
        <v>45768</v>
      </c>
    </row>
    <row r="42" spans="1:3" x14ac:dyDescent="0.25">
      <c r="A42" s="8"/>
      <c r="B42" s="8" t="s">
        <v>9</v>
      </c>
      <c r="C42" s="9">
        <f>DATE(A39,5,1)</f>
        <v>45778</v>
      </c>
    </row>
    <row r="43" spans="1:3" x14ac:dyDescent="0.25">
      <c r="A43" s="8"/>
      <c r="B43" s="8" t="s">
        <v>10</v>
      </c>
      <c r="C43" s="9">
        <f>DATE(A39,5,8)</f>
        <v>45785</v>
      </c>
    </row>
    <row r="44" spans="1:3" x14ac:dyDescent="0.25">
      <c r="A44" s="8"/>
      <c r="B44" s="8" t="s">
        <v>11</v>
      </c>
      <c r="C44" s="9">
        <f>C40+39</f>
        <v>45806</v>
      </c>
    </row>
    <row r="45" spans="1:3" x14ac:dyDescent="0.25">
      <c r="A45" s="8"/>
      <c r="B45" s="8" t="s">
        <v>12</v>
      </c>
      <c r="C45" s="9">
        <f>C40+50</f>
        <v>45817</v>
      </c>
    </row>
    <row r="46" spans="1:3" x14ac:dyDescent="0.25">
      <c r="A46" s="8"/>
      <c r="B46" s="8" t="s">
        <v>13</v>
      </c>
      <c r="C46" s="9">
        <f>DATE(A39,7,14)</f>
        <v>45852</v>
      </c>
    </row>
    <row r="47" spans="1:3" x14ac:dyDescent="0.25">
      <c r="A47" s="8"/>
      <c r="B47" s="8" t="s">
        <v>14</v>
      </c>
      <c r="C47" s="9">
        <f>DATE(A39,8,15)</f>
        <v>45884</v>
      </c>
    </row>
    <row r="48" spans="1:3" x14ac:dyDescent="0.25">
      <c r="A48" s="8"/>
      <c r="B48" s="8" t="s">
        <v>15</v>
      </c>
      <c r="C48" s="9">
        <f>DATE(A39,11,1)</f>
        <v>45962</v>
      </c>
    </row>
    <row r="49" spans="1:3" x14ac:dyDescent="0.25">
      <c r="A49" s="8"/>
      <c r="B49" s="8" t="s">
        <v>16</v>
      </c>
      <c r="C49" s="9">
        <f>DATE(A39,11,11)</f>
        <v>45972</v>
      </c>
    </row>
    <row r="50" spans="1:3" x14ac:dyDescent="0.25">
      <c r="A50" s="8"/>
      <c r="B50" s="8" t="s">
        <v>17</v>
      </c>
      <c r="C50" s="9">
        <f>DATE(A39,12,25)</f>
        <v>46016</v>
      </c>
    </row>
    <row r="51" spans="1:3" x14ac:dyDescent="0.25">
      <c r="A51" s="7">
        <f>A39+1</f>
        <v>2026</v>
      </c>
      <c r="B51" s="8" t="s">
        <v>6</v>
      </c>
      <c r="C51" s="9">
        <f>DATE(A51,1,1)</f>
        <v>46023</v>
      </c>
    </row>
    <row r="52" spans="1:3" x14ac:dyDescent="0.25">
      <c r="A52" s="8"/>
      <c r="B52" s="8" t="s">
        <v>7</v>
      </c>
      <c r="C52" s="9">
        <f>ROUND(DATE(A51,4,MOD(234-11*MOD(A51,19),30))/7,0)*7-6</f>
        <v>46117</v>
      </c>
    </row>
    <row r="53" spans="1:3" x14ac:dyDescent="0.25">
      <c r="A53" s="8"/>
      <c r="B53" s="8" t="s">
        <v>8</v>
      </c>
      <c r="C53" s="9">
        <f>C52+1</f>
        <v>46118</v>
      </c>
    </row>
    <row r="54" spans="1:3" x14ac:dyDescent="0.25">
      <c r="A54" s="8"/>
      <c r="B54" s="8" t="s">
        <v>9</v>
      </c>
      <c r="C54" s="9">
        <f>DATE(A51,5,1)</f>
        <v>46143</v>
      </c>
    </row>
    <row r="55" spans="1:3" x14ac:dyDescent="0.25">
      <c r="A55" s="8"/>
      <c r="B55" s="8" t="s">
        <v>10</v>
      </c>
      <c r="C55" s="9">
        <f>DATE(A51,5,8)</f>
        <v>46150</v>
      </c>
    </row>
    <row r="56" spans="1:3" x14ac:dyDescent="0.25">
      <c r="A56" s="8"/>
      <c r="B56" s="8" t="s">
        <v>11</v>
      </c>
      <c r="C56" s="9">
        <f>C52+39</f>
        <v>46156</v>
      </c>
    </row>
    <row r="57" spans="1:3" x14ac:dyDescent="0.25">
      <c r="A57" s="8"/>
      <c r="B57" s="8" t="s">
        <v>12</v>
      </c>
      <c r="C57" s="9">
        <f>C52+50</f>
        <v>46167</v>
      </c>
    </row>
    <row r="58" spans="1:3" x14ac:dyDescent="0.25">
      <c r="A58" s="8"/>
      <c r="B58" s="8" t="s">
        <v>13</v>
      </c>
      <c r="C58" s="9">
        <f>DATE(A51,7,14)</f>
        <v>46217</v>
      </c>
    </row>
    <row r="59" spans="1:3" x14ac:dyDescent="0.25">
      <c r="A59" s="8"/>
      <c r="B59" s="8" t="s">
        <v>14</v>
      </c>
      <c r="C59" s="9">
        <f>DATE(A51,8,15)</f>
        <v>46249</v>
      </c>
    </row>
    <row r="60" spans="1:3" x14ac:dyDescent="0.25">
      <c r="A60" s="8"/>
      <c r="B60" s="8" t="s">
        <v>15</v>
      </c>
      <c r="C60" s="9">
        <f>DATE(A51,11,1)</f>
        <v>46327</v>
      </c>
    </row>
    <row r="61" spans="1:3" x14ac:dyDescent="0.25">
      <c r="A61" s="8"/>
      <c r="B61" s="8" t="s">
        <v>16</v>
      </c>
      <c r="C61" s="9">
        <f>DATE(A51,11,11)</f>
        <v>46337</v>
      </c>
    </row>
    <row r="62" spans="1:3" x14ac:dyDescent="0.25">
      <c r="A62" s="8"/>
      <c r="B62" s="8" t="s">
        <v>17</v>
      </c>
      <c r="C62" s="9">
        <f>DATE(A51,12,25)</f>
        <v>46381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C11"/>
  <sheetViews>
    <sheetView workbookViewId="0">
      <selection activeCell="C5" sqref="C5"/>
    </sheetView>
  </sheetViews>
  <sheetFormatPr baseColWidth="10" defaultRowHeight="15" x14ac:dyDescent="0.25"/>
  <cols>
    <col min="1" max="1" width="19.85546875" bestFit="1" customWidth="1"/>
    <col min="2" max="2" width="18.7109375" customWidth="1"/>
    <col min="3" max="3" width="21.140625" customWidth="1"/>
    <col min="4" max="8" width="13.140625" customWidth="1"/>
  </cols>
  <sheetData>
    <row r="1" spans="1:3" x14ac:dyDescent="0.25">
      <c r="A1" t="s">
        <v>18</v>
      </c>
      <c r="B1" s="10">
        <v>1.4583333333333333</v>
      </c>
    </row>
    <row r="4" spans="1:3" s="11" customFormat="1" ht="30" x14ac:dyDescent="0.25">
      <c r="A4" s="11" t="s">
        <v>19</v>
      </c>
      <c r="B4" s="11" t="s">
        <v>20</v>
      </c>
      <c r="C4" s="11" t="s">
        <v>43</v>
      </c>
    </row>
    <row r="5" spans="1:3" x14ac:dyDescent="0.25">
      <c r="A5" s="38" t="s">
        <v>21</v>
      </c>
      <c r="B5" s="38" t="s">
        <v>22</v>
      </c>
      <c r="C5" s="38"/>
    </row>
    <row r="6" spans="1:3" x14ac:dyDescent="0.25">
      <c r="A6" s="38" t="s">
        <v>23</v>
      </c>
      <c r="B6" s="38" t="s">
        <v>24</v>
      </c>
      <c r="C6" s="38"/>
    </row>
    <row r="7" spans="1:3" x14ac:dyDescent="0.25">
      <c r="A7" s="38" t="s">
        <v>25</v>
      </c>
      <c r="B7" s="38" t="s">
        <v>26</v>
      </c>
      <c r="C7" s="39">
        <v>0.29166666666666669</v>
      </c>
    </row>
    <row r="8" spans="1:3" x14ac:dyDescent="0.25">
      <c r="A8" s="38" t="s">
        <v>27</v>
      </c>
      <c r="B8" s="38" t="s">
        <v>28</v>
      </c>
      <c r="C8" s="39">
        <v>0.29166666666666669</v>
      </c>
    </row>
    <row r="9" spans="1:3" x14ac:dyDescent="0.25">
      <c r="A9" s="38" t="s">
        <v>29</v>
      </c>
      <c r="B9" s="38" t="s">
        <v>30</v>
      </c>
      <c r="C9" s="38"/>
    </row>
    <row r="10" spans="1:3" x14ac:dyDescent="0.25">
      <c r="A10" s="38" t="s">
        <v>31</v>
      </c>
      <c r="B10" s="38" t="s">
        <v>32</v>
      </c>
      <c r="C10" s="38"/>
    </row>
    <row r="11" spans="1:3" x14ac:dyDescent="0.25">
      <c r="A11" s="38" t="s">
        <v>33</v>
      </c>
      <c r="B11" s="38"/>
      <c r="C11" s="3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truc</vt:lpstr>
      <vt:lpstr>CUMUL</vt:lpstr>
      <vt:lpstr>calendrier</vt:lpstr>
      <vt:lpstr>param</vt:lpstr>
      <vt:lpstr>_HS</vt:lpstr>
      <vt:lpstr>_JF</vt:lpstr>
      <vt:lpstr>debut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Jean-Paul DEHEZ</cp:lastModifiedBy>
  <cp:lastPrinted>2020-11-01T12:32:55Z</cp:lastPrinted>
  <dcterms:created xsi:type="dcterms:W3CDTF">2020-10-31T07:24:25Z</dcterms:created>
  <dcterms:modified xsi:type="dcterms:W3CDTF">2022-07-05T13:38:52Z</dcterms:modified>
</cp:coreProperties>
</file>