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defaultThemeVersion="124226"/>
  <bookViews>
    <workbookView xWindow="120" yWindow="45" windowWidth="18915" windowHeight="11820" firstSheet="2" activeTab="2"/>
  </bookViews>
  <sheets>
    <sheet name="Cotisations" sheetId="4" state="hidden" r:id="rId1"/>
    <sheet name="Société" sheetId="5" state="hidden" r:id="rId2"/>
    <sheet name="multi" sheetId="10" r:id="rId3"/>
    <sheet name="Listes" sheetId="6" state="hidden" r:id="rId4"/>
    <sheet name="cadre" sheetId="44" state="hidden" r:id="rId5"/>
    <sheet name="dirigeant" sheetId="11" state="hidden" r:id="rId6"/>
    <sheet name="CTpro+45ans" sheetId="28" state="hidden" r:id="rId7"/>
    <sheet name="apprentis 11 sal et +" sheetId="29" state="hidden" r:id="rId8"/>
    <sheet name="VRP exclusif NC" sheetId="30" state="hidden" r:id="rId9"/>
    <sheet name="VRP exclusif C" sheetId="33" state="hidden" r:id="rId10"/>
    <sheet name="VRP multicarte" sheetId="32" state="hidden" r:id="rId11"/>
    <sheet name="NC BTP" sheetId="35" state="hidden" r:id="rId12"/>
    <sheet name="C BTP" sheetId="36" state="hidden" r:id="rId13"/>
    <sheet name="Régul plafond" sheetId="18" state="hidden" r:id="rId14"/>
    <sheet name="Régul Fillon mensuelle" sheetId="16" state="hidden" r:id="rId15"/>
    <sheet name="Régul Fillon" sheetId="43" state="hidden" r:id="rId16"/>
    <sheet name="Régul AF" sheetId="20" state="hidden" r:id="rId17"/>
    <sheet name="Logement" sheetId="15" state="hidden" r:id="rId18"/>
    <sheet name="Saisie" sheetId="7" state="hidden" r:id="rId19"/>
    <sheet name="IJSS maladie" sheetId="19" state="hidden" r:id="rId20"/>
    <sheet name="IJSS AT" sheetId="22" state="hidden" r:id="rId21"/>
    <sheet name="Ind licenc ou rupt conv" sheetId="24" state="hidden" r:id="rId22"/>
    <sheet name="ICP" sheetId="23" state="hidden" r:id="rId23"/>
    <sheet name="ICCP" sheetId="42" state="hidden" r:id="rId24"/>
    <sheet name="Masse salariale" sheetId="37" state="hidden" r:id="rId25"/>
    <sheet name="URSSAF" sheetId="39" state="hidden" r:id="rId26"/>
    <sheet name="ARRCO" sheetId="40" state="hidden" r:id="rId27"/>
    <sheet name="AGIRC" sheetId="41" state="hidden" r:id="rId28"/>
    <sheet name="variables" sheetId="26" state="hidden" r:id="rId29"/>
    <sheet name="Régul Fillon+AF+TA-B-C+GMP" sheetId="27" state="hidden" r:id="rId30"/>
  </sheets>
  <externalReferences>
    <externalReference r:id="rId31"/>
  </externalReferences>
  <definedNames>
    <definedName name="absences" localSheetId="29">[1]Listes!$A$2:$A$4</definedName>
    <definedName name="absences">Listes!$A$2:$A$4</definedName>
    <definedName name="App_Brut" localSheetId="7">'apprentis 11 sal et +'!$J$24</definedName>
    <definedName name="App_CSGRDS" localSheetId="7">'apprentis 11 sal et +'!$C$101</definedName>
    <definedName name="App_Plafond" localSheetId="7">'apprentis 11 sal et +'!$J$13</definedName>
    <definedName name="App_T2" localSheetId="7">'apprentis 11 sal et +'!$C$98</definedName>
    <definedName name="App_TA" localSheetId="7">'apprentis 11 sal et +'!$C$97</definedName>
    <definedName name="APP_TABB">'apprentis 11 sal et +'!$C$100</definedName>
    <definedName name="App_TB" localSheetId="7">'apprentis 11 sal et +'!$C$99</definedName>
    <definedName name="C_Brut" localSheetId="4">cadre!$J$24</definedName>
    <definedName name="C_Brut" localSheetId="29">[1]cadre!$I$24</definedName>
    <definedName name="C_CSGRDS" localSheetId="4">cadre!$C$87</definedName>
    <definedName name="C_CSGRDS" localSheetId="29">[1]cadre!$B$87</definedName>
    <definedName name="C_GMP" localSheetId="4">cadre!$C$86</definedName>
    <definedName name="C_GMP" localSheetId="29">[1]cadre!$B$86</definedName>
    <definedName name="C_Plafond" localSheetId="4">cadre!$J$13</definedName>
    <definedName name="C_Plafond" localSheetId="29">[1]cadre!$I$13</definedName>
    <definedName name="C_TA" localSheetId="4">cadre!$C$83</definedName>
    <definedName name="C_TA" localSheetId="29">[1]cadre!$B$83</definedName>
    <definedName name="C_TB" localSheetId="4">cadre!$C$84</definedName>
    <definedName name="C_TB" localSheetId="29">[1]cadre!$B$84</definedName>
    <definedName name="C_TC" localSheetId="4">cadre!$C$85</definedName>
    <definedName name="C_TC" localSheetId="29">[1]cadre!$B$85</definedName>
    <definedName name="car_emp" localSheetId="29">[1]Listes!$A$25:$A$32</definedName>
    <definedName name="car_emp">Listes!$A$25:$A$32</definedName>
    <definedName name="CBTP_Brut" localSheetId="12">'C BTP'!$J$27</definedName>
    <definedName name="CBTP_BRUTABAT" localSheetId="12">'C BTP'!$J$28</definedName>
    <definedName name="CBTP_CSGRDS" localSheetId="12">'C BTP'!$C$96</definedName>
    <definedName name="CBTP_GMP" localSheetId="12">'C BTP'!$C$95</definedName>
    <definedName name="CBTP_Plafond" localSheetId="12">'C BTP'!$J$13</definedName>
    <definedName name="CBTP_TA" localSheetId="12">'C BTP'!$C$92</definedName>
    <definedName name="CBTP_TB" localSheetId="12">'C BTP'!$C$93</definedName>
    <definedName name="CBTP_TC" localSheetId="12">'C BTP'!$C$94</definedName>
    <definedName name="charnière">Cotisations!$B$51</definedName>
    <definedName name="CPro_Brut" localSheetId="6">'CTpro+45ans'!$J$24</definedName>
    <definedName name="CPro_CSGRDS" localSheetId="6">'CTpro+45ans'!$C$87</definedName>
    <definedName name="CPro_Plafond" localSheetId="6">'CTpro+45ans'!$J$13</definedName>
    <definedName name="CPro_T2" localSheetId="6">'CTpro+45ans'!$C$84</definedName>
    <definedName name="CPro_TA" localSheetId="6">'CTpro+45ans'!$C$83</definedName>
    <definedName name="CPro_TB" localSheetId="6">'CTpro+45ans'!$C$85</definedName>
    <definedName name="CPRO_TEXO">'CTpro+45ans'!$C$86</definedName>
    <definedName name="D_Brut" localSheetId="29">[1]dirigeant!$I$21</definedName>
    <definedName name="D_Brut">dirigeant!$I$21</definedName>
    <definedName name="D_CSGRDS" localSheetId="5">dirigeant!$B$87</definedName>
    <definedName name="D_GMP" localSheetId="5">dirigeant!$B$86</definedName>
    <definedName name="D_Plafond" localSheetId="5">dirigeant!$I$13</definedName>
    <definedName name="D_TA" localSheetId="5">dirigeant!$B$83</definedName>
    <definedName name="D_TB" localSheetId="5">dirigeant!$B$84</definedName>
    <definedName name="D_TC" localSheetId="5">dirigeant!$B$85</definedName>
    <definedName name="divers" localSheetId="29">[1]Saisie!$C$16</definedName>
    <definedName name="divers">Saisie!$C$16</definedName>
    <definedName name="effectif" localSheetId="29">[1]Société!$B$11</definedName>
    <definedName name="effectif">Société!$B$11</definedName>
    <definedName name="GMP" localSheetId="29">[1]Cotisations!$B$50</definedName>
    <definedName name="GMP">Cotisations!$B$50</definedName>
    <definedName name="H.C.">Listes!$B$8:$C$8</definedName>
    <definedName name="H.S.">Listes!$B$7:$D$7</definedName>
    <definedName name="HS.HC" localSheetId="29">[1]Listes!$A$7:$A$10</definedName>
    <definedName name="HS.HC">Listes!$A$7:$A$10</definedName>
    <definedName name="Liste_AF" localSheetId="29">[1]Listes!$A$17:$A$18</definedName>
    <definedName name="Liste_AF">Listes!$A$17:$A$18</definedName>
    <definedName name="liste_Fillon" localSheetId="29">[1]Listes!$A$13:$A$14</definedName>
    <definedName name="liste_Fillon">Listes!$A$13:$A$14</definedName>
    <definedName name="M_Brut">multi!$J$24</definedName>
    <definedName name="M_CSGRDS">multi!$C$95</definedName>
    <definedName name="M_GMP">multi!$C$94</definedName>
    <definedName name="M_Plafond">multi!$J$13</definedName>
    <definedName name="M_T2">multi!$C$91</definedName>
    <definedName name="M_TA">multi!$C$90</definedName>
    <definedName name="M_TB">multi!$C$92</definedName>
    <definedName name="M_TC">multi!$C$93</definedName>
    <definedName name="min_garanti">Cotisations!$B$49</definedName>
    <definedName name="NC_Brut" localSheetId="29">'[1]non cadre'!$I$24</definedName>
    <definedName name="NC_Brut">#REF!</definedName>
    <definedName name="NC_CSGRDS" localSheetId="29">'[1]non cadre'!$B$81</definedName>
    <definedName name="NC_CSGRDS">#REF!</definedName>
    <definedName name="NC_Plafond" localSheetId="29">'[1]non cadre'!$I$13</definedName>
    <definedName name="NC_Plafond">#REF!</definedName>
    <definedName name="NC_T2" localSheetId="29">'[1]non cadre'!$B$79</definedName>
    <definedName name="NC_T2">#REF!</definedName>
    <definedName name="NC_TA" localSheetId="29">'[1]non cadre'!$B$78</definedName>
    <definedName name="NC_TA">#REF!</definedName>
    <definedName name="NC_TB" localSheetId="29">'[1]non cadre'!$B$80</definedName>
    <definedName name="NC_TB">#REF!</definedName>
    <definedName name="NCBTP_Brut" localSheetId="11">'NC BTP'!$J$27</definedName>
    <definedName name="NCBTP_BRUTABAT" localSheetId="11">'NC BTP'!$J$28</definedName>
    <definedName name="NCBTP_CSGRDS" localSheetId="11">'NC BTP'!$C$92</definedName>
    <definedName name="NCBTP_Plafond" localSheetId="11">'NC BTP'!$J$13</definedName>
    <definedName name="NCBTP_T2" localSheetId="11">'NC BTP'!$C$90</definedName>
    <definedName name="NCBTP_TA" localSheetId="11">'NC BTP'!$C$89</definedName>
    <definedName name="NCBTP_TB" localSheetId="11">'NC BTP'!$C$91</definedName>
    <definedName name="PASS" localSheetId="29">[1]Cotisations!$B$48</definedName>
    <definedName name="PASS">Cotisations!$B$48</definedName>
    <definedName name="pens_alim" localSheetId="29">[1]Saisie!$C$14</definedName>
    <definedName name="pens_alim">Saisie!$C$14</definedName>
    <definedName name="PMSS" localSheetId="29">[1]Cotisations!$B$47</definedName>
    <definedName name="PMSS">Cotisations!$B$47</definedName>
    <definedName name="Position">Listes!$A$35:$A$37</definedName>
    <definedName name="QPS" localSheetId="29">[1]Saisie!$C$21</definedName>
    <definedName name="QPS">Saisie!$C$21</definedName>
    <definedName name="QS" localSheetId="29">[1]Saisie!$C$20</definedName>
    <definedName name="QS">Saisie!$C$20</definedName>
    <definedName name="QTI">Saisie!$C$19</definedName>
    <definedName name="RSA">Cotisations!$B$52</definedName>
    <definedName name="SMIC_Fillon" localSheetId="7">'apprentis 11 sal et +'!$C$107</definedName>
    <definedName name="SMIC_Fillon" localSheetId="12">'C BTP'!$C$102</definedName>
    <definedName name="SMIC_Fillon" localSheetId="6">'CTpro+45ans'!$C$93</definedName>
    <definedName name="SMIC_Fillon" localSheetId="11">'NC BTP'!$C$98</definedName>
    <definedName name="SMIC_Fillon" localSheetId="29">'[1]non cadre'!$B$87</definedName>
    <definedName name="SMIC_Fillon" localSheetId="9">'VRP exclusif C'!$C$99</definedName>
    <definedName name="SMIC_Fillon" localSheetId="8">'VRP exclusif NC'!$C$98</definedName>
    <definedName name="SMIC_Fillon" localSheetId="10">'VRP multicarte'!$C$101</definedName>
    <definedName name="SMIC_Fillon">#REF!</definedName>
    <definedName name="SMIC_hor" localSheetId="29">[1]Cotisations!$B$45</definedName>
    <definedName name="SMIC_hor">Cotisations!$B$45</definedName>
    <definedName name="SMIC_mens" localSheetId="29">[1]Cotisations!$B$46</definedName>
    <definedName name="SMIC_mens">Cotisations!$B$46</definedName>
    <definedName name="SMIC_proratisé" localSheetId="4">cadre!$C$93</definedName>
    <definedName name="SMIC_proratisé" localSheetId="29">[1]cadre!$B$93</definedName>
    <definedName name="SMIC_proratisé">multi!$C$101</definedName>
    <definedName name="Taux_Fillon" localSheetId="29">[1]Société!$B$13</definedName>
    <definedName name="Taux_Fillon">Société!$B$13</definedName>
    <definedName name="trésor_public" localSheetId="29">[1]Saisie!$C$15</definedName>
    <definedName name="trésor_public">Saisie!$C$15</definedName>
    <definedName name="Type_arrêt" localSheetId="29">[1]Listes!$A$21:$A$22</definedName>
    <definedName name="Type_arrêt">Listes!$A$21:$A$22</definedName>
    <definedName name="VRP_Brut" localSheetId="9">'VRP exclusif C'!$J$27</definedName>
    <definedName name="VRP_Brut" localSheetId="8">'VRP exclusif NC'!$J$27</definedName>
    <definedName name="VRP_Brut" localSheetId="10">'VRP multicarte'!$J$27</definedName>
    <definedName name="VRP_BRUTABAT" localSheetId="9">'VRP exclusif C'!$J$28</definedName>
    <definedName name="VRP_BRUTABAT" localSheetId="10">'VRP multicarte'!$J$28</definedName>
    <definedName name="VRP_BRUTABAT">'VRP exclusif NC'!$J$28</definedName>
    <definedName name="VRP_CSGRDS" localSheetId="9">'VRP exclusif C'!$C$93</definedName>
    <definedName name="VRP_CSGRDS" localSheetId="8">'VRP exclusif NC'!$C$92</definedName>
    <definedName name="VRP_CSGRDS" localSheetId="10">'VRP multicarte'!$C$95</definedName>
    <definedName name="VRP_GMP" localSheetId="9">'VRP exclusif C'!$C$92</definedName>
    <definedName name="VRP_GMP">'VRP multicarte'!$C$94</definedName>
    <definedName name="VRP_Plafond" localSheetId="9">'VRP exclusif C'!$J$13</definedName>
    <definedName name="VRP_Plafond" localSheetId="8">'VRP exclusif NC'!$J$13</definedName>
    <definedName name="VRP_Plafond" localSheetId="10">'VRP multicarte'!$J$13</definedName>
    <definedName name="VRP_T2" localSheetId="8">'VRP exclusif NC'!$C$90</definedName>
    <definedName name="VRP_TA" localSheetId="9">'VRP exclusif C'!$C$89</definedName>
    <definedName name="VRP_TA" localSheetId="8">'VRP exclusif NC'!$C$89</definedName>
    <definedName name="VRP_TA">'VRP multicarte'!$C$91</definedName>
    <definedName name="VRP_TB" localSheetId="9">'VRP exclusif C'!$C$90</definedName>
    <definedName name="VRP_TB" localSheetId="8">'VRP exclusif NC'!$C$91</definedName>
    <definedName name="VRP_TB" localSheetId="10">'VRP multicarte'!$C$92</definedName>
    <definedName name="VRP_TC" localSheetId="9">'VRP exclusif C'!$C$91</definedName>
    <definedName name="VRP_TC">'VRP multicarte'!$C$93</definedName>
    <definedName name="_xlnm.Print_Area" localSheetId="7">'apprentis 11 sal et +'!$A$1:$J$150</definedName>
    <definedName name="_xlnm.Print_Area" localSheetId="12">'C BTP'!$A$1:$J$139</definedName>
    <definedName name="_xlnm.Print_Area" localSheetId="4">cadre!$A$1:$J$130</definedName>
    <definedName name="_xlnm.Print_Area" localSheetId="6">'CTpro+45ans'!$A$1:$J$130</definedName>
    <definedName name="_xlnm.Print_Area" localSheetId="5">dirigeant!$A$1:$I$120</definedName>
    <definedName name="_xlnm.Print_Area" localSheetId="23">ICCP!$A$1:$F$56</definedName>
    <definedName name="_xlnm.Print_Area" localSheetId="22">ICP!$A$1:$F$59</definedName>
    <definedName name="_xlnm.Print_Area" localSheetId="20">'IJSS AT'!$A$1:$E$38</definedName>
    <definedName name="_xlnm.Print_Area" localSheetId="19">'IJSS maladie'!$A$1:$F$46</definedName>
    <definedName name="_xlnm.Print_Area" localSheetId="21">'Ind licenc ou rupt conv'!$A$1:$G$47</definedName>
    <definedName name="_xlnm.Print_Area" localSheetId="17">Logement!$A$1:$E$19</definedName>
    <definedName name="_xlnm.Print_Area" localSheetId="2">multi!$A$1:$J$138</definedName>
    <definedName name="_xlnm.Print_Area" localSheetId="11">'NC BTP'!$A$1:$J$136</definedName>
    <definedName name="_xlnm.Print_Area" localSheetId="16">'Régul AF'!$A$1:$K$22</definedName>
    <definedName name="_xlnm.Print_Area" localSheetId="15">'Régul Fillon'!$A$1:$L$22</definedName>
    <definedName name="_xlnm.Print_Area" localSheetId="14">'Régul Fillon mensuelle'!$A$1:$L$22</definedName>
    <definedName name="_xlnm.Print_Area" localSheetId="29">'Régul Fillon+AF+TA-B-C+GMP'!$A$1:$AC$26</definedName>
    <definedName name="_xlnm.Print_Area" localSheetId="13">'Régul plafond'!$A$1:$K$22</definedName>
    <definedName name="_xlnm.Print_Area" localSheetId="18">Saisie!$A$1:$E$43</definedName>
    <definedName name="_xlnm.Print_Area" localSheetId="9">'VRP exclusif C'!$A$1:$J$136</definedName>
    <definedName name="_xlnm.Print_Area" localSheetId="8">'VRP exclusif NC'!$A$1:$J$137</definedName>
    <definedName name="_xlnm.Print_Area" localSheetId="10">'VRP multicarte'!$A$1:$J$137</definedName>
  </definedNames>
  <calcPr calcId="125725"/>
</workbook>
</file>

<file path=xl/calcChain.xml><?xml version="1.0" encoding="utf-8"?>
<calcChain xmlns="http://schemas.openxmlformats.org/spreadsheetml/2006/main">
  <c r="AA23" i="27"/>
  <c r="AC22"/>
  <c r="AB22"/>
  <c r="AA22"/>
  <c r="Z22"/>
  <c r="Y22"/>
  <c r="W22"/>
  <c r="V22"/>
  <c r="S22"/>
  <c r="T22" s="1"/>
  <c r="R22"/>
  <c r="O22"/>
  <c r="J22" s="1"/>
  <c r="N22"/>
  <c r="K22"/>
  <c r="I22"/>
  <c r="H22"/>
  <c r="G22"/>
  <c r="L22" s="1"/>
  <c r="M22" s="1"/>
  <c r="E22"/>
  <c r="D22"/>
  <c r="C22"/>
  <c r="AC21"/>
  <c r="AB21"/>
  <c r="AA21"/>
  <c r="Z21"/>
  <c r="Y21"/>
  <c r="W21"/>
  <c r="V21"/>
  <c r="S21"/>
  <c r="T21" s="1"/>
  <c r="R21"/>
  <c r="O21"/>
  <c r="P21" s="1"/>
  <c r="N21"/>
  <c r="K21"/>
  <c r="I21"/>
  <c r="H21"/>
  <c r="G21"/>
  <c r="L21" s="1"/>
  <c r="M21" s="1"/>
  <c r="E21"/>
  <c r="D21"/>
  <c r="C21"/>
  <c r="AC20"/>
  <c r="AB20"/>
  <c r="AA20"/>
  <c r="Z20"/>
  <c r="Y20"/>
  <c r="W20"/>
  <c r="V20"/>
  <c r="S20"/>
  <c r="T20" s="1"/>
  <c r="R20"/>
  <c r="O20"/>
  <c r="J20" s="1"/>
  <c r="N20"/>
  <c r="K20"/>
  <c r="I20"/>
  <c r="H20"/>
  <c r="G20"/>
  <c r="L20" s="1"/>
  <c r="M20" s="1"/>
  <c r="E20"/>
  <c r="D20"/>
  <c r="C20"/>
  <c r="AC19"/>
  <c r="AB19"/>
  <c r="AA19"/>
  <c r="Z19"/>
  <c r="Y19"/>
  <c r="W19"/>
  <c r="V19"/>
  <c r="S19"/>
  <c r="T19" s="1"/>
  <c r="R19"/>
  <c r="O19"/>
  <c r="P19" s="1"/>
  <c r="N19"/>
  <c r="K19"/>
  <c r="I19"/>
  <c r="H19"/>
  <c r="G19"/>
  <c r="L19" s="1"/>
  <c r="M19" s="1"/>
  <c r="E19"/>
  <c r="D19"/>
  <c r="C19"/>
  <c r="AC18"/>
  <c r="AB18"/>
  <c r="AA18"/>
  <c r="Z18"/>
  <c r="Y18"/>
  <c r="W18"/>
  <c r="V18"/>
  <c r="S18"/>
  <c r="T18" s="1"/>
  <c r="R18"/>
  <c r="O18"/>
  <c r="J18" s="1"/>
  <c r="N18"/>
  <c r="K18"/>
  <c r="I18"/>
  <c r="H18"/>
  <c r="G18"/>
  <c r="L18" s="1"/>
  <c r="M18" s="1"/>
  <c r="E18"/>
  <c r="D18"/>
  <c r="C18"/>
  <c r="AC17"/>
  <c r="AB17"/>
  <c r="AA17"/>
  <c r="Z17"/>
  <c r="Y17"/>
  <c r="W17"/>
  <c r="V17"/>
  <c r="S17"/>
  <c r="T17" s="1"/>
  <c r="R17"/>
  <c r="O17"/>
  <c r="P17" s="1"/>
  <c r="N17"/>
  <c r="K17"/>
  <c r="I17"/>
  <c r="H17"/>
  <c r="G17"/>
  <c r="L17" s="1"/>
  <c r="M17" s="1"/>
  <c r="E17"/>
  <c r="D17"/>
  <c r="C17"/>
  <c r="AC16"/>
  <c r="AB16"/>
  <c r="AA16"/>
  <c r="Z16"/>
  <c r="Y16"/>
  <c r="W16"/>
  <c r="V16"/>
  <c r="S16"/>
  <c r="T16" s="1"/>
  <c r="R16"/>
  <c r="O16"/>
  <c r="J16" s="1"/>
  <c r="N16"/>
  <c r="K16"/>
  <c r="I16"/>
  <c r="H16"/>
  <c r="G16"/>
  <c r="L16" s="1"/>
  <c r="M16" s="1"/>
  <c r="E16"/>
  <c r="D16"/>
  <c r="C16"/>
  <c r="AC15"/>
  <c r="AB15"/>
  <c r="AA15"/>
  <c r="Z15"/>
  <c r="Y15"/>
  <c r="W15"/>
  <c r="V15"/>
  <c r="S15"/>
  <c r="T15" s="1"/>
  <c r="R15"/>
  <c r="O15"/>
  <c r="P15" s="1"/>
  <c r="N15"/>
  <c r="K15"/>
  <c r="I15"/>
  <c r="H15"/>
  <c r="G15"/>
  <c r="L15" s="1"/>
  <c r="M15" s="1"/>
  <c r="E15"/>
  <c r="D15"/>
  <c r="C15"/>
  <c r="AC14"/>
  <c r="AB14"/>
  <c r="AA14"/>
  <c r="Z14"/>
  <c r="Y14"/>
  <c r="W14"/>
  <c r="V14"/>
  <c r="S14"/>
  <c r="T14" s="1"/>
  <c r="R14"/>
  <c r="O14"/>
  <c r="J14" s="1"/>
  <c r="N14"/>
  <c r="K14"/>
  <c r="I14"/>
  <c r="H14"/>
  <c r="G14"/>
  <c r="L14" s="1"/>
  <c r="M14" s="1"/>
  <c r="E14"/>
  <c r="D14"/>
  <c r="C14"/>
  <c r="AC13"/>
  <c r="AB13"/>
  <c r="AA13"/>
  <c r="Z13"/>
  <c r="Y13"/>
  <c r="W13"/>
  <c r="V13"/>
  <c r="S13"/>
  <c r="T13" s="1"/>
  <c r="R13"/>
  <c r="O13"/>
  <c r="P13" s="1"/>
  <c r="N13"/>
  <c r="K13"/>
  <c r="I13"/>
  <c r="H13"/>
  <c r="G13"/>
  <c r="L13" s="1"/>
  <c r="M13" s="1"/>
  <c r="E13"/>
  <c r="D13"/>
  <c r="C13"/>
  <c r="AC12"/>
  <c r="AB12"/>
  <c r="AA12"/>
  <c r="Z12"/>
  <c r="Y12"/>
  <c r="W12"/>
  <c r="V12"/>
  <c r="S12"/>
  <c r="T12" s="1"/>
  <c r="R12"/>
  <c r="O12"/>
  <c r="J12" s="1"/>
  <c r="N12"/>
  <c r="K12"/>
  <c r="I12"/>
  <c r="H12"/>
  <c r="G12"/>
  <c r="L12" s="1"/>
  <c r="M12" s="1"/>
  <c r="E12"/>
  <c r="D12"/>
  <c r="C12"/>
  <c r="AC11"/>
  <c r="AB11"/>
  <c r="AA11"/>
  <c r="Z11"/>
  <c r="W11"/>
  <c r="S11"/>
  <c r="T11" s="1"/>
  <c r="O11"/>
  <c r="P11" s="1"/>
  <c r="K11"/>
  <c r="I11"/>
  <c r="H11"/>
  <c r="G11"/>
  <c r="L11" s="1"/>
  <c r="M11" s="1"/>
  <c r="N11" s="1"/>
  <c r="E11"/>
  <c r="D11"/>
  <c r="C11"/>
  <c r="D39" i="41"/>
  <c r="D38"/>
  <c r="D37"/>
  <c r="D36"/>
  <c r="D35"/>
  <c r="D34"/>
  <c r="C20"/>
  <c r="B20"/>
  <c r="C19"/>
  <c r="B19"/>
  <c r="C18"/>
  <c r="B18"/>
  <c r="C17"/>
  <c r="C32" s="1"/>
  <c r="B17"/>
  <c r="C44" i="40"/>
  <c r="C43"/>
  <c r="D42"/>
  <c r="C42"/>
  <c r="C41"/>
  <c r="D40"/>
  <c r="C40"/>
  <c r="C39"/>
  <c r="A34"/>
  <c r="C33"/>
  <c r="A33"/>
  <c r="C32"/>
  <c r="A32"/>
  <c r="C31"/>
  <c r="C35" s="1"/>
  <c r="A31"/>
  <c r="C24"/>
  <c r="A24"/>
  <c r="C23"/>
  <c r="A23"/>
  <c r="C22"/>
  <c r="A22"/>
  <c r="C21"/>
  <c r="A21"/>
  <c r="C20"/>
  <c r="A20"/>
  <c r="C19"/>
  <c r="A19"/>
  <c r="C18"/>
  <c r="A18"/>
  <c r="C17"/>
  <c r="C28" s="1"/>
  <c r="C37" s="1"/>
  <c r="A17"/>
  <c r="E38" i="39"/>
  <c r="E37"/>
  <c r="E36"/>
  <c r="E35"/>
  <c r="E34"/>
  <c r="E24"/>
  <c r="F23"/>
  <c r="E23"/>
  <c r="D23"/>
  <c r="D24" s="1"/>
  <c r="F24" s="1"/>
  <c r="D21"/>
  <c r="F21" s="1"/>
  <c r="C21"/>
  <c r="F19"/>
  <c r="E19"/>
  <c r="E18"/>
  <c r="D18"/>
  <c r="F18" s="1"/>
  <c r="C18"/>
  <c r="E17"/>
  <c r="D17"/>
  <c r="F17" s="1"/>
  <c r="C17"/>
  <c r="C23" s="1"/>
  <c r="C24" s="1"/>
  <c r="F16"/>
  <c r="E15"/>
  <c r="E13"/>
  <c r="E12"/>
  <c r="E11"/>
  <c r="D11"/>
  <c r="F11" s="1"/>
  <c r="C11"/>
  <c r="E10"/>
  <c r="C10"/>
  <c r="C13" s="1"/>
  <c r="E9"/>
  <c r="D9"/>
  <c r="D10" s="1"/>
  <c r="F10" s="1"/>
  <c r="C9"/>
  <c r="D8"/>
  <c r="F8" s="1"/>
  <c r="C8"/>
  <c r="C22" s="1"/>
  <c r="F7"/>
  <c r="E7"/>
  <c r="D7"/>
  <c r="C7"/>
  <c r="F6"/>
  <c r="D6"/>
  <c r="C6"/>
  <c r="C37" i="37"/>
  <c r="C34"/>
  <c r="C32"/>
  <c r="C30"/>
  <c r="C27"/>
  <c r="C26"/>
  <c r="K24"/>
  <c r="C24"/>
  <c r="J23"/>
  <c r="C23"/>
  <c r="M22"/>
  <c r="K22"/>
  <c r="J22"/>
  <c r="I22"/>
  <c r="G22"/>
  <c r="C22"/>
  <c r="O21"/>
  <c r="N21"/>
  <c r="L21"/>
  <c r="I21"/>
  <c r="F21"/>
  <c r="E21"/>
  <c r="E24" i="40" s="1"/>
  <c r="D21" i="37"/>
  <c r="D24" i="40" s="1"/>
  <c r="O20" i="37"/>
  <c r="N20"/>
  <c r="L20"/>
  <c r="I20"/>
  <c r="F20"/>
  <c r="E20"/>
  <c r="E23" i="40" s="1"/>
  <c r="D20" i="37"/>
  <c r="D23" i="40" s="1"/>
  <c r="O19" i="37"/>
  <c r="N19"/>
  <c r="L19"/>
  <c r="I19"/>
  <c r="F19"/>
  <c r="E19"/>
  <c r="E22" i="40" s="1"/>
  <c r="D19" i="37"/>
  <c r="D22" i="40" s="1"/>
  <c r="O18" i="37"/>
  <c r="N18"/>
  <c r="L18"/>
  <c r="I18"/>
  <c r="F18"/>
  <c r="E18"/>
  <c r="E21" i="40" s="1"/>
  <c r="D18" i="37"/>
  <c r="D21" i="40" s="1"/>
  <c r="O17" i="37"/>
  <c r="N17"/>
  <c r="L17"/>
  <c r="I17"/>
  <c r="F17"/>
  <c r="E17"/>
  <c r="E20" i="40" s="1"/>
  <c r="D17" i="37"/>
  <c r="D20" i="40" s="1"/>
  <c r="O16" i="37"/>
  <c r="N16"/>
  <c r="L16"/>
  <c r="I16"/>
  <c r="F16"/>
  <c r="E16"/>
  <c r="E19" i="40" s="1"/>
  <c r="D16" i="37"/>
  <c r="D19" i="40" s="1"/>
  <c r="O15" i="37"/>
  <c r="N15"/>
  <c r="L15"/>
  <c r="I15"/>
  <c r="F15"/>
  <c r="E15"/>
  <c r="E18" i="40" s="1"/>
  <c r="D15" i="37"/>
  <c r="D18" i="40" s="1"/>
  <c r="O14" i="37"/>
  <c r="O22" s="1"/>
  <c r="N14"/>
  <c r="N22" s="1"/>
  <c r="L14"/>
  <c r="C20" i="39" s="1"/>
  <c r="I14" i="37"/>
  <c r="F14"/>
  <c r="F22" s="1"/>
  <c r="E14"/>
  <c r="E22" s="1"/>
  <c r="C40" s="1"/>
  <c r="D14"/>
  <c r="D17" i="40" s="1"/>
  <c r="K13" i="37"/>
  <c r="J13"/>
  <c r="C13"/>
  <c r="O12"/>
  <c r="N12"/>
  <c r="I12"/>
  <c r="H12"/>
  <c r="G12"/>
  <c r="F12"/>
  <c r="E20" i="41" s="1"/>
  <c r="D12" i="37"/>
  <c r="D20" i="41" s="1"/>
  <c r="O11" i="37"/>
  <c r="N11"/>
  <c r="I11"/>
  <c r="H11"/>
  <c r="G11"/>
  <c r="F11"/>
  <c r="E19" i="41" s="1"/>
  <c r="D11" i="37"/>
  <c r="D19" i="41" s="1"/>
  <c r="O10" i="37"/>
  <c r="N10"/>
  <c r="I10"/>
  <c r="H10"/>
  <c r="G10"/>
  <c r="F10"/>
  <c r="E18" i="41" s="1"/>
  <c r="D10" i="37"/>
  <c r="D32" i="40" s="1"/>
  <c r="O9" i="37"/>
  <c r="O13" s="1"/>
  <c r="O23" s="1"/>
  <c r="C35" s="1"/>
  <c r="D14" i="39" s="1"/>
  <c r="N9" i="37"/>
  <c r="N13" s="1"/>
  <c r="N24" s="1"/>
  <c r="C31" s="1"/>
  <c r="D15" i="39" s="1"/>
  <c r="F15" s="1"/>
  <c r="I9" i="37"/>
  <c r="I13" s="1"/>
  <c r="H9"/>
  <c r="H13" s="1"/>
  <c r="G9"/>
  <c r="G13" s="1"/>
  <c r="G24" s="1"/>
  <c r="F9"/>
  <c r="E17" i="41" s="1"/>
  <c r="D9" i="37"/>
  <c r="D17" i="41" s="1"/>
  <c r="J8" i="37"/>
  <c r="G8"/>
  <c r="C8"/>
  <c r="N7"/>
  <c r="N8" s="1"/>
  <c r="N23" s="1"/>
  <c r="I7"/>
  <c r="H7"/>
  <c r="G7"/>
  <c r="F7"/>
  <c r="D7"/>
  <c r="N6"/>
  <c r="C15" i="39" s="1"/>
  <c r="I6" i="37"/>
  <c r="I8" s="1"/>
  <c r="I23" s="1"/>
  <c r="C29" s="1"/>
  <c r="D13" i="39" s="1"/>
  <c r="F13" s="1"/>
  <c r="H6" i="37"/>
  <c r="H8" s="1"/>
  <c r="G6"/>
  <c r="F6"/>
  <c r="F8" s="1"/>
  <c r="D6"/>
  <c r="D8" s="1"/>
  <c r="F56" i="42"/>
  <c r="F54"/>
  <c r="F50"/>
  <c r="F49"/>
  <c r="E49"/>
  <c r="F48"/>
  <c r="B48"/>
  <c r="F47"/>
  <c r="B47"/>
  <c r="F46"/>
  <c r="B46"/>
  <c r="F45"/>
  <c r="B45"/>
  <c r="F44"/>
  <c r="B44"/>
  <c r="F43"/>
  <c r="B43"/>
  <c r="F42"/>
  <c r="B42"/>
  <c r="F41"/>
  <c r="B41"/>
  <c r="F40"/>
  <c r="B40"/>
  <c r="F39"/>
  <c r="B39"/>
  <c r="F38"/>
  <c r="B38"/>
  <c r="F37"/>
  <c r="B37"/>
  <c r="F31"/>
  <c r="F29"/>
  <c r="F25"/>
  <c r="F24"/>
  <c r="F23"/>
  <c r="E23"/>
  <c r="F22"/>
  <c r="B22"/>
  <c r="F21"/>
  <c r="B21"/>
  <c r="F20"/>
  <c r="B20"/>
  <c r="F19"/>
  <c r="B19"/>
  <c r="F18"/>
  <c r="B18"/>
  <c r="F17"/>
  <c r="B17"/>
  <c r="F16"/>
  <c r="B16"/>
  <c r="F15"/>
  <c r="B15"/>
  <c r="F14"/>
  <c r="B14"/>
  <c r="F13"/>
  <c r="B13"/>
  <c r="F12"/>
  <c r="B12"/>
  <c r="F11"/>
  <c r="F59" i="23"/>
  <c r="F57"/>
  <c r="F53"/>
  <c r="F51"/>
  <c r="F50"/>
  <c r="E50"/>
  <c r="F49"/>
  <c r="B49"/>
  <c r="F48"/>
  <c r="B48"/>
  <c r="F47"/>
  <c r="B47"/>
  <c r="F46"/>
  <c r="B46"/>
  <c r="F45"/>
  <c r="B45"/>
  <c r="F44"/>
  <c r="B44"/>
  <c r="F43"/>
  <c r="B43"/>
  <c r="F42"/>
  <c r="B42"/>
  <c r="F41"/>
  <c r="B41"/>
  <c r="F40"/>
  <c r="B40"/>
  <c r="F39"/>
  <c r="B39"/>
  <c r="F38"/>
  <c r="B38"/>
  <c r="F32"/>
  <c r="F30"/>
  <c r="F26"/>
  <c r="F25"/>
  <c r="F24"/>
  <c r="E24"/>
  <c r="F23"/>
  <c r="B23"/>
  <c r="F22"/>
  <c r="B22"/>
  <c r="F21"/>
  <c r="B21"/>
  <c r="F20"/>
  <c r="B20"/>
  <c r="F19"/>
  <c r="B19"/>
  <c r="F18"/>
  <c r="B18"/>
  <c r="F17"/>
  <c r="B17"/>
  <c r="F16"/>
  <c r="B16"/>
  <c r="F15"/>
  <c r="B15"/>
  <c r="F14"/>
  <c r="B14"/>
  <c r="F13"/>
  <c r="B13"/>
  <c r="F12"/>
  <c r="N83" i="24"/>
  <c r="N82"/>
  <c r="N81"/>
  <c r="M77"/>
  <c r="N76"/>
  <c r="F47"/>
  <c r="F46"/>
  <c r="C46"/>
  <c r="A46"/>
  <c r="F45"/>
  <c r="C45"/>
  <c r="A45"/>
  <c r="F44"/>
  <c r="C44"/>
  <c r="A44"/>
  <c r="F43"/>
  <c r="C43"/>
  <c r="A43"/>
  <c r="F42"/>
  <c r="C42"/>
  <c r="A42"/>
  <c r="F41"/>
  <c r="C41"/>
  <c r="A41"/>
  <c r="F40"/>
  <c r="D40"/>
  <c r="B40"/>
  <c r="D36"/>
  <c r="D34"/>
  <c r="F33"/>
  <c r="F32"/>
  <c r="B32"/>
  <c r="A32"/>
  <c r="F31"/>
  <c r="B31"/>
  <c r="A31"/>
  <c r="F30"/>
  <c r="B30"/>
  <c r="A30"/>
  <c r="D25"/>
  <c r="F24"/>
  <c r="F23"/>
  <c r="B23"/>
  <c r="A23"/>
  <c r="F22"/>
  <c r="B22"/>
  <c r="A22"/>
  <c r="F21"/>
  <c r="B21"/>
  <c r="A21"/>
  <c r="F20"/>
  <c r="B20"/>
  <c r="A20"/>
  <c r="F19"/>
  <c r="B19"/>
  <c r="A19"/>
  <c r="F18"/>
  <c r="B18"/>
  <c r="A18"/>
  <c r="F17"/>
  <c r="B17"/>
  <c r="A17"/>
  <c r="F16"/>
  <c r="B16"/>
  <c r="A16"/>
  <c r="F15"/>
  <c r="B15"/>
  <c r="A15"/>
  <c r="F14"/>
  <c r="B14"/>
  <c r="A14"/>
  <c r="F13"/>
  <c r="B13"/>
  <c r="A13"/>
  <c r="F12"/>
  <c r="B12"/>
  <c r="A12"/>
  <c r="B35" i="22"/>
  <c r="B34"/>
  <c r="B33"/>
  <c r="B32"/>
  <c r="B31"/>
  <c r="B30"/>
  <c r="B29"/>
  <c r="B37" s="1"/>
  <c r="D25"/>
  <c r="C25"/>
  <c r="B25"/>
  <c r="D23"/>
  <c r="C23"/>
  <c r="B23"/>
  <c r="D20"/>
  <c r="C20"/>
  <c r="B20"/>
  <c r="D19"/>
  <c r="C19"/>
  <c r="B19"/>
  <c r="D13"/>
  <c r="C22" s="1"/>
  <c r="C13"/>
  <c r="A13"/>
  <c r="B42" i="19"/>
  <c r="B41"/>
  <c r="B40"/>
  <c r="B39"/>
  <c r="B38"/>
  <c r="B37"/>
  <c r="B36"/>
  <c r="B44" s="1"/>
  <c r="D32"/>
  <c r="C32"/>
  <c r="B32"/>
  <c r="C31"/>
  <c r="D30"/>
  <c r="C30"/>
  <c r="B30"/>
  <c r="C28"/>
  <c r="D27"/>
  <c r="C27"/>
  <c r="B27"/>
  <c r="D26"/>
  <c r="C26"/>
  <c r="B26"/>
  <c r="D19"/>
  <c r="C19"/>
  <c r="D18"/>
  <c r="C18"/>
  <c r="D17"/>
  <c r="D20" s="1"/>
  <c r="C17"/>
  <c r="B12"/>
  <c r="E43" i="7"/>
  <c r="E42"/>
  <c r="B42"/>
  <c r="E41"/>
  <c r="C41"/>
  <c r="B41"/>
  <c r="E40"/>
  <c r="C40"/>
  <c r="B40"/>
  <c r="E39"/>
  <c r="C39"/>
  <c r="B39"/>
  <c r="E38"/>
  <c r="C38"/>
  <c r="B38"/>
  <c r="E37"/>
  <c r="C37"/>
  <c r="B37"/>
  <c r="E36"/>
  <c r="C36"/>
  <c r="D28"/>
  <c r="C25"/>
  <c r="C23"/>
  <c r="C20"/>
  <c r="C19"/>
  <c r="C21" s="1"/>
  <c r="B19" i="15"/>
  <c r="C18"/>
  <c r="C17"/>
  <c r="B18" s="1"/>
  <c r="B17"/>
  <c r="C16"/>
  <c r="C15"/>
  <c r="B16" s="1"/>
  <c r="B15"/>
  <c r="C14"/>
  <c r="C13"/>
  <c r="B14" s="1"/>
  <c r="B13"/>
  <c r="C12"/>
  <c r="K22" i="20"/>
  <c r="H22"/>
  <c r="F22"/>
  <c r="I22" s="1"/>
  <c r="J22" s="1"/>
  <c r="D22"/>
  <c r="C22"/>
  <c r="K21"/>
  <c r="H21"/>
  <c r="F21"/>
  <c r="I21" s="1"/>
  <c r="J21" s="1"/>
  <c r="D21"/>
  <c r="C21"/>
  <c r="K20"/>
  <c r="H20"/>
  <c r="F20"/>
  <c r="I20" s="1"/>
  <c r="J20" s="1"/>
  <c r="D20"/>
  <c r="C20"/>
  <c r="K19"/>
  <c r="H19"/>
  <c r="F19"/>
  <c r="I19" s="1"/>
  <c r="J19" s="1"/>
  <c r="D19"/>
  <c r="C19"/>
  <c r="K18"/>
  <c r="H18"/>
  <c r="F18"/>
  <c r="I18" s="1"/>
  <c r="J18" s="1"/>
  <c r="D18"/>
  <c r="C18"/>
  <c r="K17"/>
  <c r="H17"/>
  <c r="F17"/>
  <c r="I17" s="1"/>
  <c r="J17" s="1"/>
  <c r="D17"/>
  <c r="C17"/>
  <c r="K16"/>
  <c r="H16"/>
  <c r="F16"/>
  <c r="I16" s="1"/>
  <c r="J16" s="1"/>
  <c r="D16"/>
  <c r="C16"/>
  <c r="K15"/>
  <c r="H15"/>
  <c r="F15"/>
  <c r="I15" s="1"/>
  <c r="J15" s="1"/>
  <c r="D15"/>
  <c r="C15"/>
  <c r="K14"/>
  <c r="H14"/>
  <c r="F14"/>
  <c r="I14" s="1"/>
  <c r="J14" s="1"/>
  <c r="D14"/>
  <c r="C14"/>
  <c r="K13"/>
  <c r="H13"/>
  <c r="F13"/>
  <c r="I13" s="1"/>
  <c r="J13" s="1"/>
  <c r="D13"/>
  <c r="C13"/>
  <c r="K12"/>
  <c r="H12"/>
  <c r="F12"/>
  <c r="I12" s="1"/>
  <c r="J12" s="1"/>
  <c r="D12"/>
  <c r="C12"/>
  <c r="H11"/>
  <c r="F11"/>
  <c r="I11" s="1"/>
  <c r="J11" s="1"/>
  <c r="K11" s="1"/>
  <c r="D11"/>
  <c r="C11"/>
  <c r="N22" i="43"/>
  <c r="L22"/>
  <c r="J22"/>
  <c r="I22"/>
  <c r="K22" s="1"/>
  <c r="H22"/>
  <c r="G22"/>
  <c r="F22"/>
  <c r="D22"/>
  <c r="C22"/>
  <c r="L21"/>
  <c r="K21"/>
  <c r="J21"/>
  <c r="I21"/>
  <c r="H21"/>
  <c r="N21" s="1"/>
  <c r="G21"/>
  <c r="F21"/>
  <c r="D21"/>
  <c r="C21"/>
  <c r="N20"/>
  <c r="L20"/>
  <c r="J20"/>
  <c r="I20"/>
  <c r="K20" s="1"/>
  <c r="H20"/>
  <c r="G20"/>
  <c r="F20"/>
  <c r="D20"/>
  <c r="C20"/>
  <c r="L19"/>
  <c r="K19"/>
  <c r="J19"/>
  <c r="I19"/>
  <c r="H19"/>
  <c r="N19" s="1"/>
  <c r="G19"/>
  <c r="F19"/>
  <c r="D19"/>
  <c r="C19"/>
  <c r="N18"/>
  <c r="L18"/>
  <c r="J18"/>
  <c r="I18"/>
  <c r="K18" s="1"/>
  <c r="H18"/>
  <c r="G18"/>
  <c r="F18"/>
  <c r="D18"/>
  <c r="C18"/>
  <c r="L17"/>
  <c r="K17"/>
  <c r="J17"/>
  <c r="I17"/>
  <c r="H17"/>
  <c r="N17" s="1"/>
  <c r="G17"/>
  <c r="F17"/>
  <c r="D17"/>
  <c r="C17"/>
  <c r="N16"/>
  <c r="L16"/>
  <c r="J16"/>
  <c r="I16"/>
  <c r="K16" s="1"/>
  <c r="H16"/>
  <c r="G16"/>
  <c r="F16"/>
  <c r="D16"/>
  <c r="C16"/>
  <c r="L15"/>
  <c r="K15"/>
  <c r="J15"/>
  <c r="I15"/>
  <c r="G15"/>
  <c r="H15" s="1"/>
  <c r="N15" s="1"/>
  <c r="F15"/>
  <c r="D15"/>
  <c r="C15"/>
  <c r="N14"/>
  <c r="L14"/>
  <c r="J14"/>
  <c r="I14"/>
  <c r="K14" s="1"/>
  <c r="H14"/>
  <c r="G14"/>
  <c r="F14"/>
  <c r="D14"/>
  <c r="C14"/>
  <c r="L13"/>
  <c r="K13"/>
  <c r="J13"/>
  <c r="I13"/>
  <c r="G13"/>
  <c r="H13" s="1"/>
  <c r="N13" s="1"/>
  <c r="F13"/>
  <c r="D13"/>
  <c r="C13"/>
  <c r="L12"/>
  <c r="J12"/>
  <c r="I12"/>
  <c r="K12" s="1"/>
  <c r="G12"/>
  <c r="H12" s="1"/>
  <c r="N12" s="1"/>
  <c r="F12"/>
  <c r="D12"/>
  <c r="C12"/>
  <c r="L11"/>
  <c r="K11"/>
  <c r="J11"/>
  <c r="I11"/>
  <c r="G11"/>
  <c r="H11" s="1"/>
  <c r="N11" s="1"/>
  <c r="F11"/>
  <c r="D11"/>
  <c r="C11"/>
  <c r="L22" i="16"/>
  <c r="J22"/>
  <c r="I22"/>
  <c r="K22" s="1"/>
  <c r="H22"/>
  <c r="G22"/>
  <c r="F22"/>
  <c r="D22"/>
  <c r="C22"/>
  <c r="L21"/>
  <c r="K21"/>
  <c r="J21"/>
  <c r="I21"/>
  <c r="G21"/>
  <c r="H21" s="1"/>
  <c r="F21"/>
  <c r="D21"/>
  <c r="C21"/>
  <c r="L20"/>
  <c r="K20"/>
  <c r="J20"/>
  <c r="I20"/>
  <c r="G20"/>
  <c r="H20" s="1"/>
  <c r="F20"/>
  <c r="D20"/>
  <c r="C20"/>
  <c r="L19"/>
  <c r="J19"/>
  <c r="I19"/>
  <c r="K19" s="1"/>
  <c r="H19"/>
  <c r="G19"/>
  <c r="F19"/>
  <c r="D19"/>
  <c r="C19"/>
  <c r="L18"/>
  <c r="J18"/>
  <c r="I18"/>
  <c r="K18" s="1"/>
  <c r="G18"/>
  <c r="H18" s="1"/>
  <c r="F18"/>
  <c r="D18"/>
  <c r="C18"/>
  <c r="L17"/>
  <c r="K17"/>
  <c r="J17"/>
  <c r="I17"/>
  <c r="G17"/>
  <c r="H17" s="1"/>
  <c r="F17"/>
  <c r="D17"/>
  <c r="C17"/>
  <c r="L16"/>
  <c r="K16"/>
  <c r="J16"/>
  <c r="I16"/>
  <c r="G16"/>
  <c r="H16" s="1"/>
  <c r="F16"/>
  <c r="D16"/>
  <c r="C16"/>
  <c r="L15"/>
  <c r="J15"/>
  <c r="I15"/>
  <c r="K15" s="1"/>
  <c r="H15"/>
  <c r="G15"/>
  <c r="F15"/>
  <c r="D15"/>
  <c r="C15"/>
  <c r="L14"/>
  <c r="J14"/>
  <c r="I14"/>
  <c r="K14" s="1"/>
  <c r="H14"/>
  <c r="G14"/>
  <c r="F14"/>
  <c r="D14"/>
  <c r="C14"/>
  <c r="L13"/>
  <c r="K13"/>
  <c r="J13"/>
  <c r="I13"/>
  <c r="G13"/>
  <c r="H13" s="1"/>
  <c r="F13"/>
  <c r="D13"/>
  <c r="C13"/>
  <c r="L12"/>
  <c r="K12"/>
  <c r="J12"/>
  <c r="I12"/>
  <c r="G12"/>
  <c r="H12" s="1"/>
  <c r="F12"/>
  <c r="D12"/>
  <c r="C12"/>
  <c r="L11"/>
  <c r="J11"/>
  <c r="I11"/>
  <c r="K11" s="1"/>
  <c r="K24" s="1"/>
  <c r="H11"/>
  <c r="G11"/>
  <c r="F11"/>
  <c r="D11"/>
  <c r="C11"/>
  <c r="K22" i="18"/>
  <c r="J22"/>
  <c r="H22"/>
  <c r="I22" s="1"/>
  <c r="G22"/>
  <c r="E22"/>
  <c r="F22" s="1"/>
  <c r="D22"/>
  <c r="C22"/>
  <c r="K21"/>
  <c r="J21"/>
  <c r="G21"/>
  <c r="H21" s="1"/>
  <c r="I21" s="1"/>
  <c r="E21"/>
  <c r="F21" s="1"/>
  <c r="D21"/>
  <c r="C21"/>
  <c r="K20"/>
  <c r="J20"/>
  <c r="G20"/>
  <c r="H20" s="1"/>
  <c r="I20" s="1"/>
  <c r="D20"/>
  <c r="C20"/>
  <c r="E20" s="1"/>
  <c r="F20" s="1"/>
  <c r="K19"/>
  <c r="J19"/>
  <c r="G19"/>
  <c r="H19" s="1"/>
  <c r="I19" s="1"/>
  <c r="D19"/>
  <c r="C19"/>
  <c r="E19" s="1"/>
  <c r="F19" s="1"/>
  <c r="K18"/>
  <c r="J18"/>
  <c r="H18"/>
  <c r="I18" s="1"/>
  <c r="G18"/>
  <c r="E18"/>
  <c r="F18" s="1"/>
  <c r="D18"/>
  <c r="C18"/>
  <c r="K17"/>
  <c r="J17"/>
  <c r="G17"/>
  <c r="H17" s="1"/>
  <c r="I17" s="1"/>
  <c r="E17"/>
  <c r="F17" s="1"/>
  <c r="D17"/>
  <c r="C17"/>
  <c r="K16"/>
  <c r="J16"/>
  <c r="G16"/>
  <c r="H16" s="1"/>
  <c r="I16" s="1"/>
  <c r="D16"/>
  <c r="C16"/>
  <c r="E16" s="1"/>
  <c r="F16" s="1"/>
  <c r="K15"/>
  <c r="J15"/>
  <c r="G15"/>
  <c r="H15" s="1"/>
  <c r="I15" s="1"/>
  <c r="D15"/>
  <c r="C15"/>
  <c r="E15" s="1"/>
  <c r="F15" s="1"/>
  <c r="K14"/>
  <c r="J14"/>
  <c r="H14"/>
  <c r="I14" s="1"/>
  <c r="G14"/>
  <c r="E14"/>
  <c r="F14" s="1"/>
  <c r="D14"/>
  <c r="C14"/>
  <c r="K13"/>
  <c r="J13"/>
  <c r="G13"/>
  <c r="H13" s="1"/>
  <c r="I13" s="1"/>
  <c r="E13"/>
  <c r="F13" s="1"/>
  <c r="D13"/>
  <c r="C13"/>
  <c r="K12"/>
  <c r="J12"/>
  <c r="G12"/>
  <c r="H12" s="1"/>
  <c r="I12" s="1"/>
  <c r="D12"/>
  <c r="C12"/>
  <c r="E12" s="1"/>
  <c r="F12" s="1"/>
  <c r="K11"/>
  <c r="J11"/>
  <c r="D11"/>
  <c r="C11"/>
  <c r="E11" s="1"/>
  <c r="F11" s="1"/>
  <c r="G11" s="1"/>
  <c r="H11" s="1"/>
  <c r="I11" s="1"/>
  <c r="C104" i="36"/>
  <c r="C105" s="1"/>
  <c r="C101"/>
  <c r="C102" s="1"/>
  <c r="G36" s="1"/>
  <c r="H36" s="1"/>
  <c r="D88"/>
  <c r="C88"/>
  <c r="J81"/>
  <c r="J80"/>
  <c r="I77"/>
  <c r="I76"/>
  <c r="F73"/>
  <c r="J72"/>
  <c r="F72"/>
  <c r="J71"/>
  <c r="H71"/>
  <c r="J65"/>
  <c r="H65"/>
  <c r="H64"/>
  <c r="F64"/>
  <c r="H63"/>
  <c r="F63"/>
  <c r="H61"/>
  <c r="F61"/>
  <c r="H60"/>
  <c r="I57"/>
  <c r="I56"/>
  <c r="I55"/>
  <c r="I54"/>
  <c r="G54"/>
  <c r="I53"/>
  <c r="G53"/>
  <c r="I52"/>
  <c r="G52"/>
  <c r="I51"/>
  <c r="G51"/>
  <c r="I50"/>
  <c r="G50"/>
  <c r="J49"/>
  <c r="H49"/>
  <c r="J48"/>
  <c r="H48"/>
  <c r="G47"/>
  <c r="I46"/>
  <c r="G46"/>
  <c r="J45"/>
  <c r="H45"/>
  <c r="G44"/>
  <c r="F44"/>
  <c r="J44" s="1"/>
  <c r="G43"/>
  <c r="F43"/>
  <c r="J43" s="1"/>
  <c r="G42"/>
  <c r="J41"/>
  <c r="G41"/>
  <c r="F41"/>
  <c r="H41" s="1"/>
  <c r="G40"/>
  <c r="I39"/>
  <c r="G39"/>
  <c r="F39"/>
  <c r="J39" s="1"/>
  <c r="I38"/>
  <c r="G38"/>
  <c r="G37"/>
  <c r="F36"/>
  <c r="J36" s="1"/>
  <c r="J35"/>
  <c r="G35"/>
  <c r="F35"/>
  <c r="H35" s="1"/>
  <c r="J34"/>
  <c r="G34"/>
  <c r="F34"/>
  <c r="H34" s="1"/>
  <c r="I33"/>
  <c r="G33"/>
  <c r="F33"/>
  <c r="J33" s="1"/>
  <c r="I32"/>
  <c r="J28"/>
  <c r="C95" s="1"/>
  <c r="F55" s="1"/>
  <c r="J27"/>
  <c r="J23"/>
  <c r="I23"/>
  <c r="J22"/>
  <c r="I22"/>
  <c r="J21"/>
  <c r="I21"/>
  <c r="A21"/>
  <c r="J19"/>
  <c r="J18"/>
  <c r="I17"/>
  <c r="J13"/>
  <c r="C96" s="1"/>
  <c r="C13"/>
  <c r="F13" s="1"/>
  <c r="C11"/>
  <c r="C10"/>
  <c r="C9"/>
  <c r="C8"/>
  <c r="C7"/>
  <c r="C6"/>
  <c r="C5"/>
  <c r="C100" i="35"/>
  <c r="C101" s="1"/>
  <c r="C97"/>
  <c r="C98" s="1"/>
  <c r="D85"/>
  <c r="C85"/>
  <c r="I72"/>
  <c r="I71"/>
  <c r="G68"/>
  <c r="J67"/>
  <c r="F67"/>
  <c r="J66"/>
  <c r="H66"/>
  <c r="J61"/>
  <c r="H61"/>
  <c r="H60"/>
  <c r="F60"/>
  <c r="H59"/>
  <c r="F59"/>
  <c r="F58"/>
  <c r="H58" s="1"/>
  <c r="H57"/>
  <c r="F57"/>
  <c r="H56"/>
  <c r="I53"/>
  <c r="G53"/>
  <c r="I52"/>
  <c r="G52"/>
  <c r="I51"/>
  <c r="G51"/>
  <c r="I50"/>
  <c r="G50"/>
  <c r="J49"/>
  <c r="H49"/>
  <c r="J48"/>
  <c r="H48"/>
  <c r="G47"/>
  <c r="I46"/>
  <c r="G46"/>
  <c r="J45"/>
  <c r="H45"/>
  <c r="G44"/>
  <c r="F44"/>
  <c r="J44" s="1"/>
  <c r="G43"/>
  <c r="F43"/>
  <c r="J43" s="1"/>
  <c r="G42"/>
  <c r="G41"/>
  <c r="G40"/>
  <c r="I39"/>
  <c r="G39"/>
  <c r="F39"/>
  <c r="J39" s="1"/>
  <c r="I38"/>
  <c r="G38"/>
  <c r="G37"/>
  <c r="G35"/>
  <c r="G34"/>
  <c r="I33"/>
  <c r="G33"/>
  <c r="F33"/>
  <c r="J33" s="1"/>
  <c r="I32"/>
  <c r="J28"/>
  <c r="F38" s="1"/>
  <c r="J27"/>
  <c r="J23"/>
  <c r="I23"/>
  <c r="J22"/>
  <c r="I22"/>
  <c r="J21"/>
  <c r="I21"/>
  <c r="A21"/>
  <c r="J19"/>
  <c r="J18"/>
  <c r="I17"/>
  <c r="J13"/>
  <c r="C92" s="1"/>
  <c r="C13"/>
  <c r="F13" s="1"/>
  <c r="C11"/>
  <c r="C10"/>
  <c r="C9"/>
  <c r="C8"/>
  <c r="C7"/>
  <c r="C6"/>
  <c r="C5"/>
  <c r="C103" i="32"/>
  <c r="C104" s="1"/>
  <c r="C100"/>
  <c r="C101" s="1"/>
  <c r="D87"/>
  <c r="C87"/>
  <c r="I73"/>
  <c r="I72"/>
  <c r="F69"/>
  <c r="J68"/>
  <c r="F68"/>
  <c r="J67"/>
  <c r="H67"/>
  <c r="J61"/>
  <c r="H61"/>
  <c r="I58"/>
  <c r="I57"/>
  <c r="I56"/>
  <c r="I55"/>
  <c r="G55"/>
  <c r="I54"/>
  <c r="G54"/>
  <c r="I53"/>
  <c r="G53"/>
  <c r="I52"/>
  <c r="G52"/>
  <c r="I51"/>
  <c r="G51"/>
  <c r="J50"/>
  <c r="H50"/>
  <c r="J49"/>
  <c r="H49"/>
  <c r="G48"/>
  <c r="I47"/>
  <c r="G47"/>
  <c r="J46"/>
  <c r="H46"/>
  <c r="F45"/>
  <c r="H45" s="1"/>
  <c r="G44"/>
  <c r="F44"/>
  <c r="J44" s="1"/>
  <c r="G43"/>
  <c r="F43"/>
  <c r="J43" s="1"/>
  <c r="G42"/>
  <c r="J41"/>
  <c r="G41"/>
  <c r="F41"/>
  <c r="H41" s="1"/>
  <c r="G40"/>
  <c r="I39"/>
  <c r="I38"/>
  <c r="G38"/>
  <c r="F38"/>
  <c r="J38" s="1"/>
  <c r="F35"/>
  <c r="H35" s="1"/>
  <c r="G34"/>
  <c r="F34"/>
  <c r="J34" s="1"/>
  <c r="I33"/>
  <c r="G33"/>
  <c r="I32"/>
  <c r="J28"/>
  <c r="C91" s="1"/>
  <c r="J27"/>
  <c r="J23"/>
  <c r="I23"/>
  <c r="J22"/>
  <c r="I22"/>
  <c r="J21"/>
  <c r="I21"/>
  <c r="A21"/>
  <c r="J18"/>
  <c r="J13"/>
  <c r="C13"/>
  <c r="F13" s="1"/>
  <c r="C11"/>
  <c r="C10"/>
  <c r="C9"/>
  <c r="C8"/>
  <c r="C7"/>
  <c r="C6"/>
  <c r="C5"/>
  <c r="C101" i="33"/>
  <c r="C102" s="1"/>
  <c r="C98"/>
  <c r="C99" s="1"/>
  <c r="D85"/>
  <c r="C85"/>
  <c r="I72"/>
  <c r="I71"/>
  <c r="F68"/>
  <c r="J67"/>
  <c r="F67"/>
  <c r="J66"/>
  <c r="H66"/>
  <c r="J60"/>
  <c r="H60"/>
  <c r="I57"/>
  <c r="I56"/>
  <c r="I55"/>
  <c r="I54"/>
  <c r="G54"/>
  <c r="I53"/>
  <c r="G53"/>
  <c r="I52"/>
  <c r="G52"/>
  <c r="I51"/>
  <c r="G51"/>
  <c r="I50"/>
  <c r="G50"/>
  <c r="J49"/>
  <c r="H49"/>
  <c r="J48"/>
  <c r="H48"/>
  <c r="G47"/>
  <c r="I46"/>
  <c r="G46"/>
  <c r="J45"/>
  <c r="H45"/>
  <c r="G44"/>
  <c r="G43"/>
  <c r="G42"/>
  <c r="G41"/>
  <c r="F41"/>
  <c r="J41" s="1"/>
  <c r="G40"/>
  <c r="I39"/>
  <c r="G39"/>
  <c r="I38"/>
  <c r="G38"/>
  <c r="G37"/>
  <c r="F36"/>
  <c r="J36" s="1"/>
  <c r="G35"/>
  <c r="F35"/>
  <c r="J35" s="1"/>
  <c r="G34"/>
  <c r="F34"/>
  <c r="J34" s="1"/>
  <c r="I33"/>
  <c r="G33"/>
  <c r="H33" s="1"/>
  <c r="F33"/>
  <c r="J33" s="1"/>
  <c r="I32"/>
  <c r="J28"/>
  <c r="C92" s="1"/>
  <c r="F55" s="1"/>
  <c r="J27"/>
  <c r="J23"/>
  <c r="I23"/>
  <c r="J22"/>
  <c r="I22"/>
  <c r="J21"/>
  <c r="I21"/>
  <c r="A21"/>
  <c r="J18"/>
  <c r="J13"/>
  <c r="F13"/>
  <c r="C13"/>
  <c r="C11"/>
  <c r="C10"/>
  <c r="C9"/>
  <c r="C8"/>
  <c r="C7"/>
  <c r="C6"/>
  <c r="C5"/>
  <c r="C100" i="30"/>
  <c r="C101" s="1"/>
  <c r="C97"/>
  <c r="C98" s="1"/>
  <c r="D85"/>
  <c r="C85"/>
  <c r="I67"/>
  <c r="I66"/>
  <c r="F63"/>
  <c r="J62"/>
  <c r="F62"/>
  <c r="J61"/>
  <c r="H61"/>
  <c r="J56"/>
  <c r="H56"/>
  <c r="I53"/>
  <c r="G53"/>
  <c r="I52"/>
  <c r="G52"/>
  <c r="I51"/>
  <c r="G51"/>
  <c r="I50"/>
  <c r="G50"/>
  <c r="J49"/>
  <c r="H49"/>
  <c r="J48"/>
  <c r="H48"/>
  <c r="G47"/>
  <c r="I46"/>
  <c r="G46"/>
  <c r="J45"/>
  <c r="H45"/>
  <c r="G44"/>
  <c r="G43"/>
  <c r="G42"/>
  <c r="G41"/>
  <c r="F41"/>
  <c r="J41" s="1"/>
  <c r="G40"/>
  <c r="I39"/>
  <c r="G39"/>
  <c r="I38"/>
  <c r="G38"/>
  <c r="G37"/>
  <c r="F36"/>
  <c r="J36" s="1"/>
  <c r="G35"/>
  <c r="F35"/>
  <c r="J35" s="1"/>
  <c r="G34"/>
  <c r="F34"/>
  <c r="J34" s="1"/>
  <c r="I33"/>
  <c r="G33"/>
  <c r="I32"/>
  <c r="J28"/>
  <c r="C91" s="1"/>
  <c r="J27"/>
  <c r="J23"/>
  <c r="I23"/>
  <c r="J22"/>
  <c r="I22"/>
  <c r="J21"/>
  <c r="I21"/>
  <c r="A21"/>
  <c r="J18"/>
  <c r="J13"/>
  <c r="F13"/>
  <c r="C13"/>
  <c r="C11"/>
  <c r="C10"/>
  <c r="C9"/>
  <c r="C8"/>
  <c r="C7"/>
  <c r="C6"/>
  <c r="C5"/>
  <c r="C106" i="29"/>
  <c r="C107" s="1"/>
  <c r="C100"/>
  <c r="C93"/>
  <c r="J63"/>
  <c r="I63"/>
  <c r="J62"/>
  <c r="I62"/>
  <c r="F58"/>
  <c r="J57"/>
  <c r="H57"/>
  <c r="J56"/>
  <c r="H56"/>
  <c r="J55"/>
  <c r="H55"/>
  <c r="F55"/>
  <c r="J54"/>
  <c r="H54"/>
  <c r="F53"/>
  <c r="J53" s="1"/>
  <c r="H52"/>
  <c r="H49"/>
  <c r="G49"/>
  <c r="H48"/>
  <c r="G48"/>
  <c r="F48"/>
  <c r="G47"/>
  <c r="H47" s="1"/>
  <c r="H46"/>
  <c r="G46"/>
  <c r="F46"/>
  <c r="H45"/>
  <c r="H44"/>
  <c r="G43"/>
  <c r="F43"/>
  <c r="H43" s="1"/>
  <c r="H42"/>
  <c r="G42"/>
  <c r="F42"/>
  <c r="H41"/>
  <c r="H40"/>
  <c r="G40"/>
  <c r="F40"/>
  <c r="H39"/>
  <c r="G39"/>
  <c r="F39"/>
  <c r="G38"/>
  <c r="H38" s="1"/>
  <c r="H37"/>
  <c r="G37"/>
  <c r="G36"/>
  <c r="F36"/>
  <c r="H36" s="1"/>
  <c r="J35"/>
  <c r="I35"/>
  <c r="H35"/>
  <c r="G35"/>
  <c r="J34"/>
  <c r="I34"/>
  <c r="H34"/>
  <c r="G34"/>
  <c r="G33"/>
  <c r="F33"/>
  <c r="J33" s="1"/>
  <c r="J32"/>
  <c r="H31"/>
  <c r="G31"/>
  <c r="F31"/>
  <c r="J31" s="1"/>
  <c r="H30"/>
  <c r="G30"/>
  <c r="F30"/>
  <c r="J30" s="1"/>
  <c r="I29"/>
  <c r="J29" s="1"/>
  <c r="H29"/>
  <c r="G29"/>
  <c r="I28"/>
  <c r="J28" s="1"/>
  <c r="H28"/>
  <c r="I18"/>
  <c r="J18" s="1"/>
  <c r="A18"/>
  <c r="J17"/>
  <c r="J13"/>
  <c r="C13"/>
  <c r="F13" s="1"/>
  <c r="C11"/>
  <c r="C10"/>
  <c r="C9"/>
  <c r="C8"/>
  <c r="C7"/>
  <c r="C6"/>
  <c r="C5"/>
  <c r="C95" i="28"/>
  <c r="C96" s="1"/>
  <c r="C92"/>
  <c r="C93" s="1"/>
  <c r="G33" s="1"/>
  <c r="C86"/>
  <c r="C85"/>
  <c r="C84"/>
  <c r="C83"/>
  <c r="F56" s="1"/>
  <c r="G79"/>
  <c r="F79"/>
  <c r="D79"/>
  <c r="C79"/>
  <c r="I66"/>
  <c r="I65"/>
  <c r="F62"/>
  <c r="F61"/>
  <c r="J61" s="1"/>
  <c r="J60"/>
  <c r="H60"/>
  <c r="J59"/>
  <c r="H59"/>
  <c r="F59"/>
  <c r="F58"/>
  <c r="J58" s="1"/>
  <c r="F57"/>
  <c r="H57" s="1"/>
  <c r="J55"/>
  <c r="H55"/>
  <c r="F54"/>
  <c r="H54" s="1"/>
  <c r="I52"/>
  <c r="G52"/>
  <c r="F52"/>
  <c r="H52" s="1"/>
  <c r="I51"/>
  <c r="G51"/>
  <c r="F51"/>
  <c r="H51" s="1"/>
  <c r="I50"/>
  <c r="G50"/>
  <c r="H50" s="1"/>
  <c r="F50"/>
  <c r="J50" s="1"/>
  <c r="I49"/>
  <c r="G49"/>
  <c r="J48"/>
  <c r="H48"/>
  <c r="J47"/>
  <c r="H47"/>
  <c r="G46"/>
  <c r="I45"/>
  <c r="G45"/>
  <c r="J44"/>
  <c r="H44"/>
  <c r="G43"/>
  <c r="F43"/>
  <c r="J43" s="1"/>
  <c r="G42"/>
  <c r="F42"/>
  <c r="J42" s="1"/>
  <c r="G41"/>
  <c r="G40"/>
  <c r="F40"/>
  <c r="H40" s="1"/>
  <c r="G39"/>
  <c r="F39"/>
  <c r="H39" s="1"/>
  <c r="G38"/>
  <c r="F38"/>
  <c r="I37"/>
  <c r="F37"/>
  <c r="H37" s="1"/>
  <c r="G36"/>
  <c r="F36"/>
  <c r="I35"/>
  <c r="F35"/>
  <c r="J35" s="1"/>
  <c r="G34"/>
  <c r="F34"/>
  <c r="H34" s="1"/>
  <c r="F33"/>
  <c r="J33" s="1"/>
  <c r="J32"/>
  <c r="H32"/>
  <c r="G32"/>
  <c r="F32"/>
  <c r="J31"/>
  <c r="H31"/>
  <c r="G31"/>
  <c r="F31"/>
  <c r="G30"/>
  <c r="F30"/>
  <c r="I29"/>
  <c r="F29"/>
  <c r="J29" s="1"/>
  <c r="I28"/>
  <c r="J24"/>
  <c r="J20"/>
  <c r="I20"/>
  <c r="J19"/>
  <c r="I19"/>
  <c r="J18"/>
  <c r="I18"/>
  <c r="A18"/>
  <c r="I17"/>
  <c r="J13"/>
  <c r="C13"/>
  <c r="F13" s="1"/>
  <c r="C11"/>
  <c r="C10"/>
  <c r="C9"/>
  <c r="C8"/>
  <c r="C7"/>
  <c r="C6"/>
  <c r="C5"/>
  <c r="B86" i="11"/>
  <c r="B85"/>
  <c r="B84"/>
  <c r="B83"/>
  <c r="E52" s="1"/>
  <c r="G79"/>
  <c r="F79"/>
  <c r="C79"/>
  <c r="H60"/>
  <c r="H59"/>
  <c r="G56"/>
  <c r="I55"/>
  <c r="G55"/>
  <c r="E55"/>
  <c r="E54"/>
  <c r="I54" s="1"/>
  <c r="E53"/>
  <c r="G53" s="1"/>
  <c r="F51"/>
  <c r="I50"/>
  <c r="G50"/>
  <c r="E49"/>
  <c r="G49" s="1"/>
  <c r="I48"/>
  <c r="E48"/>
  <c r="G48" s="1"/>
  <c r="H46"/>
  <c r="F46"/>
  <c r="H45"/>
  <c r="F45"/>
  <c r="H44"/>
  <c r="F44"/>
  <c r="E44"/>
  <c r="G44" s="1"/>
  <c r="H43"/>
  <c r="F43"/>
  <c r="E43"/>
  <c r="I43" s="1"/>
  <c r="H42"/>
  <c r="F42"/>
  <c r="H41"/>
  <c r="F41"/>
  <c r="E41"/>
  <c r="G41" s="1"/>
  <c r="H40"/>
  <c r="F40"/>
  <c r="E40"/>
  <c r="G40" s="1"/>
  <c r="H39"/>
  <c r="F39"/>
  <c r="I38"/>
  <c r="G38"/>
  <c r="I37"/>
  <c r="G37"/>
  <c r="F37"/>
  <c r="I36"/>
  <c r="G36"/>
  <c r="F36"/>
  <c r="F35"/>
  <c r="F34"/>
  <c r="E34"/>
  <c r="I34" s="1"/>
  <c r="F33"/>
  <c r="H32"/>
  <c r="G32"/>
  <c r="F32"/>
  <c r="E32"/>
  <c r="I32" s="1"/>
  <c r="H31"/>
  <c r="G31"/>
  <c r="F31"/>
  <c r="E31"/>
  <c r="I31" s="1"/>
  <c r="I30"/>
  <c r="G30"/>
  <c r="F30"/>
  <c r="E30"/>
  <c r="I29"/>
  <c r="G29"/>
  <c r="F29"/>
  <c r="E29"/>
  <c r="I28"/>
  <c r="G28"/>
  <c r="F28"/>
  <c r="E28"/>
  <c r="I27"/>
  <c r="G27"/>
  <c r="F27"/>
  <c r="E27"/>
  <c r="I26"/>
  <c r="H26"/>
  <c r="F26"/>
  <c r="E26"/>
  <c r="G26" s="1"/>
  <c r="H25"/>
  <c r="I21"/>
  <c r="E13"/>
  <c r="B13"/>
  <c r="B11"/>
  <c r="B10"/>
  <c r="B9"/>
  <c r="B8"/>
  <c r="B7"/>
  <c r="B6"/>
  <c r="B5"/>
  <c r="C95" i="44"/>
  <c r="C96" s="1"/>
  <c r="C92"/>
  <c r="C93" s="1"/>
  <c r="G32" s="1"/>
  <c r="C86"/>
  <c r="C85"/>
  <c r="C84"/>
  <c r="C83"/>
  <c r="F79" s="1"/>
  <c r="H79"/>
  <c r="D79"/>
  <c r="C79"/>
  <c r="I68"/>
  <c r="I67"/>
  <c r="F64"/>
  <c r="F63"/>
  <c r="J62"/>
  <c r="H62"/>
  <c r="H61"/>
  <c r="F61"/>
  <c r="J61" s="1"/>
  <c r="F60"/>
  <c r="J58"/>
  <c r="H58"/>
  <c r="F58"/>
  <c r="H57"/>
  <c r="G57"/>
  <c r="F57"/>
  <c r="J57" s="1"/>
  <c r="J56"/>
  <c r="H56"/>
  <c r="J55"/>
  <c r="F55"/>
  <c r="H55" s="1"/>
  <c r="H54"/>
  <c r="F54"/>
  <c r="J54" s="1"/>
  <c r="F53"/>
  <c r="H53" s="1"/>
  <c r="I52"/>
  <c r="G52"/>
  <c r="F52"/>
  <c r="H52" s="1"/>
  <c r="I51"/>
  <c r="H51"/>
  <c r="G51"/>
  <c r="F51"/>
  <c r="J51" s="1"/>
  <c r="I50"/>
  <c r="H50"/>
  <c r="G50"/>
  <c r="F50"/>
  <c r="J50" s="1"/>
  <c r="I49"/>
  <c r="G49"/>
  <c r="F49"/>
  <c r="J49" s="1"/>
  <c r="I48"/>
  <c r="G48"/>
  <c r="F48"/>
  <c r="H48" s="1"/>
  <c r="I47"/>
  <c r="H47"/>
  <c r="G47"/>
  <c r="F47"/>
  <c r="J47" s="1"/>
  <c r="I46"/>
  <c r="H46"/>
  <c r="G46"/>
  <c r="F46"/>
  <c r="J46" s="1"/>
  <c r="I45"/>
  <c r="G45"/>
  <c r="F45"/>
  <c r="J45" s="1"/>
  <c r="J44"/>
  <c r="H44"/>
  <c r="H43"/>
  <c r="G43"/>
  <c r="F43"/>
  <c r="J43" s="1"/>
  <c r="I42"/>
  <c r="H42"/>
  <c r="G42"/>
  <c r="F42"/>
  <c r="J42" s="1"/>
  <c r="J41"/>
  <c r="H41"/>
  <c r="G40"/>
  <c r="F40"/>
  <c r="H40" s="1"/>
  <c r="G39"/>
  <c r="F39"/>
  <c r="H39" s="1"/>
  <c r="G38"/>
  <c r="G37"/>
  <c r="F37"/>
  <c r="H37" s="1"/>
  <c r="G36"/>
  <c r="F36"/>
  <c r="H36" s="1"/>
  <c r="I35"/>
  <c r="G35"/>
  <c r="F35"/>
  <c r="H35" s="1"/>
  <c r="I34"/>
  <c r="H34"/>
  <c r="G34"/>
  <c r="F34"/>
  <c r="J34" s="1"/>
  <c r="H33"/>
  <c r="G33"/>
  <c r="F33"/>
  <c r="J33" s="1"/>
  <c r="F32"/>
  <c r="J32" s="1"/>
  <c r="G31"/>
  <c r="F31"/>
  <c r="H31" s="1"/>
  <c r="G30"/>
  <c r="F30"/>
  <c r="H30" s="1"/>
  <c r="I29"/>
  <c r="G29"/>
  <c r="F29"/>
  <c r="H29" s="1"/>
  <c r="I28"/>
  <c r="J24"/>
  <c r="J20"/>
  <c r="I20"/>
  <c r="J19"/>
  <c r="I19"/>
  <c r="J18"/>
  <c r="I18"/>
  <c r="A18"/>
  <c r="I17"/>
  <c r="J13"/>
  <c r="F13"/>
  <c r="C13"/>
  <c r="C11"/>
  <c r="C10"/>
  <c r="C9"/>
  <c r="C8"/>
  <c r="C7"/>
  <c r="C6"/>
  <c r="C5"/>
  <c r="C100" i="10"/>
  <c r="C101" s="1"/>
  <c r="C86"/>
  <c r="I73"/>
  <c r="I72"/>
  <c r="H68"/>
  <c r="F68"/>
  <c r="J68" s="1"/>
  <c r="J67"/>
  <c r="H67"/>
  <c r="J62"/>
  <c r="H62"/>
  <c r="G62"/>
  <c r="J61"/>
  <c r="H61"/>
  <c r="J60"/>
  <c r="H60"/>
  <c r="J59"/>
  <c r="H59"/>
  <c r="J58"/>
  <c r="H58"/>
  <c r="J57"/>
  <c r="I57"/>
  <c r="H57"/>
  <c r="G57"/>
  <c r="J56"/>
  <c r="I56"/>
  <c r="H56"/>
  <c r="G56"/>
  <c r="J55"/>
  <c r="I55"/>
  <c r="H55"/>
  <c r="G55"/>
  <c r="J54"/>
  <c r="I54"/>
  <c r="H54"/>
  <c r="G54"/>
  <c r="J53"/>
  <c r="I53"/>
  <c r="H53"/>
  <c r="G53"/>
  <c r="J52"/>
  <c r="I52"/>
  <c r="H52"/>
  <c r="G52"/>
  <c r="J51"/>
  <c r="I51"/>
  <c r="H51"/>
  <c r="G51"/>
  <c r="J50"/>
  <c r="I50"/>
  <c r="H50"/>
  <c r="G50"/>
  <c r="I49"/>
  <c r="G49"/>
  <c r="I48"/>
  <c r="G48"/>
  <c r="I47"/>
  <c r="G47"/>
  <c r="I46"/>
  <c r="G46"/>
  <c r="J45"/>
  <c r="H45"/>
  <c r="J44"/>
  <c r="H44"/>
  <c r="G43"/>
  <c r="I42"/>
  <c r="G42"/>
  <c r="J41"/>
  <c r="H41"/>
  <c r="G40"/>
  <c r="G39"/>
  <c r="G38"/>
  <c r="G37"/>
  <c r="F37"/>
  <c r="G36"/>
  <c r="I35"/>
  <c r="G35"/>
  <c r="I34"/>
  <c r="G34"/>
  <c r="G33"/>
  <c r="F33"/>
  <c r="H33" s="1"/>
  <c r="G31"/>
  <c r="G30"/>
  <c r="I29"/>
  <c r="G29"/>
  <c r="I28"/>
  <c r="I20"/>
  <c r="J20" s="1"/>
  <c r="I18"/>
  <c r="J18" s="1"/>
  <c r="A18"/>
  <c r="I17"/>
  <c r="I19" s="1"/>
  <c r="J19" s="1"/>
  <c r="J13"/>
  <c r="C13"/>
  <c r="F13" s="1"/>
  <c r="C76" s="1"/>
  <c r="C11"/>
  <c r="C10"/>
  <c r="C9"/>
  <c r="C8"/>
  <c r="C7"/>
  <c r="C6"/>
  <c r="C5"/>
  <c r="B14" i="5"/>
  <c r="B13"/>
  <c r="B51" i="4"/>
  <c r="B48"/>
  <c r="B46"/>
  <c r="D41"/>
  <c r="D40"/>
  <c r="D39"/>
  <c r="D38"/>
  <c r="D37"/>
  <c r="D36"/>
  <c r="D35"/>
  <c r="D34"/>
  <c r="D33"/>
  <c r="D31"/>
  <c r="D30"/>
  <c r="D29"/>
  <c r="D28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F38" i="44" l="1"/>
  <c r="H38" s="1"/>
  <c r="F87" i="32"/>
  <c r="F58" i="33"/>
  <c r="F88" i="36"/>
  <c r="F58"/>
  <c r="F85" i="33"/>
  <c r="F59" i="32"/>
  <c r="G52" i="11"/>
  <c r="I52"/>
  <c r="H55" i="33"/>
  <c r="J55"/>
  <c r="F77" i="36"/>
  <c r="J77" s="1"/>
  <c r="F76"/>
  <c r="J76" s="1"/>
  <c r="F32"/>
  <c r="J55"/>
  <c r="H55"/>
  <c r="H37" i="10"/>
  <c r="J29" i="44"/>
  <c r="J30"/>
  <c r="J31"/>
  <c r="J35"/>
  <c r="J36"/>
  <c r="J37"/>
  <c r="J48"/>
  <c r="J52"/>
  <c r="K24" i="43"/>
  <c r="E32" i="41"/>
  <c r="C35" s="1"/>
  <c r="G67" i="35"/>
  <c r="H67" s="1"/>
  <c r="G68" i="32"/>
  <c r="H68" s="1"/>
  <c r="G67" i="33"/>
  <c r="H67" s="1"/>
  <c r="G62" i="30"/>
  <c r="H62" s="1"/>
  <c r="G72" i="36"/>
  <c r="H72" s="1"/>
  <c r="G58" i="29"/>
  <c r="H58" s="1"/>
  <c r="J63" i="44"/>
  <c r="H63"/>
  <c r="F58" i="30"/>
  <c r="F55"/>
  <c r="G85"/>
  <c r="C47" i="7"/>
  <c r="B47"/>
  <c r="J39" i="44"/>
  <c r="J40"/>
  <c r="H45"/>
  <c r="H49"/>
  <c r="J53"/>
  <c r="J60"/>
  <c r="H60"/>
  <c r="G79"/>
  <c r="F59"/>
  <c r="F63" i="32"/>
  <c r="F54"/>
  <c r="F51"/>
  <c r="F48"/>
  <c r="F40"/>
  <c r="F65"/>
  <c r="F62"/>
  <c r="H62" s="1"/>
  <c r="F58"/>
  <c r="F32" i="35"/>
  <c r="F72"/>
  <c r="J72" s="1"/>
  <c r="F71"/>
  <c r="J71" s="1"/>
  <c r="J38"/>
  <c r="H38"/>
  <c r="B29" i="19"/>
  <c r="C29"/>
  <c r="C44" i="37"/>
  <c r="C38" i="41"/>
  <c r="E38" s="1"/>
  <c r="C39"/>
  <c r="E39" s="1"/>
  <c r="C37"/>
  <c r="E37" s="1"/>
  <c r="D28" i="40"/>
  <c r="D72" i="44"/>
  <c r="C72"/>
  <c r="H56" i="28"/>
  <c r="J56"/>
  <c r="H32" i="44"/>
  <c r="F23" i="37"/>
  <c r="G34" i="11"/>
  <c r="I41"/>
  <c r="G43"/>
  <c r="E45"/>
  <c r="G54"/>
  <c r="H29" i="28"/>
  <c r="H35"/>
  <c r="J37"/>
  <c r="H42"/>
  <c r="H43"/>
  <c r="F45"/>
  <c r="J52"/>
  <c r="H58"/>
  <c r="H61"/>
  <c r="H33"/>
  <c r="I17" i="29"/>
  <c r="H33"/>
  <c r="H53"/>
  <c r="H34" i="30"/>
  <c r="H35"/>
  <c r="F37"/>
  <c r="F38"/>
  <c r="H41"/>
  <c r="C90"/>
  <c r="H34" i="33"/>
  <c r="H35"/>
  <c r="F37"/>
  <c r="F38"/>
  <c r="H41"/>
  <c r="C91"/>
  <c r="F52" s="1"/>
  <c r="H34" i="32"/>
  <c r="J35"/>
  <c r="H38"/>
  <c r="H43"/>
  <c r="H44"/>
  <c r="C94"/>
  <c r="F56" s="1"/>
  <c r="H33" i="35"/>
  <c r="H39"/>
  <c r="H43"/>
  <c r="H44"/>
  <c r="F68"/>
  <c r="C91"/>
  <c r="H33" i="36"/>
  <c r="H39"/>
  <c r="H43"/>
  <c r="H44"/>
  <c r="C94"/>
  <c r="F52" s="1"/>
  <c r="B22" i="22"/>
  <c r="D22" s="1"/>
  <c r="D22" i="37"/>
  <c r="C39" s="1"/>
  <c r="C12" i="39"/>
  <c r="C14"/>
  <c r="D22"/>
  <c r="F22" s="1"/>
  <c r="E17" i="40"/>
  <c r="E28" s="1"/>
  <c r="D33"/>
  <c r="I40" i="11"/>
  <c r="I44"/>
  <c r="J51" i="28"/>
  <c r="C89" i="30"/>
  <c r="G36"/>
  <c r="H36" s="1"/>
  <c r="C90" i="33"/>
  <c r="G36"/>
  <c r="H36" s="1"/>
  <c r="F37" i="32"/>
  <c r="F39"/>
  <c r="C93"/>
  <c r="F53" s="1"/>
  <c r="F34" i="35"/>
  <c r="F35"/>
  <c r="F36"/>
  <c r="J36" s="1"/>
  <c r="F41"/>
  <c r="C90"/>
  <c r="F62" i="36"/>
  <c r="H62" s="1"/>
  <c r="C93"/>
  <c r="G11" i="20"/>
  <c r="G12"/>
  <c r="G13"/>
  <c r="G14"/>
  <c r="G15"/>
  <c r="G16"/>
  <c r="G17"/>
  <c r="G18"/>
  <c r="G19"/>
  <c r="G20"/>
  <c r="G21"/>
  <c r="G22"/>
  <c r="F13" i="37"/>
  <c r="C43" s="1"/>
  <c r="L22"/>
  <c r="C33" s="1"/>
  <c r="D20" i="39" s="1"/>
  <c r="F20" s="1"/>
  <c r="F9"/>
  <c r="E33" i="11"/>
  <c r="E39"/>
  <c r="E47"/>
  <c r="I49"/>
  <c r="I53"/>
  <c r="E79"/>
  <c r="J34" i="28"/>
  <c r="J39"/>
  <c r="J40"/>
  <c r="J54"/>
  <c r="J57"/>
  <c r="J58" i="29"/>
  <c r="J60" s="1"/>
  <c r="C89" i="33"/>
  <c r="C92" i="32"/>
  <c r="G36"/>
  <c r="H36" s="1"/>
  <c r="C89" i="35"/>
  <c r="G36"/>
  <c r="H36" s="1"/>
  <c r="C92" i="36"/>
  <c r="D13" i="37"/>
  <c r="C41" s="1"/>
  <c r="D31" i="40"/>
  <c r="D35" s="1"/>
  <c r="D18" i="41"/>
  <c r="D32" s="1"/>
  <c r="C34" s="1"/>
  <c r="E34" s="1"/>
  <c r="E42" i="11"/>
  <c r="E46"/>
  <c r="E51"/>
  <c r="F46" i="28"/>
  <c r="F49"/>
  <c r="F53"/>
  <c r="F33" i="30"/>
  <c r="F39"/>
  <c r="F43"/>
  <c r="F44"/>
  <c r="F39" i="33"/>
  <c r="F43"/>
  <c r="F44"/>
  <c r="F33" i="32"/>
  <c r="F36"/>
  <c r="J36" s="1"/>
  <c r="F37" i="35"/>
  <c r="H68"/>
  <c r="F37" i="36"/>
  <c r="F38"/>
  <c r="J33" i="10"/>
  <c r="F38"/>
  <c r="H38" s="1"/>
  <c r="J24"/>
  <c r="J37"/>
  <c r="D76"/>
  <c r="G62" i="28"/>
  <c r="H62" s="1"/>
  <c r="G63" i="30"/>
  <c r="H63" s="1"/>
  <c r="G73" i="36"/>
  <c r="H73" s="1"/>
  <c r="G64" i="44"/>
  <c r="H64" s="1"/>
  <c r="G69" i="32"/>
  <c r="H69" s="1"/>
  <c r="G68" i="33"/>
  <c r="H68" s="1"/>
  <c r="U11" i="27"/>
  <c r="Q11"/>
  <c r="R11" s="1"/>
  <c r="Q13"/>
  <c r="U13"/>
  <c r="X13" s="1"/>
  <c r="Q15"/>
  <c r="U15"/>
  <c r="X15" s="1"/>
  <c r="U17"/>
  <c r="X17" s="1"/>
  <c r="Q17"/>
  <c r="U19"/>
  <c r="X19" s="1"/>
  <c r="Q19"/>
  <c r="U21"/>
  <c r="X21" s="1"/>
  <c r="Q21"/>
  <c r="J11"/>
  <c r="P12"/>
  <c r="J13"/>
  <c r="P14"/>
  <c r="J15"/>
  <c r="P16"/>
  <c r="J17"/>
  <c r="P18"/>
  <c r="J19"/>
  <c r="P20"/>
  <c r="J21"/>
  <c r="P22"/>
  <c r="E40" i="41" l="1"/>
  <c r="E42" s="1"/>
  <c r="H46" i="28"/>
  <c r="J46"/>
  <c r="J39" i="30"/>
  <c r="H39"/>
  <c r="D36" i="22"/>
  <c r="D34"/>
  <c r="H38" i="33"/>
  <c r="J38"/>
  <c r="G45" i="11"/>
  <c r="I45"/>
  <c r="H58" i="32"/>
  <c r="J58"/>
  <c r="C36" i="41"/>
  <c r="E36" s="1"/>
  <c r="E35"/>
  <c r="H44" i="33"/>
  <c r="J44"/>
  <c r="H43" i="30"/>
  <c r="J43"/>
  <c r="J49" i="28"/>
  <c r="H49"/>
  <c r="I42" i="11"/>
  <c r="G42"/>
  <c r="F67" i="36"/>
  <c r="F50"/>
  <c r="F47"/>
  <c r="F57"/>
  <c r="F56"/>
  <c r="F69"/>
  <c r="F66"/>
  <c r="H66" s="1"/>
  <c r="F40"/>
  <c r="F53"/>
  <c r="F46"/>
  <c r="F64" i="32"/>
  <c r="G87"/>
  <c r="F66"/>
  <c r="F60"/>
  <c r="F55"/>
  <c r="F52"/>
  <c r="I39" i="11"/>
  <c r="G39"/>
  <c r="H41" i="35"/>
  <c r="J41"/>
  <c r="J53" i="32"/>
  <c r="H53"/>
  <c r="F51" i="33"/>
  <c r="F63"/>
  <c r="G85"/>
  <c r="F65"/>
  <c r="F59"/>
  <c r="F54"/>
  <c r="H37" i="30"/>
  <c r="J37"/>
  <c r="D37" i="40"/>
  <c r="B39"/>
  <c r="H40" i="32"/>
  <c r="J40"/>
  <c r="J54"/>
  <c r="H54"/>
  <c r="J32" i="36"/>
  <c r="H32"/>
  <c r="F57" i="32"/>
  <c r="I33" i="11"/>
  <c r="G33"/>
  <c r="F59" i="36"/>
  <c r="F54"/>
  <c r="F70"/>
  <c r="F51"/>
  <c r="G88"/>
  <c r="F68"/>
  <c r="J39" i="32"/>
  <c r="H39"/>
  <c r="H56"/>
  <c r="J56"/>
  <c r="F60" i="30"/>
  <c r="F51"/>
  <c r="F53"/>
  <c r="H48" i="32"/>
  <c r="J48"/>
  <c r="H58" i="36"/>
  <c r="J58"/>
  <c r="H37"/>
  <c r="J37"/>
  <c r="J33" i="32"/>
  <c r="H33"/>
  <c r="H44" i="30"/>
  <c r="J44"/>
  <c r="H53" i="28"/>
  <c r="J53"/>
  <c r="I46" i="11"/>
  <c r="G46"/>
  <c r="G47"/>
  <c r="I47"/>
  <c r="F51" i="35"/>
  <c r="F65"/>
  <c r="F53"/>
  <c r="H34"/>
  <c r="J34"/>
  <c r="F63"/>
  <c r="G85"/>
  <c r="F55"/>
  <c r="J52" i="33"/>
  <c r="H52"/>
  <c r="H38" i="30"/>
  <c r="J38"/>
  <c r="J32" i="35"/>
  <c r="H32"/>
  <c r="H65" i="32"/>
  <c r="J65"/>
  <c r="J58" i="30"/>
  <c r="H58"/>
  <c r="H59" i="32"/>
  <c r="J59"/>
  <c r="H58" i="33"/>
  <c r="J58"/>
  <c r="F47" i="32"/>
  <c r="D47" i="7"/>
  <c r="C48"/>
  <c r="D48" s="1"/>
  <c r="E48" s="1"/>
  <c r="H37" i="35"/>
  <c r="J37"/>
  <c r="H43" i="33"/>
  <c r="J43"/>
  <c r="F64"/>
  <c r="F61"/>
  <c r="H61" s="1"/>
  <c r="F57"/>
  <c r="F56"/>
  <c r="F40"/>
  <c r="F62"/>
  <c r="F53"/>
  <c r="F46"/>
  <c r="F50"/>
  <c r="F47"/>
  <c r="I19" i="29"/>
  <c r="J19" s="1"/>
  <c r="I20"/>
  <c r="J20" s="1"/>
  <c r="H63" i="32"/>
  <c r="J63"/>
  <c r="J38" i="36"/>
  <c r="H38"/>
  <c r="J39" i="33"/>
  <c r="H39"/>
  <c r="J33" i="30"/>
  <c r="H33"/>
  <c r="G51" i="11"/>
  <c r="I51"/>
  <c r="B44" i="40"/>
  <c r="D44" s="1"/>
  <c r="B43"/>
  <c r="D43" s="1"/>
  <c r="F54" i="35"/>
  <c r="F50"/>
  <c r="F47"/>
  <c r="F85"/>
  <c r="F62"/>
  <c r="F52"/>
  <c r="F40"/>
  <c r="F64"/>
  <c r="F46"/>
  <c r="H35"/>
  <c r="J35"/>
  <c r="J37" i="32"/>
  <c r="H37"/>
  <c r="F59" i="30"/>
  <c r="F52"/>
  <c r="F40"/>
  <c r="F85"/>
  <c r="F46"/>
  <c r="F57"/>
  <c r="F54"/>
  <c r="F50"/>
  <c r="F47"/>
  <c r="H52" i="36"/>
  <c r="J52"/>
  <c r="H37" i="33"/>
  <c r="J37"/>
  <c r="H45" i="28"/>
  <c r="J45"/>
  <c r="H51" i="32"/>
  <c r="J51"/>
  <c r="H59" i="44"/>
  <c r="C87" s="1"/>
  <c r="J59"/>
  <c r="J55" i="30"/>
  <c r="H55"/>
  <c r="D29" i="19"/>
  <c r="D23" i="37"/>
  <c r="C28" s="1"/>
  <c r="D12" i="39" s="1"/>
  <c r="F12" s="1"/>
  <c r="E26" s="1"/>
  <c r="E28" s="1"/>
  <c r="C92" i="10"/>
  <c r="D86"/>
  <c r="F32"/>
  <c r="J32" s="1"/>
  <c r="F31"/>
  <c r="F30"/>
  <c r="C103"/>
  <c r="C93"/>
  <c r="H86" s="1"/>
  <c r="C94"/>
  <c r="C90"/>
  <c r="F69"/>
  <c r="F34"/>
  <c r="C91"/>
  <c r="F40"/>
  <c r="F39"/>
  <c r="F35"/>
  <c r="F29"/>
  <c r="G32"/>
  <c r="X11" i="27"/>
  <c r="Y11" s="1"/>
  <c r="V11"/>
  <c r="U22"/>
  <c r="X22" s="1"/>
  <c r="Q22"/>
  <c r="U18"/>
  <c r="X18" s="1"/>
  <c r="Q18"/>
  <c r="U14"/>
  <c r="X14" s="1"/>
  <c r="Q14"/>
  <c r="U20"/>
  <c r="X20" s="1"/>
  <c r="Q20"/>
  <c r="U16"/>
  <c r="X16" s="1"/>
  <c r="Q16"/>
  <c r="U12"/>
  <c r="X12" s="1"/>
  <c r="Q12"/>
  <c r="H59" i="30" l="1"/>
  <c r="J59"/>
  <c r="H47" i="33"/>
  <c r="J47"/>
  <c r="J65" i="35"/>
  <c r="H65"/>
  <c r="J60" i="32"/>
  <c r="H60"/>
  <c r="H46" i="36"/>
  <c r="J46"/>
  <c r="J69"/>
  <c r="H69"/>
  <c r="J50"/>
  <c r="H50"/>
  <c r="F67" i="44"/>
  <c r="J67" s="1"/>
  <c r="F68"/>
  <c r="J68" s="1"/>
  <c r="F28"/>
  <c r="H50" i="30"/>
  <c r="J50"/>
  <c r="H46" i="35"/>
  <c r="J46"/>
  <c r="H62"/>
  <c r="J62"/>
  <c r="H54"/>
  <c r="J54"/>
  <c r="H50" i="33"/>
  <c r="J50"/>
  <c r="J40"/>
  <c r="H40"/>
  <c r="H64"/>
  <c r="J64"/>
  <c r="F42" i="32"/>
  <c r="H42" s="1"/>
  <c r="J51" i="35"/>
  <c r="H51"/>
  <c r="H68" i="36"/>
  <c r="J68"/>
  <c r="J54"/>
  <c r="H54"/>
  <c r="J66" i="32"/>
  <c r="H66"/>
  <c r="H53" i="36"/>
  <c r="J53"/>
  <c r="J56"/>
  <c r="H56"/>
  <c r="H67"/>
  <c r="J67"/>
  <c r="C49" i="7"/>
  <c r="D49" s="1"/>
  <c r="E49" s="1"/>
  <c r="H47" i="30"/>
  <c r="J47"/>
  <c r="J50" i="35"/>
  <c r="H50"/>
  <c r="J62" i="33"/>
  <c r="H62"/>
  <c r="H60" i="30"/>
  <c r="J60"/>
  <c r="H70" i="36"/>
  <c r="J70"/>
  <c r="F42" i="19"/>
  <c r="F41"/>
  <c r="H57" i="30"/>
  <c r="J57"/>
  <c r="J52"/>
  <c r="H52"/>
  <c r="H40" i="35"/>
  <c r="J40"/>
  <c r="H47"/>
  <c r="J47"/>
  <c r="J69" s="1"/>
  <c r="H53" i="33"/>
  <c r="J53"/>
  <c r="H57"/>
  <c r="J57"/>
  <c r="D50" i="7"/>
  <c r="E47"/>
  <c r="E50" s="1"/>
  <c r="H53" i="35"/>
  <c r="J53"/>
  <c r="E35" i="11"/>
  <c r="B87"/>
  <c r="C87" i="28"/>
  <c r="F41"/>
  <c r="H41" s="1"/>
  <c r="J51" i="30"/>
  <c r="H51"/>
  <c r="J51" i="36"/>
  <c r="H51"/>
  <c r="H59" i="33"/>
  <c r="F42" s="1"/>
  <c r="H42" s="1"/>
  <c r="J59"/>
  <c r="J51"/>
  <c r="H51"/>
  <c r="H55" i="32"/>
  <c r="J55"/>
  <c r="H64"/>
  <c r="C95" s="1"/>
  <c r="J64"/>
  <c r="H47" i="36"/>
  <c r="J47"/>
  <c r="J74" s="1"/>
  <c r="J24" i="29"/>
  <c r="H46" i="30"/>
  <c r="J46"/>
  <c r="H52" i="35"/>
  <c r="J52"/>
  <c r="J47" i="32"/>
  <c r="H47"/>
  <c r="H63" i="35"/>
  <c r="J63"/>
  <c r="H65" i="33"/>
  <c r="J65"/>
  <c r="H54" i="30"/>
  <c r="J54"/>
  <c r="J40"/>
  <c r="H40"/>
  <c r="H64" i="35"/>
  <c r="J64"/>
  <c r="H46" i="33"/>
  <c r="J46"/>
  <c r="H56"/>
  <c r="J56"/>
  <c r="H55" i="35"/>
  <c r="J55"/>
  <c r="H53" i="30"/>
  <c r="J53"/>
  <c r="H59" i="36"/>
  <c r="F42" s="1"/>
  <c r="H42" s="1"/>
  <c r="J59"/>
  <c r="H57" i="32"/>
  <c r="J57"/>
  <c r="B41" i="40"/>
  <c r="D41" s="1"/>
  <c r="D39"/>
  <c r="H54" i="33"/>
  <c r="J54"/>
  <c r="H63"/>
  <c r="C93" s="1"/>
  <c r="J63"/>
  <c r="H52" i="32"/>
  <c r="J52"/>
  <c r="H40" i="36"/>
  <c r="H74" s="1"/>
  <c r="J40"/>
  <c r="J57"/>
  <c r="H57"/>
  <c r="F47" i="10"/>
  <c r="F49"/>
  <c r="F46"/>
  <c r="F48"/>
  <c r="F42"/>
  <c r="F43"/>
  <c r="H32"/>
  <c r="H29"/>
  <c r="J29"/>
  <c r="F36"/>
  <c r="F86"/>
  <c r="F63"/>
  <c r="F65"/>
  <c r="H30"/>
  <c r="J30"/>
  <c r="H40"/>
  <c r="J40"/>
  <c r="G69"/>
  <c r="H69" s="1"/>
  <c r="C104"/>
  <c r="H39"/>
  <c r="J39"/>
  <c r="H34"/>
  <c r="J34"/>
  <c r="H35"/>
  <c r="J35"/>
  <c r="H31"/>
  <c r="J31"/>
  <c r="F64"/>
  <c r="G86"/>
  <c r="F66"/>
  <c r="J73" i="35" l="1"/>
  <c r="J80" s="1"/>
  <c r="I85" s="1"/>
  <c r="J70"/>
  <c r="J85" s="1"/>
  <c r="F32" i="32"/>
  <c r="F73"/>
  <c r="J73" s="1"/>
  <c r="F72"/>
  <c r="J72" s="1"/>
  <c r="F32" i="33"/>
  <c r="F72"/>
  <c r="J72" s="1"/>
  <c r="F71"/>
  <c r="J71" s="1"/>
  <c r="J75" i="36"/>
  <c r="J88" s="1"/>
  <c r="J78"/>
  <c r="J85" s="1"/>
  <c r="I88" s="1"/>
  <c r="H28" i="44"/>
  <c r="H65" s="1"/>
  <c r="J28"/>
  <c r="J65" s="1"/>
  <c r="D93" i="29"/>
  <c r="J61"/>
  <c r="J93" s="1"/>
  <c r="C97"/>
  <c r="J64"/>
  <c r="J71" s="1"/>
  <c r="I93" s="1"/>
  <c r="C98"/>
  <c r="C109"/>
  <c r="C99"/>
  <c r="G32"/>
  <c r="H32" s="1"/>
  <c r="F65" i="28"/>
  <c r="J65" s="1"/>
  <c r="F28"/>
  <c r="F66"/>
  <c r="J66" s="1"/>
  <c r="D45" i="40"/>
  <c r="D47" s="1"/>
  <c r="F42" i="30"/>
  <c r="H42" s="1"/>
  <c r="C92"/>
  <c r="F42" i="35"/>
  <c r="H42" s="1"/>
  <c r="H69" s="1"/>
  <c r="E59" i="11"/>
  <c r="I59" s="1"/>
  <c r="E60"/>
  <c r="I60" s="1"/>
  <c r="E25"/>
  <c r="I35"/>
  <c r="G35"/>
  <c r="H65" i="10"/>
  <c r="J65"/>
  <c r="H63"/>
  <c r="C95" s="1"/>
  <c r="J63"/>
  <c r="H64"/>
  <c r="J64"/>
  <c r="J49"/>
  <c r="H49"/>
  <c r="J42"/>
  <c r="H42"/>
  <c r="J48"/>
  <c r="H48"/>
  <c r="H47"/>
  <c r="J47"/>
  <c r="H46"/>
  <c r="J46"/>
  <c r="H36"/>
  <c r="J36"/>
  <c r="J66"/>
  <c r="H66"/>
  <c r="H43"/>
  <c r="J43"/>
  <c r="H32" i="33" l="1"/>
  <c r="H69" s="1"/>
  <c r="J32"/>
  <c r="J69" s="1"/>
  <c r="I25" i="11"/>
  <c r="I57" s="1"/>
  <c r="G25"/>
  <c r="G57" s="1"/>
  <c r="F66" i="30"/>
  <c r="J66" s="1"/>
  <c r="F32"/>
  <c r="F67"/>
  <c r="J67" s="1"/>
  <c r="J28" i="28"/>
  <c r="J63" s="1"/>
  <c r="H28"/>
  <c r="H63" s="1"/>
  <c r="C110" i="29"/>
  <c r="G59"/>
  <c r="H59" s="1"/>
  <c r="H32" i="32"/>
  <c r="H70" s="1"/>
  <c r="J32"/>
  <c r="J70" s="1"/>
  <c r="G93" i="29"/>
  <c r="F51"/>
  <c r="H51" s="1"/>
  <c r="F93"/>
  <c r="F50"/>
  <c r="H50" s="1"/>
  <c r="C101" s="1"/>
  <c r="J66" i="44"/>
  <c r="J79" s="1"/>
  <c r="J69"/>
  <c r="J76" s="1"/>
  <c r="I79" s="1"/>
  <c r="H60" i="29"/>
  <c r="F73" i="10"/>
  <c r="J73" s="1"/>
  <c r="F72"/>
  <c r="J72" s="1"/>
  <c r="F28"/>
  <c r="I61" i="11" l="1"/>
  <c r="I68" s="1"/>
  <c r="H79" s="1"/>
  <c r="I58"/>
  <c r="I79" s="1"/>
  <c r="J67" i="28"/>
  <c r="J74" s="1"/>
  <c r="I79" s="1"/>
  <c r="J64"/>
  <c r="J79" s="1"/>
  <c r="J74" i="32"/>
  <c r="J81" s="1"/>
  <c r="I87" s="1"/>
  <c r="J71"/>
  <c r="J87" s="1"/>
  <c r="H32" i="30"/>
  <c r="H64" s="1"/>
  <c r="J32"/>
  <c r="J64" s="1"/>
  <c r="J73" i="33"/>
  <c r="J80" s="1"/>
  <c r="I85" s="1"/>
  <c r="J70"/>
  <c r="J85" s="1"/>
  <c r="H28" i="10"/>
  <c r="H70" s="1"/>
  <c r="J28"/>
  <c r="J70" s="1"/>
  <c r="J68" i="30" l="1"/>
  <c r="J75" s="1"/>
  <c r="I85" s="1"/>
  <c r="J65"/>
  <c r="J85" s="1"/>
  <c r="J71" i="10"/>
  <c r="J86" s="1"/>
  <c r="J74"/>
  <c r="J83" s="1"/>
  <c r="I86" s="1"/>
</calcChain>
</file>

<file path=xl/sharedStrings.xml><?xml version="1.0" encoding="utf-8"?>
<sst xmlns="http://schemas.openxmlformats.org/spreadsheetml/2006/main" count="2244" uniqueCount="749">
  <si>
    <t>Intitulé</t>
  </si>
  <si>
    <t>Taux</t>
  </si>
  <si>
    <t>Charges patronales</t>
  </si>
  <si>
    <t>Montant</t>
  </si>
  <si>
    <t>Charges salariales</t>
  </si>
  <si>
    <t>Salaire de base</t>
  </si>
  <si>
    <t>Liste absences</t>
  </si>
  <si>
    <t>au 30ème</t>
  </si>
  <si>
    <t>au 26ème</t>
  </si>
  <si>
    <t>Liste H.S./H.C.</t>
  </si>
  <si>
    <t>H.S.</t>
  </si>
  <si>
    <t>H.S. non majorées</t>
  </si>
  <si>
    <t>Complément d'heures</t>
  </si>
  <si>
    <t>H.C.</t>
  </si>
  <si>
    <t>Prime</t>
  </si>
  <si>
    <t>AN</t>
  </si>
  <si>
    <t>ICP</t>
  </si>
  <si>
    <t>Salaire brut</t>
  </si>
  <si>
    <t>URSSAF</t>
  </si>
  <si>
    <t>Maladie</t>
  </si>
  <si>
    <t>Contribution de solidarité pour l'autonomie</t>
  </si>
  <si>
    <t>Accidents du travail</t>
  </si>
  <si>
    <t>Allocations familiales</t>
  </si>
  <si>
    <t>Versement de transport</t>
  </si>
  <si>
    <t>Vieillesse T</t>
  </si>
  <si>
    <t>Vieillesse P</t>
  </si>
  <si>
    <t>Aide au logement</t>
  </si>
  <si>
    <t>Forfait social</t>
  </si>
  <si>
    <t>Contribution au dialogue social</t>
  </si>
  <si>
    <t>Cotisation pénibilité</t>
  </si>
  <si>
    <t>Assurances chômage</t>
  </si>
  <si>
    <t>Assurance chômage TA + TB</t>
  </si>
  <si>
    <t>AGS TA +TB</t>
  </si>
  <si>
    <t>Majoration cotisation CDD</t>
  </si>
  <si>
    <t>AGFF tranche 1</t>
  </si>
  <si>
    <t>AGFF tranche 2</t>
  </si>
  <si>
    <t>Assurance, mutuelle, prévoyance</t>
  </si>
  <si>
    <t>Mutuelle tranche A</t>
  </si>
  <si>
    <t>Mutuelle tranche B</t>
  </si>
  <si>
    <t>Prévoyance complémentaire tranche 1</t>
  </si>
  <si>
    <t>Prévoyance complémentaire tranche 2</t>
  </si>
  <si>
    <t>Réduction Fillon</t>
  </si>
  <si>
    <t>Déduction TEPA</t>
  </si>
  <si>
    <t>Net imposable</t>
  </si>
  <si>
    <t>Net après retenues</t>
  </si>
  <si>
    <t>Primes et indemnités non soumises à cotisations</t>
  </si>
  <si>
    <t>Déductions et retenues</t>
  </si>
  <si>
    <t>Net à payer</t>
  </si>
  <si>
    <t>Acquis</t>
  </si>
  <si>
    <t>Restants</t>
  </si>
  <si>
    <t>Nombre</t>
  </si>
  <si>
    <t>ou base</t>
  </si>
  <si>
    <t>Mois</t>
  </si>
  <si>
    <t>Cumul annuel</t>
  </si>
  <si>
    <t>Heures</t>
  </si>
  <si>
    <t>Brut</t>
  </si>
  <si>
    <t>Base TA</t>
  </si>
  <si>
    <t>Base TB</t>
  </si>
  <si>
    <t>Base TC</t>
  </si>
  <si>
    <t>Net</t>
  </si>
  <si>
    <t>BULLETIN DE SALAIRE</t>
  </si>
  <si>
    <t>EMPLOYEUR</t>
  </si>
  <si>
    <t>SALARIE</t>
  </si>
  <si>
    <t>Nom :</t>
  </si>
  <si>
    <t>Prénom :</t>
  </si>
  <si>
    <t>Emploi :</t>
  </si>
  <si>
    <t>Position :</t>
  </si>
  <si>
    <t>N° SS :</t>
  </si>
  <si>
    <t>Entrée le :</t>
  </si>
  <si>
    <t>Adresse :</t>
  </si>
  <si>
    <t>Contrat :</t>
  </si>
  <si>
    <t>Coef :</t>
  </si>
  <si>
    <t>Niveau :</t>
  </si>
  <si>
    <t>Echelon :</t>
  </si>
  <si>
    <t>N° SIRET :</t>
  </si>
  <si>
    <t>Code APE :</t>
  </si>
  <si>
    <t>URSSAF :</t>
  </si>
  <si>
    <t>CCN :</t>
  </si>
  <si>
    <t>Total des cotisations</t>
  </si>
  <si>
    <t>Période du :</t>
  </si>
  <si>
    <t>au</t>
  </si>
  <si>
    <t>Plafond du mois :</t>
  </si>
  <si>
    <t>Bases de cotisation</t>
  </si>
  <si>
    <t>Tranche A / 1</t>
  </si>
  <si>
    <t>Tranche B</t>
  </si>
  <si>
    <t>Tranche 2</t>
  </si>
  <si>
    <t>Base CSG/CRDS</t>
  </si>
  <si>
    <t>Non cadre</t>
  </si>
  <si>
    <t>Raison sociale :</t>
  </si>
  <si>
    <t>Informations Société</t>
  </si>
  <si>
    <t>Code APE (NAF) :</t>
  </si>
  <si>
    <t>Convention collective :</t>
  </si>
  <si>
    <t>Effectif :</t>
  </si>
  <si>
    <t>Coefficient réduction Fillon :</t>
  </si>
  <si>
    <t>Taux accident du travail :</t>
  </si>
  <si>
    <t>Versement transport :</t>
  </si>
  <si>
    <t>1er jour du mois de paie :</t>
  </si>
  <si>
    <t>Nombre heures réelles :</t>
  </si>
  <si>
    <t>CSG déductible d'impôt</t>
  </si>
  <si>
    <t>Complément allocations familiales</t>
  </si>
  <si>
    <t>COTISATIONS</t>
  </si>
  <si>
    <t>Assurance chômage</t>
  </si>
  <si>
    <t>AGS TA + TB</t>
  </si>
  <si>
    <t>Retraire complémentaire</t>
  </si>
  <si>
    <t>Part
patronale</t>
  </si>
  <si>
    <t>Part
salariale</t>
  </si>
  <si>
    <t>Totalité</t>
  </si>
  <si>
    <t>Assiette</t>
  </si>
  <si>
    <t>GMP</t>
  </si>
  <si>
    <t>CET</t>
  </si>
  <si>
    <t>APEC</t>
  </si>
  <si>
    <t>Assurance décès cadre</t>
  </si>
  <si>
    <t>TT</t>
  </si>
  <si>
    <t>TA</t>
  </si>
  <si>
    <t>Forfait social (&gt;10 salariés)</t>
  </si>
  <si>
    <t>T1</t>
  </si>
  <si>
    <t>T2</t>
  </si>
  <si>
    <t>TB</t>
  </si>
  <si>
    <t>TC</t>
  </si>
  <si>
    <t xml:space="preserve">   Non cadres</t>
  </si>
  <si>
    <t xml:space="preserve">   Cadres</t>
  </si>
  <si>
    <t>TB + TC</t>
  </si>
  <si>
    <t>ARRCO tranche 1</t>
  </si>
  <si>
    <t>ARRCO tranche 2</t>
  </si>
  <si>
    <t>ARRCO TA</t>
  </si>
  <si>
    <t>AGIRC TB</t>
  </si>
  <si>
    <t>AGIRC TC</t>
  </si>
  <si>
    <t>AGFF TA</t>
  </si>
  <si>
    <t>AGFF TB + TC</t>
  </si>
  <si>
    <t>CHIFFRES UTILES</t>
  </si>
  <si>
    <t>TT x 98,25% + CPPrév</t>
  </si>
  <si>
    <t>CPPrév</t>
  </si>
  <si>
    <t>SMIC horaire</t>
  </si>
  <si>
    <t>SMIC mensuel</t>
  </si>
  <si>
    <t>PMSS</t>
  </si>
  <si>
    <t>PASS</t>
  </si>
  <si>
    <t>Minimum garanti</t>
  </si>
  <si>
    <t>Salaire charnière</t>
  </si>
  <si>
    <t>Frais professionnels</t>
  </si>
  <si>
    <t>Allocation forfaitaire de repas</t>
  </si>
  <si>
    <t>TA + TB + TC</t>
  </si>
  <si>
    <t>TA + TB</t>
  </si>
  <si>
    <t>Restaurant</t>
  </si>
  <si>
    <t>Hors locaux</t>
  </si>
  <si>
    <t>Sur lieu de travail</t>
  </si>
  <si>
    <t>Titre restaurants</t>
  </si>
  <si>
    <t>Maximum part patronale exonérée</t>
  </si>
  <si>
    <t>Prénom</t>
  </si>
  <si>
    <t>Nombre de personnes à charge</t>
  </si>
  <si>
    <t>Mois/Année de début de saisie</t>
  </si>
  <si>
    <t>Montants dûs</t>
  </si>
  <si>
    <t>Pension alimentaire</t>
  </si>
  <si>
    <t>Trésor public</t>
  </si>
  <si>
    <t>Divers</t>
  </si>
  <si>
    <t>Quotité Totalement Insaisissable (QTI)</t>
  </si>
  <si>
    <t>Quotité Saisissable (QS)</t>
  </si>
  <si>
    <t>Quotité Partiellement Saisissable (QPS)</t>
  </si>
  <si>
    <t xml:space="preserve"> </t>
  </si>
  <si>
    <t>Reste de mensualité(s)</t>
  </si>
  <si>
    <t>Date de fin de saisie</t>
  </si>
  <si>
    <t>Recouvrement par priorité</t>
  </si>
  <si>
    <t>Sur la QPS</t>
  </si>
  <si>
    <t>Sur la QS</t>
  </si>
  <si>
    <t>Recouvré</t>
  </si>
  <si>
    <t>Non recouvré</t>
  </si>
  <si>
    <t>1) Pension alimentaire</t>
  </si>
  <si>
    <t>2) Trésor public</t>
  </si>
  <si>
    <t>3) Divers</t>
  </si>
  <si>
    <t>Tranche</t>
  </si>
  <si>
    <t>Min tranche</t>
  </si>
  <si>
    <t>Max tranche</t>
  </si>
  <si>
    <t>Part saisissable</t>
  </si>
  <si>
    <t>Montant max saisissable</t>
  </si>
  <si>
    <t>Tranche 1</t>
  </si>
  <si>
    <t>Tranche 3</t>
  </si>
  <si>
    <t>Tranche 4</t>
  </si>
  <si>
    <t>Tranche 5</t>
  </si>
  <si>
    <t>Tranche 6</t>
  </si>
  <si>
    <t>Tranche 7</t>
  </si>
  <si>
    <t>TOTAL</t>
  </si>
  <si>
    <t>Montants inter-tranches</t>
  </si>
  <si>
    <t>Entre les tranches 1 et 2</t>
  </si>
  <si>
    <t>Entre les tranches 2 et 3</t>
  </si>
  <si>
    <t>Entre les tranches 3 et 4</t>
  </si>
  <si>
    <t>Entre les tranches 4 et 5</t>
  </si>
  <si>
    <t>Entre les tranches 5 et 6</t>
  </si>
  <si>
    <t>Entre les tranches 6 et 7</t>
  </si>
  <si>
    <t>Salaire Net après retenue</t>
  </si>
  <si>
    <t>SMIC Fillon</t>
  </si>
  <si>
    <t>Salaire</t>
  </si>
  <si>
    <t>Taux travail</t>
  </si>
  <si>
    <t>Taux présence</t>
  </si>
  <si>
    <t>HS/HC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</si>
  <si>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</si>
  <si>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</si>
  <si>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</si>
  <si>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</si>
  <si>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</si>
  <si>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</si>
  <si>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</si>
  <si>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</si>
  <si>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</si>
  <si>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</si>
  <si>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</si>
  <si>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</si>
  <si>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Taux Fillon</t>
  </si>
  <si>
    <t>Heures réelles du mois</t>
  </si>
  <si>
    <t>CSG non déductible d'impôt</t>
  </si>
  <si>
    <t>CRDS non déductible d'impôt</t>
  </si>
  <si>
    <t>en heures réelles</t>
  </si>
  <si>
    <t>Forfait social retraite sup' (&gt;10 salariés)</t>
  </si>
  <si>
    <t>Forfait social "retraite sup'"</t>
  </si>
  <si>
    <t>CPRetraite sup'</t>
  </si>
  <si>
    <t>Retraite supplémentaire tranche A</t>
  </si>
  <si>
    <t>Retraite supplémentaire tranche B</t>
  </si>
  <si>
    <t>Retraite complémentaire &amp; supplémentaire</t>
  </si>
  <si>
    <t>ARRCO tranche A</t>
  </si>
  <si>
    <t>AGFF tranche A</t>
  </si>
  <si>
    <t>Retraite supplémentaire tranche C</t>
  </si>
  <si>
    <t>Assurance décès</t>
  </si>
  <si>
    <t>Tranche C</t>
  </si>
  <si>
    <t>Plafond du bulletin :</t>
  </si>
  <si>
    <t>Tranche A</t>
  </si>
  <si>
    <t>Base GMP</t>
  </si>
  <si>
    <t>SMIC proratisé</t>
  </si>
  <si>
    <t>Prévoyance complémentaire tranche A</t>
  </si>
  <si>
    <t>Prévoyance complémentaire tranche B</t>
  </si>
  <si>
    <t>AGIRC tranche B</t>
  </si>
  <si>
    <t>AGIRC tranche C</t>
  </si>
  <si>
    <t>AGFF tranche B + C</t>
  </si>
  <si>
    <t>Congés payés</t>
  </si>
  <si>
    <t>Pris</t>
  </si>
  <si>
    <t>Base</t>
  </si>
  <si>
    <t>M-3</t>
  </si>
  <si>
    <t>M-2</t>
  </si>
  <si>
    <t>M-1</t>
  </si>
  <si>
    <t>Taux
Fillon
période</t>
  </si>
  <si>
    <t>Cadre</t>
  </si>
  <si>
    <t>Dirigeant</t>
  </si>
  <si>
    <t>Rémunération</t>
  </si>
  <si>
    <t>Minimum</t>
  </si>
  <si>
    <t>Maximum</t>
  </si>
  <si>
    <t>Pour une pièces principale</t>
  </si>
  <si>
    <t>Pour plusieurs pièces principales</t>
  </si>
  <si>
    <t>Inférieur à 0,5 PMSS</t>
  </si>
  <si>
    <t>Entre 0,5 et 0,6 PMSS</t>
  </si>
  <si>
    <t>Entre 0,6 et 0,7 PMSS</t>
  </si>
  <si>
    <t>Entre 0,7 et 0,9 PMSS</t>
  </si>
  <si>
    <t>Entre 0,9 et 1,1 PMSS</t>
  </si>
  <si>
    <t>Entre 1,1 et 1,3 PMSS</t>
  </si>
  <si>
    <t>Entre 1,3 et 1,5 PMSS</t>
  </si>
  <si>
    <t>Supérieur à 1,5 PMSS</t>
  </si>
  <si>
    <t>Réduction
Fillon</t>
  </si>
  <si>
    <t>Taux
Fillon
mois</t>
  </si>
  <si>
    <t>Réduc/
régul
Fillon</t>
  </si>
  <si>
    <t>Salaire
mensuel</t>
  </si>
  <si>
    <t>Cumul
salaire</t>
  </si>
  <si>
    <t>Cumul plafond</t>
  </si>
  <si>
    <t>Cumul Salaire
plafonné</t>
  </si>
  <si>
    <t>Cumul
Tranche B</t>
  </si>
  <si>
    <t>GMP
régulée</t>
  </si>
  <si>
    <t>Cumul
GMP 
max</t>
  </si>
  <si>
    <t>Régularisation de plafond</t>
  </si>
  <si>
    <t>Régularisation allocations familliales</t>
  </si>
  <si>
    <t>3,5 x SMIC</t>
  </si>
  <si>
    <t>Cumul 3,5xSMIC</t>
  </si>
  <si>
    <t>Régularisation Allocations Familliales</t>
  </si>
  <si>
    <t>AF sans régul</t>
  </si>
  <si>
    <t>NOM</t>
  </si>
  <si>
    <t>Montant RSA</t>
  </si>
  <si>
    <t>Valorisation personne à charge par tranche</t>
  </si>
  <si>
    <t>Régularisation Fillon</t>
  </si>
  <si>
    <t>Liste Fillon</t>
  </si>
  <si>
    <t>Liste Allocations Familliales</t>
  </si>
  <si>
    <t>Allocations familliales</t>
  </si>
  <si>
    <t>Conditions d'indemnisation</t>
  </si>
  <si>
    <t>Pour les 6 premiers mois d'arrêt :</t>
  </si>
  <si>
    <t>OU</t>
  </si>
  <si>
    <t>Il faut avoir cotisé à la CPAM au moins 150h au cours des 3 derniers mois.</t>
  </si>
  <si>
    <t>Après 6 mois d'arrêt :</t>
  </si>
  <si>
    <t>Il faut avoir cotisé à la CPAM au moins 600h au cours des 12 derniers mois.</t>
  </si>
  <si>
    <t>Avoir cotisé à la CPAM à hauteur de 2030 fois le SMIC horaire au cours des 12 derniers mois.</t>
  </si>
  <si>
    <t>Avoir cotisé à la CPAM à hauteur de 1015 fois le SMIC horaire au cours des 6 derniers mois.</t>
  </si>
  <si>
    <t>Type d'arrêt</t>
  </si>
  <si>
    <t>Prolongation</t>
  </si>
  <si>
    <t>Initial</t>
  </si>
  <si>
    <t>3 derniers salaires</t>
  </si>
  <si>
    <t>Retenus</t>
  </si>
  <si>
    <t>Plafonds</t>
  </si>
  <si>
    <t>Début</t>
  </si>
  <si>
    <t>Fin</t>
  </si>
  <si>
    <t>Salaire
plafonné</t>
  </si>
  <si>
    <t>Période 1</t>
  </si>
  <si>
    <t>Période 2</t>
  </si>
  <si>
    <t>Total</t>
  </si>
  <si>
    <t>Complément
employeur</t>
  </si>
  <si>
    <t>Jours indemnisés
employeur</t>
  </si>
  <si>
    <t>Montant complément
employeur</t>
  </si>
  <si>
    <t>Montant
IJSS brutes</t>
  </si>
  <si>
    <t>Jours de carence employeur</t>
  </si>
  <si>
    <t>Jours de carence SS</t>
  </si>
  <si>
    <t>Salaire Journalier de Référence</t>
  </si>
  <si>
    <t>IJSS Accident du travail</t>
  </si>
  <si>
    <t>IJSS Maladie</t>
  </si>
  <si>
    <t>Montant absence (au 30ème)</t>
  </si>
  <si>
    <t>Jours d'absence</t>
  </si>
  <si>
    <t>Jours indemnisés par
la sécurité sociale</t>
  </si>
  <si>
    <t>Taux IJSS</t>
  </si>
  <si>
    <t>Jours indemnisés par
l'employeur</t>
  </si>
  <si>
    <t>Montant du
complément employeur</t>
  </si>
  <si>
    <t>Taux des IJSS</t>
  </si>
  <si>
    <t>Montant des IJSS brutes</t>
  </si>
  <si>
    <t>Taux du complément employeur</t>
  </si>
  <si>
    <t>Montant des IJSS nettes</t>
  </si>
  <si>
    <t>Salaire M-1</t>
  </si>
  <si>
    <t>Salaire journalier</t>
  </si>
  <si>
    <t>Retenu</t>
  </si>
  <si>
    <t>Plafond (0,834% x PASS)</t>
  </si>
  <si>
    <t>La sécurité sociale indemnise à 60% du salaire journalier retenu les 28 premiers jours puis 80%.</t>
  </si>
  <si>
    <t>Pour le maintien de salaire par l'employeur, il faut avoir 1 an d'ancienneté.</t>
  </si>
  <si>
    <t>Subrogation</t>
  </si>
  <si>
    <t>Indemnisation</t>
  </si>
  <si>
    <t>puis 66,66% les 30 jours suivant avec une majoration de 10 jours tous les 5 ans d'ancienneté.</t>
  </si>
  <si>
    <t>Maintien de salaire légal</t>
  </si>
  <si>
    <t>Indemnités de licenciement</t>
  </si>
  <si>
    <t>Année</t>
  </si>
  <si>
    <t>Prime d'ancienneté</t>
  </si>
  <si>
    <t>Prime annuelle</t>
  </si>
  <si>
    <t>Date de notification</t>
  </si>
  <si>
    <t>Salaire de référence</t>
  </si>
  <si>
    <t>Calcul du salaire de référence par rapport aux 12 mois précédent la notification :</t>
  </si>
  <si>
    <t>Date du départ</t>
  </si>
  <si>
    <t>Salaire de référence le plus favorable</t>
  </si>
  <si>
    <t>Montant de l'indemnité par rapport à l'ancienneté :</t>
  </si>
  <si>
    <t>Jour</t>
  </si>
  <si>
    <t>x</t>
  </si>
  <si>
    <t>=</t>
  </si>
  <si>
    <t>Total de l'indemnité</t>
  </si>
  <si>
    <t>Primes à prendre en compte dans le calcul du 10ème :</t>
  </si>
  <si>
    <t xml:space="preserve">Règle générale : </t>
  </si>
  <si>
    <t>Primes versées en contrepartie de travail (ex : assiduité ponctuelle, rendement individuel)</t>
  </si>
  <si>
    <t>Primes considérées comme complément de salaire. (Exemple : Prime d'ancienneté)</t>
  </si>
  <si>
    <t>Primes à exclures dans le calcul du 10ème :</t>
  </si>
  <si>
    <t>Primes qui ne correspondent pas au travail réel du salarié (ex : rendement collectif)</t>
  </si>
  <si>
    <t>Ancienneté</t>
  </si>
  <si>
    <t>N-2</t>
  </si>
  <si>
    <t>Primes</t>
  </si>
  <si>
    <t>Jours acquis</t>
  </si>
  <si>
    <t>Salaire de référence au 10ème</t>
  </si>
  <si>
    <t>Mois de référence</t>
  </si>
  <si>
    <t>Nombre de jours de CP</t>
  </si>
  <si>
    <t>Montant CP</t>
  </si>
  <si>
    <t>Règle du maintien de salaire</t>
  </si>
  <si>
    <t>Totaux</t>
  </si>
  <si>
    <t>Niv / 
coef / 
échelon :</t>
  </si>
  <si>
    <t>Date entrée :</t>
  </si>
  <si>
    <t>Salaire base</t>
  </si>
  <si>
    <t>Prime 
Anc</t>
  </si>
  <si>
    <t>Prime Except</t>
  </si>
  <si>
    <t>Observations</t>
  </si>
  <si>
    <t>Si l'indemnité donnée est égale à l'indemnité minimum, elle est exonérée de cotisations et d'impôt.</t>
  </si>
  <si>
    <t>Si elle est supérieur à l'indemnité minimum:</t>
  </si>
  <si>
    <t>Indemnité légale</t>
  </si>
  <si>
    <t>Indemnité conventionnelle</t>
  </si>
  <si>
    <t>Indemnité minimum (plus favorable entre légale et conv)</t>
  </si>
  <si>
    <t>Indemnité versée</t>
  </si>
  <si>
    <t>Exonération de cotisations :</t>
  </si>
  <si>
    <t>50000 x 50% = 25000</t>
  </si>
  <si>
    <t>Salaire de base depuis janvier N-1</t>
  </si>
  <si>
    <r>
      <t xml:space="preserve">2 x 2000 x 12 = </t>
    </r>
    <r>
      <rPr>
        <b/>
        <sz val="11"/>
        <color theme="1"/>
        <rFont val="Calibri"/>
        <family val="2"/>
        <scheme val="minor"/>
      </rPr>
      <t xml:space="preserve">48000 </t>
    </r>
    <r>
      <rPr>
        <b/>
        <sz val="11"/>
        <color theme="1"/>
        <rFont val="Wingdings 3"/>
        <family val="1"/>
        <charset val="2"/>
      </rPr>
      <t>¦</t>
    </r>
    <r>
      <rPr>
        <b/>
        <sz val="11"/>
        <color theme="1"/>
        <rFont val="Calibri"/>
        <family val="2"/>
      </rPr>
      <t xml:space="preserve"> </t>
    </r>
    <r>
      <rPr>
        <sz val="11"/>
        <color theme="1"/>
        <rFont val="Calibri"/>
        <family val="2"/>
        <scheme val="minor"/>
      </rPr>
      <t>plus favorable</t>
    </r>
  </si>
  <si>
    <t>Indemnité de départ non éxonérée de cotisations :</t>
  </si>
  <si>
    <r>
      <t xml:space="preserve">50000 - 48000 = </t>
    </r>
    <r>
      <rPr>
        <b/>
        <u/>
        <sz val="11"/>
        <color theme="1"/>
        <rFont val="Calibri"/>
        <family val="2"/>
        <scheme val="minor"/>
      </rPr>
      <t>2000</t>
    </r>
  </si>
  <si>
    <t>Indemnité versée - indemnité minimum :</t>
  </si>
  <si>
    <r>
      <t xml:space="preserve">50000 - 20000 = </t>
    </r>
    <r>
      <rPr>
        <b/>
        <u/>
        <sz val="11"/>
        <color theme="1"/>
        <rFont val="Calibri"/>
        <family val="2"/>
        <scheme val="minor"/>
      </rPr>
      <t>30000</t>
    </r>
    <r>
      <rPr>
        <sz val="11"/>
        <color theme="1"/>
        <rFont val="Calibri"/>
        <family val="2"/>
        <scheme val="minor"/>
      </rPr>
      <t xml:space="preserve"> à 8 %</t>
    </r>
  </si>
  <si>
    <t>ICCP</t>
  </si>
  <si>
    <t>Indemnité de départ non exonérée de cotisations</t>
  </si>
  <si>
    <t>Cotisations autres</t>
  </si>
  <si>
    <t>(-)</t>
  </si>
  <si>
    <t>Salaire net imposable</t>
  </si>
  <si>
    <t>(xxxx)</t>
  </si>
  <si>
    <t>CSG/CRDS sur indemnité de départ</t>
  </si>
  <si>
    <t>30000 x 8%</t>
  </si>
  <si>
    <t>Salaire net à payer</t>
  </si>
  <si>
    <t>CSG déductible : (7000-2000)x0,9825 à 5,10%</t>
  </si>
  <si>
    <t>CSG non déductible : (7000-2000)x0,9825 à 2,40%</t>
  </si>
  <si>
    <t>CRDS non déductible : (7000-2000)x0,9825 à 0,50%</t>
  </si>
  <si>
    <t>Calcul du salaire de référence par rapport aux 3 mois précédents la fin du préavis :</t>
  </si>
  <si>
    <t>Primes versées également pendant les périodes de congé. (ex : 13ème mois, fin d'année)</t>
  </si>
  <si>
    <t>Taux de travail = 1 pour temps plein ; entre 0 et 1 pour temps partiel.</t>
  </si>
  <si>
    <t>Taux Fillon = 'Coef Fillon {0,2809 ou 0,2849}' / 0,6 x (1,6 x 'SMIC Fillon' / Brut - 1)</t>
  </si>
  <si>
    <t>Si taux Fillon du mois &gt; 0 : réduction simple, on multiplie le salaire par le taux</t>
  </si>
  <si>
    <t>Si taux Fillon du mois &lt; 0 : régularisation</t>
  </si>
  <si>
    <t>Pour régulariser les AF, il faut comparer celles de la période avec celles déjà versée.</t>
  </si>
  <si>
    <t>Si le salaire est inférieur, la cotisation est de 3,5%</t>
  </si>
  <si>
    <t>Si il est supérieur, la cotisation est de 5,25%</t>
  </si>
  <si>
    <r>
      <t xml:space="preserve">Comparer le salaire avec 3,5 x </t>
    </r>
    <r>
      <rPr>
        <b/>
        <sz val="11"/>
        <color rgb="FFFF0000"/>
        <rFont val="Calibri"/>
        <family val="2"/>
        <scheme val="minor"/>
      </rPr>
      <t>SMIC_Fillon/proratisé</t>
    </r>
    <r>
      <rPr>
        <sz val="11"/>
        <color rgb="FFFF0000"/>
        <rFont val="Calibri"/>
        <family val="2"/>
        <scheme val="minor"/>
      </rPr>
      <t xml:space="preserve"> </t>
    </r>
  </si>
  <si>
    <t>On compare la réduction autorisée sur la période et la réduction déjà effectuée</t>
  </si>
  <si>
    <t>pour régulariser si la réduction est trop élevée.</t>
  </si>
  <si>
    <t xml:space="preserve">Taux de présence sans absence = 1 ;  </t>
  </si>
  <si>
    <t>Taux de présence avec absence = 'brut sans HS.HC' / 'brut sans absence.HS.HC'</t>
  </si>
  <si>
    <t>La Garantie Minimale de Points permet à un cadre qui touche un salaire inférieur</t>
  </si>
  <si>
    <t>au salaire charnière de cotiser au moins sur la différence entre ce salaire charnière</t>
  </si>
  <si>
    <t>et le PMSS pour la retraite.</t>
  </si>
  <si>
    <t>Lorsque l'on reçoit une saisie pour un ou plusieurs impayé(s) d'un salarié, on doit</t>
  </si>
  <si>
    <t>calculer le montant que l'on est autorisé à prélever sur sa paye.</t>
  </si>
  <si>
    <t>Il y a une première quotité, dite totalement insaisissable, qui correspond au</t>
  </si>
  <si>
    <t>montant du RSA, à laquelle on ne peut pas toucher.</t>
  </si>
  <si>
    <t>La deuxième quotité, saisissable, doit être calculée par tranche et varie selon le</t>
  </si>
  <si>
    <t>salaire et le nombre de personnes dont le salarié a la charge.</t>
  </si>
  <si>
    <t>Une dernière quotité est dite partiellement saisissable, elle correspond au reste</t>
  </si>
  <si>
    <t>du salaire, contenu ni dans la quotité totalement insaisissable, ni dans celle</t>
  </si>
  <si>
    <t>saisissable.</t>
  </si>
  <si>
    <t>Le recouvrement est fait par priorité :</t>
  </si>
  <si>
    <t xml:space="preserve">    la quotité partiellement saisissable, puis sur la saisissable s'il en reste</t>
  </si>
  <si>
    <t>* On se charge ensuite des avis à tiers détenteur, pour le trésor public, qui ne peut</t>
  </si>
  <si>
    <t xml:space="preserve">    se saisir que sur la part saisissable</t>
  </si>
  <si>
    <t>* C'est la pension alimentaire qui se saisie en première et qui se prend d'abord sur</t>
  </si>
  <si>
    <t>* Vient en dernier les autres saisies, qui se prennent uniquement s'il reste des</t>
  </si>
  <si>
    <t xml:space="preserve">    fonds dur la quotité saisissable.</t>
  </si>
  <si>
    <t>Le maintien de salaire par l'employeur est de 90% du montant journalier de l'absence pendant 30 jours</t>
  </si>
  <si>
    <t>N-2 / N-1</t>
  </si>
  <si>
    <t>N-1 / N</t>
  </si>
  <si>
    <t>Forfait social 20% : 50000 x 20%</t>
  </si>
  <si>
    <t>part pat.</t>
  </si>
  <si>
    <t>Régularisation de plafonds, GMP, Fillon &amp; Allocations Familiales</t>
  </si>
  <si>
    <t>Cumul PMSS</t>
  </si>
  <si>
    <t>Cumul tranche A</t>
  </si>
  <si>
    <t>4 x PMSS</t>
  </si>
  <si>
    <t>Cumul 4 x PMSS</t>
  </si>
  <si>
    <t>Cumul tranche B</t>
  </si>
  <si>
    <t>Cumul GMP max</t>
  </si>
  <si>
    <t>Cumul GMP</t>
  </si>
  <si>
    <t>GMP Régulée</t>
  </si>
  <si>
    <t>8 x PMSS</t>
  </si>
  <si>
    <t>Cumul 8 x PMSS</t>
  </si>
  <si>
    <t>Cumul tranche C</t>
  </si>
  <si>
    <t>Taux
travail</t>
  </si>
  <si>
    <t>Taux
présence</t>
  </si>
  <si>
    <t>Taux Fillon
mois</t>
  </si>
  <si>
    <t>Cumul
SMIC Fillon</t>
  </si>
  <si>
    <t>Taux Fillon
période</t>
  </si>
  <si>
    <t>Réduc/
Régul Fillon</t>
  </si>
  <si>
    <t>3,5 x SMIC
proratisé</t>
  </si>
  <si>
    <t>Cumul
3,5 x SMIC</t>
  </si>
  <si>
    <t>Allocations
Familiales</t>
  </si>
  <si>
    <t>Cumul
Salaires</t>
  </si>
  <si>
    <t>Cumul 
SMIC Fillon</t>
  </si>
  <si>
    <t>Maladie part patronale</t>
  </si>
  <si>
    <t>Vieillesse T part patronale</t>
  </si>
  <si>
    <t>Vieillesse P part patronale</t>
  </si>
  <si>
    <t>Tranche exo</t>
  </si>
  <si>
    <t>Contrat de professionnalisation</t>
  </si>
  <si>
    <t>Contrat d'apprentissage</t>
  </si>
  <si>
    <t>Salaire de base - % du SMIC</t>
  </si>
  <si>
    <t>Tranche abattue</t>
  </si>
  <si>
    <t>Salaire fixe</t>
  </si>
  <si>
    <t>Commissions sur CA</t>
  </si>
  <si>
    <t>Frais de gestion CCVRP</t>
  </si>
  <si>
    <t>VRP exclusif non cadre</t>
  </si>
  <si>
    <t>VRP exclusif cadre</t>
  </si>
  <si>
    <t>VRP multicarte cadre</t>
  </si>
  <si>
    <t>Salaire brut abattu</t>
  </si>
  <si>
    <t>Indemnités de repas</t>
  </si>
  <si>
    <t>Indemnités de trajet</t>
  </si>
  <si>
    <t>Cotisations spéciales BTP</t>
  </si>
  <si>
    <t>Caisse des congés payés</t>
  </si>
  <si>
    <t>Chômage intempéries</t>
  </si>
  <si>
    <t>OPPBTP</t>
  </si>
  <si>
    <t>Cotisation professionnelle</t>
  </si>
  <si>
    <t>Indemnité de trajet</t>
  </si>
  <si>
    <t>Indemnités de repas non exo</t>
  </si>
  <si>
    <t>Indemnité de repas exo</t>
  </si>
  <si>
    <t>Indemnité de transport</t>
  </si>
  <si>
    <t>Le VRP exclusif touche une</t>
  </si>
  <si>
    <t>rémunération minimale de :</t>
  </si>
  <si>
    <t>520 x {SMIC horaire} / trimestre</t>
  </si>
  <si>
    <t>Base forfait social</t>
  </si>
  <si>
    <t>Base CSGRDS</t>
  </si>
  <si>
    <t>Réduc TEPA</t>
  </si>
  <si>
    <t>Réduc Fillon</t>
  </si>
  <si>
    <t>Régul Fillon</t>
  </si>
  <si>
    <t>Cadres</t>
  </si>
  <si>
    <t>Non cadres</t>
  </si>
  <si>
    <t>Complément AF</t>
  </si>
  <si>
    <t>Totaux C</t>
  </si>
  <si>
    <t>Totaux NC</t>
  </si>
  <si>
    <t>Totaux généraux</t>
  </si>
  <si>
    <t>Nombre de mois</t>
  </si>
  <si>
    <t>CICE</t>
  </si>
  <si>
    <t>Références du compte</t>
  </si>
  <si>
    <t xml:space="preserve">URSSAF de </t>
  </si>
  <si>
    <t xml:space="preserve">N° de Siret : </t>
  </si>
  <si>
    <t>CODES ET CATEGORIES DE SALARIES</t>
  </si>
  <si>
    <t>TAUX %</t>
  </si>
  <si>
    <t>COTISATIONS
ARRONDIES</t>
  </si>
  <si>
    <t>004P</t>
  </si>
  <si>
    <t>027D</t>
  </si>
  <si>
    <t>100A</t>
  </si>
  <si>
    <t>RG CAS GENERAL - ACCIDENT DU TRAVAIL</t>
  </si>
  <si>
    <t>100D</t>
  </si>
  <si>
    <t>100P</t>
  </si>
  <si>
    <t>236D</t>
  </si>
  <si>
    <t>FNAL  - BASE DEPLAFONNEE</t>
  </si>
  <si>
    <t>236P</t>
  </si>
  <si>
    <t>FNAL  - BASE PLAFONNEE</t>
  </si>
  <si>
    <t>260D</t>
  </si>
  <si>
    <t xml:space="preserve">CSG CRDS REGIME GENERAL </t>
  </si>
  <si>
    <t>400D</t>
  </si>
  <si>
    <t>CREDIT D'IMPOT COMPETITIVITE EMPLOI</t>
  </si>
  <si>
    <t>430D</t>
  </si>
  <si>
    <t>COMPLEMENT ALLOCATION FAMILIALES</t>
  </si>
  <si>
    <t>REGULARISATION ALLOCATION FAMILIALES</t>
  </si>
  <si>
    <t>COMPTE PENIBILITE</t>
  </si>
  <si>
    <t>479D</t>
  </si>
  <si>
    <t>FORFAIT SOCIAL</t>
  </si>
  <si>
    <t>012D</t>
  </si>
  <si>
    <t>671P</t>
  </si>
  <si>
    <t>REDUCTION FILLON</t>
  </si>
  <si>
    <t>900T</t>
  </si>
  <si>
    <t>TRANSPORT</t>
  </si>
  <si>
    <t>772D</t>
  </si>
  <si>
    <t>937D</t>
  </si>
  <si>
    <t>COTISATIONS AGS CAS GENERAL - BASE DEPLAFONNEE</t>
  </si>
  <si>
    <t xml:space="preserve">Effectif au dernier jour de la période : </t>
  </si>
  <si>
    <t>Déduction</t>
  </si>
  <si>
    <t xml:space="preserve">Effectif rémunéré pour la période : </t>
  </si>
  <si>
    <t>Montant à payer</t>
  </si>
  <si>
    <t xml:space="preserve">Salaires versés le :         /        /   </t>
  </si>
  <si>
    <t>REGULARISATION FILLON</t>
  </si>
  <si>
    <t>CONTRIBUTION AU DIALOGUE SOCIAL</t>
  </si>
  <si>
    <t>BASES
ARRONDIES</t>
  </si>
  <si>
    <t>ASSURANCE CHOMAGE - BASE DEPLAFONNEE</t>
  </si>
  <si>
    <t>UIRIC</t>
  </si>
  <si>
    <t xml:space="preserve">UNION INTERPROFESSIONNELLE DE </t>
  </si>
  <si>
    <t>94125 FONTENAY LES ROSES</t>
  </si>
  <si>
    <t>RETRAITES DE L'INDUSTRIE ET DU</t>
  </si>
  <si>
    <t>Tél : 49-74-86-86</t>
  </si>
  <si>
    <t>COMMERCE</t>
  </si>
  <si>
    <t>N° Adhérent</t>
  </si>
  <si>
    <t>Destinataire</t>
  </si>
  <si>
    <t>SOCIETE RIGODON</t>
  </si>
  <si>
    <t>75015 PARIS</t>
  </si>
  <si>
    <t xml:space="preserve">NOMS et PRENOMS </t>
  </si>
  <si>
    <t>N° adhérent</t>
  </si>
  <si>
    <t>brut</t>
  </si>
  <si>
    <t>1 ou A</t>
  </si>
  <si>
    <t>Retraite Employé tranche 1</t>
  </si>
  <si>
    <t>Retraite Employé tranche 2</t>
  </si>
  <si>
    <t>AGFF Employé tranche 1</t>
  </si>
  <si>
    <t>AGFF Employé tranche 2</t>
  </si>
  <si>
    <t xml:space="preserve">Retraite Cadre tranche A </t>
  </si>
  <si>
    <t>AGFF Cadre tranche A</t>
  </si>
  <si>
    <t>I. R. C. P. M. E.</t>
  </si>
  <si>
    <t>BORDEREAU CAISSE DES CADRES  -  REGIME AGIRC</t>
  </si>
  <si>
    <t>N° URSSAF</t>
  </si>
  <si>
    <t>N° SIRET</t>
  </si>
  <si>
    <t>Entreprise CABOURG</t>
  </si>
  <si>
    <t>N° APE</t>
  </si>
  <si>
    <t>38 RUE Notre Dame</t>
  </si>
  <si>
    <t>Date limite de paiement :</t>
  </si>
  <si>
    <t>DECLARATION ANNUELLE DES SALAIRES</t>
  </si>
  <si>
    <t>Plafond S.S</t>
  </si>
  <si>
    <t>N°</t>
  </si>
  <si>
    <t>Salaires arrondis aux euros</t>
  </si>
  <si>
    <t>du cadre</t>
  </si>
  <si>
    <t>BRUT</t>
  </si>
  <si>
    <t>TRANCHE A</t>
  </si>
  <si>
    <t>TRANCHE B</t>
  </si>
  <si>
    <t>TOTAUX</t>
  </si>
  <si>
    <t>Prévoyance sur tranche A</t>
  </si>
  <si>
    <t>Retraite -TB</t>
  </si>
  <si>
    <t>AGFF Cadres tranche B</t>
  </si>
  <si>
    <t>Apec</t>
  </si>
  <si>
    <t>Contribution temporaire exceptionnelle</t>
  </si>
  <si>
    <t>TOTAL DES COTISATIONS</t>
  </si>
  <si>
    <t>A DEDUIRE ACOMPTES DEJA COMPTABILISES</t>
  </si>
  <si>
    <t>SOLDE DES COTISATIONS DUES AU TITRE DU 4e TRI.</t>
  </si>
  <si>
    <t>CACHET DE L'ENTREPRISE</t>
  </si>
  <si>
    <t>Prénoms et NOMS</t>
  </si>
  <si>
    <t>Versements effectués</t>
  </si>
  <si>
    <t>Montant à verser</t>
  </si>
  <si>
    <t>BORDEREAU RECAPITULATIF ARRCO</t>
  </si>
  <si>
    <t>RG CAS GENERAL - BASE DEPLAFONNEE</t>
  </si>
  <si>
    <t>RG CAS GENERAL - BASE PLAFONNEE</t>
  </si>
  <si>
    <t>DEDUCTION TEPA</t>
  </si>
  <si>
    <t>TOTAL NON CADRES</t>
  </si>
  <si>
    <t>TOTAL CADRES</t>
  </si>
  <si>
    <t>TOTAL SALARIES</t>
  </si>
  <si>
    <t>TA/T1</t>
  </si>
  <si>
    <t>Versement transport si effectif&gt;10 salariés</t>
  </si>
  <si>
    <t>Haut de bulletin</t>
  </si>
  <si>
    <t>Bas de bulletin</t>
  </si>
  <si>
    <t>xxx</t>
  </si>
  <si>
    <t>+</t>
  </si>
  <si>
    <t>Absence</t>
  </si>
  <si>
    <t>xxxx</t>
  </si>
  <si>
    <t>-</t>
  </si>
  <si>
    <t>Complément employeur</t>
  </si>
  <si>
    <t>xx</t>
  </si>
  <si>
    <t>Salaire net après retenues</t>
  </si>
  <si>
    <t>Le salaire de base et l'absence n'influent pas le calcul.</t>
  </si>
  <si>
    <t>Le complément employeur doit compléter en totalité ou en partie l'absence, donc pas d'influence sur l'AMN.</t>
  </si>
  <si>
    <t>IJSS Brutes (IB)</t>
  </si>
  <si>
    <t>IJSS nettes (IN)</t>
  </si>
  <si>
    <t>Ajustement Maintien du Net (AMN)</t>
  </si>
  <si>
    <t>Les IJSS Brutes sont la base du calcul.</t>
  </si>
  <si>
    <t>CALCUL AJUSTEMENT MAINTIEN DU NET</t>
  </si>
  <si>
    <t>Les seules cotisations des IJSS sont 6,7% de CSG donc IN = IB x 93,3%.</t>
  </si>
  <si>
    <t>C'est l'Ajustement au Maintien du Net que l'on doit retrouver.</t>
  </si>
  <si>
    <t>Pas pour un PDG sans contrat de travail</t>
  </si>
  <si>
    <t>Prévoyance garantie maintien salaire :</t>
  </si>
  <si>
    <t>Ne pas intégrer part patronale dans forfait social &amp; CSGRDS</t>
  </si>
  <si>
    <t>Cotisations (C)</t>
  </si>
  <si>
    <t>©</t>
  </si>
  <si>
    <t>Les cotisations laissent (100-C)% de ce qui se trouve dans le brut.</t>
  </si>
  <si>
    <t>Les charges des IJSS {IB x 6,7%} sont à la charge du salarié</t>
  </si>
  <si>
    <t>(IB + AMN) x (100-C)% = IN + IB x 6,7%</t>
  </si>
  <si>
    <t>(IB + AMN) x (100-C)% = IB x (93,3+6,7)%</t>
  </si>
  <si>
    <t>IB + AMN = IB / (100-C)%</t>
  </si>
  <si>
    <t>AMN = IB / (100-C)% - IB</t>
  </si>
  <si>
    <r>
      <t xml:space="preserve">Haut de bulletin </t>
    </r>
    <r>
      <rPr>
        <sz val="11"/>
        <color theme="1"/>
        <rFont val="Wingdings 3"/>
        <family val="1"/>
        <charset val="2"/>
      </rPr>
      <t>¦</t>
    </r>
    <r>
      <rPr>
        <sz val="11"/>
        <color theme="1"/>
        <rFont val="Calibri"/>
        <family val="2"/>
      </rPr>
      <t xml:space="preserve"> IB / (100 - C)% - IB</t>
    </r>
  </si>
  <si>
    <t>Pôle Emploi</t>
  </si>
  <si>
    <t>AGIRC</t>
  </si>
  <si>
    <t>ARRCO</t>
  </si>
  <si>
    <t>Prénom NOM</t>
  </si>
  <si>
    <t>Dirigeants</t>
  </si>
  <si>
    <t>Masse salariale</t>
  </si>
  <si>
    <t>Totaux D</t>
  </si>
  <si>
    <t>Totaux sans gérants</t>
  </si>
  <si>
    <t>Brut total</t>
  </si>
  <si>
    <t>Brut sans gérants</t>
  </si>
  <si>
    <t>Base CRG/CRDS</t>
  </si>
  <si>
    <t>TA totale</t>
  </si>
  <si>
    <t>T2 totale</t>
  </si>
  <si>
    <t>Totale TB C</t>
  </si>
  <si>
    <t>Totale GMP</t>
  </si>
  <si>
    <t>T1 totale</t>
  </si>
  <si>
    <t>TA cadre</t>
  </si>
  <si>
    <t>Réduction TEPA</t>
  </si>
  <si>
    <r>
      <rPr>
        <b/>
        <sz val="10"/>
        <color theme="1"/>
        <rFont val="Calibri"/>
        <family val="2"/>
        <scheme val="minor"/>
      </rPr>
      <t>HS</t>
    </r>
    <r>
      <rPr>
        <sz val="10"/>
        <color theme="1"/>
        <rFont val="Calibri"/>
        <family val="2"/>
        <scheme val="minor"/>
      </rPr>
      <t xml:space="preserve"> à intégrer dans ABS </t>
    </r>
    <r>
      <rPr>
        <u/>
        <sz val="10"/>
        <color theme="1"/>
        <rFont val="Calibri"/>
        <family val="2"/>
        <scheme val="minor"/>
      </rPr>
      <t>sauf</t>
    </r>
    <r>
      <rPr>
        <sz val="10"/>
        <color theme="1"/>
        <rFont val="Calibri"/>
        <family val="2"/>
        <scheme val="minor"/>
      </rPr>
      <t xml:space="preserve"> structurelles</t>
    </r>
  </si>
  <si>
    <r>
      <rPr>
        <b/>
        <sz val="10"/>
        <color theme="1"/>
        <rFont val="Calibri"/>
        <family val="2"/>
        <scheme val="minor"/>
      </rPr>
      <t>HS structurelles</t>
    </r>
    <r>
      <rPr>
        <sz val="10"/>
        <color theme="1"/>
        <rFont val="Calibri"/>
        <family val="2"/>
        <scheme val="minor"/>
      </rPr>
      <t xml:space="preserve"> en moyenne</t>
    </r>
  </si>
  <si>
    <r>
      <rPr>
        <b/>
        <sz val="10"/>
        <color theme="1"/>
        <rFont val="Calibri"/>
        <family val="2"/>
        <scheme val="minor"/>
      </rPr>
      <t>AN&amp;primes</t>
    </r>
    <r>
      <rPr>
        <sz val="10"/>
        <color theme="1"/>
        <rFont val="Calibri"/>
        <family val="2"/>
        <scheme val="minor"/>
      </rPr>
      <t xml:space="preserve"> à intégrer aux HS </t>
    </r>
    <r>
      <rPr>
        <u/>
        <sz val="10"/>
        <color theme="1"/>
        <rFont val="Calibri"/>
        <family val="2"/>
        <scheme val="minor"/>
      </rPr>
      <t>sauf</t>
    </r>
    <r>
      <rPr>
        <sz val="10"/>
        <color theme="1"/>
        <rFont val="Calibri"/>
        <family val="2"/>
        <scheme val="minor"/>
      </rPr>
      <t xml:space="preserve"> structurelles</t>
    </r>
  </si>
  <si>
    <t>Montant CP avec la règle du dixième</t>
  </si>
  <si>
    <t>Montant CP le plus avantageux</t>
  </si>
  <si>
    <t>Date d'entrée</t>
  </si>
  <si>
    <t>La GMP se calculant annuellement, il faut la régulariser par période.</t>
  </si>
  <si>
    <t>Avantage en Nature Logement</t>
  </si>
  <si>
    <t>Saisie sur Salaire</t>
  </si>
  <si>
    <t>Taux de cotisations par rapport au salaire brut</t>
  </si>
  <si>
    <t>CSG-CRDS</t>
  </si>
  <si>
    <t>AGFF</t>
  </si>
  <si>
    <t>Part patronale prévoyance</t>
  </si>
  <si>
    <t>Part salariale prévoyance</t>
  </si>
  <si>
    <t>Ajustement maintien du net</t>
  </si>
  <si>
    <t>Indemnité de Congés Payés</t>
  </si>
  <si>
    <t>Indemnité Compensatrice de Congés Payés</t>
  </si>
  <si>
    <t>Date :</t>
  </si>
  <si>
    <t>Qui suis-je :</t>
  </si>
  <si>
    <t>Montant des congés payés au 10ème</t>
  </si>
  <si>
    <t>Montant déjà touché</t>
  </si>
  <si>
    <t>Montant restant</t>
  </si>
  <si>
    <t>Jours de CP</t>
  </si>
  <si>
    <t>Première période :</t>
  </si>
  <si>
    <t>Jours</t>
  </si>
  <si>
    <t>Règle du 10ème</t>
  </si>
  <si>
    <t>Deuxième période :</t>
  </si>
  <si>
    <t>SALAIRE DE REFERENCE DE L'ICP</t>
  </si>
  <si>
    <t>- Salaire brut, commissions, pourboires</t>
  </si>
  <si>
    <t>ELEMENTS A EXCLURE</t>
  </si>
  <si>
    <t>ELEMENTS A INCLURE</t>
  </si>
  <si>
    <t>- Majorations HS, travail de nuit ou le dimanche</t>
  </si>
  <si>
    <t>- ICP année précédente</t>
  </si>
  <si>
    <t>- Avantage en nature non gardé pendant les congés</t>
  </si>
  <si>
    <t>- Primes de sujétion ou de serviture</t>
  </si>
  <si>
    <t>- prime de salissure</t>
  </si>
  <si>
    <t>- prime de soirée</t>
  </si>
  <si>
    <t>- prime de nuit</t>
  </si>
  <si>
    <t>- Autres primes de nature de complément de salaire</t>
  </si>
  <si>
    <t>- prime de rendement</t>
  </si>
  <si>
    <t>- prime de production</t>
  </si>
  <si>
    <t>- prime d'ancienneté</t>
  </si>
  <si>
    <t>- prime d'assiduité mensuelle</t>
  </si>
  <si>
    <t>- prime d'objectif personnel, etc…</t>
  </si>
  <si>
    <t>- prime de froid, etc…</t>
  </si>
  <si>
    <t>- Rembrousement de frais professionnels</t>
  </si>
  <si>
    <t>- Remboursement de transport</t>
  </si>
  <si>
    <t>- ICCP</t>
  </si>
  <si>
    <t>- Avantage en nature conservé pendant les congés</t>
  </si>
  <si>
    <t>- Prime de participation ou d'intéressement</t>
  </si>
  <si>
    <t>- Primes allouées globalement sur l'année</t>
  </si>
  <si>
    <t>- 13ème mois</t>
  </si>
  <si>
    <t>- prime de vacances</t>
  </si>
  <si>
    <t>- assiduité ponctuelle</t>
  </si>
  <si>
    <t>- primes exceptionnelles</t>
  </si>
  <si>
    <t>- Gratifications facultatives ou bénévoles</t>
  </si>
  <si>
    <t>- Indemnité d'activité partielle</t>
  </si>
  <si>
    <t>- Indemnité de chômage intempéries</t>
  </si>
  <si>
    <t>- Primes de risque ou sujétion exceptionnels</t>
  </si>
  <si>
    <t>- Revenus de substitution d'absence non</t>
  </si>
  <si>
    <t>assimilées à du travail effectif (ex : IJSS, etc…)</t>
  </si>
  <si>
    <t>- Primes d'intéressement ou de résultat globales</t>
  </si>
  <si>
    <t>Jours déjà pris</t>
  </si>
  <si>
    <t>Ne pas utiliser dans la formation</t>
  </si>
  <si>
    <t>Période précédente :</t>
  </si>
  <si>
    <t>Période en cours :</t>
  </si>
  <si>
    <t>Montant le plus favorable</t>
  </si>
  <si>
    <t>Régul
AF</t>
  </si>
  <si>
    <t>AF 
période</t>
  </si>
  <si>
    <t>Taux
Travail</t>
  </si>
  <si>
    <t>Taux
Présence</t>
  </si>
  <si>
    <t>HS
HC</t>
  </si>
  <si>
    <t>/ 4</t>
  </si>
  <si>
    <t>FNAL - Aide au logement (&lt;20 salariés)</t>
  </si>
  <si>
    <t>FNAL - Aide au logement (&gt;19 salariés)</t>
  </si>
  <si>
    <t>FNAL - Aide au logement</t>
  </si>
  <si>
    <t>/ 3</t>
  </si>
  <si>
    <r>
      <t xml:space="preserve">Ancienneté mini : </t>
    </r>
    <r>
      <rPr>
        <b/>
        <u/>
        <sz val="11"/>
        <color theme="1"/>
        <rFont val="Calibri"/>
        <family val="2"/>
        <scheme val="minor"/>
      </rPr>
      <t>8 mois</t>
    </r>
  </si>
  <si>
    <t>Forfait social "retraite supplémentaire"</t>
  </si>
  <si>
    <t>PENSER A MASQUER GMP POUR UN NON CADRE !!!</t>
  </si>
  <si>
    <t>Exonération de CSG/CRDS déductible d'impôt :</t>
  </si>
  <si>
    <t>1) Indemnité minimum :</t>
  </si>
  <si>
    <t xml:space="preserve">2) 50% de l'indemnité versée : </t>
  </si>
  <si>
    <t xml:space="preserve">3) 2 x Brut N-1 : </t>
  </si>
  <si>
    <r>
      <rPr>
        <b/>
        <sz val="9"/>
        <color theme="1"/>
        <rFont val="Calibri"/>
        <family val="2"/>
        <scheme val="minor"/>
      </rPr>
      <t xml:space="preserve">Temps partiel </t>
    </r>
    <r>
      <rPr>
        <sz val="9"/>
        <color theme="1"/>
        <rFont val="Wingdings 3"/>
        <family val="1"/>
        <charset val="2"/>
      </rPr>
      <t></t>
    </r>
    <r>
      <rPr>
        <sz val="9"/>
        <color theme="1"/>
        <rFont val="Calibri"/>
        <family val="2"/>
      </rPr>
      <t xml:space="preserve"> // horaire</t>
    </r>
  </si>
  <si>
    <r>
      <rPr>
        <b/>
        <sz val="9"/>
        <color theme="1"/>
        <rFont val="Calibri"/>
        <family val="2"/>
        <scheme val="minor"/>
      </rPr>
      <t>Entrée/sortie cours de mois</t>
    </r>
    <r>
      <rPr>
        <sz val="9"/>
        <color theme="1"/>
        <rFont val="Calibri"/>
        <family val="2"/>
        <scheme val="minor"/>
      </rPr>
      <t xml:space="preserve"> </t>
    </r>
    <r>
      <rPr>
        <sz val="9"/>
        <color theme="1"/>
        <rFont val="Wingdings 3"/>
        <family val="1"/>
        <charset val="2"/>
      </rPr>
      <t></t>
    </r>
    <r>
      <rPr>
        <sz val="9"/>
        <color theme="1"/>
        <rFont val="Calibri"/>
        <family val="2"/>
      </rPr>
      <t xml:space="preserve"> jours calendaires</t>
    </r>
  </si>
  <si>
    <r>
      <rPr>
        <b/>
        <sz val="9"/>
        <rFont val="Calibri"/>
        <family val="2"/>
        <scheme val="minor"/>
      </rPr>
      <t>Entrée/sortie en cours de mois</t>
    </r>
    <r>
      <rPr>
        <b/>
        <sz val="9"/>
        <color theme="1"/>
        <rFont val="Calibri"/>
        <family val="2"/>
        <scheme val="minor"/>
      </rPr>
      <t xml:space="preserve"> </t>
    </r>
    <r>
      <rPr>
        <b/>
        <sz val="9"/>
        <color theme="1"/>
        <rFont val="Wingdings 3"/>
        <family val="1"/>
        <charset val="2"/>
      </rPr>
      <t></t>
    </r>
    <r>
      <rPr>
        <b/>
        <sz val="9"/>
        <color theme="1"/>
        <rFont val="Calibri"/>
        <family val="2"/>
      </rPr>
      <t xml:space="preserve"> </t>
    </r>
    <r>
      <rPr>
        <b/>
        <sz val="9"/>
        <color theme="1"/>
        <rFont val="Calibri"/>
        <family val="2"/>
        <scheme val="minor"/>
      </rPr>
      <t></t>
    </r>
    <r>
      <rPr>
        <sz val="9"/>
        <color theme="1"/>
        <rFont val="Calibri"/>
        <family val="2"/>
        <scheme val="minor"/>
      </rPr>
      <t>valoriser abs en hrs réelles</t>
    </r>
  </si>
  <si>
    <r>
      <t>Forfait social</t>
    </r>
    <r>
      <rPr>
        <sz val="9"/>
        <color theme="1"/>
        <rFont val="Calibri"/>
        <family val="2"/>
        <scheme val="minor"/>
      </rPr>
      <t xml:space="preserve"> si effectif&gt;10</t>
    </r>
  </si>
  <si>
    <r>
      <rPr>
        <b/>
        <sz val="10"/>
        <color theme="1"/>
        <rFont val="Calibri"/>
        <family val="2"/>
        <scheme val="minor"/>
      </rPr>
      <t>Versement transport</t>
    </r>
    <r>
      <rPr>
        <sz val="10"/>
        <color theme="1"/>
        <rFont val="Calibri"/>
        <family val="2"/>
        <scheme val="minor"/>
      </rPr>
      <t xml:space="preserve"> si effectif&gt;10 </t>
    </r>
  </si>
  <si>
    <t>Le plus avantageux (dans la limite de 2xPASS) entre 50% de l'indemnité versée et 2 x Brut annuel N-1 est exonéré de cotisations.</t>
  </si>
  <si>
    <t>Base = diff entre indemnité versé et indemnité mini</t>
  </si>
  <si>
    <t>Taux = 8%</t>
  </si>
  <si>
    <t>"</t>
  </si>
  <si>
    <t>Ajouter une ligne entre net après cotisation &amp; net après retenues :</t>
  </si>
  <si>
    <t>EXEMPLE (grosse indemnité):</t>
  </si>
  <si>
    <t>Le plus avantageux (dans la limite de 6xPASS) entre 50% de l'indemnité versée et 2 x Brut annuel N-1 est exonéré de cotisations.</t>
  </si>
  <si>
    <r>
      <t xml:space="preserve">Neutraliser </t>
    </r>
    <r>
      <rPr>
        <sz val="9"/>
        <color theme="1"/>
        <rFont val="Calibri"/>
        <family val="2"/>
        <scheme val="minor"/>
      </rPr>
      <t>pour agent de maîtrise assimilé cadre</t>
    </r>
  </si>
  <si>
    <r>
      <rPr>
        <b/>
        <sz val="9"/>
        <color theme="1"/>
        <rFont val="Calibri"/>
        <family val="2"/>
        <scheme val="minor"/>
      </rPr>
      <t>Prévoyance garantie maintien salaire</t>
    </r>
    <r>
      <rPr>
        <sz val="9"/>
        <color theme="1"/>
        <rFont val="Calibri"/>
        <family val="2"/>
        <scheme val="minor"/>
      </rPr>
      <t xml:space="preserve"> :</t>
    </r>
  </si>
  <si>
    <t>INDEMNITE DE LICENCIEMENT :</t>
  </si>
  <si>
    <t>INDEMNITE DE RUPTURE CONVENTIONNELLE :</t>
  </si>
  <si>
    <t>Sauf un forfait social à 20% à la charge de l'employeur.</t>
  </si>
  <si>
    <t>DANS LES DEUX CAS :</t>
  </si>
  <si>
    <t>CHANGER TITRE EN CAS DE RUPTURE CONVENTIONNELLE</t>
  </si>
  <si>
    <t>La différence entre l'indemnité versée et l'indemnité minimum est soumise à CSG/CRDS non déductible d'impôts à hauteur de 8%.</t>
  </si>
  <si>
    <t>Proratisation plafond :</t>
  </si>
  <si>
    <t>Enfants à charge</t>
  </si>
  <si>
    <r>
      <rPr>
        <sz val="11"/>
        <color theme="9" tint="-0.249977111117893"/>
        <rFont val="Wingdings 3"/>
        <family val="1"/>
        <charset val="2"/>
      </rPr>
      <t>`</t>
    </r>
    <r>
      <rPr>
        <i/>
        <sz val="11"/>
        <color theme="9" tint="-0.249977111117893"/>
        <rFont val="Calibri"/>
        <family val="2"/>
        <scheme val="minor"/>
      </rPr>
      <t xml:space="preserve">[A partir de </t>
    </r>
    <r>
      <rPr>
        <b/>
        <i/>
        <u/>
        <sz val="11"/>
        <color theme="9" tint="-0.249977111117893"/>
        <rFont val="Calibri"/>
        <family val="2"/>
        <scheme val="minor"/>
      </rPr>
      <t>3 enfants</t>
    </r>
    <r>
      <rPr>
        <i/>
        <sz val="11"/>
        <color theme="9" tint="-0.249977111117893"/>
        <rFont val="Calibri"/>
        <family val="2"/>
        <scheme val="minor"/>
      </rPr>
      <t xml:space="preserve"> à charge, les IJSS passent à </t>
    </r>
    <r>
      <rPr>
        <b/>
        <i/>
        <u/>
        <sz val="11"/>
        <color theme="9" tint="-0.249977111117893"/>
        <rFont val="Calibri"/>
        <family val="2"/>
        <scheme val="minor"/>
      </rPr>
      <t>2/3</t>
    </r>
    <r>
      <rPr>
        <i/>
        <sz val="11"/>
        <color theme="9" tint="-0.249977111117893"/>
        <rFont val="Calibri"/>
        <family val="2"/>
        <scheme val="minor"/>
      </rPr>
      <t xml:space="preserve"> au </t>
    </r>
    <r>
      <rPr>
        <b/>
        <i/>
        <u/>
        <sz val="11"/>
        <color theme="9" tint="-0.249977111117893"/>
        <rFont val="Calibri"/>
        <family val="2"/>
        <scheme val="minor"/>
      </rPr>
      <t>31ème jour d'arrêt</t>
    </r>
    <r>
      <rPr>
        <b/>
        <i/>
        <sz val="11"/>
        <color theme="9" tint="-0.249977111117893"/>
        <rFont val="Calibri"/>
        <family val="2"/>
        <scheme val="minor"/>
      </rPr>
      <t>.</t>
    </r>
    <r>
      <rPr>
        <i/>
        <sz val="11"/>
        <color theme="9" tint="-0.249977111117893"/>
        <rFont val="Calibri"/>
        <family val="2"/>
        <scheme val="minor"/>
      </rPr>
      <t>]</t>
    </r>
  </si>
  <si>
    <t>Position</t>
  </si>
  <si>
    <t>SMIC proratisé "Fillon"</t>
  </si>
  <si>
    <t>NET A PAYER</t>
  </si>
</sst>
</file>

<file path=xl/styles.xml><?xml version="1.0" encoding="utf-8"?>
<styleSheet xmlns="http://schemas.openxmlformats.org/spreadsheetml/2006/main">
  <numFmts count="11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00%"/>
    <numFmt numFmtId="165" formatCode="mm/yyyy"/>
    <numFmt numFmtId="166" formatCode="_-* #,##0.00\ [$€-40C]_-;\-* #,##0.00\ [$€-40C]_-;_-* &quot;-&quot;??\ [$€-40C]_-;_-@_-"/>
    <numFmt numFmtId="167" formatCode="0.0000"/>
    <numFmt numFmtId="168" formatCode="#,##0.00;[Red]\-#,##0.00"/>
    <numFmt numFmtId="169" formatCode="_-* #,##0.00\ _F_-;\-* #,##0.00\ _F_-;_-* &quot;-&quot;??\ _F_-;_-@_-"/>
    <numFmt numFmtId="170" formatCode="mmmm"/>
    <numFmt numFmtId="171" formatCode="#,##0_ ;\-#,##0\ "/>
    <numFmt numFmtId="172" formatCode="0.0000%"/>
  </numFmts>
  <fonts count="8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2"/>
      <name val="Times New Roman"/>
      <family val="1"/>
    </font>
    <font>
      <b/>
      <sz val="14"/>
      <color theme="1"/>
      <name val="Calibri"/>
      <family val="2"/>
      <scheme val="minor"/>
    </font>
    <font>
      <sz val="10"/>
      <name val="Geneva"/>
    </font>
    <font>
      <sz val="10"/>
      <name val="Arial"/>
      <family val="2"/>
    </font>
    <font>
      <sz val="11"/>
      <color indexed="8"/>
      <name val="Calibri"/>
      <family val="2"/>
    </font>
    <font>
      <b/>
      <sz val="11"/>
      <name val="Calibri"/>
      <family val="2"/>
      <scheme val="minor"/>
    </font>
    <font>
      <b/>
      <sz val="11"/>
      <color rgb="FFF20000"/>
      <name val="Calibri"/>
      <family val="2"/>
      <scheme val="minor"/>
    </font>
    <font>
      <b/>
      <sz val="20"/>
      <name val="Calibri"/>
      <family val="2"/>
      <scheme val="minor"/>
    </font>
    <font>
      <b/>
      <sz val="10.5"/>
      <color theme="0"/>
      <name val="Calibri"/>
      <family val="2"/>
      <scheme val="minor"/>
    </font>
    <font>
      <sz val="10.5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1"/>
      <name val="Calibri"/>
      <family val="2"/>
    </font>
    <font>
      <sz val="14"/>
      <name val="Calibri"/>
      <family val="2"/>
    </font>
    <font>
      <i/>
      <sz val="10"/>
      <name val="Arial"/>
      <family val="2"/>
    </font>
    <font>
      <sz val="11"/>
      <color indexed="62"/>
      <name val="Calibri"/>
      <family val="2"/>
    </font>
    <font>
      <b/>
      <i/>
      <sz val="11"/>
      <color indexed="10"/>
      <name val="Calibri"/>
      <family val="2"/>
    </font>
    <font>
      <b/>
      <sz val="11"/>
      <color indexed="8"/>
      <name val="Calibri"/>
      <family val="2"/>
    </font>
    <font>
      <b/>
      <sz val="11"/>
      <color theme="1"/>
      <name val="Wingdings 3"/>
      <family val="1"/>
      <charset val="2"/>
    </font>
    <font>
      <b/>
      <sz val="11"/>
      <color theme="1"/>
      <name val="Calibri"/>
      <family val="2"/>
    </font>
    <font>
      <sz val="11"/>
      <color rgb="FFFF0000"/>
      <name val="Calibri"/>
      <family val="2"/>
      <scheme val="minor"/>
    </font>
    <font>
      <b/>
      <sz val="10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0"/>
      <name val="Tahoma"/>
      <family val="2"/>
    </font>
    <font>
      <sz val="7.5"/>
      <name val="Tahoma"/>
      <family val="2"/>
    </font>
    <font>
      <b/>
      <sz val="7.5"/>
      <name val="Tahoma"/>
      <family val="2"/>
    </font>
    <font>
      <sz val="10"/>
      <name val="Tahoma"/>
      <family val="2"/>
    </font>
    <font>
      <sz val="9"/>
      <name val="Arial"/>
      <family val="2"/>
    </font>
    <font>
      <sz val="9"/>
      <name val="Tahoma"/>
      <family val="2"/>
    </font>
    <font>
      <sz val="8"/>
      <name val="Tahoma"/>
      <family val="2"/>
    </font>
    <font>
      <sz val="8"/>
      <name val="Arial"/>
      <family val="2"/>
    </font>
    <font>
      <sz val="12"/>
      <name val="Tms Rmn"/>
    </font>
    <font>
      <b/>
      <sz val="24"/>
      <name val="Times New Roman"/>
      <family val="1"/>
    </font>
    <font>
      <sz val="10"/>
      <name val="Times New Roman"/>
      <family val="1"/>
    </font>
    <font>
      <b/>
      <sz val="12"/>
      <name val="Times New Roman"/>
      <family val="1"/>
    </font>
    <font>
      <b/>
      <sz val="9"/>
      <name val="Times New Roman"/>
      <family val="1"/>
    </font>
    <font>
      <sz val="11"/>
      <name val="Times New Roman"/>
      <family val="1"/>
    </font>
    <font>
      <sz val="20"/>
      <name val="Tribeca"/>
    </font>
    <font>
      <sz val="8"/>
      <name val="Times New Roman"/>
      <family val="1"/>
    </font>
    <font>
      <b/>
      <sz val="10"/>
      <name val="Times New Roman"/>
      <family val="1"/>
    </font>
    <font>
      <b/>
      <sz val="14"/>
      <name val="Times New Roman"/>
      <family val="1"/>
    </font>
    <font>
      <b/>
      <sz val="10"/>
      <color rgb="FFFF0000"/>
      <name val="Times New Roman"/>
      <family val="1"/>
    </font>
    <font>
      <b/>
      <sz val="8"/>
      <name val="Times New Roman"/>
      <family val="1"/>
    </font>
    <font>
      <sz val="9"/>
      <name val="Times New Roman"/>
      <family val="1"/>
    </font>
    <font>
      <b/>
      <sz val="16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z val="11"/>
      <color theme="1"/>
      <name val="Wingdings 3"/>
      <family val="1"/>
      <charset val="2"/>
    </font>
    <font>
      <sz val="11"/>
      <color theme="1"/>
      <name val="Calibri"/>
      <family val="2"/>
    </font>
    <font>
      <u/>
      <sz val="10"/>
      <color theme="1"/>
      <name val="Calibri"/>
      <family val="2"/>
      <scheme val="minor"/>
    </font>
    <font>
      <b/>
      <sz val="10.5"/>
      <color theme="1"/>
      <name val="Calibri"/>
      <family val="2"/>
      <scheme val="minor"/>
    </font>
    <font>
      <sz val="10"/>
      <color theme="1"/>
      <name val="Calibri"/>
      <family val="2"/>
    </font>
    <font>
      <b/>
      <sz val="14"/>
      <color theme="0"/>
      <name val="Calibri"/>
      <family val="2"/>
      <scheme val="minor"/>
    </font>
    <font>
      <b/>
      <sz val="12"/>
      <color theme="3" tint="0.39997558519241921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9"/>
      <color theme="1"/>
      <name val="Wingdings 3"/>
      <family val="1"/>
      <charset val="2"/>
    </font>
    <font>
      <b/>
      <sz val="9"/>
      <color theme="1"/>
      <name val="Calibri"/>
      <family val="2"/>
    </font>
    <font>
      <b/>
      <u/>
      <sz val="11"/>
      <color rgb="FFFF0000"/>
      <name val="Calibri"/>
      <family val="2"/>
      <scheme val="minor"/>
    </font>
    <font>
      <b/>
      <u/>
      <sz val="11"/>
      <name val="Calibri"/>
      <family val="2"/>
      <scheme val="minor"/>
    </font>
    <font>
      <sz val="9"/>
      <color theme="1"/>
      <name val="Wingdings 3"/>
      <family val="1"/>
      <charset val="2"/>
    </font>
    <font>
      <sz val="9"/>
      <color theme="1"/>
      <name val="Calibri"/>
      <family val="2"/>
    </font>
    <font>
      <u/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theme="9" tint="-0.249977111117893"/>
      <name val="Calibri"/>
      <family val="2"/>
      <scheme val="minor"/>
    </font>
    <font>
      <b/>
      <i/>
      <sz val="11"/>
      <color theme="9" tint="-0.249977111117893"/>
      <name val="Calibri"/>
      <family val="2"/>
      <scheme val="minor"/>
    </font>
    <font>
      <sz val="11"/>
      <color theme="9" tint="-0.249977111117893"/>
      <name val="Wingdings 3"/>
      <family val="1"/>
      <charset val="2"/>
    </font>
    <font>
      <b/>
      <i/>
      <u/>
      <sz val="11"/>
      <color theme="9" tint="-0.249977111117893"/>
      <name val="Calibri"/>
      <family val="2"/>
      <scheme val="minor"/>
    </font>
    <font>
      <sz val="11"/>
      <color rgb="FF0000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0" tint="-0.14999847407452621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</fills>
  <borders count="18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theme="3" tint="0.39997558519241921"/>
      </left>
      <right style="thin">
        <color theme="3" tint="0.39997558519241921"/>
      </right>
      <top style="thin">
        <color theme="3" tint="0.39997558519241921"/>
      </top>
      <bottom style="thin">
        <color theme="3" tint="0.3999755851924192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theme="3" tint="0.39997558519241921"/>
      </bottom>
      <diagonal/>
    </border>
    <border>
      <left style="thin">
        <color theme="3" tint="0.39997558519241921"/>
      </left>
      <right/>
      <top style="thin">
        <color theme="3" tint="0.39997558519241921"/>
      </top>
      <bottom style="thin">
        <color theme="3" tint="0.39997558519241921"/>
      </bottom>
      <diagonal/>
    </border>
    <border>
      <left/>
      <right/>
      <top style="thin">
        <color theme="3" tint="0.39997558519241921"/>
      </top>
      <bottom style="thin">
        <color theme="3" tint="0.39997558519241921"/>
      </bottom>
      <diagonal/>
    </border>
    <border>
      <left/>
      <right style="thin">
        <color theme="3" tint="0.39997558519241921"/>
      </right>
      <top style="thin">
        <color theme="3" tint="0.39997558519241921"/>
      </top>
      <bottom style="thin">
        <color theme="3" tint="0.39997558519241921"/>
      </bottom>
      <diagonal/>
    </border>
    <border>
      <left/>
      <right/>
      <top style="thin">
        <color theme="3" tint="0.39994506668294322"/>
      </top>
      <bottom style="thin">
        <color theme="3" tint="0.39994506668294322"/>
      </bottom>
      <diagonal/>
    </border>
    <border>
      <left/>
      <right style="thin">
        <color rgb="FFFFFF00"/>
      </right>
      <top style="thin">
        <color theme="3" tint="0.39994506668294322"/>
      </top>
      <bottom style="thin">
        <color theme="3" tint="0.39994506668294322"/>
      </bottom>
      <diagonal/>
    </border>
    <border>
      <left style="thin">
        <color theme="3" tint="0.39991454817346722"/>
      </left>
      <right/>
      <top style="thin">
        <color theme="3" tint="0.39994506668294322"/>
      </top>
      <bottom style="thin">
        <color theme="3" tint="0.39994506668294322"/>
      </bottom>
      <diagonal/>
    </border>
    <border>
      <left/>
      <right style="thin">
        <color theme="3" tint="0.39991454817346722"/>
      </right>
      <top style="thin">
        <color theme="3" tint="0.39994506668294322"/>
      </top>
      <bottom style="thin">
        <color theme="3" tint="0.39994506668294322"/>
      </bottom>
      <diagonal/>
    </border>
    <border>
      <left style="thin">
        <color theme="3" tint="0.39994506668294322"/>
      </left>
      <right style="thin">
        <color theme="3" tint="0.39994506668294322"/>
      </right>
      <top style="thin">
        <color theme="3" tint="0.39994506668294322"/>
      </top>
      <bottom style="thin">
        <color theme="3" tint="0.39994506668294322"/>
      </bottom>
      <diagonal/>
    </border>
    <border>
      <left style="thin">
        <color theme="3" tint="0.39994506668294322"/>
      </left>
      <right/>
      <top style="thin">
        <color theme="3" tint="0.39994506668294322"/>
      </top>
      <bottom style="thin">
        <color theme="3" tint="0.39994506668294322"/>
      </bottom>
      <diagonal/>
    </border>
    <border>
      <left/>
      <right style="thin">
        <color theme="3" tint="0.39994506668294322"/>
      </right>
      <top style="thin">
        <color theme="3" tint="0.39994506668294322"/>
      </top>
      <bottom style="thin">
        <color theme="3" tint="0.39994506668294322"/>
      </bottom>
      <diagonal/>
    </border>
    <border>
      <left style="thin">
        <color theme="3" tint="0.39997558519241921"/>
      </left>
      <right/>
      <top/>
      <bottom style="thin">
        <color theme="3" tint="0.39997558519241921"/>
      </bottom>
      <diagonal/>
    </border>
    <border>
      <left/>
      <right style="thin">
        <color theme="3" tint="0.39997558519241921"/>
      </right>
      <top/>
      <bottom style="thin">
        <color theme="3" tint="0.39997558519241921"/>
      </bottom>
      <diagonal/>
    </border>
    <border>
      <left style="thin">
        <color theme="3" tint="0.39991454817346722"/>
      </left>
      <right/>
      <top/>
      <bottom/>
      <diagonal/>
    </border>
    <border>
      <left style="thin">
        <color theme="3" tint="0.39991454817346722"/>
      </left>
      <right/>
      <top style="thin">
        <color theme="3" tint="0.39994506668294322"/>
      </top>
      <bottom style="thin">
        <color theme="3" tint="0.39991454817346722"/>
      </bottom>
      <diagonal/>
    </border>
    <border>
      <left/>
      <right/>
      <top style="thin">
        <color theme="3" tint="0.39994506668294322"/>
      </top>
      <bottom style="thin">
        <color theme="3" tint="0.39991454817346722"/>
      </bottom>
      <diagonal/>
    </border>
    <border>
      <left/>
      <right style="thin">
        <color theme="3" tint="0.39991454817346722"/>
      </right>
      <top style="thin">
        <color theme="3" tint="0.39994506668294322"/>
      </top>
      <bottom style="thin">
        <color theme="3" tint="0.39991454817346722"/>
      </bottom>
      <diagonal/>
    </border>
    <border>
      <left/>
      <right/>
      <top style="thin">
        <color theme="3" tint="0.39991454817346722"/>
      </top>
      <bottom style="thin">
        <color theme="3" tint="0.39991454817346722"/>
      </bottom>
      <diagonal/>
    </border>
    <border>
      <left/>
      <right style="thin">
        <color theme="3" tint="0.39991454817346722"/>
      </right>
      <top style="thin">
        <color theme="3" tint="0.39991454817346722"/>
      </top>
      <bottom style="thin">
        <color theme="3" tint="0.39991454817346722"/>
      </bottom>
      <diagonal/>
    </border>
    <border>
      <left style="thin">
        <color theme="3" tint="0.39991454817346722"/>
      </left>
      <right/>
      <top style="thin">
        <color theme="3" tint="0.39991454817346722"/>
      </top>
      <bottom style="thin">
        <color theme="3" tint="0.39991454817346722"/>
      </bottom>
      <diagonal/>
    </border>
    <border>
      <left style="thin">
        <color theme="3" tint="0.39994506668294322"/>
      </left>
      <right/>
      <top/>
      <bottom style="thin">
        <color theme="3" tint="0.39994506668294322"/>
      </bottom>
      <diagonal/>
    </border>
    <border>
      <left/>
      <right style="thin">
        <color theme="3" tint="0.39991454817346722"/>
      </right>
      <top/>
      <bottom style="thin">
        <color theme="3" tint="0.39991454817346722"/>
      </bottom>
      <diagonal/>
    </border>
    <border>
      <left style="thin">
        <color rgb="FF92D050"/>
      </left>
      <right/>
      <top style="thin">
        <color theme="3" tint="0.39994506668294322"/>
      </top>
      <bottom style="thin">
        <color theme="3" tint="0.39994506668294322"/>
      </bottom>
      <diagonal/>
    </border>
    <border>
      <left/>
      <right style="thin">
        <color rgb="FF92D050"/>
      </right>
      <top style="thin">
        <color theme="3" tint="0.39991454817346722"/>
      </top>
      <bottom style="thin">
        <color theme="3" tint="0.39994506668294322"/>
      </bottom>
      <diagonal/>
    </border>
    <border>
      <left/>
      <right/>
      <top/>
      <bottom style="thin">
        <color theme="3" tint="0.39991454817346722"/>
      </bottom>
      <diagonal/>
    </border>
    <border>
      <left/>
      <right style="thin">
        <color theme="3" tint="0.39994506668294322"/>
      </right>
      <top/>
      <bottom style="thin">
        <color theme="3" tint="0.39994506668294322"/>
      </bottom>
      <diagonal/>
    </border>
    <border>
      <left/>
      <right style="thin">
        <color theme="3" tint="0.39994506668294322"/>
      </right>
      <top style="thin">
        <color theme="3" tint="0.39991454817346722"/>
      </top>
      <bottom style="thin">
        <color theme="3" tint="0.39994506668294322"/>
      </bottom>
      <diagonal/>
    </border>
    <border>
      <left style="thin">
        <color theme="3" tint="0.39988402966399123"/>
      </left>
      <right/>
      <top style="thin">
        <color theme="3" tint="0.39991454817346722"/>
      </top>
      <bottom style="thin">
        <color theme="3" tint="0.39988402966399123"/>
      </bottom>
      <diagonal/>
    </border>
    <border>
      <left style="thin">
        <color theme="3" tint="0.39988402966399123"/>
      </left>
      <right/>
      <top style="thin">
        <color theme="3" tint="0.39988402966399123"/>
      </top>
      <bottom style="thin">
        <color theme="3" tint="0.39988402966399123"/>
      </bottom>
      <diagonal/>
    </border>
    <border>
      <left/>
      <right style="thin">
        <color theme="3" tint="0.39988402966399123"/>
      </right>
      <top style="thin">
        <color theme="3" tint="0.39991454817346722"/>
      </top>
      <bottom style="thin">
        <color theme="3" tint="0.39988402966399123"/>
      </bottom>
      <diagonal/>
    </border>
    <border>
      <left/>
      <right style="thin">
        <color theme="3" tint="0.39988402966399123"/>
      </right>
      <top style="thin">
        <color theme="3" tint="0.39988402966399123"/>
      </top>
      <bottom style="thin">
        <color theme="3" tint="0.39988402966399123"/>
      </bottom>
      <diagonal/>
    </border>
    <border>
      <left style="thin">
        <color theme="3" tint="0.39994506668294322"/>
      </left>
      <right/>
      <top style="thin">
        <color theme="3" tint="0.39994506668294322"/>
      </top>
      <bottom/>
      <diagonal/>
    </border>
    <border>
      <left/>
      <right style="thin">
        <color theme="3" tint="0.39994506668294322"/>
      </right>
      <top style="thin">
        <color theme="3" tint="0.39994506668294322"/>
      </top>
      <bottom/>
      <diagonal/>
    </border>
    <border>
      <left/>
      <right/>
      <top style="thin">
        <color theme="3" tint="0.39994506668294322"/>
      </top>
      <bottom/>
      <diagonal/>
    </border>
    <border>
      <left/>
      <right/>
      <top style="thin">
        <color theme="3" tint="0.39991454817346722"/>
      </top>
      <bottom/>
      <diagonal/>
    </border>
    <border>
      <left style="thin">
        <color theme="3" tint="0.39991454817346722"/>
      </left>
      <right/>
      <top style="thin">
        <color theme="3" tint="0.39991454817346722"/>
      </top>
      <bottom/>
      <diagonal/>
    </border>
    <border>
      <left/>
      <right style="thin">
        <color theme="3" tint="0.39991454817346722"/>
      </right>
      <top style="thin">
        <color theme="3" tint="0.39991454817346722"/>
      </top>
      <bottom/>
      <diagonal/>
    </border>
    <border>
      <left/>
      <right/>
      <top style="thin">
        <color theme="3" tint="0.39988402966399123"/>
      </top>
      <bottom style="thin">
        <color theme="3" tint="0.39988402966399123"/>
      </bottom>
      <diagonal/>
    </border>
    <border>
      <left/>
      <right/>
      <top/>
      <bottom style="thin">
        <color theme="3" tint="0.39994506668294322"/>
      </bottom>
      <diagonal/>
    </border>
    <border>
      <left/>
      <right style="thin">
        <color theme="3" tint="0.39991454817346722"/>
      </right>
      <top/>
      <bottom/>
      <diagonal/>
    </border>
    <border>
      <left style="thin">
        <color rgb="FF92D050"/>
      </left>
      <right style="thin">
        <color theme="3" tint="0.39994506668294322"/>
      </right>
      <top style="thin">
        <color theme="3" tint="0.39994506668294322"/>
      </top>
      <bottom/>
      <diagonal/>
    </border>
    <border>
      <left style="thin">
        <color rgb="FF92D050"/>
      </left>
      <right style="thin">
        <color theme="3" tint="0.39994506668294322"/>
      </right>
      <top style="thin">
        <color theme="3" tint="0.39994506668294322"/>
      </top>
      <bottom style="thin">
        <color theme="3" tint="0.39994506668294322"/>
      </bottom>
      <diagonal/>
    </border>
    <border>
      <left style="thin">
        <color theme="3" tint="0.39991454817346722"/>
      </left>
      <right/>
      <top style="thin">
        <color theme="3" tint="0.39991454817346722"/>
      </top>
      <bottom style="thin">
        <color theme="0"/>
      </bottom>
      <diagonal/>
    </border>
    <border>
      <left/>
      <right/>
      <top style="thin">
        <color theme="3" tint="0.39991454817346722"/>
      </top>
      <bottom style="thin">
        <color theme="0"/>
      </bottom>
      <diagonal/>
    </border>
    <border>
      <left/>
      <right style="thin">
        <color theme="3" tint="0.39991454817346722"/>
      </right>
      <top style="thin">
        <color theme="3" tint="0.39991454817346722"/>
      </top>
      <bottom style="thin">
        <color theme="0"/>
      </bottom>
      <diagonal/>
    </border>
    <border>
      <left style="thin">
        <color theme="3" tint="0.39994506668294322"/>
      </left>
      <right/>
      <top style="thin">
        <color theme="3" tint="0.39994506668294322"/>
      </top>
      <bottom style="thin">
        <color theme="0"/>
      </bottom>
      <diagonal/>
    </border>
    <border>
      <left/>
      <right/>
      <top style="thin">
        <color theme="3" tint="0.39994506668294322"/>
      </top>
      <bottom style="thin">
        <color theme="0"/>
      </bottom>
      <diagonal/>
    </border>
    <border>
      <left/>
      <right style="thin">
        <color theme="3" tint="0.39994506668294322"/>
      </right>
      <top style="thin">
        <color theme="3" tint="0.39994506668294322"/>
      </top>
      <bottom style="thin">
        <color theme="0"/>
      </bottom>
      <diagonal/>
    </border>
    <border>
      <left style="thin">
        <color theme="3" tint="0.39994506668294322"/>
      </left>
      <right/>
      <top/>
      <bottom/>
      <diagonal/>
    </border>
    <border>
      <left/>
      <right style="thin">
        <color theme="3" tint="0.39994506668294322"/>
      </right>
      <top/>
      <bottom/>
      <diagonal/>
    </border>
    <border>
      <left style="thin">
        <color theme="3" tint="0.39985351115451523"/>
      </left>
      <right/>
      <top style="thin">
        <color theme="3" tint="0.39985351115451523"/>
      </top>
      <bottom style="thin">
        <color theme="3" tint="0.39985351115451523"/>
      </bottom>
      <diagonal/>
    </border>
    <border>
      <left/>
      <right/>
      <top style="thin">
        <color theme="3" tint="0.39985351115451523"/>
      </top>
      <bottom style="thin">
        <color theme="3" tint="0.39985351115451523"/>
      </bottom>
      <diagonal/>
    </border>
    <border>
      <left/>
      <right style="thin">
        <color theme="3" tint="0.39985351115451523"/>
      </right>
      <top style="thin">
        <color theme="3" tint="0.39988402966399123"/>
      </top>
      <bottom style="thin">
        <color theme="3" tint="0.39988402966399123"/>
      </bottom>
      <diagonal/>
    </border>
    <border>
      <left style="thin">
        <color theme="3" tint="0.39982299264503923"/>
      </left>
      <right/>
      <top style="thin">
        <color theme="3" tint="0.39982299264503923"/>
      </top>
      <bottom style="thin">
        <color theme="3" tint="0.39982299264503923"/>
      </bottom>
      <diagonal/>
    </border>
    <border>
      <left/>
      <right/>
      <top style="thin">
        <color theme="3" tint="0.39985351115451523"/>
      </top>
      <bottom/>
      <diagonal/>
    </border>
    <border>
      <left/>
      <right/>
      <top style="thin">
        <color theme="3" tint="0.39982299264503923"/>
      </top>
      <bottom style="thin">
        <color theme="3" tint="0.39982299264503923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indexed="64"/>
      </top>
      <bottom style="thin">
        <color theme="0" tint="-0.34998626667073579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theme="3" tint="0.39988402966399123"/>
      </left>
      <right style="thin">
        <color theme="3" tint="0.39988402966399123"/>
      </right>
      <top style="thin">
        <color theme="3" tint="0.39991454817346722"/>
      </top>
      <bottom/>
      <diagonal/>
    </border>
    <border>
      <left style="thin">
        <color theme="3" tint="0.39988402966399123"/>
      </left>
      <right style="thin">
        <color theme="3" tint="0.39988402966399123"/>
      </right>
      <top/>
      <bottom/>
      <diagonal/>
    </border>
    <border>
      <left style="thin">
        <color theme="3" tint="0.39988402966399123"/>
      </left>
      <right style="thin">
        <color theme="3" tint="0.39988402966399123"/>
      </right>
      <top/>
      <bottom style="thin">
        <color theme="3" tint="0.39991454817346722"/>
      </bottom>
      <diagonal/>
    </border>
    <border>
      <left style="thin">
        <color theme="3" tint="0.39991454817346722"/>
      </left>
      <right/>
      <top style="thin">
        <color theme="3" tint="0.39994506668294322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theme="3" tint="0.39991454817346722"/>
      </left>
      <right style="thin">
        <color theme="3" tint="0.39991454817346722"/>
      </right>
      <top style="thin">
        <color theme="3" tint="0.39994506668294322"/>
      </top>
      <bottom style="thin">
        <color theme="3" tint="0.39994506668294322"/>
      </bottom>
      <diagonal/>
    </border>
    <border>
      <left style="thin">
        <color theme="3" tint="0.39991454817346722"/>
      </left>
      <right style="thin">
        <color theme="3" tint="0.39991454817346722"/>
      </right>
      <top style="thin">
        <color theme="3" tint="0.39994506668294322"/>
      </top>
      <bottom/>
      <diagonal/>
    </border>
    <border>
      <left style="thin">
        <color theme="3" tint="0.39991454817346722"/>
      </left>
      <right style="thin">
        <color theme="3" tint="0.39991454817346722"/>
      </right>
      <top/>
      <bottom style="thin">
        <color theme="3" tint="0.39994506668294322"/>
      </bottom>
      <diagonal/>
    </border>
    <border>
      <left style="thin">
        <color theme="3" tint="0.39985351115451523"/>
      </left>
      <right style="thin">
        <color theme="3" tint="0.39988402966399123"/>
      </right>
      <top/>
      <bottom style="thin">
        <color theme="3" tint="0.39988402966399123"/>
      </bottom>
      <diagonal/>
    </border>
    <border>
      <left style="thin">
        <color theme="3" tint="0.39985351115451523"/>
      </left>
      <right style="thin">
        <color theme="3" tint="0.39988402966399123"/>
      </right>
      <top/>
      <bottom/>
      <diagonal/>
    </border>
    <border>
      <left style="thin">
        <color theme="3" tint="0.39991454817346722"/>
      </left>
      <right style="thin">
        <color theme="3" tint="0.39991454817346722"/>
      </right>
      <top/>
      <bottom/>
      <diagonal/>
    </border>
    <border>
      <left/>
      <right style="thin">
        <color theme="3" tint="0.39988402966399123"/>
      </right>
      <top style="thin">
        <color theme="3" tint="0.39991454817346722"/>
      </top>
      <bottom style="thin">
        <color theme="3" tint="0.39991454817346722"/>
      </bottom>
      <diagonal/>
    </border>
    <border>
      <left/>
      <right style="thin">
        <color theme="3" tint="0.39988402966399123"/>
      </right>
      <top style="thin">
        <color theme="3" tint="0.39994506668294322"/>
      </top>
      <bottom style="thin">
        <color theme="3" tint="0.39994506668294322"/>
      </bottom>
      <diagonal/>
    </border>
    <border>
      <left/>
      <right style="thin">
        <color theme="3" tint="0.39988402966399123"/>
      </right>
      <top style="thin">
        <color theme="3" tint="0.39994506668294322"/>
      </top>
      <bottom style="thin">
        <color theme="3" tint="0.39991454817346722"/>
      </bottom>
      <diagonal/>
    </border>
    <border>
      <left/>
      <right style="thin">
        <color theme="3" tint="0.39991454817346722"/>
      </right>
      <top style="thin">
        <color theme="3" tint="0.39994506668294322"/>
      </top>
      <bottom/>
      <diagonal/>
    </border>
    <border>
      <left/>
      <right style="thin">
        <color theme="3" tint="0.39991454817346722"/>
      </right>
      <top/>
      <bottom style="thin">
        <color theme="3" tint="0.39994506668294322"/>
      </bottom>
      <diagonal/>
    </border>
    <border>
      <left style="thin">
        <color rgb="FF92D050"/>
      </left>
      <right/>
      <top/>
      <bottom style="thin">
        <color theme="3" tint="0.39994506668294322"/>
      </bottom>
      <diagonal/>
    </border>
    <border>
      <left style="thin">
        <color theme="3" tint="0.39994506668294322"/>
      </left>
      <right style="thin">
        <color theme="3" tint="0.39994506668294322"/>
      </right>
      <top style="thin">
        <color theme="3" tint="0.39994506668294322"/>
      </top>
      <bottom/>
      <diagonal/>
    </border>
    <border>
      <left style="thin">
        <color theme="3" tint="0.39994506668294322"/>
      </left>
      <right style="thin">
        <color theme="3" tint="0.39994506668294322"/>
      </right>
      <top/>
      <bottom/>
      <diagonal/>
    </border>
    <border>
      <left style="thin">
        <color theme="3" tint="0.39994506668294322"/>
      </left>
      <right style="thin">
        <color theme="3" tint="0.39994506668294322"/>
      </right>
      <top/>
      <bottom style="thin">
        <color theme="3" tint="0.39994506668294322"/>
      </bottom>
      <diagonal/>
    </border>
    <border>
      <left style="thin">
        <color theme="3" tint="0.39988402966399123"/>
      </left>
      <right/>
      <top style="thin">
        <color theme="3" tint="0.39988402966399123"/>
      </top>
      <bottom/>
      <diagonal/>
    </border>
    <border>
      <left/>
      <right style="thin">
        <color theme="3" tint="0.39988402966399123"/>
      </right>
      <top style="thin">
        <color theme="3" tint="0.39988402966399123"/>
      </top>
      <bottom/>
      <diagonal/>
    </border>
    <border>
      <left style="thin">
        <color theme="3" tint="0.39988402966399123"/>
      </left>
      <right style="thin">
        <color theme="3" tint="0.39991454817346722"/>
      </right>
      <top style="thin">
        <color theme="3" tint="0.39991454817346722"/>
      </top>
      <bottom style="thin">
        <color theme="3" tint="0.39991454817346722"/>
      </bottom>
      <diagonal/>
    </border>
    <border>
      <left style="thin">
        <color theme="3" tint="0.39985351115451523"/>
      </left>
      <right/>
      <top style="thin">
        <color theme="3" tint="0.39985351115451523"/>
      </top>
      <bottom/>
      <diagonal/>
    </border>
    <border>
      <left/>
      <right style="thin">
        <color theme="3" tint="0.39985351115451523"/>
      </right>
      <top style="thin">
        <color theme="3" tint="0.39985351115451523"/>
      </top>
      <bottom/>
      <diagonal/>
    </border>
    <border>
      <left/>
      <right style="thin">
        <color theme="3" tint="0.39982299264503923"/>
      </right>
      <top style="thin">
        <color theme="3" tint="0.39982299264503923"/>
      </top>
      <bottom style="thin">
        <color theme="3" tint="0.39982299264503923"/>
      </bottom>
      <diagonal/>
    </border>
    <border>
      <left style="thin">
        <color theme="3" tint="0.39988402966399123"/>
      </left>
      <right style="thin">
        <color theme="3" tint="0.39988402966399123"/>
      </right>
      <top style="thin">
        <color theme="3" tint="0.39991454817346722"/>
      </top>
      <bottom style="thin">
        <color theme="3" tint="0.39985351115451523"/>
      </bottom>
      <diagonal/>
    </border>
    <border>
      <left style="thin">
        <color theme="3" tint="0.39994506668294322"/>
      </left>
      <right/>
      <top style="thin">
        <color theme="3" tint="0.39994506668294322"/>
      </top>
      <bottom style="thin">
        <color theme="3" tint="0.39991454817346722"/>
      </bottom>
      <diagonal/>
    </border>
    <border>
      <left style="thin">
        <color theme="3" tint="0.39991454817346722"/>
      </left>
      <right/>
      <top/>
      <bottom style="thin">
        <color theme="3" tint="0.39991454817346722"/>
      </bottom>
      <diagonal/>
    </border>
    <border>
      <left/>
      <right style="thin">
        <color theme="6" tint="-0.24994659260841701"/>
      </right>
      <top style="thin">
        <color theme="3" tint="0.39994506668294322"/>
      </top>
      <bottom style="thin">
        <color theme="3" tint="0.39991454817346722"/>
      </bottom>
      <diagonal/>
    </border>
    <border>
      <left/>
      <right style="thin">
        <color theme="6" tint="-0.24994659260841701"/>
      </right>
      <top style="thin">
        <color theme="3" tint="0.39994506668294322"/>
      </top>
      <bottom style="thin">
        <color theme="3" tint="0.39994506668294322"/>
      </bottom>
      <diagonal/>
    </border>
    <border>
      <left/>
      <right style="thin">
        <color theme="6" tint="-0.24994659260841701"/>
      </right>
      <top style="thin">
        <color theme="3" tint="0.39994506668294322"/>
      </top>
      <bottom/>
      <diagonal/>
    </border>
    <border>
      <left style="thin">
        <color theme="6" tint="-0.24994659260841701"/>
      </left>
      <right style="thin">
        <color theme="6" tint="-0.24994659260841701"/>
      </right>
      <top style="thin">
        <color theme="3" tint="0.39994506668294322"/>
      </top>
      <bottom style="thin">
        <color theme="3" tint="0.39994506668294322"/>
      </bottom>
      <diagonal/>
    </border>
    <border>
      <left style="thin">
        <color theme="6" tint="-0.24994659260841701"/>
      </left>
      <right style="thin">
        <color theme="6" tint="-0.24994659260841701"/>
      </right>
      <top style="thin">
        <color theme="3" tint="0.39994506668294322"/>
      </top>
      <bottom/>
      <diagonal/>
    </border>
    <border>
      <left/>
      <right/>
      <top style="thin">
        <color theme="0"/>
      </top>
      <bottom style="thin">
        <color theme="3" tint="0.39991454817346722"/>
      </bottom>
      <diagonal/>
    </border>
    <border>
      <left style="thin">
        <color theme="3" tint="0.39991454817346722"/>
      </left>
      <right/>
      <top style="thin">
        <color theme="3" tint="0.39991454817346722"/>
      </top>
      <bottom style="thin">
        <color theme="3" tint="0.39994506668294322"/>
      </bottom>
      <diagonal/>
    </border>
    <border>
      <left/>
      <right/>
      <top style="thin">
        <color theme="3" tint="0.39991454817346722"/>
      </top>
      <bottom style="thin">
        <color theme="3" tint="0.39994506668294322"/>
      </bottom>
      <diagonal/>
    </border>
    <border>
      <left/>
      <right style="thin">
        <color theme="3" tint="0.39991454817346722"/>
      </right>
      <top style="thin">
        <color theme="3" tint="0.39991454817346722"/>
      </top>
      <bottom style="thin">
        <color theme="3" tint="0.39994506668294322"/>
      </bottom>
      <diagonal/>
    </border>
    <border>
      <left style="thin">
        <color theme="3" tint="0.39991454817346722"/>
      </left>
      <right/>
      <top/>
      <bottom style="thin">
        <color theme="3" tint="0.39994506668294322"/>
      </bottom>
      <diagonal/>
    </border>
    <border>
      <left style="thin">
        <color rgb="FF92D050"/>
      </left>
      <right style="thin">
        <color theme="3" tint="0.39991454817346722"/>
      </right>
      <top style="thin">
        <color theme="3" tint="0.39994506668294322"/>
      </top>
      <bottom style="thin">
        <color theme="3" tint="0.39994506668294322"/>
      </bottom>
      <diagonal/>
    </border>
    <border>
      <left style="thin">
        <color theme="3" tint="0.39991454817346722"/>
      </left>
      <right/>
      <top style="thin">
        <color theme="3" tint="0.39994506668294322"/>
      </top>
      <bottom style="thin">
        <color theme="0"/>
      </bottom>
      <diagonal/>
    </border>
    <border>
      <left/>
      <right style="thin">
        <color theme="3" tint="0.39991454817346722"/>
      </right>
      <top style="thin">
        <color theme="3" tint="0.39994506668294322"/>
      </top>
      <bottom style="thin">
        <color theme="0"/>
      </bottom>
      <diagonal/>
    </border>
    <border>
      <left/>
      <right style="thin">
        <color theme="6" tint="-0.24994659260841701"/>
      </right>
      <top style="thin">
        <color theme="3" tint="0.39991454817346722"/>
      </top>
      <bottom style="thin">
        <color theme="3" tint="0.39991454817346722"/>
      </bottom>
      <diagonal/>
    </border>
    <border>
      <left style="thin">
        <color theme="6" tint="-0.24994659260841701"/>
      </left>
      <right style="thin">
        <color theme="6" tint="-0.24994659260841701"/>
      </right>
      <top style="thin">
        <color theme="3" tint="0.39991454817346722"/>
      </top>
      <bottom style="thin">
        <color theme="3" tint="0.39991454817346722"/>
      </bottom>
      <diagonal/>
    </border>
    <border>
      <left/>
      <right/>
      <top style="thin">
        <color theme="3" tint="0.39979247413556324"/>
      </top>
      <bottom style="thin">
        <color theme="3" tint="0.39982299264503923"/>
      </bottom>
      <diagonal/>
    </border>
    <border>
      <left style="thin">
        <color theme="6" tint="-0.24994659260841701"/>
      </left>
      <right style="thin">
        <color theme="6" tint="-0.24994659260841701"/>
      </right>
      <top style="thin">
        <color theme="3" tint="0.39994506668294322"/>
      </top>
      <bottom style="thin">
        <color theme="3" tint="0.39991454817346722"/>
      </bottom>
      <diagonal/>
    </border>
    <border>
      <left style="thin">
        <color theme="3" tint="0.39988402966399123"/>
      </left>
      <right/>
      <top style="thin">
        <color theme="3" tint="0.39991454817346722"/>
      </top>
      <bottom style="thin">
        <color theme="3" tint="0.39994506668294322"/>
      </bottom>
      <diagonal/>
    </border>
    <border>
      <left/>
      <right style="thin">
        <color theme="3" tint="0.39988402966399123"/>
      </right>
      <top style="thin">
        <color theme="3" tint="0.39991454817346722"/>
      </top>
      <bottom style="thin">
        <color theme="3" tint="0.39994506668294322"/>
      </bottom>
      <diagonal/>
    </border>
    <border>
      <left style="thin">
        <color theme="3" tint="0.39994506668294322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3" tint="0.39994506668294322"/>
      </right>
      <top/>
      <bottom style="thin">
        <color theme="0"/>
      </bottom>
      <diagonal/>
    </border>
    <border>
      <left style="thin">
        <color theme="6" tint="-0.24994659260841701"/>
      </left>
      <right style="thin">
        <color rgb="FF92D050"/>
      </right>
      <top style="thin">
        <color theme="3" tint="0.39994506668294322"/>
      </top>
      <bottom style="thin">
        <color theme="3" tint="0.39994506668294322"/>
      </bottom>
      <diagonal/>
    </border>
    <border>
      <left/>
      <right style="thin">
        <color rgb="FFFEC12A"/>
      </right>
      <top style="thin">
        <color theme="3" tint="0.39994506668294322"/>
      </top>
      <bottom style="thin">
        <color theme="3" tint="0.39994506668294322"/>
      </bottom>
      <diagonal/>
    </border>
    <border>
      <left style="thin">
        <color rgb="FFFEC12A"/>
      </left>
      <right style="thin">
        <color rgb="FFFFFF00"/>
      </right>
      <top style="thin">
        <color theme="3" tint="0.39994506668294322"/>
      </top>
      <bottom style="thin">
        <color theme="3" tint="0.39994506668294322"/>
      </bottom>
      <diagonal/>
    </border>
    <border>
      <left style="thin">
        <color theme="6" tint="-0.24994659260841701"/>
      </left>
      <right/>
      <top style="thin">
        <color theme="3" tint="0.39994506668294322"/>
      </top>
      <bottom style="thin">
        <color theme="3" tint="0.39994506668294322"/>
      </bottom>
      <diagonal/>
    </border>
    <border>
      <left style="thin">
        <color theme="6" tint="-0.24994659260841701"/>
      </left>
      <right style="thin">
        <color rgb="FF92D050"/>
      </right>
      <top style="thin">
        <color theme="3" tint="0.39994506668294322"/>
      </top>
      <bottom/>
      <diagonal/>
    </border>
    <border>
      <left style="thin">
        <color theme="6" tint="-0.24994659260841701"/>
      </left>
      <right/>
      <top style="thin">
        <color theme="3" tint="0.39994506668294322"/>
      </top>
      <bottom/>
      <diagonal/>
    </border>
    <border>
      <left/>
      <right style="thin">
        <color theme="6" tint="-0.24994659260841701"/>
      </right>
      <top style="thin">
        <color theme="3" tint="0.39991454817346722"/>
      </top>
      <bottom/>
      <diagonal/>
    </border>
    <border>
      <left style="thin">
        <color theme="6" tint="-0.24994659260841701"/>
      </left>
      <right style="thin">
        <color theme="6" tint="-0.24994659260841701"/>
      </right>
      <top style="thin">
        <color theme="3" tint="0.39991454817346722"/>
      </top>
      <bottom/>
      <diagonal/>
    </border>
    <border>
      <left style="thin">
        <color theme="6" tint="-0.24994659260841701"/>
      </left>
      <right/>
      <top style="thin">
        <color theme="3" tint="0.39991454817346722"/>
      </top>
      <bottom/>
      <diagonal/>
    </border>
    <border>
      <left style="thin">
        <color theme="6" tint="-0.24994659260841701"/>
      </left>
      <right/>
      <top style="thin">
        <color theme="3" tint="0.39991454817346722"/>
      </top>
      <bottom style="thin">
        <color theme="3" tint="0.39991454817346722"/>
      </bottom>
      <diagonal/>
    </border>
  </borders>
  <cellStyleXfs count="24">
    <xf numFmtId="0" fontId="0" fillId="0" borderId="0"/>
    <xf numFmtId="9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0" fontId="15" fillId="0" borderId="0"/>
    <xf numFmtId="168" fontId="17" fillId="0" borderId="0" applyFont="0" applyFill="0" applyBorder="0" applyAlignment="0" applyProtection="0"/>
    <xf numFmtId="44" fontId="18" fillId="0" borderId="0" applyFont="0" applyFill="0" applyBorder="0" applyAlignment="0" applyProtection="0"/>
    <xf numFmtId="43" fontId="19" fillId="0" borderId="0" applyFont="0" applyFill="0" applyBorder="0" applyAlignment="0" applyProtection="0"/>
    <xf numFmtId="168" fontId="17" fillId="0" borderId="0" applyFont="0" applyFill="0" applyBorder="0" applyAlignment="0" applyProtection="0"/>
    <xf numFmtId="169" fontId="18" fillId="0" borderId="0" applyFont="0" applyFill="0" applyBorder="0" applyAlignment="0" applyProtection="0"/>
    <xf numFmtId="44" fontId="19" fillId="0" borderId="0" applyFont="0" applyFill="0" applyBorder="0" applyAlignment="0" applyProtection="0"/>
    <xf numFmtId="0" fontId="18" fillId="0" borderId="0"/>
    <xf numFmtId="0" fontId="8" fillId="0" borderId="0"/>
    <xf numFmtId="0" fontId="15" fillId="0" borderId="0"/>
    <xf numFmtId="0" fontId="8" fillId="0" borderId="0"/>
    <xf numFmtId="0" fontId="19" fillId="0" borderId="0"/>
    <xf numFmtId="9" fontId="19" fillId="0" borderId="0" applyFont="0" applyFill="0" applyBorder="0" applyAlignment="0" applyProtection="0"/>
    <xf numFmtId="44" fontId="15" fillId="0" borderId="0" applyFont="0" applyFill="0" applyBorder="0" applyAlignment="0" applyProtection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47" fillId="0" borderId="0"/>
    <xf numFmtId="0" fontId="49" fillId="0" borderId="0"/>
  </cellStyleXfs>
  <cellXfs count="1215">
    <xf numFmtId="0" fontId="0" fillId="0" borderId="0" xfId="0"/>
    <xf numFmtId="0" fontId="2" fillId="0" borderId="0" xfId="0" applyFont="1" applyAlignment="1">
      <alignment vertical="center"/>
    </xf>
    <xf numFmtId="0" fontId="7" fillId="0" borderId="0" xfId="0" applyFont="1" applyAlignment="1">
      <alignment horizontal="center" vertical="center" wrapText="1"/>
    </xf>
    <xf numFmtId="0" fontId="2" fillId="0" borderId="5" xfId="0" applyFont="1" applyBorder="1" applyAlignment="1">
      <alignment vertical="center"/>
    </xf>
    <xf numFmtId="0" fontId="2" fillId="0" borderId="7" xfId="0" applyFont="1" applyBorder="1" applyAlignment="1">
      <alignment vertical="center"/>
    </xf>
    <xf numFmtId="0" fontId="2" fillId="0" borderId="29" xfId="0" applyFont="1" applyBorder="1" applyAlignment="1">
      <alignment vertical="center"/>
    </xf>
    <xf numFmtId="0" fontId="3" fillId="0" borderId="10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0" fillId="0" borderId="0" xfId="0" applyAlignment="1">
      <alignment vertical="center"/>
    </xf>
    <xf numFmtId="2" fontId="2" fillId="0" borderId="29" xfId="0" applyNumberFormat="1" applyFont="1" applyBorder="1" applyAlignment="1">
      <alignment vertical="center"/>
    </xf>
    <xf numFmtId="0" fontId="5" fillId="0" borderId="5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29" xfId="0" applyBorder="1" applyAlignment="1">
      <alignment vertical="center"/>
    </xf>
    <xf numFmtId="0" fontId="0" fillId="0" borderId="5" xfId="0" applyBorder="1" applyAlignment="1">
      <alignment vertical="center"/>
    </xf>
    <xf numFmtId="0" fontId="6" fillId="0" borderId="5" xfId="0" applyFont="1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28" xfId="0" applyBorder="1" applyAlignment="1">
      <alignment vertical="center"/>
    </xf>
    <xf numFmtId="0" fontId="2" fillId="0" borderId="14" xfId="0" applyFont="1" applyBorder="1" applyAlignment="1">
      <alignment vertical="center"/>
    </xf>
    <xf numFmtId="0" fontId="2" fillId="0" borderId="10" xfId="0" applyFont="1" applyBorder="1" applyAlignment="1">
      <alignment vertical="center"/>
    </xf>
    <xf numFmtId="0" fontId="4" fillId="0" borderId="5" xfId="0" applyFont="1" applyBorder="1" applyAlignment="1">
      <alignment vertical="center"/>
    </xf>
    <xf numFmtId="0" fontId="2" fillId="0" borderId="17" xfId="0" applyFont="1" applyBorder="1" applyAlignment="1">
      <alignment vertical="center"/>
    </xf>
    <xf numFmtId="0" fontId="5" fillId="0" borderId="7" xfId="0" applyFont="1" applyBorder="1" applyAlignment="1">
      <alignment vertical="center"/>
    </xf>
    <xf numFmtId="0" fontId="0" fillId="0" borderId="33" xfId="0" applyBorder="1" applyAlignment="1">
      <alignment vertical="center"/>
    </xf>
    <xf numFmtId="0" fontId="2" fillId="0" borderId="35" xfId="0" applyFont="1" applyBorder="1" applyAlignment="1">
      <alignment vertical="center"/>
    </xf>
    <xf numFmtId="0" fontId="2" fillId="0" borderId="36" xfId="0" applyFont="1" applyBorder="1" applyAlignment="1">
      <alignment vertical="center"/>
    </xf>
    <xf numFmtId="0" fontId="0" fillId="0" borderId="41" xfId="0" applyBorder="1" applyAlignment="1">
      <alignment vertical="center"/>
    </xf>
    <xf numFmtId="0" fontId="5" fillId="0" borderId="40" xfId="0" applyFont="1" applyBorder="1" applyAlignment="1"/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2" fontId="2" fillId="0" borderId="10" xfId="0" applyNumberFormat="1" applyFont="1" applyBorder="1" applyAlignment="1">
      <alignment vertical="center"/>
    </xf>
    <xf numFmtId="2" fontId="0" fillId="0" borderId="6" xfId="0" applyNumberFormat="1" applyBorder="1" applyAlignment="1">
      <alignment vertical="center"/>
    </xf>
    <xf numFmtId="2" fontId="0" fillId="0" borderId="39" xfId="0" applyNumberFormat="1" applyBorder="1" applyAlignment="1">
      <alignment vertical="center"/>
    </xf>
    <xf numFmtId="2" fontId="0" fillId="0" borderId="1" xfId="0" applyNumberFormat="1" applyBorder="1" applyAlignment="1">
      <alignment vertical="center"/>
    </xf>
    <xf numFmtId="2" fontId="0" fillId="0" borderId="30" xfId="0" applyNumberFormat="1" applyBorder="1" applyAlignment="1">
      <alignment vertical="center"/>
    </xf>
    <xf numFmtId="2" fontId="0" fillId="0" borderId="29" xfId="0" applyNumberFormat="1" applyBorder="1" applyAlignment="1">
      <alignment vertical="center"/>
    </xf>
    <xf numFmtId="0" fontId="2" fillId="0" borderId="14" xfId="0" applyFont="1" applyBorder="1" applyAlignment="1">
      <alignment horizontal="center" vertical="center"/>
    </xf>
    <xf numFmtId="2" fontId="2" fillId="0" borderId="12" xfId="0" applyNumberFormat="1" applyFont="1" applyBorder="1" applyAlignment="1">
      <alignment vertical="center"/>
    </xf>
    <xf numFmtId="0" fontId="10" fillId="0" borderId="0" xfId="0" applyFont="1" applyAlignment="1"/>
    <xf numFmtId="0" fontId="0" fillId="0" borderId="10" xfId="0" applyBorder="1"/>
    <xf numFmtId="0" fontId="0" fillId="0" borderId="43" xfId="0" applyBorder="1" applyAlignment="1">
      <alignment horizontal="left"/>
    </xf>
    <xf numFmtId="0" fontId="0" fillId="0" borderId="44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0" xfId="0" applyAlignment="1">
      <alignment horizontal="left"/>
    </xf>
    <xf numFmtId="0" fontId="0" fillId="0" borderId="10" xfId="0" applyFont="1" applyBorder="1" applyAlignment="1">
      <alignment horizontal="left"/>
    </xf>
    <xf numFmtId="44" fontId="0" fillId="0" borderId="0" xfId="0" applyNumberFormat="1" applyFill="1" applyBorder="1" applyAlignment="1">
      <alignment vertical="center"/>
    </xf>
    <xf numFmtId="2" fontId="0" fillId="0" borderId="29" xfId="0" applyNumberFormat="1" applyFill="1" applyBorder="1" applyAlignment="1">
      <alignment vertical="center"/>
    </xf>
    <xf numFmtId="164" fontId="0" fillId="0" borderId="0" xfId="1" applyNumberFormat="1" applyFont="1" applyFill="1" applyBorder="1" applyAlignment="1">
      <alignment vertical="center"/>
    </xf>
    <xf numFmtId="0" fontId="11" fillId="0" borderId="10" xfId="0" applyFont="1" applyBorder="1"/>
    <xf numFmtId="0" fontId="0" fillId="0" borderId="10" xfId="0" applyBorder="1" applyAlignment="1">
      <alignment horizontal="center" wrapText="1"/>
    </xf>
    <xf numFmtId="0" fontId="0" fillId="0" borderId="10" xfId="0" applyBorder="1" applyAlignment="1">
      <alignment horizontal="center" vertical="center"/>
    </xf>
    <xf numFmtId="0" fontId="11" fillId="0" borderId="28" xfId="0" applyFont="1" applyBorder="1"/>
    <xf numFmtId="0" fontId="0" fillId="0" borderId="10" xfId="0" applyFill="1" applyBorder="1"/>
    <xf numFmtId="10" fontId="0" fillId="0" borderId="10" xfId="1" applyNumberFormat="1" applyFont="1" applyBorder="1"/>
    <xf numFmtId="164" fontId="0" fillId="0" borderId="10" xfId="1" applyNumberFormat="1" applyFont="1" applyBorder="1"/>
    <xf numFmtId="0" fontId="0" fillId="0" borderId="10" xfId="0" applyBorder="1" applyAlignment="1">
      <alignment horizontal="center"/>
    </xf>
    <xf numFmtId="10" fontId="0" fillId="0" borderId="29" xfId="1" applyNumberFormat="1" applyFont="1" applyFill="1" applyBorder="1" applyAlignment="1">
      <alignment vertical="center"/>
    </xf>
    <xf numFmtId="10" fontId="0" fillId="0" borderId="30" xfId="0" applyNumberFormat="1" applyFill="1" applyBorder="1" applyAlignment="1">
      <alignment vertical="center"/>
    </xf>
    <xf numFmtId="10" fontId="0" fillId="0" borderId="29" xfId="0" applyNumberFormat="1" applyFill="1" applyBorder="1" applyAlignment="1">
      <alignment vertical="center"/>
    </xf>
    <xf numFmtId="0" fontId="1" fillId="0" borderId="10" xfId="0" applyFont="1" applyBorder="1"/>
    <xf numFmtId="10" fontId="0" fillId="0" borderId="0" xfId="1" applyNumberFormat="1" applyFont="1"/>
    <xf numFmtId="164" fontId="0" fillId="0" borderId="29" xfId="1" applyNumberFormat="1" applyFont="1" applyFill="1" applyBorder="1" applyAlignment="1">
      <alignment vertical="center"/>
    </xf>
    <xf numFmtId="164" fontId="0" fillId="0" borderId="30" xfId="1" applyNumberFormat="1" applyFont="1" applyFill="1" applyBorder="1" applyAlignment="1">
      <alignment vertical="center"/>
    </xf>
    <xf numFmtId="10" fontId="0" fillId="0" borderId="10" xfId="0" applyNumberFormat="1" applyBorder="1" applyAlignment="1">
      <alignment horizontal="center"/>
    </xf>
    <xf numFmtId="2" fontId="0" fillId="0" borderId="10" xfId="0" applyNumberFormat="1" applyBorder="1"/>
    <xf numFmtId="0" fontId="0" fillId="0" borderId="19" xfId="0" applyBorder="1"/>
    <xf numFmtId="0" fontId="0" fillId="0" borderId="31" xfId="0" applyFont="1" applyBorder="1" applyAlignment="1"/>
    <xf numFmtId="0" fontId="0" fillId="0" borderId="19" xfId="0" applyBorder="1" applyAlignment="1"/>
    <xf numFmtId="0" fontId="10" fillId="0" borderId="31" xfId="0" applyFont="1" applyBorder="1" applyAlignment="1"/>
    <xf numFmtId="0" fontId="0" fillId="0" borderId="42" xfId="0" applyBorder="1" applyAlignment="1"/>
    <xf numFmtId="0" fontId="0" fillId="0" borderId="42" xfId="0" applyBorder="1"/>
    <xf numFmtId="2" fontId="0" fillId="0" borderId="28" xfId="0" applyNumberFormat="1" applyBorder="1"/>
    <xf numFmtId="10" fontId="0" fillId="0" borderId="0" xfId="1" applyNumberFormat="1" applyFont="1" applyFill="1" applyBorder="1" applyAlignment="1">
      <alignment vertical="center"/>
    </xf>
    <xf numFmtId="0" fontId="13" fillId="0" borderId="0" xfId="0" applyFont="1"/>
    <xf numFmtId="0" fontId="13" fillId="0" borderId="0" xfId="0" applyFont="1" applyBorder="1"/>
    <xf numFmtId="165" fontId="13" fillId="0" borderId="0" xfId="0" applyNumberFormat="1" applyFont="1" applyBorder="1"/>
    <xf numFmtId="0" fontId="13" fillId="0" borderId="0" xfId="0" applyFont="1" applyFill="1" applyBorder="1"/>
    <xf numFmtId="0" fontId="13" fillId="0" borderId="0" xfId="0" applyFont="1" applyFill="1"/>
    <xf numFmtId="0" fontId="13" fillId="5" borderId="47" xfId="0" applyFont="1" applyFill="1" applyBorder="1"/>
    <xf numFmtId="44" fontId="13" fillId="5" borderId="47" xfId="2" applyFont="1" applyFill="1" applyBorder="1"/>
    <xf numFmtId="0" fontId="13" fillId="0" borderId="47" xfId="0" applyFont="1" applyBorder="1"/>
    <xf numFmtId="44" fontId="13" fillId="0" borderId="47" xfId="2" applyFont="1" applyBorder="1"/>
    <xf numFmtId="9" fontId="0" fillId="0" borderId="10" xfId="0" applyNumberFormat="1" applyBorder="1"/>
    <xf numFmtId="0" fontId="0" fillId="0" borderId="0" xfId="0" applyBorder="1"/>
    <xf numFmtId="167" fontId="0" fillId="0" borderId="0" xfId="0" applyNumberFormat="1" applyAlignment="1">
      <alignment vertical="center"/>
    </xf>
    <xf numFmtId="167" fontId="2" fillId="0" borderId="10" xfId="0" applyNumberFormat="1" applyFont="1" applyBorder="1" applyAlignment="1">
      <alignment vertical="center"/>
    </xf>
    <xf numFmtId="167" fontId="0" fillId="0" borderId="25" xfId="0" applyNumberFormat="1" applyFill="1" applyBorder="1" applyAlignment="1">
      <alignment vertical="center"/>
    </xf>
    <xf numFmtId="2" fontId="0" fillId="0" borderId="28" xfId="0" applyNumberFormat="1" applyBorder="1" applyAlignment="1">
      <alignment vertical="center"/>
    </xf>
    <xf numFmtId="2" fontId="2" fillId="0" borderId="6" xfId="0" applyNumberFormat="1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2" fillId="0" borderId="6" xfId="0" applyFont="1" applyBorder="1" applyAlignment="1">
      <alignment vertical="center"/>
    </xf>
    <xf numFmtId="0" fontId="2" fillId="0" borderId="8" xfId="0" applyFont="1" applyBorder="1" applyAlignment="1">
      <alignment vertical="center"/>
    </xf>
    <xf numFmtId="0" fontId="4" fillId="0" borderId="34" xfId="0" applyFont="1" applyBorder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0" fontId="2" fillId="0" borderId="40" xfId="0" applyFont="1" applyBorder="1" applyAlignment="1">
      <alignment vertical="center"/>
    </xf>
    <xf numFmtId="14" fontId="2" fillId="0" borderId="41" xfId="0" applyNumberFormat="1" applyFont="1" applyFill="1" applyBorder="1" applyAlignment="1">
      <alignment vertical="center"/>
    </xf>
    <xf numFmtId="0" fontId="2" fillId="0" borderId="41" xfId="0" applyFont="1" applyBorder="1" applyAlignment="1">
      <alignment vertical="center"/>
    </xf>
    <xf numFmtId="14" fontId="2" fillId="0" borderId="48" xfId="0" applyNumberFormat="1" applyFont="1" applyBorder="1" applyAlignment="1">
      <alignment vertical="center"/>
    </xf>
    <xf numFmtId="0" fontId="2" fillId="0" borderId="41" xfId="0" applyFont="1" applyBorder="1" applyAlignment="1">
      <alignment horizontal="center" vertical="center"/>
    </xf>
    <xf numFmtId="2" fontId="2" fillId="0" borderId="48" xfId="0" applyNumberFormat="1" applyFont="1" applyBorder="1" applyAlignment="1">
      <alignment horizontal="left" vertical="center"/>
    </xf>
    <xf numFmtId="2" fontId="2" fillId="0" borderId="29" xfId="0" applyNumberFormat="1" applyFont="1" applyFill="1" applyBorder="1" applyAlignment="1">
      <alignment vertical="center"/>
    </xf>
    <xf numFmtId="2" fontId="1" fillId="0" borderId="1" xfId="0" applyNumberFormat="1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2" fillId="0" borderId="6" xfId="0" applyFont="1" applyBorder="1" applyAlignment="1">
      <alignment vertical="center"/>
    </xf>
    <xf numFmtId="0" fontId="2" fillId="0" borderId="8" xfId="0" applyFont="1" applyBorder="1" applyAlignment="1">
      <alignment vertical="center"/>
    </xf>
    <xf numFmtId="0" fontId="2" fillId="0" borderId="9" xfId="0" applyFont="1" applyBorder="1" applyAlignment="1">
      <alignment vertical="center"/>
    </xf>
    <xf numFmtId="0" fontId="5" fillId="0" borderId="27" xfId="0" applyFont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0" fontId="2" fillId="0" borderId="41" xfId="0" applyFont="1" applyBorder="1" applyAlignment="1">
      <alignment horizontal="center" vertical="center"/>
    </xf>
    <xf numFmtId="0" fontId="4" fillId="0" borderId="34" xfId="0" applyFont="1" applyBorder="1" applyAlignment="1">
      <alignment horizontal="center" vertical="center"/>
    </xf>
    <xf numFmtId="0" fontId="2" fillId="0" borderId="36" xfId="0" applyFont="1" applyBorder="1" applyAlignment="1">
      <alignment horizontal="left" vertical="center"/>
    </xf>
    <xf numFmtId="0" fontId="2" fillId="0" borderId="5" xfId="0" applyFont="1" applyBorder="1" applyAlignment="1">
      <alignment horizontal="left" vertical="center"/>
    </xf>
    <xf numFmtId="0" fontId="2" fillId="0" borderId="7" xfId="0" applyFont="1" applyBorder="1" applyAlignment="1">
      <alignment horizontal="left" vertical="center"/>
    </xf>
    <xf numFmtId="0" fontId="15" fillId="0" borderId="0" xfId="3"/>
    <xf numFmtId="2" fontId="0" fillId="0" borderId="0" xfId="0" applyNumberFormat="1"/>
    <xf numFmtId="0" fontId="15" fillId="0" borderId="0" xfId="3" applyFill="1"/>
    <xf numFmtId="0" fontId="2" fillId="0" borderId="10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2" fontId="2" fillId="0" borderId="13" xfId="0" applyNumberFormat="1" applyFont="1" applyBorder="1" applyAlignment="1">
      <alignment vertical="center"/>
    </xf>
    <xf numFmtId="2" fontId="2" fillId="0" borderId="11" xfId="0" applyNumberFormat="1" applyFont="1" applyBorder="1" applyAlignment="1">
      <alignment vertical="center"/>
    </xf>
    <xf numFmtId="0" fontId="0" fillId="0" borderId="0" xfId="0" applyFill="1" applyBorder="1"/>
    <xf numFmtId="2" fontId="0" fillId="0" borderId="0" xfId="0" applyNumberFormat="1" applyBorder="1"/>
    <xf numFmtId="167" fontId="0" fillId="0" borderId="0" xfId="0" applyNumberFormat="1" applyBorder="1"/>
    <xf numFmtId="2" fontId="14" fillId="4" borderId="49" xfId="0" applyNumberFormat="1" applyFont="1" applyFill="1" applyBorder="1" applyAlignment="1">
      <alignment horizontal="center"/>
    </xf>
    <xf numFmtId="0" fontId="8" fillId="0" borderId="0" xfId="18"/>
    <xf numFmtId="2" fontId="8" fillId="0" borderId="0" xfId="18" applyNumberFormat="1"/>
    <xf numFmtId="0" fontId="8" fillId="0" borderId="0" xfId="19"/>
    <xf numFmtId="2" fontId="8" fillId="0" borderId="0" xfId="19" applyNumberFormat="1"/>
    <xf numFmtId="0" fontId="13" fillId="0" borderId="0" xfId="0" applyFont="1" applyAlignment="1">
      <alignment horizontal="right"/>
    </xf>
    <xf numFmtId="0" fontId="20" fillId="0" borderId="0" xfId="0" applyFont="1" applyBorder="1"/>
    <xf numFmtId="0" fontId="20" fillId="0" borderId="0" xfId="0" applyFont="1" applyFill="1" applyBorder="1" applyAlignment="1"/>
    <xf numFmtId="0" fontId="20" fillId="0" borderId="0" xfId="0" applyFont="1" applyFill="1" applyBorder="1" applyAlignment="1" applyProtection="1">
      <alignment horizontal="right"/>
      <protection locked="0"/>
    </xf>
    <xf numFmtId="0" fontId="20" fillId="0" borderId="0" xfId="0" applyFont="1" applyFill="1" applyBorder="1"/>
    <xf numFmtId="0" fontId="20" fillId="0" borderId="0" xfId="0" applyFont="1" applyFill="1" applyBorder="1" applyAlignment="1">
      <alignment horizontal="left"/>
    </xf>
    <xf numFmtId="0" fontId="20" fillId="0" borderId="0" xfId="0" applyFont="1"/>
    <xf numFmtId="0" fontId="13" fillId="0" borderId="0" xfId="0" applyFont="1" applyFill="1" applyBorder="1" applyAlignment="1">
      <alignment horizontal="center"/>
    </xf>
    <xf numFmtId="0" fontId="20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wrapText="1"/>
    </xf>
    <xf numFmtId="2" fontId="0" fillId="0" borderId="0" xfId="0" applyNumberFormat="1" applyBorder="1" applyAlignment="1">
      <alignment wrapText="1"/>
    </xf>
    <xf numFmtId="167" fontId="0" fillId="0" borderId="0" xfId="0" applyNumberFormat="1" applyBorder="1" applyAlignment="1">
      <alignment wrapText="1"/>
    </xf>
    <xf numFmtId="2" fontId="14" fillId="4" borderId="0" xfId="0" applyNumberFormat="1" applyFont="1" applyFill="1" applyBorder="1" applyAlignment="1">
      <alignment horizontal="center" wrapText="1"/>
    </xf>
    <xf numFmtId="0" fontId="12" fillId="7" borderId="54" xfId="0" applyFont="1" applyFill="1" applyBorder="1" applyAlignment="1">
      <alignment horizontal="center" vertical="center"/>
    </xf>
    <xf numFmtId="0" fontId="12" fillId="7" borderId="54" xfId="0" applyFont="1" applyFill="1" applyBorder="1" applyAlignment="1">
      <alignment horizontal="center" vertical="center" wrapText="1"/>
    </xf>
    <xf numFmtId="2" fontId="0" fillId="5" borderId="54" xfId="0" applyNumberFormat="1" applyFill="1" applyBorder="1"/>
    <xf numFmtId="167" fontId="0" fillId="5" borderId="54" xfId="0" applyNumberFormat="1" applyFill="1" applyBorder="1"/>
    <xf numFmtId="2" fontId="0" fillId="0" borderId="54" xfId="0" applyNumberFormat="1" applyBorder="1"/>
    <xf numFmtId="167" fontId="0" fillId="0" borderId="54" xfId="0" applyNumberFormat="1" applyBorder="1"/>
    <xf numFmtId="0" fontId="8" fillId="0" borderId="0" xfId="19" applyBorder="1"/>
    <xf numFmtId="2" fontId="12" fillId="7" borderId="54" xfId="19" applyNumberFormat="1" applyFont="1" applyFill="1" applyBorder="1" applyAlignment="1">
      <alignment horizontal="center" vertical="center" wrapText="1"/>
    </xf>
    <xf numFmtId="0" fontId="12" fillId="7" borderId="54" xfId="19" applyFont="1" applyFill="1" applyBorder="1" applyAlignment="1">
      <alignment horizontal="center" vertical="center" wrapText="1"/>
    </xf>
    <xf numFmtId="2" fontId="8" fillId="5" borderId="54" xfId="19" applyNumberFormat="1" applyFill="1" applyBorder="1"/>
    <xf numFmtId="2" fontId="8" fillId="0" borderId="54" xfId="19" applyNumberFormat="1" applyBorder="1"/>
    <xf numFmtId="0" fontId="14" fillId="4" borderId="55" xfId="19" applyFont="1" applyFill="1" applyBorder="1"/>
    <xf numFmtId="2" fontId="14" fillId="4" borderId="55" xfId="19" applyNumberFormat="1" applyFont="1" applyFill="1" applyBorder="1"/>
    <xf numFmtId="0" fontId="8" fillId="0" borderId="0" xfId="18" applyBorder="1"/>
    <xf numFmtId="2" fontId="12" fillId="7" borderId="54" xfId="18" applyNumberFormat="1" applyFont="1" applyFill="1" applyBorder="1" applyAlignment="1">
      <alignment horizontal="center" vertical="center" wrapText="1"/>
    </xf>
    <xf numFmtId="0" fontId="12" fillId="7" borderId="54" xfId="18" applyFont="1" applyFill="1" applyBorder="1" applyAlignment="1">
      <alignment horizontal="center" vertical="center" wrapText="1"/>
    </xf>
    <xf numFmtId="2" fontId="8" fillId="5" borderId="54" xfId="18" applyNumberFormat="1" applyFill="1" applyBorder="1"/>
    <xf numFmtId="2" fontId="21" fillId="4" borderId="54" xfId="18" applyNumberFormat="1" applyFont="1" applyFill="1" applyBorder="1"/>
    <xf numFmtId="2" fontId="8" fillId="0" borderId="54" xfId="18" applyNumberFormat="1" applyBorder="1"/>
    <xf numFmtId="2" fontId="21" fillId="4" borderId="55" xfId="18" applyNumberFormat="1" applyFont="1" applyFill="1" applyBorder="1"/>
    <xf numFmtId="0" fontId="24" fillId="5" borderId="51" xfId="3" applyFont="1" applyFill="1" applyBorder="1" applyAlignment="1">
      <alignment horizontal="center"/>
    </xf>
    <xf numFmtId="166" fontId="24" fillId="5" borderId="52" xfId="3" applyNumberFormat="1" applyFont="1" applyFill="1" applyBorder="1"/>
    <xf numFmtId="166" fontId="24" fillId="6" borderId="52" xfId="3" applyNumberFormat="1" applyFont="1" applyFill="1" applyBorder="1"/>
    <xf numFmtId="44" fontId="24" fillId="5" borderId="52" xfId="16" applyFont="1" applyFill="1" applyBorder="1" applyAlignment="1"/>
    <xf numFmtId="44" fontId="24" fillId="5" borderId="53" xfId="16" applyFont="1" applyFill="1" applyBorder="1"/>
    <xf numFmtId="0" fontId="24" fillId="0" borderId="51" xfId="3" applyFont="1" applyFill="1" applyBorder="1" applyAlignment="1">
      <alignment horizontal="center"/>
    </xf>
    <xf numFmtId="166" fontId="24" fillId="0" borderId="52" xfId="3" applyNumberFormat="1" applyFont="1" applyBorder="1"/>
    <xf numFmtId="166" fontId="24" fillId="0" borderId="52" xfId="3" applyNumberFormat="1" applyFont="1" applyFill="1" applyBorder="1"/>
    <xf numFmtId="44" fontId="24" fillId="0" borderId="52" xfId="16" applyFont="1" applyBorder="1" applyAlignment="1"/>
    <xf numFmtId="44" fontId="24" fillId="0" borderId="53" xfId="16" applyFont="1" applyFill="1" applyBorder="1"/>
    <xf numFmtId="44" fontId="24" fillId="0" borderId="52" xfId="16" applyFont="1" applyFill="1" applyBorder="1" applyAlignment="1"/>
    <xf numFmtId="0" fontId="24" fillId="0" borderId="51" xfId="3" applyFont="1" applyBorder="1" applyAlignment="1">
      <alignment horizontal="center"/>
    </xf>
    <xf numFmtId="44" fontId="24" fillId="0" borderId="52" xfId="16" applyFont="1" applyFill="1" applyBorder="1"/>
    <xf numFmtId="44" fontId="24" fillId="0" borderId="53" xfId="16" applyFont="1" applyBorder="1"/>
    <xf numFmtId="0" fontId="1" fillId="5" borderId="56" xfId="0" applyFont="1" applyFill="1" applyBorder="1"/>
    <xf numFmtId="0" fontId="1" fillId="0" borderId="56" xfId="0" applyFont="1" applyBorder="1"/>
    <xf numFmtId="0" fontId="1" fillId="5" borderId="56" xfId="19" applyFont="1" applyFill="1" applyBorder="1"/>
    <xf numFmtId="2" fontId="8" fillId="5" borderId="57" xfId="19" applyNumberFormat="1" applyFill="1" applyBorder="1"/>
    <xf numFmtId="0" fontId="1" fillId="0" borderId="56" xfId="19" applyFont="1" applyBorder="1"/>
    <xf numFmtId="0" fontId="1" fillId="5" borderId="56" xfId="18" applyFont="1" applyFill="1" applyBorder="1"/>
    <xf numFmtId="0" fontId="1" fillId="0" borderId="56" xfId="18" applyFont="1" applyBorder="1"/>
    <xf numFmtId="0" fontId="12" fillId="7" borderId="58" xfId="0" applyFont="1" applyFill="1" applyBorder="1" applyAlignment="1">
      <alignment horizontal="center"/>
    </xf>
    <xf numFmtId="0" fontId="20" fillId="0" borderId="58" xfId="0" applyFont="1" applyFill="1" applyBorder="1" applyAlignment="1">
      <alignment horizontal="center"/>
    </xf>
    <xf numFmtId="0" fontId="20" fillId="0" borderId="59" xfId="0" applyFont="1" applyFill="1" applyBorder="1" applyAlignment="1"/>
    <xf numFmtId="0" fontId="20" fillId="0" borderId="59" xfId="0" applyFont="1" applyFill="1" applyBorder="1"/>
    <xf numFmtId="166" fontId="20" fillId="0" borderId="60" xfId="0" applyNumberFormat="1" applyFont="1" applyFill="1" applyBorder="1"/>
    <xf numFmtId="0" fontId="20" fillId="0" borderId="60" xfId="0" applyFont="1" applyFill="1" applyBorder="1"/>
    <xf numFmtId="166" fontId="13" fillId="5" borderId="59" xfId="0" applyNumberFormat="1" applyFont="1" applyFill="1" applyBorder="1"/>
    <xf numFmtId="166" fontId="13" fillId="5" borderId="54" xfId="0" applyNumberFormat="1" applyFont="1" applyFill="1" applyBorder="1"/>
    <xf numFmtId="44" fontId="13" fillId="5" borderId="54" xfId="2" applyFont="1" applyFill="1" applyBorder="1"/>
    <xf numFmtId="44" fontId="13" fillId="5" borderId="60" xfId="2" applyFont="1" applyFill="1" applyBorder="1"/>
    <xf numFmtId="166" fontId="13" fillId="0" borderId="59" xfId="0" applyNumberFormat="1" applyFont="1" applyFill="1" applyBorder="1"/>
    <xf numFmtId="166" fontId="13" fillId="0" borderId="54" xfId="0" applyNumberFormat="1" applyFont="1" applyFill="1" applyBorder="1"/>
    <xf numFmtId="44" fontId="13" fillId="0" borderId="54" xfId="2" applyFont="1" applyBorder="1"/>
    <xf numFmtId="44" fontId="13" fillId="0" borderId="60" xfId="2" applyFont="1" applyBorder="1"/>
    <xf numFmtId="0" fontId="13" fillId="5" borderId="59" xfId="0" applyFont="1" applyFill="1" applyBorder="1" applyAlignment="1">
      <alignment horizontal="center"/>
    </xf>
    <xf numFmtId="166" fontId="13" fillId="6" borderId="54" xfId="0" applyNumberFormat="1" applyFont="1" applyFill="1" applyBorder="1"/>
    <xf numFmtId="9" fontId="13" fillId="5" borderId="54" xfId="1" applyFont="1" applyFill="1" applyBorder="1" applyAlignment="1"/>
    <xf numFmtId="166" fontId="13" fillId="5" borderId="60" xfId="0" applyNumberFormat="1" applyFont="1" applyFill="1" applyBorder="1"/>
    <xf numFmtId="0" fontId="13" fillId="0" borderId="59" xfId="0" applyFont="1" applyFill="1" applyBorder="1" applyAlignment="1">
      <alignment horizontal="center"/>
    </xf>
    <xf numFmtId="166" fontId="13" fillId="0" borderId="54" xfId="0" applyNumberFormat="1" applyFont="1" applyBorder="1"/>
    <xf numFmtId="9" fontId="13" fillId="0" borderId="54" xfId="1" applyFont="1" applyBorder="1" applyAlignment="1"/>
    <xf numFmtId="166" fontId="13" fillId="0" borderId="60" xfId="0" applyNumberFormat="1" applyFont="1" applyFill="1" applyBorder="1"/>
    <xf numFmtId="9" fontId="13" fillId="0" borderId="54" xfId="1" applyFont="1" applyFill="1" applyBorder="1" applyAlignment="1"/>
    <xf numFmtId="10" fontId="13" fillId="5" borderId="54" xfId="1" applyNumberFormat="1" applyFont="1" applyFill="1" applyBorder="1" applyAlignment="1"/>
    <xf numFmtId="10" fontId="13" fillId="0" borderId="54" xfId="1" applyNumberFormat="1" applyFont="1" applyFill="1" applyBorder="1" applyAlignment="1"/>
    <xf numFmtId="0" fontId="20" fillId="0" borderId="59" xfId="0" applyFont="1" applyBorder="1" applyAlignment="1">
      <alignment horizontal="center"/>
    </xf>
    <xf numFmtId="166" fontId="20" fillId="0" borderId="60" xfId="0" applyNumberFormat="1" applyFont="1" applyBorder="1"/>
    <xf numFmtId="166" fontId="20" fillId="5" borderId="60" xfId="0" applyNumberFormat="1" applyFont="1" applyFill="1" applyBorder="1"/>
    <xf numFmtId="166" fontId="12" fillId="7" borderId="59" xfId="0" applyNumberFormat="1" applyFont="1" applyFill="1" applyBorder="1" applyAlignment="1">
      <alignment horizontal="center"/>
    </xf>
    <xf numFmtId="166" fontId="12" fillId="7" borderId="54" xfId="0" applyNumberFormat="1" applyFont="1" applyFill="1" applyBorder="1" applyAlignment="1">
      <alignment horizontal="center"/>
    </xf>
    <xf numFmtId="0" fontId="12" fillId="7" borderId="54" xfId="0" applyFont="1" applyFill="1" applyBorder="1" applyAlignment="1">
      <alignment horizontal="center"/>
    </xf>
    <xf numFmtId="0" fontId="12" fillId="7" borderId="60" xfId="0" applyFont="1" applyFill="1" applyBorder="1" applyAlignment="1">
      <alignment horizontal="center"/>
    </xf>
    <xf numFmtId="0" fontId="20" fillId="5" borderId="59" xfId="0" applyFont="1" applyFill="1" applyBorder="1"/>
    <xf numFmtId="2" fontId="8" fillId="0" borderId="54" xfId="18" applyNumberFormat="1" applyFill="1" applyBorder="1"/>
    <xf numFmtId="0" fontId="12" fillId="7" borderId="57" xfId="18" applyFont="1" applyFill="1" applyBorder="1" applyAlignment="1">
      <alignment horizontal="center" vertical="center" wrapText="1"/>
    </xf>
    <xf numFmtId="2" fontId="21" fillId="4" borderId="57" xfId="18" applyNumberFormat="1" applyFont="1" applyFill="1" applyBorder="1"/>
    <xf numFmtId="0" fontId="12" fillId="7" borderId="58" xfId="18" applyFont="1" applyFill="1" applyBorder="1" applyAlignment="1">
      <alignment horizontal="center" vertical="center"/>
    </xf>
    <xf numFmtId="0" fontId="23" fillId="7" borderId="61" xfId="3" applyFont="1" applyFill="1" applyBorder="1" applyAlignment="1">
      <alignment horizontal="center"/>
    </xf>
    <xf numFmtId="0" fontId="23" fillId="7" borderId="50" xfId="3" applyFont="1" applyFill="1" applyBorder="1" applyAlignment="1">
      <alignment horizontal="center"/>
    </xf>
    <xf numFmtId="0" fontId="23" fillId="7" borderId="50" xfId="3" applyFont="1" applyFill="1" applyBorder="1" applyAlignment="1"/>
    <xf numFmtId="0" fontId="23" fillId="7" borderId="62" xfId="3" applyFont="1" applyFill="1" applyBorder="1" applyAlignment="1">
      <alignment horizontal="center"/>
    </xf>
    <xf numFmtId="0" fontId="22" fillId="0" borderId="0" xfId="3" applyFont="1" applyFill="1" applyBorder="1" applyAlignment="1">
      <alignment horizontal="center"/>
    </xf>
    <xf numFmtId="0" fontId="12" fillId="7" borderId="47" xfId="0" applyFont="1" applyFill="1" applyBorder="1"/>
    <xf numFmtId="0" fontId="12" fillId="7" borderId="58" xfId="0" applyFont="1" applyFill="1" applyBorder="1" applyAlignment="1">
      <alignment horizontal="center" vertical="center"/>
    </xf>
    <xf numFmtId="44" fontId="13" fillId="5" borderId="58" xfId="2" applyFont="1" applyFill="1" applyBorder="1"/>
    <xf numFmtId="0" fontId="12" fillId="7" borderId="59" xfId="0" applyFont="1" applyFill="1" applyBorder="1" applyAlignment="1">
      <alignment horizontal="center"/>
    </xf>
    <xf numFmtId="17" fontId="20" fillId="5" borderId="60" xfId="0" applyNumberFormat="1" applyFont="1" applyFill="1" applyBorder="1"/>
    <xf numFmtId="0" fontId="8" fillId="0" borderId="63" xfId="18" applyFill="1" applyBorder="1" applyAlignment="1"/>
    <xf numFmtId="0" fontId="25" fillId="0" borderId="0" xfId="0" applyFont="1" applyAlignment="1">
      <alignment horizontal="left"/>
    </xf>
    <xf numFmtId="0" fontId="13" fillId="0" borderId="65" xfId="0" applyFont="1" applyBorder="1"/>
    <xf numFmtId="0" fontId="20" fillId="0" borderId="64" xfId="0" applyFont="1" applyBorder="1" applyAlignment="1">
      <alignment horizontal="center"/>
    </xf>
    <xf numFmtId="44" fontId="14" fillId="4" borderId="65" xfId="0" applyNumberFormat="1" applyFont="1" applyFill="1" applyBorder="1"/>
    <xf numFmtId="44" fontId="20" fillId="0" borderId="66" xfId="0" applyNumberFormat="1" applyFont="1" applyBorder="1"/>
    <xf numFmtId="44" fontId="20" fillId="0" borderId="71" xfId="0" applyNumberFormat="1" applyFont="1" applyFill="1" applyBorder="1"/>
    <xf numFmtId="0" fontId="12" fillId="7" borderId="67" xfId="0" applyFont="1" applyFill="1" applyBorder="1" applyAlignment="1">
      <alignment horizontal="center"/>
    </xf>
    <xf numFmtId="0" fontId="12" fillId="7" borderId="68" xfId="0" applyFont="1" applyFill="1" applyBorder="1" applyAlignment="1">
      <alignment horizontal="center"/>
    </xf>
    <xf numFmtId="2" fontId="8" fillId="5" borderId="72" xfId="19" applyNumberFormat="1" applyFill="1" applyBorder="1"/>
    <xf numFmtId="2" fontId="8" fillId="0" borderId="72" xfId="19" applyNumberFormat="1" applyFill="1" applyBorder="1"/>
    <xf numFmtId="0" fontId="1" fillId="5" borderId="59" xfId="18" applyFont="1" applyFill="1" applyBorder="1"/>
    <xf numFmtId="0" fontId="1" fillId="0" borderId="59" xfId="18" applyFont="1" applyBorder="1"/>
    <xf numFmtId="2" fontId="8" fillId="5" borderId="72" xfId="18" applyNumberFormat="1" applyFill="1" applyBorder="1"/>
    <xf numFmtId="2" fontId="8" fillId="0" borderId="72" xfId="18" applyNumberFormat="1" applyFill="1" applyBorder="1"/>
    <xf numFmtId="2" fontId="0" fillId="5" borderId="72" xfId="0" applyNumberFormat="1" applyFill="1" applyBorder="1"/>
    <xf numFmtId="2" fontId="0" fillId="0" borderId="72" xfId="0" applyNumberFormat="1" applyFill="1" applyBorder="1"/>
    <xf numFmtId="0" fontId="20" fillId="5" borderId="59" xfId="0" applyFont="1" applyFill="1" applyBorder="1" applyAlignment="1"/>
    <xf numFmtId="0" fontId="1" fillId="0" borderId="59" xfId="0" applyFont="1" applyBorder="1"/>
    <xf numFmtId="0" fontId="1" fillId="5" borderId="70" xfId="0" applyFont="1" applyFill="1" applyBorder="1" applyAlignment="1">
      <alignment horizontal="left"/>
    </xf>
    <xf numFmtId="0" fontId="1" fillId="0" borderId="59" xfId="0" applyFont="1" applyFill="1" applyBorder="1" applyAlignment="1">
      <alignment horizontal="left"/>
    </xf>
    <xf numFmtId="0" fontId="1" fillId="5" borderId="59" xfId="0" applyFont="1" applyFill="1" applyBorder="1" applyAlignment="1">
      <alignment horizontal="left"/>
    </xf>
    <xf numFmtId="44" fontId="20" fillId="5" borderId="71" xfId="0" applyNumberFormat="1" applyFont="1" applyFill="1" applyBorder="1"/>
    <xf numFmtId="44" fontId="0" fillId="5" borderId="67" xfId="2" applyFont="1" applyFill="1" applyBorder="1"/>
    <xf numFmtId="44" fontId="0" fillId="0" borderId="67" xfId="2" applyFont="1" applyBorder="1"/>
    <xf numFmtId="0" fontId="12" fillId="7" borderId="69" xfId="0" applyFont="1" applyFill="1" applyBorder="1" applyAlignment="1">
      <alignment horizontal="center"/>
    </xf>
    <xf numFmtId="0" fontId="12" fillId="7" borderId="67" xfId="0" applyFont="1" applyFill="1" applyBorder="1" applyAlignment="1">
      <alignment horizontal="center"/>
    </xf>
    <xf numFmtId="0" fontId="20" fillId="5" borderId="64" xfId="0" applyFont="1" applyFill="1" applyBorder="1" applyAlignment="1"/>
    <xf numFmtId="0" fontId="20" fillId="0" borderId="67" xfId="0" applyFont="1" applyFill="1" applyBorder="1" applyAlignment="1"/>
    <xf numFmtId="44" fontId="1" fillId="0" borderId="76" xfId="0" applyNumberFormat="1" applyFont="1" applyBorder="1" applyAlignment="1">
      <alignment horizontal="right" vertical="center"/>
    </xf>
    <xf numFmtId="0" fontId="12" fillId="7" borderId="59" xfId="0" applyFont="1" applyFill="1" applyBorder="1"/>
    <xf numFmtId="0" fontId="12" fillId="7" borderId="54" xfId="0" applyFont="1" applyFill="1" applyBorder="1"/>
    <xf numFmtId="0" fontId="12" fillId="7" borderId="60" xfId="0" applyFont="1" applyFill="1" applyBorder="1"/>
    <xf numFmtId="0" fontId="1" fillId="5" borderId="59" xfId="0" applyFont="1" applyFill="1" applyBorder="1"/>
    <xf numFmtId="0" fontId="0" fillId="5" borderId="54" xfId="0" applyFill="1" applyBorder="1"/>
    <xf numFmtId="0" fontId="0" fillId="5" borderId="60" xfId="0" applyFill="1" applyBorder="1"/>
    <xf numFmtId="0" fontId="0" fillId="0" borderId="54" xfId="0" applyBorder="1"/>
    <xf numFmtId="0" fontId="1" fillId="5" borderId="59" xfId="0" applyFont="1" applyFill="1" applyBorder="1" applyAlignment="1">
      <alignment wrapText="1"/>
    </xf>
    <xf numFmtId="0" fontId="1" fillId="0" borderId="59" xfId="0" applyFont="1" applyBorder="1" applyAlignment="1">
      <alignment wrapText="1"/>
    </xf>
    <xf numFmtId="0" fontId="20" fillId="5" borderId="77" xfId="0" applyFont="1" applyFill="1" applyBorder="1"/>
    <xf numFmtId="0" fontId="20" fillId="0" borderId="78" xfId="0" applyFont="1" applyFill="1" applyBorder="1"/>
    <xf numFmtId="0" fontId="20" fillId="5" borderId="81" xfId="0" applyFont="1" applyFill="1" applyBorder="1"/>
    <xf numFmtId="0" fontId="20" fillId="0" borderId="69" xfId="0" applyFont="1" applyFill="1" applyBorder="1"/>
    <xf numFmtId="0" fontId="0" fillId="2" borderId="60" xfId="0" applyFill="1" applyBorder="1"/>
    <xf numFmtId="0" fontId="0" fillId="2" borderId="82" xfId="0" applyFill="1" applyBorder="1"/>
    <xf numFmtId="0" fontId="0" fillId="2" borderId="75" xfId="0" applyFill="1" applyBorder="1"/>
    <xf numFmtId="1" fontId="0" fillId="0" borderId="54" xfId="0" applyNumberFormat="1" applyBorder="1"/>
    <xf numFmtId="1" fontId="0" fillId="0" borderId="60" xfId="0" applyNumberFormat="1" applyBorder="1"/>
    <xf numFmtId="44" fontId="0" fillId="0" borderId="54" xfId="0" applyNumberFormat="1" applyBorder="1"/>
    <xf numFmtId="1" fontId="0" fillId="5" borderId="54" xfId="0" applyNumberFormat="1" applyFill="1" applyBorder="1"/>
    <xf numFmtId="1" fontId="0" fillId="5" borderId="60" xfId="0" applyNumberFormat="1" applyFill="1" applyBorder="1"/>
    <xf numFmtId="44" fontId="0" fillId="5" borderId="54" xfId="2" applyFont="1" applyFill="1" applyBorder="1"/>
    <xf numFmtId="44" fontId="14" fillId="4" borderId="60" xfId="0" applyNumberFormat="1" applyFont="1" applyFill="1" applyBorder="1"/>
    <xf numFmtId="44" fontId="14" fillId="4" borderId="60" xfId="2" applyFont="1" applyFill="1" applyBorder="1"/>
    <xf numFmtId="44" fontId="0" fillId="5" borderId="74" xfId="2" applyFont="1" applyFill="1" applyBorder="1"/>
    <xf numFmtId="44" fontId="1" fillId="5" borderId="70" xfId="2" applyFont="1" applyFill="1" applyBorder="1" applyAlignment="1">
      <alignment horizontal="left"/>
    </xf>
    <xf numFmtId="44" fontId="0" fillId="0" borderId="0" xfId="0" applyNumberFormat="1"/>
    <xf numFmtId="0" fontId="12" fillId="7" borderId="59" xfId="0" applyFont="1" applyFill="1" applyBorder="1" applyAlignment="1">
      <alignment horizontal="center" vertical="center"/>
    </xf>
    <xf numFmtId="0" fontId="0" fillId="0" borderId="60" xfId="0" applyBorder="1"/>
    <xf numFmtId="44" fontId="0" fillId="0" borderId="60" xfId="2" applyFont="1" applyBorder="1"/>
    <xf numFmtId="170" fontId="1" fillId="0" borderId="59" xfId="0" applyNumberFormat="1" applyFont="1" applyBorder="1" applyAlignment="1">
      <alignment horizontal="center"/>
    </xf>
    <xf numFmtId="170" fontId="1" fillId="0" borderId="81" xfId="0" applyNumberFormat="1" applyFont="1" applyBorder="1" applyAlignment="1">
      <alignment horizontal="center"/>
    </xf>
    <xf numFmtId="0" fontId="12" fillId="7" borderId="70" xfId="0" applyFont="1" applyFill="1" applyBorder="1" applyAlignment="1">
      <alignment horizontal="center" vertical="center"/>
    </xf>
    <xf numFmtId="0" fontId="12" fillId="7" borderId="88" xfId="0" applyFont="1" applyFill="1" applyBorder="1" applyAlignment="1">
      <alignment horizontal="center" vertical="center"/>
    </xf>
    <xf numFmtId="0" fontId="12" fillId="7" borderId="88" xfId="0" applyFont="1" applyFill="1" applyBorder="1" applyAlignment="1">
      <alignment horizontal="center" vertical="center" wrapText="1"/>
    </xf>
    <xf numFmtId="0" fontId="12" fillId="7" borderId="75" xfId="0" applyFont="1" applyFill="1" applyBorder="1" applyAlignment="1">
      <alignment horizontal="center" vertical="center"/>
    </xf>
    <xf numFmtId="0" fontId="0" fillId="0" borderId="89" xfId="0" applyBorder="1"/>
    <xf numFmtId="0" fontId="1" fillId="0" borderId="54" xfId="0" applyNumberFormat="1" applyFont="1" applyBorder="1" applyAlignment="1">
      <alignment horizontal="center"/>
    </xf>
    <xf numFmtId="0" fontId="1" fillId="0" borderId="83" xfId="0" applyNumberFormat="1" applyFont="1" applyBorder="1" applyAlignment="1">
      <alignment horizontal="center"/>
    </xf>
    <xf numFmtId="0" fontId="1" fillId="0" borderId="59" xfId="0" applyFont="1" applyBorder="1" applyAlignment="1">
      <alignment horizontal="center"/>
    </xf>
    <xf numFmtId="0" fontId="1" fillId="0" borderId="54" xfId="0" applyFont="1" applyBorder="1" applyAlignment="1">
      <alignment horizontal="center"/>
    </xf>
    <xf numFmtId="0" fontId="12" fillId="7" borderId="60" xfId="0" applyFont="1" applyFill="1" applyBorder="1" applyAlignment="1">
      <alignment horizontal="center" vertical="center" wrapText="1"/>
    </xf>
    <xf numFmtId="170" fontId="1" fillId="5" borderId="59" xfId="0" applyNumberFormat="1" applyFont="1" applyFill="1" applyBorder="1" applyAlignment="1">
      <alignment horizontal="center"/>
    </xf>
    <xf numFmtId="0" fontId="1" fillId="5" borderId="54" xfId="0" applyNumberFormat="1" applyFont="1" applyFill="1" applyBorder="1" applyAlignment="1">
      <alignment horizontal="center"/>
    </xf>
    <xf numFmtId="0" fontId="1" fillId="5" borderId="85" xfId="0" applyFont="1" applyFill="1" applyBorder="1" applyAlignment="1">
      <alignment horizontal="center"/>
    </xf>
    <xf numFmtId="0" fontId="0" fillId="5" borderId="84" xfId="0" applyFill="1" applyBorder="1" applyAlignment="1">
      <alignment horizontal="center"/>
    </xf>
    <xf numFmtId="0" fontId="0" fillId="5" borderId="84" xfId="0" applyFill="1" applyBorder="1"/>
    <xf numFmtId="44" fontId="0" fillId="5" borderId="86" xfId="2" applyFont="1" applyFill="1" applyBorder="1"/>
    <xf numFmtId="44" fontId="0" fillId="5" borderId="91" xfId="2" applyFont="1" applyFill="1" applyBorder="1"/>
    <xf numFmtId="44" fontId="0" fillId="0" borderId="91" xfId="2" applyFont="1" applyBorder="1"/>
    <xf numFmtId="44" fontId="0" fillId="0" borderId="90" xfId="2" applyFont="1" applyBorder="1"/>
    <xf numFmtId="0" fontId="1" fillId="5" borderId="84" xfId="0" applyFont="1" applyFill="1" applyBorder="1" applyAlignment="1">
      <alignment horizontal="center"/>
    </xf>
    <xf numFmtId="0" fontId="0" fillId="0" borderId="54" xfId="0" applyBorder="1" applyAlignment="1">
      <alignment horizontal="center"/>
    </xf>
    <xf numFmtId="44" fontId="0" fillId="0" borderId="59" xfId="0" applyNumberFormat="1" applyBorder="1"/>
    <xf numFmtId="0" fontId="0" fillId="0" borderId="54" xfId="0" quotePrefix="1" applyBorder="1" applyAlignment="1">
      <alignment horizontal="center"/>
    </xf>
    <xf numFmtId="44" fontId="0" fillId="0" borderId="60" xfId="0" applyNumberFormat="1" applyBorder="1"/>
    <xf numFmtId="0" fontId="0" fillId="5" borderId="79" xfId="0" applyFill="1" applyBorder="1"/>
    <xf numFmtId="0" fontId="0" fillId="0" borderId="57" xfId="0" applyBorder="1"/>
    <xf numFmtId="0" fontId="25" fillId="0" borderId="0" xfId="0" applyFont="1"/>
    <xf numFmtId="0" fontId="0" fillId="0" borderId="10" xfId="0" applyFont="1" applyBorder="1"/>
    <xf numFmtId="170" fontId="1" fillId="0" borderId="59" xfId="0" applyNumberFormat="1" applyFont="1" applyFill="1" applyBorder="1" applyAlignment="1">
      <alignment horizontal="center"/>
    </xf>
    <xf numFmtId="44" fontId="0" fillId="0" borderId="91" xfId="2" applyFont="1" applyFill="1" applyBorder="1"/>
    <xf numFmtId="0" fontId="12" fillId="7" borderId="99" xfId="0" applyFont="1" applyFill="1" applyBorder="1" applyAlignment="1">
      <alignment horizontal="center"/>
    </xf>
    <xf numFmtId="44" fontId="1" fillId="0" borderId="102" xfId="0" applyNumberFormat="1" applyFont="1" applyBorder="1" applyAlignment="1"/>
    <xf numFmtId="1" fontId="0" fillId="5" borderId="104" xfId="0" applyNumberFormat="1" applyFill="1" applyBorder="1"/>
    <xf numFmtId="44" fontId="0" fillId="0" borderId="68" xfId="2" applyFont="1" applyFill="1" applyBorder="1"/>
    <xf numFmtId="0" fontId="26" fillId="0" borderId="0" xfId="0" applyFont="1" applyFill="1" applyAlignment="1"/>
    <xf numFmtId="4" fontId="32" fillId="0" borderId="10" xfId="4" applyNumberFormat="1" applyFont="1" applyFill="1" applyBorder="1" applyAlignment="1" applyProtection="1">
      <alignment horizontal="right"/>
      <protection locked="0"/>
    </xf>
    <xf numFmtId="4" fontId="19" fillId="0" borderId="10" xfId="4" applyNumberFormat="1" applyFont="1" applyFill="1" applyBorder="1" applyAlignment="1" applyProtection="1">
      <alignment horizontal="right"/>
      <protection locked="0"/>
    </xf>
    <xf numFmtId="0" fontId="11" fillId="0" borderId="0" xfId="0" applyFont="1"/>
    <xf numFmtId="0" fontId="0" fillId="0" borderId="31" xfId="0" applyBorder="1"/>
    <xf numFmtId="0" fontId="0" fillId="0" borderId="32" xfId="0" applyBorder="1"/>
    <xf numFmtId="2" fontId="0" fillId="0" borderId="32" xfId="0" applyNumberFormat="1" applyBorder="1"/>
    <xf numFmtId="0" fontId="0" fillId="0" borderId="32" xfId="0" applyBorder="1" applyAlignment="1">
      <alignment horizontal="right"/>
    </xf>
    <xf numFmtId="0" fontId="0" fillId="0" borderId="44" xfId="0" applyBorder="1"/>
    <xf numFmtId="0" fontId="0" fillId="0" borderId="25" xfId="0" applyBorder="1"/>
    <xf numFmtId="0" fontId="0" fillId="0" borderId="49" xfId="0" applyBorder="1" applyAlignment="1">
      <alignment horizontal="right"/>
    </xf>
    <xf numFmtId="0" fontId="0" fillId="0" borderId="67" xfId="0" applyBorder="1"/>
    <xf numFmtId="0" fontId="0" fillId="0" borderId="31" xfId="0" applyBorder="1" applyAlignment="1">
      <alignment vertical="center"/>
    </xf>
    <xf numFmtId="0" fontId="16" fillId="0" borderId="0" xfId="0" applyFont="1" applyAlignment="1">
      <alignment horizontal="center"/>
    </xf>
    <xf numFmtId="2" fontId="8" fillId="0" borderId="54" xfId="19" applyNumberFormat="1" applyFill="1" applyBorder="1"/>
    <xf numFmtId="2" fontId="8" fillId="0" borderId="57" xfId="19" applyNumberFormat="1" applyFill="1" applyBorder="1"/>
    <xf numFmtId="2" fontId="14" fillId="4" borderId="57" xfId="0" applyNumberFormat="1" applyFont="1" applyFill="1" applyBorder="1"/>
    <xf numFmtId="2" fontId="0" fillId="0" borderId="54" xfId="0" applyNumberFormat="1" applyFill="1" applyBorder="1"/>
    <xf numFmtId="0" fontId="0" fillId="0" borderId="0" xfId="18" applyFont="1"/>
    <xf numFmtId="0" fontId="0" fillId="0" borderId="0" xfId="0" applyAlignment="1">
      <alignment vertical="top"/>
    </xf>
    <xf numFmtId="0" fontId="0" fillId="0" borderId="0" xfId="19" applyFont="1"/>
    <xf numFmtId="0" fontId="16" fillId="0" borderId="0" xfId="0" applyFont="1" applyAlignment="1"/>
    <xf numFmtId="2" fontId="8" fillId="8" borderId="54" xfId="19" applyNumberFormat="1" applyFill="1" applyBorder="1" applyProtection="1">
      <protection locked="0"/>
    </xf>
    <xf numFmtId="2" fontId="8" fillId="8" borderId="54" xfId="19" quotePrefix="1" applyNumberFormat="1" applyFill="1" applyBorder="1" applyProtection="1">
      <protection locked="0"/>
    </xf>
    <xf numFmtId="2" fontId="0" fillId="8" borderId="54" xfId="0" applyNumberFormat="1" applyFill="1" applyBorder="1" applyProtection="1">
      <protection locked="0"/>
    </xf>
    <xf numFmtId="44" fontId="20" fillId="8" borderId="60" xfId="2" applyFont="1" applyFill="1" applyBorder="1" applyProtection="1">
      <protection locked="0"/>
    </xf>
    <xf numFmtId="0" fontId="20" fillId="8" borderId="60" xfId="0" applyFont="1" applyFill="1" applyBorder="1" applyProtection="1">
      <protection locked="0"/>
    </xf>
    <xf numFmtId="17" fontId="20" fillId="8" borderId="60" xfId="0" applyNumberFormat="1" applyFont="1" applyFill="1" applyBorder="1" applyProtection="1">
      <protection locked="0"/>
    </xf>
    <xf numFmtId="0" fontId="0" fillId="8" borderId="82" xfId="0" applyFill="1" applyBorder="1" applyAlignment="1" applyProtection="1">
      <alignment horizontal="left"/>
      <protection locked="0"/>
    </xf>
    <xf numFmtId="2" fontId="0" fillId="8" borderId="68" xfId="0" applyNumberFormat="1" applyFill="1" applyBorder="1" applyAlignment="1" applyProtection="1">
      <alignment horizontal="left"/>
      <protection locked="0"/>
    </xf>
    <xf numFmtId="1" fontId="0" fillId="8" borderId="80" xfId="0" applyNumberFormat="1" applyFill="1" applyBorder="1" applyAlignment="1" applyProtection="1">
      <alignment horizontal="left"/>
      <protection locked="0"/>
    </xf>
    <xf numFmtId="44" fontId="0" fillId="8" borderId="73" xfId="2" applyFont="1" applyFill="1" applyBorder="1" applyProtection="1">
      <protection locked="0"/>
    </xf>
    <xf numFmtId="2" fontId="0" fillId="8" borderId="54" xfId="2" applyNumberFormat="1" applyFont="1" applyFill="1" applyBorder="1" applyProtection="1">
      <protection locked="0"/>
    </xf>
    <xf numFmtId="2" fontId="0" fillId="8" borderId="83" xfId="2" applyNumberFormat="1" applyFont="1" applyFill="1" applyBorder="1" applyProtection="1">
      <protection locked="0"/>
    </xf>
    <xf numFmtId="0" fontId="0" fillId="8" borderId="69" xfId="0" applyFill="1" applyBorder="1" applyAlignment="1" applyProtection="1">
      <alignment horizontal="center"/>
      <protection locked="0"/>
    </xf>
    <xf numFmtId="0" fontId="0" fillId="8" borderId="67" xfId="0" applyFill="1" applyBorder="1" applyAlignment="1" applyProtection="1">
      <alignment horizontal="center"/>
      <protection locked="0"/>
    </xf>
    <xf numFmtId="0" fontId="27" fillId="0" borderId="0" xfId="3" applyFont="1" applyProtection="1">
      <protection locked="0"/>
    </xf>
    <xf numFmtId="0" fontId="15" fillId="0" borderId="0" xfId="3" applyProtection="1">
      <protection locked="0"/>
    </xf>
    <xf numFmtId="0" fontId="15" fillId="10" borderId="10" xfId="3" applyFont="1" applyFill="1" applyBorder="1" applyAlignment="1" applyProtection="1">
      <alignment horizontal="center" vertical="top" wrapText="1"/>
      <protection locked="0"/>
    </xf>
    <xf numFmtId="0" fontId="15" fillId="10" borderId="10" xfId="3" applyFill="1" applyBorder="1" applyAlignment="1" applyProtection="1">
      <alignment horizontal="center" vertical="top" wrapText="1"/>
      <protection locked="0"/>
    </xf>
    <xf numFmtId="0" fontId="19" fillId="0" borderId="10" xfId="3" applyFont="1" applyFill="1" applyBorder="1" applyAlignment="1" applyProtection="1">
      <alignment horizontal="center" vertical="top" wrapText="1"/>
      <protection locked="0"/>
    </xf>
    <xf numFmtId="0" fontId="29" fillId="0" borderId="10" xfId="3" applyFont="1" applyFill="1" applyBorder="1" applyAlignment="1" applyProtection="1">
      <alignment horizontal="center" vertical="top" wrapText="1"/>
      <protection locked="0"/>
    </xf>
    <xf numFmtId="0" fontId="18" fillId="0" borderId="10" xfId="3" applyFont="1" applyBorder="1" applyAlignment="1" applyProtection="1">
      <alignment horizontal="center" vertical="top"/>
      <protection locked="0"/>
    </xf>
    <xf numFmtId="0" fontId="27" fillId="0" borderId="10" xfId="3" applyFont="1" applyFill="1" applyBorder="1" applyProtection="1">
      <protection locked="0"/>
    </xf>
    <xf numFmtId="0" fontId="15" fillId="0" borderId="10" xfId="3" applyFill="1" applyBorder="1" applyProtection="1">
      <protection locked="0"/>
    </xf>
    <xf numFmtId="0" fontId="27" fillId="0" borderId="10" xfId="3" applyFont="1" applyFill="1" applyBorder="1" applyAlignment="1" applyProtection="1">
      <alignment horizontal="center"/>
      <protection locked="0"/>
    </xf>
    <xf numFmtId="0" fontId="30" fillId="0" borderId="10" xfId="3" applyFont="1" applyFill="1" applyBorder="1" applyAlignment="1" applyProtection="1">
      <alignment horizontal="left"/>
      <protection locked="0"/>
    </xf>
    <xf numFmtId="14" fontId="27" fillId="0" borderId="10" xfId="3" applyNumberFormat="1" applyFont="1" applyFill="1" applyBorder="1" applyProtection="1">
      <protection locked="0"/>
    </xf>
    <xf numFmtId="4" fontId="31" fillId="0" borderId="10" xfId="4" applyNumberFormat="1" applyFont="1" applyBorder="1" applyAlignment="1" applyProtection="1">
      <alignment horizontal="right"/>
      <protection locked="0"/>
    </xf>
    <xf numFmtId="4" fontId="19" fillId="0" borderId="10" xfId="4" applyNumberFormat="1" applyFont="1" applyBorder="1" applyAlignment="1" applyProtection="1">
      <alignment horizontal="right"/>
      <protection locked="0"/>
    </xf>
    <xf numFmtId="0" fontId="15" fillId="0" borderId="10" xfId="3" applyBorder="1" applyProtection="1">
      <protection locked="0"/>
    </xf>
    <xf numFmtId="0" fontId="15" fillId="0" borderId="10" xfId="3" applyFill="1" applyBorder="1" applyAlignment="1" applyProtection="1">
      <alignment horizontal="left"/>
      <protection locked="0"/>
    </xf>
    <xf numFmtId="4" fontId="32" fillId="0" borderId="10" xfId="3" applyNumberFormat="1" applyFont="1" applyBorder="1" applyAlignment="1" applyProtection="1">
      <alignment horizontal="right"/>
      <protection locked="0"/>
    </xf>
    <xf numFmtId="4" fontId="15" fillId="0" borderId="10" xfId="3" applyNumberFormat="1" applyBorder="1" applyAlignment="1" applyProtection="1">
      <alignment horizontal="right"/>
      <protection locked="0"/>
    </xf>
    <xf numFmtId="0" fontId="2" fillId="0" borderId="0" xfId="0" applyFont="1" applyBorder="1" applyAlignment="1">
      <alignment horizontal="left" vertical="center"/>
    </xf>
    <xf numFmtId="0" fontId="9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31" xfId="0" applyFill="1" applyBorder="1"/>
    <xf numFmtId="0" fontId="2" fillId="0" borderId="0" xfId="0" applyFont="1" applyBorder="1" applyAlignment="1">
      <alignment vertical="center"/>
    </xf>
    <xf numFmtId="0" fontId="2" fillId="0" borderId="8" xfId="0" applyFont="1" applyBorder="1" applyAlignment="1">
      <alignment vertical="center"/>
    </xf>
    <xf numFmtId="0" fontId="8" fillId="0" borderId="88" xfId="18" applyBorder="1"/>
    <xf numFmtId="0" fontId="12" fillId="7" borderId="54" xfId="18" applyFont="1" applyFill="1" applyBorder="1" applyAlignment="1">
      <alignment horizontal="center" wrapText="1"/>
    </xf>
    <xf numFmtId="0" fontId="12" fillId="7" borderId="54" xfId="18" applyFont="1" applyFill="1" applyBorder="1" applyAlignment="1">
      <alignment horizontal="center"/>
    </xf>
    <xf numFmtId="0" fontId="12" fillId="7" borderId="60" xfId="18" applyFont="1" applyFill="1" applyBorder="1" applyAlignment="1">
      <alignment horizontal="center" wrapText="1"/>
    </xf>
    <xf numFmtId="0" fontId="12" fillId="7" borderId="0" xfId="18" applyFont="1" applyFill="1" applyAlignment="1">
      <alignment horizontal="center" wrapText="1"/>
    </xf>
    <xf numFmtId="2" fontId="8" fillId="8" borderId="54" xfId="18" applyNumberFormat="1" applyFill="1" applyBorder="1"/>
    <xf numFmtId="2" fontId="14" fillId="4" borderId="54" xfId="18" applyNumberFormat="1" applyFont="1" applyFill="1" applyBorder="1"/>
    <xf numFmtId="2" fontId="13" fillId="5" borderId="54" xfId="18" applyNumberFormat="1" applyFont="1" applyFill="1" applyBorder="1"/>
    <xf numFmtId="0" fontId="8" fillId="5" borderId="54" xfId="18" applyFill="1" applyBorder="1"/>
    <xf numFmtId="2" fontId="8" fillId="5" borderId="67" xfId="18" applyNumberFormat="1" applyFill="1" applyBorder="1"/>
    <xf numFmtId="2" fontId="13" fillId="0" borderId="54" xfId="18" applyNumberFormat="1" applyFont="1" applyFill="1" applyBorder="1"/>
    <xf numFmtId="0" fontId="8" fillId="0" borderId="54" xfId="18" applyFill="1" applyBorder="1"/>
    <xf numFmtId="0" fontId="8" fillId="0" borderId="54" xfId="18" applyBorder="1"/>
    <xf numFmtId="2" fontId="14" fillId="4" borderId="54" xfId="0" applyNumberFormat="1" applyFont="1" applyFill="1" applyBorder="1"/>
    <xf numFmtId="2" fontId="8" fillId="0" borderId="67" xfId="18" applyNumberFormat="1" applyBorder="1"/>
    <xf numFmtId="2" fontId="0" fillId="8" borderId="54" xfId="18" quotePrefix="1" applyNumberFormat="1" applyFont="1" applyFill="1" applyBorder="1"/>
    <xf numFmtId="0" fontId="5" fillId="0" borderId="0" xfId="0" applyFont="1" applyBorder="1" applyAlignment="1">
      <alignment vertical="center"/>
    </xf>
    <xf numFmtId="0" fontId="6" fillId="0" borderId="0" xfId="0" applyFont="1" applyBorder="1" applyAlignment="1">
      <alignment vertical="center"/>
    </xf>
    <xf numFmtId="0" fontId="5" fillId="0" borderId="8" xfId="0" applyFont="1" applyBorder="1" applyAlignment="1">
      <alignment vertical="center"/>
    </xf>
    <xf numFmtId="0" fontId="0" fillId="0" borderId="10" xfId="0" applyBorder="1" applyAlignment="1" applyProtection="1">
      <alignment horizontal="left"/>
      <protection locked="0"/>
    </xf>
    <xf numFmtId="0" fontId="0" fillId="0" borderId="30" xfId="0" applyBorder="1" applyAlignment="1" applyProtection="1">
      <alignment horizontal="left"/>
      <protection locked="0"/>
    </xf>
    <xf numFmtId="0" fontId="0" fillId="0" borderId="28" xfId="0" applyBorder="1" applyAlignment="1" applyProtection="1">
      <alignment horizontal="left"/>
      <protection locked="0"/>
    </xf>
    <xf numFmtId="49" fontId="0" fillId="0" borderId="10" xfId="0" applyNumberFormat="1" applyBorder="1" applyAlignment="1" applyProtection="1">
      <alignment horizontal="left"/>
      <protection locked="0"/>
    </xf>
    <xf numFmtId="10" fontId="0" fillId="0" borderId="10" xfId="1" applyNumberFormat="1" applyFont="1" applyBorder="1" applyAlignment="1" applyProtection="1">
      <alignment horizontal="left"/>
      <protection locked="0"/>
    </xf>
    <xf numFmtId="2" fontId="0" fillId="0" borderId="10" xfId="2" applyNumberFormat="1" applyFont="1" applyBorder="1" applyAlignment="1">
      <alignment horizontal="left"/>
    </xf>
    <xf numFmtId="0" fontId="1" fillId="0" borderId="0" xfId="0" applyFont="1"/>
    <xf numFmtId="0" fontId="8" fillId="8" borderId="54" xfId="18" applyFill="1" applyBorder="1" applyAlignment="1"/>
    <xf numFmtId="0" fontId="8" fillId="0" borderId="0" xfId="18" applyFill="1" applyBorder="1" applyAlignment="1"/>
    <xf numFmtId="2" fontId="14" fillId="4" borderId="67" xfId="18" applyNumberFormat="1" applyFont="1" applyFill="1" applyBorder="1"/>
    <xf numFmtId="0" fontId="2" fillId="0" borderId="0" xfId="0" applyFont="1" applyBorder="1" applyAlignment="1">
      <alignment horizontal="left" vertical="center"/>
    </xf>
    <xf numFmtId="0" fontId="2" fillId="0" borderId="6" xfId="0" applyFont="1" applyBorder="1" applyAlignment="1">
      <alignment horizontal="left" vertical="center"/>
    </xf>
    <xf numFmtId="0" fontId="2" fillId="0" borderId="0" xfId="0" applyFont="1" applyBorder="1" applyAlignment="1">
      <alignment vertical="center"/>
    </xf>
    <xf numFmtId="0" fontId="4" fillId="0" borderId="34" xfId="0" applyFont="1" applyBorder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0" fontId="2" fillId="0" borderId="41" xfId="0" applyFont="1" applyBorder="1" applyAlignment="1">
      <alignment horizontal="center" vertical="center"/>
    </xf>
    <xf numFmtId="0" fontId="2" fillId="0" borderId="8" xfId="0" applyFont="1" applyBorder="1" applyAlignment="1">
      <alignment vertical="center"/>
    </xf>
    <xf numFmtId="0" fontId="2" fillId="0" borderId="19" xfId="0" applyFont="1" applyBorder="1" applyAlignment="1">
      <alignment vertical="center"/>
    </xf>
    <xf numFmtId="0" fontId="2" fillId="0" borderId="22" xfId="0" applyFont="1" applyBorder="1" applyAlignment="1">
      <alignment vertical="center"/>
    </xf>
    <xf numFmtId="0" fontId="2" fillId="0" borderId="0" xfId="0" applyFont="1" applyBorder="1" applyAlignment="1">
      <alignment horizontal="left" vertical="center"/>
    </xf>
    <xf numFmtId="0" fontId="2" fillId="0" borderId="6" xfId="0" applyFont="1" applyBorder="1" applyAlignment="1">
      <alignment horizontal="left" vertical="center"/>
    </xf>
    <xf numFmtId="0" fontId="2" fillId="0" borderId="0" xfId="0" applyFont="1" applyBorder="1" applyAlignment="1">
      <alignment vertical="center"/>
    </xf>
    <xf numFmtId="0" fontId="4" fillId="0" borderId="34" xfId="0" applyFont="1" applyBorder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0" fontId="2" fillId="0" borderId="41" xfId="0" applyFont="1" applyBorder="1" applyAlignment="1">
      <alignment horizontal="center" vertical="center"/>
    </xf>
    <xf numFmtId="0" fontId="2" fillId="0" borderId="8" xfId="0" applyFont="1" applyBorder="1" applyAlignment="1">
      <alignment vertical="center"/>
    </xf>
    <xf numFmtId="0" fontId="2" fillId="0" borderId="9" xfId="0" applyFont="1" applyBorder="1" applyAlignment="1">
      <alignment vertical="center"/>
    </xf>
    <xf numFmtId="9" fontId="2" fillId="0" borderId="109" xfId="1" applyFont="1" applyBorder="1" applyAlignment="1">
      <alignment horizontal="center" vertical="center"/>
    </xf>
    <xf numFmtId="44" fontId="0" fillId="0" borderId="28" xfId="0" applyNumberFormat="1" applyFill="1" applyBorder="1" applyAlignment="1">
      <alignment vertical="center"/>
    </xf>
    <xf numFmtId="0" fontId="2" fillId="0" borderId="0" xfId="0" applyFont="1" applyBorder="1" applyAlignment="1">
      <alignment horizontal="left" vertical="center"/>
    </xf>
    <xf numFmtId="0" fontId="2" fillId="0" borderId="6" xfId="0" applyFont="1" applyBorder="1" applyAlignment="1">
      <alignment horizontal="left" vertical="center"/>
    </xf>
    <xf numFmtId="0" fontId="2" fillId="0" borderId="0" xfId="0" applyFont="1" applyBorder="1" applyAlignment="1">
      <alignment vertical="center"/>
    </xf>
    <xf numFmtId="0" fontId="4" fillId="0" borderId="34" xfId="0" applyFont="1" applyBorder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0" fontId="2" fillId="0" borderId="41" xfId="0" applyFont="1" applyBorder="1" applyAlignment="1">
      <alignment horizontal="center" vertical="center"/>
    </xf>
    <xf numFmtId="0" fontId="2" fillId="0" borderId="19" xfId="0" applyFont="1" applyBorder="1" applyAlignment="1">
      <alignment vertical="center"/>
    </xf>
    <xf numFmtId="0" fontId="2" fillId="0" borderId="22" xfId="0" applyFont="1" applyBorder="1" applyAlignment="1">
      <alignment vertical="center"/>
    </xf>
    <xf numFmtId="0" fontId="2" fillId="0" borderId="8" xfId="0" applyFont="1" applyBorder="1" applyAlignment="1">
      <alignment vertical="center"/>
    </xf>
    <xf numFmtId="0" fontId="5" fillId="11" borderId="31" xfId="0" applyFont="1" applyFill="1" applyBorder="1" applyAlignment="1">
      <alignment horizontal="center" vertical="center"/>
    </xf>
    <xf numFmtId="0" fontId="5" fillId="11" borderId="32" xfId="0" applyFont="1" applyFill="1" applyBorder="1" applyAlignment="1">
      <alignment horizontal="center" vertical="center"/>
    </xf>
    <xf numFmtId="0" fontId="2" fillId="11" borderId="0" xfId="0" applyFont="1" applyFill="1" applyBorder="1" applyAlignment="1">
      <alignment vertical="center"/>
    </xf>
    <xf numFmtId="0" fontId="0" fillId="11" borderId="0" xfId="0" applyFill="1" applyBorder="1" applyAlignment="1">
      <alignment vertical="center"/>
    </xf>
    <xf numFmtId="2" fontId="0" fillId="11" borderId="43" xfId="0" applyNumberFormat="1" applyFill="1" applyBorder="1" applyAlignment="1">
      <alignment vertical="center"/>
    </xf>
    <xf numFmtId="2" fontId="0" fillId="11" borderId="110" xfId="0" applyNumberFormat="1" applyFill="1" applyBorder="1" applyAlignment="1">
      <alignment vertical="center"/>
    </xf>
    <xf numFmtId="0" fontId="0" fillId="11" borderId="8" xfId="0" applyFill="1" applyBorder="1" applyAlignment="1">
      <alignment vertical="center"/>
    </xf>
    <xf numFmtId="0" fontId="0" fillId="11" borderId="9" xfId="0" applyFill="1" applyBorder="1" applyAlignment="1">
      <alignment vertical="center"/>
    </xf>
    <xf numFmtId="0" fontId="0" fillId="11" borderId="31" xfId="0" applyFill="1" applyBorder="1" applyAlignment="1">
      <alignment vertical="center"/>
    </xf>
    <xf numFmtId="0" fontId="0" fillId="11" borderId="32" xfId="0" applyFill="1" applyBorder="1" applyAlignment="1">
      <alignment vertical="center"/>
    </xf>
    <xf numFmtId="0" fontId="0" fillId="11" borderId="20" xfId="0" applyFill="1" applyBorder="1" applyAlignment="1">
      <alignment vertical="center"/>
    </xf>
    <xf numFmtId="0" fontId="0" fillId="11" borderId="45" xfId="0" applyFill="1" applyBorder="1" applyAlignment="1">
      <alignment vertical="center"/>
    </xf>
    <xf numFmtId="2" fontId="0" fillId="11" borderId="44" xfId="0" applyNumberFormat="1" applyFill="1" applyBorder="1" applyAlignment="1">
      <alignment vertical="center"/>
    </xf>
    <xf numFmtId="0" fontId="0" fillId="11" borderId="26" xfId="0" applyFill="1" applyBorder="1" applyAlignment="1">
      <alignment vertical="center"/>
    </xf>
    <xf numFmtId="0" fontId="0" fillId="11" borderId="38" xfId="0" applyFill="1" applyBorder="1" applyAlignment="1">
      <alignment vertical="center"/>
    </xf>
    <xf numFmtId="0" fontId="0" fillId="11" borderId="111" xfId="0" applyFill="1" applyBorder="1" applyAlignment="1">
      <alignment vertical="center"/>
    </xf>
    <xf numFmtId="9" fontId="2" fillId="0" borderId="29" xfId="1" applyFont="1" applyBorder="1" applyAlignment="1">
      <alignment vertical="center"/>
    </xf>
    <xf numFmtId="164" fontId="0" fillId="0" borderId="29" xfId="0" applyNumberFormat="1" applyBorder="1" applyAlignment="1">
      <alignment vertical="center"/>
    </xf>
    <xf numFmtId="0" fontId="2" fillId="0" borderId="19" xfId="0" applyFont="1" applyBorder="1" applyAlignment="1">
      <alignment vertical="center"/>
    </xf>
    <xf numFmtId="0" fontId="2" fillId="0" borderId="22" xfId="0" applyFont="1" applyBorder="1" applyAlignment="1">
      <alignment vertical="center"/>
    </xf>
    <xf numFmtId="0" fontId="4" fillId="0" borderId="34" xfId="0" applyFont="1" applyBorder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0" fontId="2" fillId="0" borderId="41" xfId="0" applyFont="1" applyBorder="1" applyAlignment="1">
      <alignment horizontal="center" vertical="center"/>
    </xf>
    <xf numFmtId="0" fontId="2" fillId="0" borderId="0" xfId="0" applyFont="1" applyBorder="1" applyAlignment="1">
      <alignment horizontal="left" vertical="center"/>
    </xf>
    <xf numFmtId="0" fontId="2" fillId="0" borderId="6" xfId="0" applyFont="1" applyBorder="1" applyAlignment="1">
      <alignment horizontal="left" vertical="center"/>
    </xf>
    <xf numFmtId="0" fontId="2" fillId="0" borderId="0" xfId="0" applyFont="1" applyBorder="1" applyAlignment="1">
      <alignment vertical="center"/>
    </xf>
    <xf numFmtId="0" fontId="2" fillId="0" borderId="8" xfId="0" applyFont="1" applyBorder="1" applyAlignment="1">
      <alignment vertical="center"/>
    </xf>
    <xf numFmtId="0" fontId="4" fillId="0" borderId="29" xfId="0" applyFont="1" applyBorder="1" applyAlignment="1">
      <alignment horizontal="center" vertical="center"/>
    </xf>
    <xf numFmtId="0" fontId="4" fillId="11" borderId="44" xfId="0" applyFont="1" applyFill="1" applyBorder="1" applyAlignment="1">
      <alignment horizontal="center" vertical="center"/>
    </xf>
    <xf numFmtId="0" fontId="2" fillId="11" borderId="49" xfId="0" applyFont="1" applyFill="1" applyBorder="1" applyAlignment="1">
      <alignment vertical="center"/>
    </xf>
    <xf numFmtId="0" fontId="0" fillId="0" borderId="44" xfId="0" applyBorder="1" applyAlignment="1">
      <alignment vertical="center"/>
    </xf>
    <xf numFmtId="2" fontId="2" fillId="0" borderId="1" xfId="0" applyNumberFormat="1" applyFont="1" applyBorder="1" applyAlignment="1">
      <alignment horizontal="right" vertical="center"/>
    </xf>
    <xf numFmtId="2" fontId="0" fillId="0" borderId="1" xfId="0" applyNumberFormat="1" applyFont="1" applyBorder="1" applyAlignment="1">
      <alignment horizontal="right" vertical="center"/>
    </xf>
    <xf numFmtId="0" fontId="0" fillId="0" borderId="39" xfId="0" applyFill="1" applyBorder="1" applyAlignment="1">
      <alignment vertical="center"/>
    </xf>
    <xf numFmtId="0" fontId="6" fillId="0" borderId="0" xfId="0" applyFont="1" applyBorder="1" applyAlignment="1">
      <alignment horizontal="center" vertical="center"/>
    </xf>
    <xf numFmtId="0" fontId="4" fillId="11" borderId="0" xfId="0" applyFont="1" applyFill="1" applyBorder="1" applyAlignment="1">
      <alignment horizontal="center" vertical="center"/>
    </xf>
    <xf numFmtId="0" fontId="0" fillId="0" borderId="46" xfId="0" applyFill="1" applyBorder="1" applyAlignment="1">
      <alignment vertical="center"/>
    </xf>
    <xf numFmtId="2" fontId="2" fillId="0" borderId="29" xfId="1" applyNumberFormat="1" applyFont="1" applyBorder="1" applyAlignment="1">
      <alignment vertical="center"/>
    </xf>
    <xf numFmtId="164" fontId="0" fillId="0" borderId="28" xfId="0" applyNumberFormat="1" applyBorder="1" applyAlignment="1">
      <alignment vertical="center"/>
    </xf>
    <xf numFmtId="0" fontId="2" fillId="0" borderId="0" xfId="0" applyFont="1" applyBorder="1" applyAlignment="1">
      <alignment horizontal="center" vertical="center"/>
    </xf>
    <xf numFmtId="9" fontId="0" fillId="0" borderId="10" xfId="1" applyFont="1" applyBorder="1"/>
    <xf numFmtId="0" fontId="5" fillId="0" borderId="5" xfId="0" applyFont="1" applyBorder="1" applyAlignment="1">
      <alignment horizontal="left" vertical="center"/>
    </xf>
    <xf numFmtId="0" fontId="4" fillId="0" borderId="5" xfId="0" applyFont="1" applyBorder="1" applyAlignment="1">
      <alignment horizontal="left" vertical="center"/>
    </xf>
    <xf numFmtId="0" fontId="26" fillId="0" borderId="0" xfId="0" applyFont="1" applyFill="1" applyAlignment="1">
      <alignment horizontal="center"/>
    </xf>
    <xf numFmtId="164" fontId="0" fillId="0" borderId="0" xfId="0" applyNumberFormat="1" applyAlignment="1">
      <alignment vertical="center"/>
    </xf>
    <xf numFmtId="164" fontId="0" fillId="0" borderId="0" xfId="0" applyNumberFormat="1" applyBorder="1" applyAlignment="1">
      <alignment vertical="center"/>
    </xf>
    <xf numFmtId="44" fontId="0" fillId="0" borderId="0" xfId="2" applyFont="1" applyFill="1" applyBorder="1" applyAlignment="1">
      <alignment vertical="center"/>
    </xf>
    <xf numFmtId="0" fontId="2" fillId="0" borderId="8" xfId="0" applyFont="1" applyBorder="1" applyAlignment="1">
      <alignment vertical="center"/>
    </xf>
    <xf numFmtId="0" fontId="2" fillId="0" borderId="9" xfId="0" applyFont="1" applyBorder="1" applyAlignment="1">
      <alignment vertical="center"/>
    </xf>
    <xf numFmtId="0" fontId="12" fillId="7" borderId="59" xfId="0" applyFont="1" applyFill="1" applyBorder="1" applyAlignment="1">
      <alignment horizontal="center"/>
    </xf>
    <xf numFmtId="0" fontId="12" fillId="7" borderId="60" xfId="0" applyFont="1" applyFill="1" applyBorder="1" applyAlignment="1">
      <alignment horizontal="center"/>
    </xf>
    <xf numFmtId="0" fontId="12" fillId="7" borderId="54" xfId="0" applyFont="1" applyFill="1" applyBorder="1" applyAlignment="1">
      <alignment horizontal="center"/>
    </xf>
    <xf numFmtId="0" fontId="12" fillId="7" borderId="0" xfId="0" applyFont="1" applyFill="1" applyBorder="1" applyAlignment="1">
      <alignment horizontal="center"/>
    </xf>
    <xf numFmtId="2" fontId="0" fillId="0" borderId="0" xfId="0" applyNumberFormat="1" applyAlignment="1">
      <alignment vertical="center"/>
    </xf>
    <xf numFmtId="0" fontId="0" fillId="0" borderId="0" xfId="0" applyFill="1"/>
    <xf numFmtId="0" fontId="0" fillId="0" borderId="59" xfId="0" applyBorder="1"/>
    <xf numFmtId="0" fontId="0" fillId="8" borderId="54" xfId="0" applyFill="1" applyBorder="1"/>
    <xf numFmtId="0" fontId="12" fillId="7" borderId="83" xfId="0" applyFont="1" applyFill="1" applyBorder="1" applyAlignment="1">
      <alignment horizontal="center"/>
    </xf>
    <xf numFmtId="0" fontId="1" fillId="0" borderId="81" xfId="0" applyFont="1" applyBorder="1"/>
    <xf numFmtId="0" fontId="1" fillId="5" borderId="81" xfId="0" applyFont="1" applyFill="1" applyBorder="1"/>
    <xf numFmtId="0" fontId="1" fillId="0" borderId="70" xfId="0" applyFont="1" applyBorder="1"/>
    <xf numFmtId="0" fontId="1" fillId="5" borderId="70" xfId="0" applyFont="1" applyFill="1" applyBorder="1"/>
    <xf numFmtId="0" fontId="1" fillId="11" borderId="112" xfId="0" applyFont="1" applyFill="1" applyBorder="1"/>
    <xf numFmtId="0" fontId="1" fillId="11" borderId="113" xfId="0" applyFont="1" applyFill="1" applyBorder="1"/>
    <xf numFmtId="0" fontId="1" fillId="11" borderId="114" xfId="0" applyFont="1" applyFill="1" applyBorder="1"/>
    <xf numFmtId="0" fontId="36" fillId="0" borderId="37" xfId="10" applyFont="1" applyBorder="1" applyAlignment="1">
      <alignment horizontal="centerContinuous" vertical="center"/>
    </xf>
    <xf numFmtId="0" fontId="36" fillId="0" borderId="106" xfId="10" applyFont="1" applyBorder="1" applyAlignment="1">
      <alignment horizontal="centerContinuous" vertical="center"/>
    </xf>
    <xf numFmtId="0" fontId="37" fillId="0" borderId="31" xfId="10" applyFont="1" applyBorder="1" applyAlignment="1">
      <alignment horizontal="centerContinuous" vertical="center"/>
    </xf>
    <xf numFmtId="0" fontId="38" fillId="0" borderId="31" xfId="10" applyFont="1" applyBorder="1" applyAlignment="1">
      <alignment horizontal="center" vertical="center"/>
    </xf>
    <xf numFmtId="0" fontId="18" fillId="0" borderId="0" xfId="10" applyFont="1" applyBorder="1" applyAlignment="1">
      <alignment horizontal="left" vertical="center"/>
    </xf>
    <xf numFmtId="0" fontId="38" fillId="0" borderId="0" xfId="10" applyFont="1" applyBorder="1" applyAlignment="1">
      <alignment horizontal="center" vertical="center" wrapText="1"/>
    </xf>
    <xf numFmtId="0" fontId="38" fillId="0" borderId="32" xfId="10" applyFont="1" applyBorder="1" applyAlignment="1">
      <alignment horizontal="center" vertical="center" wrapText="1"/>
    </xf>
    <xf numFmtId="0" fontId="39" fillId="13" borderId="31" xfId="10" applyFont="1" applyFill="1" applyBorder="1" applyAlignment="1">
      <alignment horizontal="centerContinuous" vertical="center" wrapText="1"/>
    </xf>
    <xf numFmtId="0" fontId="39" fillId="13" borderId="0" xfId="10" applyFont="1" applyFill="1" applyBorder="1" applyAlignment="1">
      <alignment horizontal="centerContinuous" vertical="center" wrapText="1"/>
    </xf>
    <xf numFmtId="0" fontId="40" fillId="13" borderId="0" xfId="10" applyFont="1" applyFill="1" applyBorder="1" applyAlignment="1">
      <alignment horizontal="center" vertical="center" wrapText="1"/>
    </xf>
    <xf numFmtId="0" fontId="41" fillId="13" borderId="0" xfId="10" applyFont="1" applyFill="1" applyBorder="1" applyAlignment="1">
      <alignment horizontal="center" vertical="center" wrapText="1"/>
    </xf>
    <xf numFmtId="0" fontId="41" fillId="13" borderId="32" xfId="10" applyFont="1" applyFill="1" applyBorder="1" applyAlignment="1">
      <alignment horizontal="center" vertical="center" wrapText="1"/>
    </xf>
    <xf numFmtId="0" fontId="42" fillId="0" borderId="31" xfId="10" applyFont="1" applyBorder="1" applyAlignment="1">
      <alignment vertical="center" wrapText="1"/>
    </xf>
    <xf numFmtId="1" fontId="18" fillId="0" borderId="0" xfId="10" applyNumberFormat="1" applyFont="1" applyFill="1" applyBorder="1" applyAlignment="1">
      <alignment horizontal="right" vertical="center"/>
    </xf>
    <xf numFmtId="9" fontId="43" fillId="0" borderId="0" xfId="10" applyNumberFormat="1" applyFont="1" applyFill="1" applyBorder="1" applyAlignment="1">
      <alignment horizontal="center" vertical="center"/>
    </xf>
    <xf numFmtId="3" fontId="18" fillId="0" borderId="32" xfId="10" applyNumberFormat="1" applyFont="1" applyFill="1" applyBorder="1" applyAlignment="1">
      <alignment horizontal="right" vertical="center"/>
    </xf>
    <xf numFmtId="164" fontId="43" fillId="0" borderId="0" xfId="10" applyNumberFormat="1" applyFont="1" applyFill="1" applyBorder="1" applyAlignment="1">
      <alignment horizontal="center" vertical="center"/>
    </xf>
    <xf numFmtId="0" fontId="42" fillId="12" borderId="31" xfId="10" applyFont="1" applyFill="1" applyBorder="1" applyAlignment="1">
      <alignment vertical="center" wrapText="1"/>
    </xf>
    <xf numFmtId="3" fontId="18" fillId="12" borderId="0" xfId="10" applyNumberFormat="1" applyFont="1" applyFill="1" applyBorder="1" applyAlignment="1">
      <alignment horizontal="right" vertical="center"/>
    </xf>
    <xf numFmtId="10" fontId="43" fillId="12" borderId="0" xfId="10" applyNumberFormat="1" applyFont="1" applyFill="1" applyBorder="1" applyAlignment="1">
      <alignment horizontal="center" vertical="center"/>
    </xf>
    <xf numFmtId="3" fontId="18" fillId="12" borderId="32" xfId="10" applyNumberFormat="1" applyFont="1" applyFill="1" applyBorder="1" applyAlignment="1">
      <alignment horizontal="right" vertical="center"/>
    </xf>
    <xf numFmtId="0" fontId="42" fillId="0" borderId="0" xfId="10" applyFont="1" applyFill="1" applyBorder="1" applyAlignment="1">
      <alignment horizontal="left" vertical="center" wrapText="1"/>
    </xf>
    <xf numFmtId="3" fontId="18" fillId="0" borderId="0" xfId="10" applyNumberFormat="1" applyFont="1" applyFill="1" applyBorder="1" applyAlignment="1">
      <alignment horizontal="right" vertical="center"/>
    </xf>
    <xf numFmtId="10" fontId="43" fillId="0" borderId="0" xfId="10" applyNumberFormat="1" applyFont="1" applyFill="1" applyBorder="1" applyAlignment="1">
      <alignment horizontal="center" vertical="center"/>
    </xf>
    <xf numFmtId="0" fontId="42" fillId="0" borderId="31" xfId="10" applyFont="1" applyBorder="1" applyAlignment="1">
      <alignment horizontal="left" vertical="center" wrapText="1"/>
    </xf>
    <xf numFmtId="0" fontId="42" fillId="0" borderId="31" xfId="10" quotePrefix="1" applyFont="1" applyBorder="1" applyAlignment="1">
      <alignment horizontal="left" vertical="center" wrapText="1"/>
    </xf>
    <xf numFmtId="0" fontId="44" fillId="12" borderId="31" xfId="10" applyFont="1" applyFill="1" applyBorder="1" applyAlignment="1">
      <alignment vertical="center" wrapText="1"/>
    </xf>
    <xf numFmtId="0" fontId="18" fillId="0" borderId="31" xfId="10" applyFont="1" applyBorder="1" applyAlignment="1">
      <alignment vertical="center" wrapText="1"/>
    </xf>
    <xf numFmtId="0" fontId="44" fillId="0" borderId="31" xfId="10" applyFont="1" applyBorder="1" applyAlignment="1">
      <alignment vertical="center" wrapText="1"/>
    </xf>
    <xf numFmtId="0" fontId="18" fillId="0" borderId="31" xfId="10" applyBorder="1"/>
    <xf numFmtId="0" fontId="18" fillId="0" borderId="0" xfId="10" applyFont="1" applyBorder="1" applyAlignment="1">
      <alignment vertical="center"/>
    </xf>
    <xf numFmtId="0" fontId="36" fillId="12" borderId="0" xfId="10" applyFont="1" applyFill="1" applyBorder="1" applyAlignment="1">
      <alignment vertical="center"/>
    </xf>
    <xf numFmtId="0" fontId="18" fillId="0" borderId="44" xfId="10" applyBorder="1"/>
    <xf numFmtId="0" fontId="18" fillId="0" borderId="25" xfId="10" applyFont="1" applyBorder="1" applyAlignment="1">
      <alignment vertical="center"/>
    </xf>
    <xf numFmtId="0" fontId="36" fillId="12" borderId="25" xfId="10" applyFont="1" applyFill="1" applyBorder="1" applyAlignment="1">
      <alignment vertical="center"/>
    </xf>
    <xf numFmtId="0" fontId="19" fillId="0" borderId="0" xfId="14"/>
    <xf numFmtId="10" fontId="43" fillId="0" borderId="0" xfId="1" applyNumberFormat="1" applyFont="1" applyFill="1" applyBorder="1" applyAlignment="1">
      <alignment horizontal="center" vertical="center"/>
    </xf>
    <xf numFmtId="0" fontId="37" fillId="0" borderId="0" xfId="10" applyFont="1" applyBorder="1" applyAlignment="1">
      <alignment horizontal="left" vertical="center"/>
    </xf>
    <xf numFmtId="1" fontId="42" fillId="0" borderId="0" xfId="10" applyNumberFormat="1" applyFont="1" applyFill="1" applyBorder="1" applyAlignment="1">
      <alignment vertical="center"/>
    </xf>
    <xf numFmtId="1" fontId="42" fillId="12" borderId="0" xfId="10" applyNumberFormat="1" applyFont="1" applyFill="1" applyBorder="1" applyAlignment="1">
      <alignment vertical="center"/>
    </xf>
    <xf numFmtId="0" fontId="45" fillId="0" borderId="0" xfId="10" applyFont="1" applyFill="1" applyBorder="1" applyAlignment="1">
      <alignment horizontal="left" vertical="center"/>
    </xf>
    <xf numFmtId="0" fontId="45" fillId="12" borderId="0" xfId="10" applyFont="1" applyFill="1" applyBorder="1" applyAlignment="1">
      <alignment horizontal="left" vertical="center" wrapText="1"/>
    </xf>
    <xf numFmtId="0" fontId="45" fillId="0" borderId="0" xfId="10" applyFont="1" applyFill="1" applyBorder="1" applyAlignment="1">
      <alignment horizontal="left" vertical="center" wrapText="1"/>
    </xf>
    <xf numFmtId="0" fontId="46" fillId="0" borderId="0" xfId="10" applyFont="1" applyFill="1" applyBorder="1" applyAlignment="1">
      <alignment horizontal="left" vertical="center" wrapText="1"/>
    </xf>
    <xf numFmtId="0" fontId="48" fillId="0" borderId="0" xfId="22" applyFont="1" applyProtection="1">
      <protection locked="0"/>
    </xf>
    <xf numFmtId="0" fontId="15" fillId="0" borderId="0" xfId="12"/>
    <xf numFmtId="0" fontId="49" fillId="0" borderId="0" xfId="22" applyFont="1" applyAlignment="1" applyProtection="1">
      <protection locked="0"/>
    </xf>
    <xf numFmtId="0" fontId="49" fillId="0" borderId="0" xfId="22" applyFont="1"/>
    <xf numFmtId="0" fontId="49" fillId="0" borderId="0" xfId="22" applyFont="1" applyAlignment="1" applyProtection="1">
      <alignment horizontal="centerContinuous"/>
      <protection locked="0"/>
    </xf>
    <xf numFmtId="0" fontId="15" fillId="0" borderId="0" xfId="22" applyFont="1" applyAlignment="1">
      <alignment horizontal="centerContinuous"/>
    </xf>
    <xf numFmtId="0" fontId="49" fillId="0" borderId="0" xfId="22" applyFont="1" applyAlignment="1">
      <alignment horizontal="center"/>
    </xf>
    <xf numFmtId="3" fontId="49" fillId="0" borderId="10" xfId="22" applyNumberFormat="1" applyFont="1" applyBorder="1" applyAlignment="1">
      <alignment horizontal="center"/>
    </xf>
    <xf numFmtId="0" fontId="15" fillId="0" borderId="0" xfId="22" applyFont="1" applyAlignment="1" applyProtection="1">
      <alignment horizontal="centerContinuous"/>
      <protection locked="0"/>
    </xf>
    <xf numFmtId="0" fontId="49" fillId="0" borderId="30" xfId="22" applyFont="1" applyBorder="1" applyAlignment="1">
      <alignment horizontal="center"/>
    </xf>
    <xf numFmtId="0" fontId="49" fillId="0" borderId="29" xfId="22" applyFont="1" applyBorder="1" applyAlignment="1">
      <alignment horizontal="center"/>
    </xf>
    <xf numFmtId="0" fontId="47" fillId="0" borderId="0" xfId="22"/>
    <xf numFmtId="0" fontId="15" fillId="0" borderId="28" xfId="22" applyFont="1" applyBorder="1" applyAlignment="1"/>
    <xf numFmtId="0" fontId="15" fillId="0" borderId="0" xfId="12" applyAlignment="1">
      <alignment horizontal="centerContinuous"/>
    </xf>
    <xf numFmtId="0" fontId="49" fillId="0" borderId="30" xfId="12" applyFont="1" applyBorder="1" applyAlignment="1">
      <alignment horizontal="center"/>
    </xf>
    <xf numFmtId="0" fontId="49" fillId="0" borderId="106" xfId="12" applyFont="1" applyBorder="1" applyAlignment="1">
      <alignment horizontal="center"/>
    </xf>
    <xf numFmtId="0" fontId="15" fillId="0" borderId="28" xfId="12" applyBorder="1"/>
    <xf numFmtId="0" fontId="15" fillId="0" borderId="28" xfId="12" applyBorder="1" applyAlignment="1">
      <alignment horizontal="center"/>
    </xf>
    <xf numFmtId="0" fontId="49" fillId="0" borderId="49" xfId="12" applyFont="1" applyBorder="1" applyAlignment="1">
      <alignment horizontal="center"/>
    </xf>
    <xf numFmtId="0" fontId="50" fillId="0" borderId="29" xfId="12" applyFont="1" applyBorder="1" applyAlignment="1">
      <alignment horizontal="center"/>
    </xf>
    <xf numFmtId="0" fontId="15" fillId="0" borderId="31" xfId="12" applyBorder="1"/>
    <xf numFmtId="0" fontId="15" fillId="0" borderId="29" xfId="12" applyBorder="1" applyAlignment="1">
      <alignment horizontal="center"/>
    </xf>
    <xf numFmtId="0" fontId="49" fillId="0" borderId="32" xfId="12" applyFont="1" applyBorder="1" applyAlignment="1">
      <alignment horizontal="center"/>
    </xf>
    <xf numFmtId="0" fontId="51" fillId="0" borderId="29" xfId="12" applyFont="1" applyBorder="1" applyProtection="1">
      <protection locked="0"/>
    </xf>
    <xf numFmtId="0" fontId="49" fillId="0" borderId="29" xfId="12" applyFont="1" applyBorder="1" applyAlignment="1">
      <alignment horizontal="center"/>
    </xf>
    <xf numFmtId="4" fontId="49" fillId="0" borderId="32" xfId="12" applyNumberFormat="1" applyFont="1" applyBorder="1"/>
    <xf numFmtId="3" fontId="49" fillId="0" borderId="32" xfId="12" applyNumberFormat="1" applyFont="1" applyBorder="1"/>
    <xf numFmtId="0" fontId="49" fillId="0" borderId="32" xfId="12" applyFont="1" applyBorder="1"/>
    <xf numFmtId="0" fontId="49" fillId="0" borderId="28" xfId="12" applyFont="1" applyBorder="1"/>
    <xf numFmtId="3" fontId="49" fillId="0" borderId="28" xfId="12" applyNumberFormat="1" applyFont="1" applyBorder="1"/>
    <xf numFmtId="0" fontId="49" fillId="0" borderId="116" xfId="12" applyFont="1" applyBorder="1"/>
    <xf numFmtId="3" fontId="49" fillId="0" borderId="116" xfId="12" applyNumberFormat="1" applyFont="1" applyBorder="1"/>
    <xf numFmtId="0" fontId="49" fillId="0" borderId="27" xfId="12" applyFont="1" applyBorder="1" applyAlignment="1">
      <alignment horizontal="center"/>
    </xf>
    <xf numFmtId="3" fontId="49" fillId="0" borderId="32" xfId="12" applyNumberFormat="1" applyFont="1" applyBorder="1" applyAlignment="1">
      <alignment horizontal="center"/>
    </xf>
    <xf numFmtId="0" fontId="0" fillId="0" borderId="0" xfId="0" applyFont="1"/>
    <xf numFmtId="0" fontId="15" fillId="0" borderId="0" xfId="12" applyFont="1"/>
    <xf numFmtId="1" fontId="49" fillId="0" borderId="49" xfId="12" applyNumberFormat="1" applyFont="1" applyBorder="1"/>
    <xf numFmtId="1" fontId="49" fillId="0" borderId="32" xfId="12" applyNumberFormat="1" applyFont="1" applyBorder="1"/>
    <xf numFmtId="0" fontId="51" fillId="0" borderId="19" xfId="12" applyFont="1" applyBorder="1" applyProtection="1">
      <protection locked="0"/>
    </xf>
    <xf numFmtId="0" fontId="49" fillId="0" borderId="42" xfId="12" applyFont="1" applyBorder="1" applyAlignment="1">
      <alignment horizontal="center"/>
    </xf>
    <xf numFmtId="0" fontId="15" fillId="0" borderId="0" xfId="12" applyBorder="1"/>
    <xf numFmtId="0" fontId="15" fillId="0" borderId="30" xfId="12" applyBorder="1"/>
    <xf numFmtId="4" fontId="52" fillId="0" borderId="0" xfId="12" applyNumberFormat="1" applyFont="1" applyBorder="1"/>
    <xf numFmtId="10" fontId="50" fillId="0" borderId="0" xfId="12" applyNumberFormat="1" applyFont="1" applyBorder="1" applyAlignment="1">
      <alignment horizontal="center"/>
    </xf>
    <xf numFmtId="171" fontId="52" fillId="0" borderId="29" xfId="4" applyNumberFormat="1" applyFont="1" applyBorder="1" applyAlignment="1">
      <alignment horizontal="right" vertical="center"/>
    </xf>
    <xf numFmtId="0" fontId="52" fillId="0" borderId="0" xfId="12" applyFont="1" applyBorder="1"/>
    <xf numFmtId="4" fontId="52" fillId="0" borderId="25" xfId="12" applyNumberFormat="1" applyFont="1" applyBorder="1"/>
    <xf numFmtId="0" fontId="15" fillId="0" borderId="19" xfId="12" applyBorder="1"/>
    <xf numFmtId="0" fontId="50" fillId="0" borderId="42" xfId="12" applyFont="1" applyBorder="1"/>
    <xf numFmtId="10" fontId="15" fillId="0" borderId="42" xfId="12" applyNumberFormat="1" applyBorder="1"/>
    <xf numFmtId="171" fontId="52" fillId="0" borderId="10" xfId="4" applyNumberFormat="1" applyFont="1" applyBorder="1" applyAlignment="1">
      <alignment horizontal="right" vertical="center"/>
    </xf>
    <xf numFmtId="0" fontId="53" fillId="0" borderId="0" xfId="23" applyFont="1" applyAlignment="1">
      <alignment horizontal="centerContinuous"/>
    </xf>
    <xf numFmtId="0" fontId="49" fillId="0" borderId="0" xfId="23" applyAlignment="1">
      <alignment horizontal="centerContinuous"/>
    </xf>
    <xf numFmtId="0" fontId="49" fillId="0" borderId="0" xfId="23"/>
    <xf numFmtId="0" fontId="18" fillId="0" borderId="0" xfId="23" applyFont="1" applyAlignment="1">
      <alignment horizontal="centerContinuous"/>
    </xf>
    <xf numFmtId="0" fontId="49" fillId="0" borderId="0" xfId="22" applyFont="1" applyAlignment="1">
      <alignment horizontal="left"/>
    </xf>
    <xf numFmtId="0" fontId="54" fillId="0" borderId="0" xfId="0" applyFont="1"/>
    <xf numFmtId="0" fontId="55" fillId="0" borderId="0" xfId="23" applyFont="1"/>
    <xf numFmtId="0" fontId="55" fillId="0" borderId="43" xfId="23" applyFont="1" applyBorder="1" applyAlignment="1">
      <alignment horizontal="centerContinuous"/>
    </xf>
    <xf numFmtId="0" fontId="49" fillId="0" borderId="106" xfId="23" applyBorder="1" applyAlignment="1">
      <alignment horizontal="centerContinuous"/>
    </xf>
    <xf numFmtId="0" fontId="55" fillId="0" borderId="31" xfId="23" applyFont="1" applyBorder="1" applyAlignment="1">
      <alignment horizontal="centerContinuous"/>
    </xf>
    <xf numFmtId="0" fontId="49" fillId="0" borderId="32" xfId="23" applyBorder="1" applyAlignment="1">
      <alignment horizontal="centerContinuous"/>
    </xf>
    <xf numFmtId="0" fontId="55" fillId="0" borderId="44" xfId="23" applyFont="1" applyBorder="1" applyAlignment="1">
      <alignment horizontal="centerContinuous"/>
    </xf>
    <xf numFmtId="0" fontId="49" fillId="0" borderId="49" xfId="23" applyBorder="1" applyAlignment="1">
      <alignment horizontal="centerContinuous"/>
    </xf>
    <xf numFmtId="0" fontId="55" fillId="0" borderId="0" xfId="23" applyFont="1" applyBorder="1" applyAlignment="1">
      <alignment horizontal="centerContinuous"/>
    </xf>
    <xf numFmtId="0" fontId="49" fillId="0" borderId="0" xfId="23" applyBorder="1" applyAlignment="1">
      <alignment horizontal="centerContinuous"/>
    </xf>
    <xf numFmtId="0" fontId="56" fillId="0" borderId="0" xfId="23" applyFont="1" applyAlignment="1">
      <alignment horizontal="centerContinuous"/>
    </xf>
    <xf numFmtId="0" fontId="57" fillId="0" borderId="0" xfId="23" applyFont="1" applyAlignment="1">
      <alignment horizontal="center"/>
    </xf>
    <xf numFmtId="0" fontId="49" fillId="0" borderId="30" xfId="23" applyBorder="1" applyAlignment="1">
      <alignment horizontal="center"/>
    </xf>
    <xf numFmtId="0" fontId="49" fillId="0" borderId="19" xfId="23" applyFont="1" applyBorder="1" applyAlignment="1">
      <alignment horizontal="centerContinuous"/>
    </xf>
    <xf numFmtId="0" fontId="49" fillId="0" borderId="22" xfId="23" applyBorder="1" applyAlignment="1">
      <alignment horizontal="centerContinuous"/>
    </xf>
    <xf numFmtId="0" fontId="49" fillId="0" borderId="10" xfId="23" applyBorder="1" applyAlignment="1">
      <alignment horizontal="centerContinuous"/>
    </xf>
    <xf numFmtId="0" fontId="49" fillId="0" borderId="28" xfId="23" applyBorder="1" applyAlignment="1">
      <alignment horizontal="center"/>
    </xf>
    <xf numFmtId="0" fontId="49" fillId="0" borderId="31" xfId="23" applyBorder="1" applyAlignment="1">
      <alignment horizontal="center"/>
    </xf>
    <xf numFmtId="0" fontId="49" fillId="0" borderId="29" xfId="23" applyBorder="1" applyAlignment="1">
      <alignment horizontal="center"/>
    </xf>
    <xf numFmtId="0" fontId="49" fillId="0" borderId="28" xfId="23" applyBorder="1"/>
    <xf numFmtId="0" fontId="27" fillId="0" borderId="31" xfId="13" applyFont="1" applyFill="1" applyBorder="1"/>
    <xf numFmtId="0" fontId="49" fillId="0" borderId="106" xfId="23" applyBorder="1"/>
    <xf numFmtId="0" fontId="49" fillId="0" borderId="0" xfId="23" applyBorder="1"/>
    <xf numFmtId="3" fontId="49" fillId="0" borderId="0" xfId="23" applyNumberFormat="1" applyBorder="1"/>
    <xf numFmtId="0" fontId="49" fillId="0" borderId="32" xfId="23" applyBorder="1"/>
    <xf numFmtId="0" fontId="49" fillId="0" borderId="29" xfId="23" applyBorder="1"/>
    <xf numFmtId="0" fontId="49" fillId="0" borderId="117" xfId="23" applyBorder="1"/>
    <xf numFmtId="0" fontId="49" fillId="0" borderId="118" xfId="23" applyBorder="1"/>
    <xf numFmtId="10" fontId="49" fillId="0" borderId="118" xfId="23" applyNumberFormat="1" applyBorder="1" applyAlignment="1">
      <alignment horizontal="center"/>
    </xf>
    <xf numFmtId="3" fontId="49" fillId="0" borderId="119" xfId="23" applyNumberFormat="1" applyBorder="1"/>
    <xf numFmtId="0" fontId="49" fillId="0" borderId="120" xfId="23" applyBorder="1"/>
    <xf numFmtId="10" fontId="49" fillId="0" borderId="0" xfId="23" applyNumberFormat="1" applyBorder="1" applyAlignment="1">
      <alignment horizontal="center"/>
    </xf>
    <xf numFmtId="3" fontId="49" fillId="0" borderId="121" xfId="23" applyNumberFormat="1" applyBorder="1"/>
    <xf numFmtId="0" fontId="49" fillId="0" borderId="120" xfId="23" applyFont="1" applyBorder="1"/>
    <xf numFmtId="0" fontId="54" fillId="0" borderId="0" xfId="23" applyFont="1" applyBorder="1"/>
    <xf numFmtId="0" fontId="58" fillId="0" borderId="40" xfId="23" applyFont="1" applyBorder="1"/>
    <xf numFmtId="0" fontId="55" fillId="0" borderId="41" xfId="23" applyFont="1" applyBorder="1"/>
    <xf numFmtId="4" fontId="55" fillId="0" borderId="48" xfId="23" applyNumberFormat="1" applyFont="1" applyBorder="1" applyAlignment="1">
      <alignment horizontal="right"/>
    </xf>
    <xf numFmtId="3" fontId="55" fillId="0" borderId="122" xfId="23" applyNumberFormat="1" applyFont="1" applyBorder="1" applyAlignment="1">
      <alignment horizontal="right"/>
    </xf>
    <xf numFmtId="0" fontId="0" fillId="0" borderId="120" xfId="0" applyBorder="1"/>
    <xf numFmtId="0" fontId="49" fillId="0" borderId="41" xfId="23" applyBorder="1"/>
    <xf numFmtId="0" fontId="55" fillId="0" borderId="0" xfId="23" applyFont="1" applyBorder="1"/>
    <xf numFmtId="4" fontId="55" fillId="0" borderId="121" xfId="23" applyNumberFormat="1" applyFont="1" applyBorder="1" applyAlignment="1">
      <alignment horizontal="right"/>
    </xf>
    <xf numFmtId="0" fontId="54" fillId="0" borderId="120" xfId="23" applyFont="1" applyBorder="1"/>
    <xf numFmtId="16" fontId="49" fillId="0" borderId="0" xfId="23" applyNumberFormat="1" applyFont="1" applyBorder="1"/>
    <xf numFmtId="0" fontId="49" fillId="0" borderId="123" xfId="23" applyBorder="1"/>
    <xf numFmtId="0" fontId="49" fillId="0" borderId="124" xfId="23" applyBorder="1"/>
    <xf numFmtId="0" fontId="49" fillId="0" borderId="125" xfId="23" applyBorder="1"/>
    <xf numFmtId="0" fontId="49" fillId="0" borderId="10" xfId="23" applyBorder="1"/>
    <xf numFmtId="0" fontId="50" fillId="0" borderId="25" xfId="12" applyFont="1" applyBorder="1"/>
    <xf numFmtId="0" fontId="49" fillId="0" borderId="110" xfId="12" applyFont="1" applyBorder="1" applyAlignment="1">
      <alignment vertical="center"/>
    </xf>
    <xf numFmtId="0" fontId="49" fillId="0" borderId="8" xfId="12" applyFont="1" applyBorder="1" applyAlignment="1">
      <alignment vertical="center"/>
    </xf>
    <xf numFmtId="3" fontId="49" fillId="0" borderId="22" xfId="12" applyNumberFormat="1" applyFont="1" applyBorder="1"/>
    <xf numFmtId="0" fontId="59" fillId="0" borderId="29" xfId="12" applyFont="1" applyBorder="1" applyProtection="1">
      <protection locked="0"/>
    </xf>
    <xf numFmtId="0" fontId="19" fillId="0" borderId="0" xfId="14" applyBorder="1"/>
    <xf numFmtId="0" fontId="0" fillId="11" borderId="126" xfId="0" applyFill="1" applyBorder="1"/>
    <xf numFmtId="0" fontId="12" fillId="7" borderId="54" xfId="0" applyFont="1" applyFill="1" applyBorder="1" applyAlignment="1">
      <alignment horizontal="center"/>
    </xf>
    <xf numFmtId="0" fontId="15" fillId="0" borderId="29" xfId="12" applyBorder="1"/>
    <xf numFmtId="0" fontId="49" fillId="0" borderId="19" xfId="12" applyFont="1" applyBorder="1" applyAlignment="1"/>
    <xf numFmtId="0" fontId="49" fillId="0" borderId="19" xfId="12" applyFont="1" applyBorder="1" applyAlignment="1">
      <alignment vertical="center"/>
    </xf>
    <xf numFmtId="0" fontId="55" fillId="0" borderId="22" xfId="12" applyFont="1" applyBorder="1" applyAlignment="1">
      <alignment horizontal="right" vertical="center"/>
    </xf>
    <xf numFmtId="0" fontId="55" fillId="0" borderId="42" xfId="12" applyFont="1" applyBorder="1" applyAlignment="1">
      <alignment horizontal="right"/>
    </xf>
    <xf numFmtId="0" fontId="15" fillId="0" borderId="44" xfId="12" applyBorder="1"/>
    <xf numFmtId="1" fontId="49" fillId="0" borderId="22" xfId="12" applyNumberFormat="1" applyFont="1" applyBorder="1"/>
    <xf numFmtId="0" fontId="49" fillId="0" borderId="42" xfId="12" applyFont="1" applyBorder="1"/>
    <xf numFmtId="1" fontId="52" fillId="0" borderId="49" xfId="12" applyNumberFormat="1" applyFont="1" applyBorder="1"/>
    <xf numFmtId="2" fontId="0" fillId="8" borderId="54" xfId="0" applyNumberFormat="1" applyFill="1" applyBorder="1"/>
    <xf numFmtId="2" fontId="0" fillId="8" borderId="72" xfId="0" applyNumberFormat="1" applyFill="1" applyBorder="1"/>
    <xf numFmtId="2" fontId="0" fillId="5" borderId="68" xfId="0" applyNumberFormat="1" applyFill="1" applyBorder="1"/>
    <xf numFmtId="2" fontId="0" fillId="11" borderId="113" xfId="0" applyNumberFormat="1" applyFill="1" applyBorder="1"/>
    <xf numFmtId="2" fontId="0" fillId="0" borderId="68" xfId="0" applyNumberFormat="1" applyFill="1" applyBorder="1"/>
    <xf numFmtId="2" fontId="0" fillId="5" borderId="56" xfId="0" applyNumberFormat="1" applyFill="1" applyBorder="1"/>
    <xf numFmtId="2" fontId="0" fillId="0" borderId="57" xfId="0" applyNumberFormat="1" applyFill="1" applyBorder="1"/>
    <xf numFmtId="2" fontId="0" fillId="11" borderId="115" xfId="0" applyNumberFormat="1" applyFill="1" applyBorder="1"/>
    <xf numFmtId="2" fontId="0" fillId="5" borderId="57" xfId="0" applyNumberFormat="1" applyFill="1" applyBorder="1"/>
    <xf numFmtId="2" fontId="0" fillId="11" borderId="63" xfId="0" applyNumberFormat="1" applyFill="1" applyBorder="1"/>
    <xf numFmtId="2" fontId="0" fillId="0" borderId="56" xfId="0" applyNumberFormat="1" applyBorder="1"/>
    <xf numFmtId="2" fontId="27" fillId="0" borderId="30" xfId="13" applyNumberFormat="1" applyFont="1" applyFill="1" applyBorder="1"/>
    <xf numFmtId="2" fontId="27" fillId="0" borderId="31" xfId="13" applyNumberFormat="1" applyFont="1" applyFill="1" applyBorder="1"/>
    <xf numFmtId="2" fontId="27" fillId="0" borderId="29" xfId="13" applyNumberFormat="1" applyFont="1" applyFill="1" applyBorder="1"/>
    <xf numFmtId="2" fontId="49" fillId="0" borderId="29" xfId="23" applyNumberFormat="1" applyBorder="1"/>
    <xf numFmtId="2" fontId="49" fillId="0" borderId="0" xfId="23" applyNumberFormat="1" applyBorder="1"/>
    <xf numFmtId="2" fontId="49" fillId="0" borderId="28" xfId="23" applyNumberFormat="1" applyBorder="1"/>
    <xf numFmtId="2" fontId="49" fillId="0" borderId="25" xfId="23" applyNumberFormat="1" applyBorder="1"/>
    <xf numFmtId="2" fontId="49" fillId="0" borderId="19" xfId="23" applyNumberFormat="1" applyBorder="1"/>
    <xf numFmtId="2" fontId="49" fillId="0" borderId="10" xfId="23" applyNumberFormat="1" applyBorder="1"/>
    <xf numFmtId="4" fontId="49" fillId="0" borderId="118" xfId="23" applyNumberFormat="1" applyBorder="1"/>
    <xf numFmtId="4" fontId="49" fillId="0" borderId="0" xfId="23" applyNumberFormat="1" applyBorder="1"/>
    <xf numFmtId="0" fontId="0" fillId="8" borderId="60" xfId="0" applyFill="1" applyBorder="1"/>
    <xf numFmtId="0" fontId="0" fillId="11" borderId="127" xfId="0" applyFill="1" applyBorder="1"/>
    <xf numFmtId="0" fontId="0" fillId="11" borderId="128" xfId="0" applyFill="1" applyBorder="1"/>
    <xf numFmtId="3" fontId="19" fillId="0" borderId="0" xfId="14" applyNumberFormat="1"/>
    <xf numFmtId="0" fontId="1" fillId="11" borderId="130" xfId="0" applyFont="1" applyFill="1" applyBorder="1"/>
    <xf numFmtId="0" fontId="1" fillId="11" borderId="129" xfId="0" applyFont="1" applyFill="1" applyBorder="1"/>
    <xf numFmtId="1" fontId="59" fillId="0" borderId="29" xfId="12" applyNumberFormat="1" applyFont="1" applyBorder="1" applyProtection="1">
      <protection locked="0"/>
    </xf>
    <xf numFmtId="164" fontId="0" fillId="0" borderId="0" xfId="0" applyNumberFormat="1"/>
    <xf numFmtId="10" fontId="19" fillId="0" borderId="0" xfId="1" applyNumberFormat="1" applyFont="1"/>
    <xf numFmtId="10" fontId="19" fillId="0" borderId="0" xfId="14" applyNumberFormat="1"/>
    <xf numFmtId="164" fontId="43" fillId="14" borderId="0" xfId="10" applyNumberFormat="1" applyFont="1" applyFill="1" applyBorder="1" applyAlignment="1">
      <alignment horizontal="center" vertical="center"/>
    </xf>
    <xf numFmtId="172" fontId="0" fillId="0" borderId="0" xfId="1" applyNumberFormat="1" applyFont="1"/>
    <xf numFmtId="0" fontId="61" fillId="0" borderId="31" xfId="0" applyFont="1" applyBorder="1"/>
    <xf numFmtId="0" fontId="61" fillId="0" borderId="0" xfId="0" applyFont="1" applyBorder="1"/>
    <xf numFmtId="0" fontId="61" fillId="0" borderId="32" xfId="0" applyFont="1" applyBorder="1"/>
    <xf numFmtId="0" fontId="1" fillId="0" borderId="31" xfId="0" applyFont="1" applyBorder="1"/>
    <xf numFmtId="0" fontId="1" fillId="0" borderId="0" xfId="0" applyFont="1" applyBorder="1"/>
    <xf numFmtId="0" fontId="1" fillId="0" borderId="32" xfId="0" applyFont="1" applyBorder="1"/>
    <xf numFmtId="10" fontId="1" fillId="0" borderId="32" xfId="0" applyNumberFormat="1" applyFont="1" applyBorder="1"/>
    <xf numFmtId="0" fontId="61" fillId="0" borderId="44" xfId="0" applyFont="1" applyBorder="1"/>
    <xf numFmtId="0" fontId="61" fillId="0" borderId="25" xfId="0" applyFont="1" applyBorder="1"/>
    <xf numFmtId="0" fontId="61" fillId="0" borderId="49" xfId="0" applyFont="1" applyBorder="1"/>
    <xf numFmtId="0" fontId="0" fillId="0" borderId="22" xfId="0" applyBorder="1"/>
    <xf numFmtId="0" fontId="2" fillId="0" borderId="0" xfId="0" applyFont="1" applyBorder="1" applyAlignment="1">
      <alignment vertical="center"/>
    </xf>
    <xf numFmtId="2" fontId="2" fillId="0" borderId="0" xfId="0" applyNumberFormat="1" applyFont="1" applyBorder="1" applyAlignment="1">
      <alignment vertical="center"/>
    </xf>
    <xf numFmtId="0" fontId="1" fillId="0" borderId="54" xfId="0" applyNumberFormat="1" applyFont="1" applyFill="1" applyBorder="1" applyAlignment="1">
      <alignment horizontal="center"/>
    </xf>
    <xf numFmtId="0" fontId="12" fillId="7" borderId="54" xfId="0" applyFont="1" applyFill="1" applyBorder="1" applyAlignment="1">
      <alignment horizontal="center"/>
    </xf>
    <xf numFmtId="2" fontId="0" fillId="11" borderId="88" xfId="0" applyNumberFormat="1" applyFill="1" applyBorder="1"/>
    <xf numFmtId="2" fontId="0" fillId="5" borderId="83" xfId="0" applyNumberFormat="1" applyFill="1" applyBorder="1"/>
    <xf numFmtId="2" fontId="0" fillId="0" borderId="132" xfId="0" applyNumberFormat="1" applyFill="1" applyBorder="1"/>
    <xf numFmtId="2" fontId="0" fillId="5" borderId="133" xfId="0" applyNumberFormat="1" applyFill="1" applyBorder="1"/>
    <xf numFmtId="2" fontId="0" fillId="5" borderId="132" xfId="0" applyNumberFormat="1" applyFill="1" applyBorder="1"/>
    <xf numFmtId="2" fontId="0" fillId="0" borderId="134" xfId="0" applyNumberFormat="1" applyBorder="1"/>
    <xf numFmtId="2" fontId="0" fillId="11" borderId="0" xfId="0" applyNumberFormat="1" applyFill="1" applyBorder="1"/>
    <xf numFmtId="0" fontId="0" fillId="11" borderId="131" xfId="0" applyFill="1" applyBorder="1"/>
    <xf numFmtId="0" fontId="1" fillId="0" borderId="70" xfId="0" applyFont="1" applyFill="1" applyBorder="1"/>
    <xf numFmtId="2" fontId="0" fillId="0" borderId="56" xfId="0" applyNumberFormat="1" applyFill="1" applyBorder="1"/>
    <xf numFmtId="0" fontId="1" fillId="0" borderId="81" xfId="0" applyFont="1" applyFill="1" applyBorder="1"/>
    <xf numFmtId="0" fontId="1" fillId="0" borderId="59" xfId="0" applyFont="1" applyFill="1" applyBorder="1"/>
    <xf numFmtId="0" fontId="12" fillId="7" borderId="58" xfId="0" applyFont="1" applyFill="1" applyBorder="1"/>
    <xf numFmtId="0" fontId="0" fillId="5" borderId="59" xfId="0" applyFill="1" applyBorder="1"/>
    <xf numFmtId="2" fontId="13" fillId="0" borderId="54" xfId="0" applyNumberFormat="1" applyFont="1" applyFill="1" applyBorder="1"/>
    <xf numFmtId="2" fontId="13" fillId="0" borderId="83" xfId="0" applyNumberFormat="1" applyFont="1" applyFill="1" applyBorder="1"/>
    <xf numFmtId="2" fontId="13" fillId="0" borderId="56" xfId="0" applyNumberFormat="1" applyFont="1" applyFill="1" applyBorder="1"/>
    <xf numFmtId="2" fontId="14" fillId="4" borderId="60" xfId="0" applyNumberFormat="1" applyFont="1" applyFill="1" applyBorder="1"/>
    <xf numFmtId="0" fontId="14" fillId="0" borderId="0" xfId="0" applyFont="1" applyFill="1"/>
    <xf numFmtId="2" fontId="0" fillId="11" borderId="81" xfId="0" applyNumberFormat="1" applyFill="1" applyBorder="1"/>
    <xf numFmtId="2" fontId="0" fillId="11" borderId="70" xfId="0" applyNumberFormat="1" applyFill="1" applyBorder="1"/>
    <xf numFmtId="2" fontId="0" fillId="11" borderId="54" xfId="0" applyNumberFormat="1" applyFill="1" applyBorder="1"/>
    <xf numFmtId="2" fontId="0" fillId="11" borderId="135" xfId="0" applyNumberFormat="1" applyFill="1" applyBorder="1"/>
    <xf numFmtId="2" fontId="0" fillId="11" borderId="136" xfId="0" applyNumberFormat="1" applyFill="1" applyBorder="1"/>
    <xf numFmtId="2" fontId="13" fillId="11" borderId="54" xfId="0" applyNumberFormat="1" applyFont="1" applyFill="1" applyBorder="1"/>
    <xf numFmtId="2" fontId="0" fillId="0" borderId="83" xfId="0" applyNumberFormat="1" applyFill="1" applyBorder="1"/>
    <xf numFmtId="2" fontId="0" fillId="0" borderId="83" xfId="0" applyNumberFormat="1" applyBorder="1"/>
    <xf numFmtId="2" fontId="0" fillId="11" borderId="83" xfId="0" applyNumberFormat="1" applyFill="1" applyBorder="1"/>
    <xf numFmtId="2" fontId="0" fillId="11" borderId="98" xfId="0" applyNumberFormat="1" applyFill="1" applyBorder="1"/>
    <xf numFmtId="2" fontId="0" fillId="5" borderId="115" xfId="0" applyNumberFormat="1" applyFill="1" applyBorder="1"/>
    <xf numFmtId="2" fontId="0" fillId="0" borderId="88" xfId="0" applyNumberFormat="1" applyFill="1" applyBorder="1"/>
    <xf numFmtId="2" fontId="0" fillId="5" borderId="71" xfId="0" applyNumberFormat="1" applyFill="1" applyBorder="1"/>
    <xf numFmtId="2" fontId="0" fillId="8" borderId="137" xfId="0" applyNumberFormat="1" applyFill="1" applyBorder="1"/>
    <xf numFmtId="2" fontId="0" fillId="0" borderId="137" xfId="0" applyNumberFormat="1" applyFill="1" applyBorder="1"/>
    <xf numFmtId="2" fontId="0" fillId="8" borderId="88" xfId="0" applyNumberFormat="1" applyFill="1" applyBorder="1"/>
    <xf numFmtId="2" fontId="0" fillId="11" borderId="59" xfId="0" applyNumberFormat="1" applyFill="1" applyBorder="1"/>
    <xf numFmtId="2" fontId="0" fillId="11" borderId="60" xfId="0" applyNumberFormat="1" applyFill="1" applyBorder="1"/>
    <xf numFmtId="2" fontId="0" fillId="11" borderId="82" xfId="0" applyNumberFormat="1" applyFill="1" applyBorder="1"/>
    <xf numFmtId="2" fontId="0" fillId="11" borderId="99" xfId="0" applyNumberFormat="1" applyFill="1" applyBorder="1"/>
    <xf numFmtId="2" fontId="0" fillId="11" borderId="75" xfId="0" applyNumberFormat="1" applyFill="1" applyBorder="1"/>
    <xf numFmtId="2" fontId="0" fillId="11" borderId="138" xfId="0" applyNumberFormat="1" applyFill="1" applyBorder="1"/>
    <xf numFmtId="2" fontId="0" fillId="11" borderId="139" xfId="0" applyNumberFormat="1" applyFill="1" applyBorder="1"/>
    <xf numFmtId="2" fontId="0" fillId="11" borderId="140" xfId="0" applyNumberFormat="1" applyFill="1" applyBorder="1"/>
    <xf numFmtId="2" fontId="13" fillId="11" borderId="59" xfId="0" applyNumberFormat="1" applyFont="1" applyFill="1" applyBorder="1"/>
    <xf numFmtId="2" fontId="13" fillId="5" borderId="54" xfId="0" applyNumberFormat="1" applyFont="1" applyFill="1" applyBorder="1"/>
    <xf numFmtId="2" fontId="13" fillId="5" borderId="83" xfId="0" applyNumberFormat="1" applyFont="1" applyFill="1" applyBorder="1"/>
    <xf numFmtId="0" fontId="0" fillId="5" borderId="81" xfId="0" applyFill="1" applyBorder="1"/>
    <xf numFmtId="2" fontId="14" fillId="4" borderId="82" xfId="0" applyNumberFormat="1" applyFont="1" applyFill="1" applyBorder="1"/>
    <xf numFmtId="2" fontId="14" fillId="4" borderId="80" xfId="0" applyNumberFormat="1" applyFont="1" applyFill="1" applyBorder="1"/>
    <xf numFmtId="2" fontId="14" fillId="4" borderId="142" xfId="0" applyNumberFormat="1" applyFont="1" applyFill="1" applyBorder="1"/>
    <xf numFmtId="2" fontId="0" fillId="11" borderId="143" xfId="0" applyNumberFormat="1" applyFill="1" applyBorder="1"/>
    <xf numFmtId="2" fontId="14" fillId="4" borderId="145" xfId="0" applyNumberFormat="1" applyFont="1" applyFill="1" applyBorder="1"/>
    <xf numFmtId="0" fontId="0" fillId="0" borderId="103" xfId="0" applyFill="1" applyBorder="1"/>
    <xf numFmtId="2" fontId="14" fillId="4" borderId="146" xfId="0" applyNumberFormat="1" applyFont="1" applyFill="1" applyBorder="1"/>
    <xf numFmtId="2" fontId="14" fillId="4" borderId="89" xfId="0" applyNumberFormat="1" applyFont="1" applyFill="1" applyBorder="1"/>
    <xf numFmtId="0" fontId="0" fillId="0" borderId="78" xfId="0" applyFill="1" applyBorder="1"/>
    <xf numFmtId="0" fontId="0" fillId="0" borderId="141" xfId="0" applyFill="1" applyBorder="1"/>
    <xf numFmtId="0" fontId="0" fillId="5" borderId="63" xfId="0" applyFill="1" applyBorder="1"/>
    <xf numFmtId="0" fontId="0" fillId="5" borderId="144" xfId="0" applyFill="1" applyBorder="1"/>
    <xf numFmtId="0" fontId="0" fillId="0" borderId="59" xfId="0" applyFill="1" applyBorder="1"/>
    <xf numFmtId="0" fontId="1" fillId="11" borderId="147" xfId="0" applyFont="1" applyFill="1" applyBorder="1"/>
    <xf numFmtId="0" fontId="3" fillId="0" borderId="0" xfId="0" applyFont="1" applyAlignment="1"/>
    <xf numFmtId="0" fontId="3" fillId="0" borderId="0" xfId="0" applyFont="1" applyAlignment="1">
      <alignment vertical="center"/>
    </xf>
    <xf numFmtId="0" fontId="1" fillId="0" borderId="81" xfId="18" applyFont="1" applyBorder="1"/>
    <xf numFmtId="0" fontId="1" fillId="5" borderId="69" xfId="0" applyFont="1" applyFill="1" applyBorder="1"/>
    <xf numFmtId="0" fontId="11" fillId="0" borderId="0" xfId="0" applyFont="1" applyAlignment="1"/>
    <xf numFmtId="44" fontId="0" fillId="5" borderId="60" xfId="2" applyFont="1" applyFill="1" applyBorder="1"/>
    <xf numFmtId="14" fontId="0" fillId="8" borderId="54" xfId="0" applyNumberFormat="1" applyFill="1" applyBorder="1" applyAlignment="1" applyProtection="1">
      <alignment horizontal="center"/>
      <protection locked="0"/>
    </xf>
    <xf numFmtId="14" fontId="0" fillId="8" borderId="67" xfId="0" applyNumberFormat="1" applyFill="1" applyBorder="1" applyAlignment="1" applyProtection="1">
      <alignment horizontal="center"/>
      <protection locked="0"/>
    </xf>
    <xf numFmtId="0" fontId="0" fillId="15" borderId="54" xfId="0" applyFill="1" applyBorder="1" applyAlignment="1" applyProtection="1">
      <alignment horizontal="center"/>
      <protection locked="0"/>
    </xf>
    <xf numFmtId="44" fontId="13" fillId="5" borderId="59" xfId="2" applyFont="1" applyFill="1" applyBorder="1" applyAlignment="1"/>
    <xf numFmtId="44" fontId="13" fillId="5" borderId="60" xfId="2" applyFont="1" applyFill="1" applyBorder="1" applyAlignment="1"/>
    <xf numFmtId="44" fontId="20" fillId="0" borderId="0" xfId="0" applyNumberFormat="1" applyFont="1" applyFill="1" applyBorder="1"/>
    <xf numFmtId="0" fontId="12" fillId="0" borderId="0" xfId="0" applyFont="1" applyFill="1" applyBorder="1" applyAlignment="1">
      <alignment horizontal="center"/>
    </xf>
    <xf numFmtId="44" fontId="1" fillId="0" borderId="0" xfId="0" applyNumberFormat="1" applyFont="1" applyFill="1" applyBorder="1" applyAlignment="1">
      <alignment horizontal="right" vertical="center"/>
    </xf>
    <xf numFmtId="0" fontId="12" fillId="0" borderId="0" xfId="0" applyFont="1" applyFill="1" applyBorder="1"/>
    <xf numFmtId="1" fontId="0" fillId="0" borderId="0" xfId="0" applyNumberFormat="1" applyFill="1" applyBorder="1"/>
    <xf numFmtId="44" fontId="14" fillId="0" borderId="0" xfId="0" applyNumberFormat="1" applyFont="1" applyFill="1" applyBorder="1"/>
    <xf numFmtId="44" fontId="14" fillId="0" borderId="0" xfId="2" applyFont="1" applyFill="1" applyBorder="1"/>
    <xf numFmtId="10" fontId="0" fillId="0" borderId="0" xfId="0" applyNumberFormat="1"/>
    <xf numFmtId="0" fontId="0" fillId="0" borderId="69" xfId="0" applyBorder="1"/>
    <xf numFmtId="10" fontId="0" fillId="0" borderId="68" xfId="1" applyNumberFormat="1" applyFont="1" applyBorder="1"/>
    <xf numFmtId="10" fontId="0" fillId="8" borderId="68" xfId="1" applyNumberFormat="1" applyFont="1" applyFill="1" applyBorder="1"/>
    <xf numFmtId="0" fontId="1" fillId="0" borderId="69" xfId="0" applyFont="1" applyBorder="1"/>
    <xf numFmtId="10" fontId="1" fillId="0" borderId="68" xfId="1" applyNumberFormat="1" applyFont="1" applyBorder="1"/>
    <xf numFmtId="0" fontId="0" fillId="0" borderId="0" xfId="0" applyAlignment="1">
      <alignment horizontal="center"/>
    </xf>
    <xf numFmtId="9" fontId="0" fillId="8" borderId="60" xfId="1" applyFont="1" applyFill="1" applyBorder="1"/>
    <xf numFmtId="9" fontId="0" fillId="5" borderId="54" xfId="0" applyNumberFormat="1" applyFill="1" applyBorder="1" applyProtection="1">
      <protection locked="0"/>
    </xf>
    <xf numFmtId="9" fontId="0" fillId="0" borderId="63" xfId="1" applyFont="1" applyFill="1" applyBorder="1"/>
    <xf numFmtId="0" fontId="12" fillId="0" borderId="0" xfId="0" applyFont="1" applyFill="1" applyBorder="1" applyAlignment="1"/>
    <xf numFmtId="0" fontId="4" fillId="0" borderId="0" xfId="0" applyFont="1" applyAlignment="1">
      <alignment vertical="center"/>
    </xf>
    <xf numFmtId="0" fontId="0" fillId="0" borderId="0" xfId="0" applyFill="1" applyBorder="1" applyAlignment="1" applyProtection="1">
      <alignment horizontal="center"/>
      <protection locked="0"/>
    </xf>
    <xf numFmtId="16" fontId="27" fillId="0" borderId="0" xfId="3" applyNumberFormat="1" applyFont="1" applyAlignment="1" applyProtection="1">
      <alignment horizontal="left"/>
      <protection locked="0"/>
    </xf>
    <xf numFmtId="0" fontId="66" fillId="0" borderId="0" xfId="0" applyFont="1" applyAlignment="1"/>
    <xf numFmtId="14" fontId="0" fillId="0" borderId="10" xfId="0" applyNumberFormat="1" applyBorder="1" applyAlignment="1" applyProtection="1">
      <alignment horizontal="left"/>
      <protection locked="0"/>
    </xf>
    <xf numFmtId="0" fontId="12" fillId="7" borderId="0" xfId="0" applyFont="1" applyFill="1" applyBorder="1" applyAlignment="1">
      <alignment horizontal="center"/>
    </xf>
    <xf numFmtId="0" fontId="8" fillId="16" borderId="54" xfId="18" applyFill="1" applyBorder="1" applyAlignment="1">
      <alignment horizontal="center"/>
    </xf>
    <xf numFmtId="44" fontId="1" fillId="0" borderId="60" xfId="0" applyNumberFormat="1" applyFont="1" applyBorder="1" applyAlignment="1"/>
    <xf numFmtId="44" fontId="1" fillId="8" borderId="54" xfId="2" applyFont="1" applyFill="1" applyBorder="1" applyAlignment="1">
      <alignment horizontal="center"/>
    </xf>
    <xf numFmtId="0" fontId="12" fillId="7" borderId="0" xfId="0" applyFont="1" applyFill="1" applyBorder="1" applyAlignment="1">
      <alignment horizontal="center"/>
    </xf>
    <xf numFmtId="44" fontId="0" fillId="8" borderId="151" xfId="2" applyFont="1" applyFill="1" applyBorder="1" applyProtection="1">
      <protection locked="0"/>
    </xf>
    <xf numFmtId="44" fontId="0" fillId="8" borderId="152" xfId="2" applyFont="1" applyFill="1" applyBorder="1" applyProtection="1">
      <protection locked="0"/>
    </xf>
    <xf numFmtId="44" fontId="0" fillId="8" borderId="150" xfId="2" applyFont="1" applyFill="1" applyBorder="1" applyProtection="1">
      <protection locked="0"/>
    </xf>
    <xf numFmtId="0" fontId="0" fillId="5" borderId="0" xfId="0" applyFill="1" applyBorder="1"/>
    <xf numFmtId="44" fontId="0" fillId="8" borderId="153" xfId="2" applyFont="1" applyFill="1" applyBorder="1" applyProtection="1">
      <protection locked="0"/>
    </xf>
    <xf numFmtId="44" fontId="0" fillId="8" borderId="154" xfId="2" applyFont="1" applyFill="1" applyBorder="1" applyProtection="1">
      <protection locked="0"/>
    </xf>
    <xf numFmtId="0" fontId="0" fillId="0" borderId="63" xfId="0" applyBorder="1"/>
    <xf numFmtId="0" fontId="12" fillId="7" borderId="159" xfId="0" applyFont="1" applyFill="1" applyBorder="1" applyAlignment="1">
      <alignment horizontal="center" vertical="center"/>
    </xf>
    <xf numFmtId="0" fontId="12" fillId="7" borderId="136" xfId="0" applyFont="1" applyFill="1" applyBorder="1" applyAlignment="1">
      <alignment horizontal="center" vertical="center"/>
    </xf>
    <xf numFmtId="170" fontId="1" fillId="5" borderId="56" xfId="0" applyNumberFormat="1" applyFont="1" applyFill="1" applyBorder="1" applyAlignment="1">
      <alignment horizontal="center"/>
    </xf>
    <xf numFmtId="44" fontId="0" fillId="5" borderId="160" xfId="2" applyFont="1" applyFill="1" applyBorder="1"/>
    <xf numFmtId="170" fontId="1" fillId="0" borderId="56" xfId="0" applyNumberFormat="1" applyFont="1" applyFill="1" applyBorder="1" applyAlignment="1">
      <alignment horizontal="center"/>
    </xf>
    <xf numFmtId="44" fontId="0" fillId="0" borderId="160" xfId="2" applyFont="1" applyFill="1" applyBorder="1"/>
    <xf numFmtId="0" fontId="12" fillId="7" borderId="89" xfId="0" applyFont="1" applyFill="1" applyBorder="1" applyAlignment="1">
      <alignment horizontal="center"/>
    </xf>
    <xf numFmtId="44" fontId="14" fillId="4" borderId="66" xfId="0" applyNumberFormat="1" applyFont="1" applyFill="1" applyBorder="1"/>
    <xf numFmtId="0" fontId="0" fillId="8" borderId="163" xfId="0" applyFill="1" applyBorder="1" applyAlignment="1" applyProtection="1">
      <alignment horizontal="center"/>
      <protection locked="0"/>
    </xf>
    <xf numFmtId="44" fontId="0" fillId="8" borderId="164" xfId="2" applyFont="1" applyFill="1" applyBorder="1" applyAlignment="1" applyProtection="1">
      <alignment horizontal="center"/>
      <protection locked="0"/>
    </xf>
    <xf numFmtId="0" fontId="0" fillId="5" borderId="165" xfId="0" applyFill="1" applyBorder="1"/>
    <xf numFmtId="0" fontId="0" fillId="0" borderId="49" xfId="0" applyBorder="1" applyAlignment="1"/>
    <xf numFmtId="0" fontId="0" fillId="0" borderId="0" xfId="0" applyBorder="1" applyAlignment="1">
      <alignment vertical="center" wrapText="1"/>
    </xf>
    <xf numFmtId="0" fontId="0" fillId="0" borderId="0" xfId="0" applyFont="1" applyBorder="1"/>
    <xf numFmtId="0" fontId="0" fillId="0" borderId="0" xfId="0" applyBorder="1" applyAlignment="1">
      <alignment horizontal="center" wrapText="1"/>
    </xf>
    <xf numFmtId="0" fontId="0" fillId="0" borderId="0" xfId="0" applyBorder="1" applyAlignment="1">
      <alignment wrapText="1"/>
    </xf>
    <xf numFmtId="0" fontId="0" fillId="0" borderId="37" xfId="0" applyBorder="1"/>
    <xf numFmtId="0" fontId="0" fillId="0" borderId="0" xfId="0" applyBorder="1"/>
    <xf numFmtId="0" fontId="0" fillId="0" borderId="0" xfId="0" quotePrefix="1" applyBorder="1"/>
    <xf numFmtId="0" fontId="0" fillId="0" borderId="31" xfId="0" applyBorder="1" applyAlignment="1">
      <alignment vertical="center" wrapText="1"/>
    </xf>
    <xf numFmtId="0" fontId="0" fillId="0" borderId="44" xfId="0" applyBorder="1" applyAlignment="1">
      <alignment vertical="center" wrapText="1"/>
    </xf>
    <xf numFmtId="0" fontId="0" fillId="0" borderId="49" xfId="0" applyBorder="1"/>
    <xf numFmtId="0" fontId="0" fillId="0" borderId="31" xfId="0" quotePrefix="1" applyBorder="1"/>
    <xf numFmtId="0" fontId="0" fillId="0" borderId="31" xfId="0" quotePrefix="1" applyFill="1" applyBorder="1"/>
    <xf numFmtId="0" fontId="0" fillId="0" borderId="44" xfId="0" quotePrefix="1" applyFill="1" applyBorder="1"/>
    <xf numFmtId="0" fontId="1" fillId="0" borderId="31" xfId="0" quotePrefix="1" applyFont="1" applyBorder="1"/>
    <xf numFmtId="0" fontId="1" fillId="0" borderId="0" xfId="0" quotePrefix="1" applyFont="1" applyBorder="1"/>
    <xf numFmtId="0" fontId="1" fillId="0" borderId="0" xfId="0" quotePrefix="1" applyFont="1" applyFill="1" applyBorder="1"/>
    <xf numFmtId="0" fontId="1" fillId="0" borderId="31" xfId="0" quotePrefix="1" applyFont="1" applyFill="1" applyBorder="1"/>
    <xf numFmtId="0" fontId="1" fillId="0" borderId="31" xfId="0" applyFont="1" applyFill="1" applyBorder="1"/>
    <xf numFmtId="0" fontId="1" fillId="8" borderId="54" xfId="0" applyNumberFormat="1" applyFont="1" applyFill="1" applyBorder="1" applyAlignment="1">
      <alignment horizontal="center"/>
    </xf>
    <xf numFmtId="0" fontId="1" fillId="8" borderId="151" xfId="0" applyNumberFormat="1" applyFont="1" applyFill="1" applyBorder="1" applyAlignment="1">
      <alignment horizontal="center"/>
    </xf>
    <xf numFmtId="44" fontId="0" fillId="8" borderId="166" xfId="2" applyFont="1" applyFill="1" applyBorder="1" applyAlignment="1" applyProtection="1">
      <alignment horizontal="center"/>
      <protection locked="0"/>
    </xf>
    <xf numFmtId="0" fontId="1" fillId="0" borderId="0" xfId="0" applyFont="1" applyBorder="1" applyAlignment="1">
      <alignment vertical="center"/>
    </xf>
    <xf numFmtId="0" fontId="14" fillId="0" borderId="0" xfId="0" applyFont="1" applyBorder="1" applyAlignment="1">
      <alignment vertical="center"/>
    </xf>
    <xf numFmtId="0" fontId="12" fillId="7" borderId="155" xfId="0" applyFont="1" applyFill="1" applyBorder="1" applyAlignment="1">
      <alignment horizontal="center" vertical="center" wrapText="1"/>
    </xf>
    <xf numFmtId="44" fontId="0" fillId="8" borderId="67" xfId="2" applyFont="1" applyFill="1" applyBorder="1" applyAlignment="1" applyProtection="1">
      <protection locked="0"/>
    </xf>
    <xf numFmtId="44" fontId="0" fillId="8" borderId="164" xfId="2" applyFont="1" applyFill="1" applyBorder="1" applyAlignment="1" applyProtection="1">
      <protection locked="0"/>
    </xf>
    <xf numFmtId="0" fontId="12" fillId="7" borderId="155" xfId="0" applyFont="1" applyFill="1" applyBorder="1" applyAlignment="1">
      <alignment horizontal="center" vertical="center"/>
    </xf>
    <xf numFmtId="0" fontId="1" fillId="0" borderId="32" xfId="0" quotePrefix="1" applyFont="1" applyBorder="1"/>
    <xf numFmtId="0" fontId="1" fillId="0" borderId="31" xfId="0" quotePrefix="1" applyFont="1" applyBorder="1" applyAlignment="1">
      <alignment vertical="center"/>
    </xf>
    <xf numFmtId="0" fontId="1" fillId="0" borderId="0" xfId="0" quotePrefix="1" applyFont="1" applyBorder="1" applyAlignment="1">
      <alignment vertical="center"/>
    </xf>
    <xf numFmtId="0" fontId="1" fillId="0" borderId="32" xfId="0" quotePrefix="1" applyFont="1" applyBorder="1" applyAlignment="1">
      <alignment vertical="center"/>
    </xf>
    <xf numFmtId="0" fontId="1" fillId="0" borderId="32" xfId="0" applyFont="1" applyBorder="1" applyAlignment="1">
      <alignment vertical="center"/>
    </xf>
    <xf numFmtId="0" fontId="0" fillId="0" borderId="31" xfId="0" quotePrefix="1" applyBorder="1" applyAlignment="1">
      <alignment vertical="center"/>
    </xf>
    <xf numFmtId="0" fontId="0" fillId="0" borderId="32" xfId="0" applyBorder="1" applyAlignment="1">
      <alignment vertical="center"/>
    </xf>
    <xf numFmtId="0" fontId="0" fillId="0" borderId="0" xfId="0" quotePrefix="1" applyBorder="1" applyAlignment="1">
      <alignment vertical="center"/>
    </xf>
    <xf numFmtId="0" fontId="0" fillId="0" borderId="0" xfId="0" quotePrefix="1" applyBorder="1" applyAlignment="1"/>
    <xf numFmtId="0" fontId="0" fillId="0" borderId="0" xfId="0" applyBorder="1" applyAlignment="1"/>
    <xf numFmtId="0" fontId="0" fillId="0" borderId="32" xfId="0" applyBorder="1" applyAlignment="1"/>
    <xf numFmtId="0" fontId="0" fillId="0" borderId="0" xfId="0" quotePrefix="1" applyFill="1" applyBorder="1" applyAlignment="1"/>
    <xf numFmtId="0" fontId="0" fillId="0" borderId="0" xfId="0" applyFill="1" applyBorder="1" applyAlignment="1"/>
    <xf numFmtId="0" fontId="0" fillId="0" borderId="32" xfId="0" applyFill="1" applyBorder="1" applyAlignment="1"/>
    <xf numFmtId="0" fontId="1" fillId="0" borderId="0" xfId="0" quotePrefix="1" applyFont="1" applyFill="1" applyBorder="1" applyAlignment="1"/>
    <xf numFmtId="0" fontId="1" fillId="0" borderId="0" xfId="0" applyFont="1" applyFill="1" applyBorder="1" applyAlignment="1"/>
    <xf numFmtId="0" fontId="1" fillId="0" borderId="32" xfId="0" applyFont="1" applyFill="1" applyBorder="1" applyAlignment="1"/>
    <xf numFmtId="0" fontId="0" fillId="0" borderId="25" xfId="0" applyBorder="1" applyAlignment="1"/>
    <xf numFmtId="0" fontId="0" fillId="0" borderId="25" xfId="0" applyBorder="1" applyAlignment="1">
      <alignment vertical="center"/>
    </xf>
    <xf numFmtId="0" fontId="0" fillId="0" borderId="106" xfId="0" applyBorder="1"/>
    <xf numFmtId="0" fontId="0" fillId="0" borderId="167" xfId="0" applyBorder="1"/>
    <xf numFmtId="0" fontId="0" fillId="0" borderId="157" xfId="0" applyBorder="1"/>
    <xf numFmtId="0" fontId="0" fillId="0" borderId="168" xfId="0" applyBorder="1"/>
    <xf numFmtId="44" fontId="1" fillId="8" borderId="83" xfId="2" applyFont="1" applyFill="1" applyBorder="1" applyAlignment="1">
      <alignment horizontal="center"/>
    </xf>
    <xf numFmtId="44" fontId="1" fillId="0" borderId="82" xfId="0" applyNumberFormat="1" applyFont="1" applyBorder="1" applyAlignment="1"/>
    <xf numFmtId="0" fontId="0" fillId="0" borderId="68" xfId="0" applyBorder="1"/>
    <xf numFmtId="0" fontId="0" fillId="0" borderId="159" xfId="0" applyBorder="1"/>
    <xf numFmtId="0" fontId="0" fillId="0" borderId="88" xfId="0" applyBorder="1"/>
    <xf numFmtId="0" fontId="0" fillId="0" borderId="136" xfId="0" applyBorder="1"/>
    <xf numFmtId="0" fontId="0" fillId="8" borderId="85" xfId="0" applyFill="1" applyBorder="1" applyAlignment="1" applyProtection="1">
      <alignment horizontal="center"/>
      <protection locked="0"/>
    </xf>
    <xf numFmtId="44" fontId="0" fillId="0" borderId="86" xfId="2" applyFont="1" applyFill="1" applyBorder="1"/>
    <xf numFmtId="44" fontId="35" fillId="4" borderId="75" xfId="0" applyNumberFormat="1" applyFont="1" applyFill="1" applyBorder="1"/>
    <xf numFmtId="0" fontId="0" fillId="0" borderId="78" xfId="0" applyBorder="1"/>
    <xf numFmtId="0" fontId="0" fillId="0" borderId="87" xfId="0" applyBorder="1"/>
    <xf numFmtId="0" fontId="0" fillId="0" borderId="80" xfId="0" applyBorder="1"/>
    <xf numFmtId="2" fontId="8" fillId="8" borderId="54" xfId="18" applyNumberFormat="1" applyFill="1" applyBorder="1" applyProtection="1">
      <protection locked="0"/>
    </xf>
    <xf numFmtId="0" fontId="8" fillId="0" borderId="63" xfId="18" applyFill="1" applyBorder="1" applyAlignment="1" applyProtection="1">
      <protection locked="0"/>
    </xf>
    <xf numFmtId="0" fontId="8" fillId="0" borderId="0" xfId="18" applyFill="1" applyBorder="1" applyAlignment="1" applyProtection="1">
      <protection locked="0"/>
    </xf>
    <xf numFmtId="2" fontId="8" fillId="8" borderId="153" xfId="18" applyNumberFormat="1" applyFill="1" applyBorder="1" applyProtection="1">
      <protection locked="0"/>
    </xf>
    <xf numFmtId="14" fontId="0" fillId="0" borderId="0" xfId="0" applyNumberFormat="1"/>
    <xf numFmtId="0" fontId="70" fillId="0" borderId="0" xfId="19" applyFont="1"/>
    <xf numFmtId="0" fontId="4" fillId="0" borderId="0" xfId="0" applyFont="1" applyAlignment="1"/>
    <xf numFmtId="0" fontId="0" fillId="8" borderId="153" xfId="0" applyFill="1" applyBorder="1" applyAlignment="1" applyProtection="1">
      <alignment horizontal="center"/>
      <protection locked="0"/>
    </xf>
    <xf numFmtId="0" fontId="0" fillId="8" borderId="172" xfId="0" applyFill="1" applyBorder="1" applyAlignment="1" applyProtection="1">
      <alignment horizontal="center"/>
      <protection locked="0"/>
    </xf>
    <xf numFmtId="2" fontId="21" fillId="4" borderId="173" xfId="19" applyNumberFormat="1" applyFont="1" applyFill="1" applyBorder="1"/>
    <xf numFmtId="2" fontId="21" fillId="4" borderId="174" xfId="19" applyNumberFormat="1" applyFont="1" applyFill="1" applyBorder="1"/>
    <xf numFmtId="14" fontId="0" fillId="8" borderId="151" xfId="0" applyNumberFormat="1" applyFill="1" applyBorder="1" applyProtection="1">
      <protection locked="0"/>
    </xf>
    <xf numFmtId="14" fontId="0" fillId="8" borderId="175" xfId="0" applyNumberFormat="1" applyFill="1" applyBorder="1" applyProtection="1">
      <protection locked="0"/>
    </xf>
    <xf numFmtId="9" fontId="0" fillId="8" borderId="151" xfId="0" applyNumberFormat="1" applyFill="1" applyBorder="1" applyProtection="1">
      <protection locked="0"/>
    </xf>
    <xf numFmtId="9" fontId="0" fillId="8" borderId="175" xfId="0" applyNumberFormat="1" applyFill="1" applyBorder="1" applyProtection="1">
      <protection locked="0"/>
    </xf>
    <xf numFmtId="44" fontId="0" fillId="8" borderId="172" xfId="2" applyFont="1" applyFill="1" applyBorder="1" applyProtection="1">
      <protection locked="0"/>
    </xf>
    <xf numFmtId="44" fontId="0" fillId="8" borderId="176" xfId="2" applyFont="1" applyFill="1" applyBorder="1" applyProtection="1">
      <protection locked="0"/>
    </xf>
    <xf numFmtId="2" fontId="0" fillId="8" borderId="175" xfId="2" applyNumberFormat="1" applyFont="1" applyFill="1" applyBorder="1" applyProtection="1">
      <protection locked="0"/>
    </xf>
    <xf numFmtId="2" fontId="0" fillId="8" borderId="177" xfId="2" applyNumberFormat="1" applyFont="1" applyFill="1" applyBorder="1" applyProtection="1">
      <protection locked="0"/>
    </xf>
    <xf numFmtId="0" fontId="0" fillId="8" borderId="178" xfId="0" applyFill="1" applyBorder="1" applyAlignment="1" applyProtection="1">
      <alignment horizontal="center"/>
      <protection locked="0"/>
    </xf>
    <xf numFmtId="44" fontId="0" fillId="8" borderId="179" xfId="2" applyFont="1" applyFill="1" applyBorder="1" applyAlignment="1" applyProtection="1">
      <alignment horizontal="center"/>
      <protection locked="0"/>
    </xf>
    <xf numFmtId="0" fontId="14" fillId="0" borderId="0" xfId="0" applyFont="1"/>
    <xf numFmtId="0" fontId="73" fillId="0" borderId="0" xfId="0" applyFont="1" applyAlignment="1"/>
    <xf numFmtId="0" fontId="74" fillId="0" borderId="0" xfId="0" applyFont="1" applyAlignment="1"/>
    <xf numFmtId="0" fontId="77" fillId="0" borderId="0" xfId="0" applyFont="1" applyAlignment="1">
      <alignment vertical="center"/>
    </xf>
    <xf numFmtId="0" fontId="79" fillId="0" borderId="0" xfId="0" applyFont="1"/>
    <xf numFmtId="0" fontId="63" fillId="0" borderId="0" xfId="0" applyFont="1"/>
    <xf numFmtId="0" fontId="13" fillId="0" borderId="0" xfId="0" applyFont="1" applyAlignment="1"/>
    <xf numFmtId="0" fontId="62" fillId="0" borderId="0" xfId="0" applyFont="1" applyAlignment="1">
      <alignment horizontal="right"/>
    </xf>
    <xf numFmtId="1" fontId="0" fillId="5" borderId="79" xfId="0" applyNumberFormat="1" applyFill="1" applyBorder="1" applyAlignment="1" applyProtection="1">
      <alignment horizontal="left"/>
      <protection locked="0"/>
    </xf>
    <xf numFmtId="0" fontId="80" fillId="0" borderId="0" xfId="0" applyFont="1" applyAlignment="1">
      <alignment horizontal="center"/>
    </xf>
    <xf numFmtId="10" fontId="0" fillId="8" borderId="175" xfId="1" applyNumberFormat="1" applyFont="1" applyFill="1" applyBorder="1" applyProtection="1">
      <protection locked="0"/>
    </xf>
    <xf numFmtId="0" fontId="70" fillId="0" borderId="0" xfId="0" applyFont="1"/>
    <xf numFmtId="0" fontId="81" fillId="0" borderId="0" xfId="0" applyFont="1"/>
    <xf numFmtId="2" fontId="0" fillId="8" borderId="151" xfId="0" applyNumberFormat="1" applyFill="1" applyBorder="1" applyProtection="1">
      <protection locked="0"/>
    </xf>
    <xf numFmtId="0" fontId="2" fillId="0" borderId="0" xfId="0" applyFont="1" applyBorder="1" applyAlignment="1">
      <alignment vertical="center"/>
    </xf>
    <xf numFmtId="0" fontId="4" fillId="0" borderId="34" xfId="0" applyFont="1" applyBorder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0" fontId="2" fillId="0" borderId="41" xfId="0" applyFont="1" applyBorder="1" applyAlignment="1">
      <alignment horizontal="center" vertical="center"/>
    </xf>
    <xf numFmtId="0" fontId="2" fillId="0" borderId="6" xfId="0" applyFont="1" applyBorder="1" applyAlignment="1">
      <alignment vertical="center"/>
    </xf>
    <xf numFmtId="0" fontId="2" fillId="0" borderId="8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2" fillId="0" borderId="0" xfId="0" applyFont="1" applyBorder="1" applyAlignment="1">
      <alignment horizontal="left" vertical="center"/>
    </xf>
    <xf numFmtId="0" fontId="2" fillId="0" borderId="0" xfId="0" applyFont="1" applyBorder="1" applyAlignment="1">
      <alignment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1" fillId="0" borderId="19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0" fillId="0" borderId="19" xfId="0" applyFont="1" applyBorder="1" applyAlignment="1">
      <alignment horizontal="center"/>
    </xf>
    <xf numFmtId="0" fontId="10" fillId="0" borderId="42" xfId="0" applyFont="1" applyBorder="1" applyAlignment="1">
      <alignment horizontal="center"/>
    </xf>
    <xf numFmtId="0" fontId="1" fillId="0" borderId="42" xfId="0" applyFont="1" applyBorder="1" applyAlignment="1">
      <alignment horizontal="center"/>
    </xf>
    <xf numFmtId="0" fontId="10" fillId="0" borderId="10" xfId="0" applyFont="1" applyBorder="1" applyAlignment="1">
      <alignment horizontal="center"/>
    </xf>
    <xf numFmtId="0" fontId="11" fillId="0" borderId="43" xfId="0" applyFont="1" applyBorder="1" applyAlignment="1">
      <alignment horizontal="center"/>
    </xf>
    <xf numFmtId="0" fontId="11" fillId="0" borderId="42" xfId="0" applyFont="1" applyBorder="1" applyAlignment="1">
      <alignment horizontal="center"/>
    </xf>
    <xf numFmtId="0" fontId="11" fillId="0" borderId="22" xfId="0" applyFont="1" applyBorder="1" applyAlignment="1">
      <alignment horizontal="center"/>
    </xf>
    <xf numFmtId="0" fontId="10" fillId="0" borderId="22" xfId="0" applyFont="1" applyBorder="1" applyAlignment="1">
      <alignment horizontal="center"/>
    </xf>
    <xf numFmtId="0" fontId="4" fillId="0" borderId="19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2" fontId="2" fillId="0" borderId="20" xfId="0" applyNumberFormat="1" applyFont="1" applyBorder="1" applyAlignment="1">
      <alignment vertical="center"/>
    </xf>
    <xf numFmtId="2" fontId="2" fillId="0" borderId="23" xfId="0" applyNumberFormat="1" applyFont="1" applyBorder="1" applyAlignment="1">
      <alignment vertical="center"/>
    </xf>
    <xf numFmtId="2" fontId="2" fillId="0" borderId="19" xfId="0" applyNumberFormat="1" applyFont="1" applyBorder="1" applyAlignment="1">
      <alignment vertical="center"/>
    </xf>
    <xf numFmtId="2" fontId="2" fillId="0" borderId="22" xfId="0" applyNumberFormat="1" applyFont="1" applyBorder="1" applyAlignment="1">
      <alignment vertical="center"/>
    </xf>
    <xf numFmtId="0" fontId="2" fillId="0" borderId="33" xfId="0" applyFont="1" applyBorder="1" applyAlignment="1">
      <alignment vertical="center"/>
    </xf>
    <xf numFmtId="0" fontId="2" fillId="0" borderId="21" xfId="0" applyFont="1" applyBorder="1" applyAlignment="1">
      <alignment vertical="center"/>
    </xf>
    <xf numFmtId="0" fontId="2" fillId="0" borderId="108" xfId="0" applyFont="1" applyBorder="1" applyAlignment="1">
      <alignment vertical="center"/>
    </xf>
    <xf numFmtId="0" fontId="2" fillId="0" borderId="23" xfId="0" applyFont="1" applyBorder="1" applyAlignment="1">
      <alignment vertical="center"/>
    </xf>
    <xf numFmtId="0" fontId="2" fillId="0" borderId="37" xfId="0" applyFont="1" applyBorder="1" applyAlignment="1">
      <alignment horizontal="left" vertical="center"/>
    </xf>
    <xf numFmtId="0" fontId="2" fillId="0" borderId="38" xfId="0" applyFont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2" fillId="0" borderId="6" xfId="0" applyFont="1" applyBorder="1" applyAlignment="1">
      <alignment horizontal="left" vertical="center"/>
    </xf>
    <xf numFmtId="0" fontId="2" fillId="0" borderId="18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center"/>
    </xf>
    <xf numFmtId="0" fontId="2" fillId="0" borderId="6" xfId="0" applyFont="1" applyFill="1" applyBorder="1" applyAlignment="1">
      <alignment horizontal="left" vertical="center"/>
    </xf>
    <xf numFmtId="0" fontId="2" fillId="0" borderId="8" xfId="0" applyFont="1" applyFill="1" applyBorder="1" applyAlignment="1">
      <alignment horizontal="left" vertical="center"/>
    </xf>
    <xf numFmtId="0" fontId="2" fillId="0" borderId="9" xfId="0" applyFont="1" applyFill="1" applyBorder="1" applyAlignment="1">
      <alignment horizontal="left" vertical="center"/>
    </xf>
    <xf numFmtId="0" fontId="2" fillId="0" borderId="0" xfId="0" applyFont="1" applyBorder="1" applyAlignment="1">
      <alignment vertical="center"/>
    </xf>
    <xf numFmtId="0" fontId="9" fillId="0" borderId="33" xfId="0" applyFont="1" applyBorder="1" applyAlignment="1">
      <alignment horizontal="center" vertical="center"/>
    </xf>
    <xf numFmtId="0" fontId="9" fillId="0" borderId="21" xfId="0" applyFont="1" applyBorder="1" applyAlignment="1">
      <alignment horizontal="center" vertical="center"/>
    </xf>
    <xf numFmtId="0" fontId="2" fillId="0" borderId="107" xfId="0" applyFont="1" applyBorder="1" applyAlignment="1">
      <alignment horizontal="left" vertical="center"/>
    </xf>
    <xf numFmtId="0" fontId="2" fillId="0" borderId="22" xfId="0" applyFont="1" applyBorder="1" applyAlignment="1">
      <alignment horizontal="left" vertical="center"/>
    </xf>
    <xf numFmtId="0" fontId="2" fillId="0" borderId="108" xfId="0" applyFont="1" applyBorder="1" applyAlignment="1">
      <alignment horizontal="left" vertical="center"/>
    </xf>
    <xf numFmtId="0" fontId="2" fillId="0" borderId="23" xfId="0" applyFont="1" applyBorder="1" applyAlignment="1">
      <alignment horizontal="left" vertical="center"/>
    </xf>
    <xf numFmtId="0" fontId="2" fillId="0" borderId="0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wrapText="1"/>
    </xf>
    <xf numFmtId="0" fontId="7" fillId="0" borderId="3" xfId="0" applyFont="1" applyBorder="1" applyAlignment="1">
      <alignment horizontal="center" wrapText="1"/>
    </xf>
    <xf numFmtId="0" fontId="7" fillId="0" borderId="4" xfId="0" applyFont="1" applyBorder="1" applyAlignment="1">
      <alignment horizontal="center" wrapText="1"/>
    </xf>
    <xf numFmtId="0" fontId="7" fillId="0" borderId="7" xfId="0" applyFont="1" applyBorder="1" applyAlignment="1">
      <alignment horizontal="center" wrapText="1"/>
    </xf>
    <xf numFmtId="0" fontId="7" fillId="0" borderId="8" xfId="0" applyFont="1" applyBorder="1" applyAlignment="1">
      <alignment horizontal="center" wrapText="1"/>
    </xf>
    <xf numFmtId="0" fontId="7" fillId="0" borderId="9" xfId="0" applyFont="1" applyBorder="1" applyAlignment="1">
      <alignment horizontal="center" wrapText="1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0" fontId="4" fillId="0" borderId="33" xfId="0" applyFont="1" applyBorder="1" applyAlignment="1">
      <alignment horizontal="center" vertical="center"/>
    </xf>
    <xf numFmtId="0" fontId="4" fillId="0" borderId="34" xfId="0" applyFont="1" applyBorder="1" applyAlignment="1">
      <alignment horizontal="center" vertical="center"/>
    </xf>
    <xf numFmtId="0" fontId="4" fillId="0" borderId="35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46" xfId="0" applyFont="1" applyBorder="1" applyAlignment="1">
      <alignment horizontal="center" vertical="center"/>
    </xf>
    <xf numFmtId="0" fontId="5" fillId="11" borderId="3" xfId="0" applyFont="1" applyFill="1" applyBorder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2" fillId="0" borderId="40" xfId="0" applyFont="1" applyBorder="1" applyAlignment="1">
      <alignment horizontal="center" vertical="center"/>
    </xf>
    <xf numFmtId="0" fontId="2" fillId="0" borderId="41" xfId="0" applyFont="1" applyBorder="1" applyAlignment="1">
      <alignment horizontal="center" vertical="center"/>
    </xf>
    <xf numFmtId="0" fontId="2" fillId="0" borderId="8" xfId="0" applyFont="1" applyBorder="1" applyAlignment="1">
      <alignment horizontal="left" vertical="center"/>
    </xf>
    <xf numFmtId="0" fontId="2" fillId="0" borderId="9" xfId="0" applyFont="1" applyBorder="1" applyAlignment="1">
      <alignment horizontal="left" vertical="center"/>
    </xf>
    <xf numFmtId="0" fontId="2" fillId="0" borderId="37" xfId="0" applyFont="1" applyFill="1" applyBorder="1" applyAlignment="1">
      <alignment horizontal="left" vertical="center"/>
    </xf>
    <xf numFmtId="0" fontId="2" fillId="0" borderId="38" xfId="0" applyFont="1" applyFill="1" applyBorder="1" applyAlignment="1">
      <alignment horizontal="left" vertical="center"/>
    </xf>
    <xf numFmtId="14" fontId="2" fillId="0" borderId="0" xfId="0" applyNumberFormat="1" applyFont="1" applyBorder="1" applyAlignment="1">
      <alignment horizontal="left" vertical="center"/>
    </xf>
    <xf numFmtId="14" fontId="2" fillId="0" borderId="6" xfId="0" applyNumberFormat="1" applyFont="1" applyBorder="1" applyAlignment="1">
      <alignment horizontal="left" vertical="center"/>
    </xf>
    <xf numFmtId="0" fontId="4" fillId="0" borderId="19" xfId="0" applyFont="1" applyBorder="1" applyAlignment="1">
      <alignment vertical="center"/>
    </xf>
    <xf numFmtId="0" fontId="4" fillId="0" borderId="22" xfId="0" applyFont="1" applyBorder="1" applyAlignment="1">
      <alignment vertical="center"/>
    </xf>
    <xf numFmtId="9" fontId="2" fillId="0" borderId="0" xfId="1" applyFont="1" applyBorder="1" applyAlignment="1">
      <alignment horizontal="left" vertical="center"/>
    </xf>
    <xf numFmtId="0" fontId="2" fillId="0" borderId="19" xfId="0" applyFont="1" applyBorder="1" applyAlignment="1">
      <alignment vertical="center"/>
    </xf>
    <xf numFmtId="0" fontId="2" fillId="0" borderId="22" xfId="0" applyFont="1" applyBorder="1" applyAlignment="1">
      <alignment vertical="center"/>
    </xf>
    <xf numFmtId="0" fontId="2" fillId="0" borderId="19" xfId="0" applyFont="1" applyBorder="1" applyAlignment="1">
      <alignment horizontal="left" vertical="center"/>
    </xf>
    <xf numFmtId="0" fontId="5" fillId="0" borderId="40" xfId="0" applyFont="1" applyBorder="1" applyAlignment="1">
      <alignment horizontal="center"/>
    </xf>
    <xf numFmtId="0" fontId="5" fillId="0" borderId="41" xfId="0" applyFont="1" applyBorder="1" applyAlignment="1">
      <alignment horizontal="center"/>
    </xf>
    <xf numFmtId="0" fontId="5" fillId="0" borderId="48" xfId="0" applyFont="1" applyBorder="1" applyAlignment="1">
      <alignment horizontal="center"/>
    </xf>
    <xf numFmtId="0" fontId="2" fillId="0" borderId="6" xfId="0" applyFont="1" applyBorder="1" applyAlignment="1">
      <alignment vertical="center"/>
    </xf>
    <xf numFmtId="0" fontId="2" fillId="0" borderId="8" xfId="0" applyFont="1" applyBorder="1" applyAlignment="1">
      <alignment vertical="center"/>
    </xf>
    <xf numFmtId="0" fontId="2" fillId="0" borderId="9" xfId="0" applyFont="1" applyBorder="1" applyAlignment="1">
      <alignment vertical="center"/>
    </xf>
    <xf numFmtId="0" fontId="2" fillId="0" borderId="37" xfId="0" applyFont="1" applyBorder="1" applyAlignment="1">
      <alignment vertical="center"/>
    </xf>
    <xf numFmtId="0" fontId="2" fillId="0" borderId="38" xfId="0" applyFont="1" applyBorder="1" applyAlignment="1">
      <alignment vertical="center"/>
    </xf>
    <xf numFmtId="0" fontId="1" fillId="0" borderId="19" xfId="0" applyFont="1" applyBorder="1"/>
    <xf numFmtId="0" fontId="1" fillId="0" borderId="42" xfId="0" applyFont="1" applyBorder="1"/>
    <xf numFmtId="0" fontId="1" fillId="0" borderId="22" xfId="0" applyFont="1" applyBorder="1"/>
    <xf numFmtId="0" fontId="2" fillId="0" borderId="0" xfId="0" applyFont="1" applyFill="1" applyBorder="1" applyAlignment="1">
      <alignment vertical="center"/>
    </xf>
    <xf numFmtId="0" fontId="2" fillId="0" borderId="6" xfId="0" applyFont="1" applyFill="1" applyBorder="1" applyAlignment="1">
      <alignment vertical="center"/>
    </xf>
    <xf numFmtId="0" fontId="2" fillId="0" borderId="37" xfId="0" applyFont="1" applyFill="1" applyBorder="1" applyAlignment="1">
      <alignment vertical="center"/>
    </xf>
    <xf numFmtId="0" fontId="2" fillId="0" borderId="38" xfId="0" applyFont="1" applyFill="1" applyBorder="1" applyAlignment="1">
      <alignment vertical="center"/>
    </xf>
    <xf numFmtId="0" fontId="2" fillId="0" borderId="8" xfId="0" applyFont="1" applyFill="1" applyBorder="1" applyAlignment="1">
      <alignment vertical="center"/>
    </xf>
    <xf numFmtId="0" fontId="2" fillId="0" borderId="9" xfId="0" applyFont="1" applyFill="1" applyBorder="1" applyAlignment="1">
      <alignment vertical="center"/>
    </xf>
    <xf numFmtId="0" fontId="9" fillId="0" borderId="0" xfId="0" applyFont="1" applyBorder="1" applyAlignment="1">
      <alignment horizontal="center" vertical="center"/>
    </xf>
    <xf numFmtId="0" fontId="26" fillId="3" borderId="0" xfId="19" applyFont="1" applyFill="1" applyBorder="1" applyAlignment="1">
      <alignment horizontal="center"/>
    </xf>
    <xf numFmtId="0" fontId="8" fillId="8" borderId="54" xfId="18" applyFill="1" applyBorder="1" applyProtection="1">
      <protection locked="0"/>
    </xf>
    <xf numFmtId="0" fontId="8" fillId="8" borderId="60" xfId="18" applyFill="1" applyBorder="1" applyProtection="1">
      <protection locked="0"/>
    </xf>
    <xf numFmtId="0" fontId="26" fillId="3" borderId="0" xfId="0" applyFont="1" applyFill="1" applyBorder="1" applyAlignment="1">
      <alignment horizontal="center"/>
    </xf>
    <xf numFmtId="0" fontId="26" fillId="3" borderId="0" xfId="18" applyFont="1" applyFill="1" applyBorder="1" applyAlignment="1">
      <alignment horizontal="center"/>
    </xf>
    <xf numFmtId="0" fontId="8" fillId="8" borderId="54" xfId="18" applyFill="1" applyBorder="1" applyAlignment="1" applyProtection="1">
      <protection locked="0"/>
    </xf>
    <xf numFmtId="0" fontId="8" fillId="8" borderId="57" xfId="18" applyFill="1" applyBorder="1" applyAlignment="1" applyProtection="1">
      <protection locked="0"/>
    </xf>
    <xf numFmtId="0" fontId="26" fillId="3" borderId="0" xfId="3" applyFont="1" applyFill="1" applyBorder="1" applyAlignment="1">
      <alignment horizontal="center"/>
    </xf>
    <xf numFmtId="166" fontId="13" fillId="9" borderId="54" xfId="0" applyNumberFormat="1" applyFont="1" applyFill="1" applyBorder="1" applyAlignment="1">
      <alignment horizontal="center"/>
    </xf>
    <xf numFmtId="0" fontId="20" fillId="8" borderId="54" xfId="0" applyFont="1" applyFill="1" applyBorder="1" applyAlignment="1" applyProtection="1">
      <alignment horizontal="center"/>
      <protection locked="0"/>
    </xf>
    <xf numFmtId="0" fontId="20" fillId="8" borderId="60" xfId="0" applyFont="1" applyFill="1" applyBorder="1" applyAlignment="1" applyProtection="1">
      <alignment horizontal="center"/>
      <protection locked="0"/>
    </xf>
    <xf numFmtId="0" fontId="20" fillId="5" borderId="59" xfId="0" applyFont="1" applyFill="1" applyBorder="1"/>
    <xf numFmtId="0" fontId="20" fillId="5" borderId="54" xfId="0" applyFont="1" applyFill="1" applyBorder="1"/>
    <xf numFmtId="0" fontId="20" fillId="0" borderId="59" xfId="0" applyFont="1" applyFill="1" applyBorder="1"/>
    <xf numFmtId="0" fontId="20" fillId="0" borderId="54" xfId="0" applyFont="1" applyFill="1" applyBorder="1"/>
    <xf numFmtId="0" fontId="12" fillId="7" borderId="59" xfId="0" applyFont="1" applyFill="1" applyBorder="1" applyAlignment="1">
      <alignment horizontal="center"/>
    </xf>
    <xf numFmtId="0" fontId="12" fillId="7" borderId="60" xfId="0" applyFont="1" applyFill="1" applyBorder="1" applyAlignment="1">
      <alignment horizontal="center"/>
    </xf>
    <xf numFmtId="0" fontId="16" fillId="0" borderId="0" xfId="0" applyFont="1" applyAlignment="1">
      <alignment horizontal="center"/>
    </xf>
    <xf numFmtId="0" fontId="60" fillId="0" borderId="43" xfId="0" applyFont="1" applyBorder="1" applyAlignment="1">
      <alignment horizontal="center"/>
    </xf>
    <xf numFmtId="0" fontId="60" fillId="0" borderId="42" xfId="0" applyFont="1" applyBorder="1" applyAlignment="1">
      <alignment horizontal="center" wrapText="1"/>
    </xf>
    <xf numFmtId="0" fontId="60" fillId="0" borderId="22" xfId="0" applyFont="1" applyBorder="1" applyAlignment="1">
      <alignment horizontal="center" wrapText="1"/>
    </xf>
    <xf numFmtId="0" fontId="26" fillId="3" borderId="0" xfId="0" applyFont="1" applyFill="1" applyAlignment="1">
      <alignment horizontal="center"/>
    </xf>
    <xf numFmtId="0" fontId="20" fillId="0" borderId="64" xfId="0" applyFont="1" applyFill="1" applyBorder="1" applyAlignment="1">
      <alignment wrapText="1"/>
    </xf>
    <xf numFmtId="0" fontId="20" fillId="0" borderId="65" xfId="0" applyFont="1" applyFill="1" applyBorder="1" applyAlignment="1">
      <alignment wrapText="1"/>
    </xf>
    <xf numFmtId="0" fontId="8" fillId="8" borderId="54" xfId="18" applyFill="1" applyBorder="1" applyAlignment="1" applyProtection="1">
      <alignment horizontal="left"/>
      <protection locked="0"/>
    </xf>
    <xf numFmtId="0" fontId="8" fillId="8" borderId="57" xfId="18" applyFill="1" applyBorder="1" applyAlignment="1" applyProtection="1">
      <alignment horizontal="left"/>
      <protection locked="0"/>
    </xf>
    <xf numFmtId="0" fontId="0" fillId="8" borderId="65" xfId="0" applyFill="1" applyBorder="1" applyAlignment="1" applyProtection="1">
      <alignment horizontal="left"/>
      <protection locked="0"/>
    </xf>
    <xf numFmtId="0" fontId="0" fillId="8" borderId="66" xfId="0" applyFill="1" applyBorder="1" applyAlignment="1" applyProtection="1">
      <alignment horizontal="left"/>
      <protection locked="0"/>
    </xf>
    <xf numFmtId="0" fontId="12" fillId="7" borderId="69" xfId="0" applyFont="1" applyFill="1" applyBorder="1" applyAlignment="1">
      <alignment horizontal="center"/>
    </xf>
    <xf numFmtId="0" fontId="12" fillId="7" borderId="67" xfId="0" applyFont="1" applyFill="1" applyBorder="1" applyAlignment="1">
      <alignment horizontal="center"/>
    </xf>
    <xf numFmtId="0" fontId="12" fillId="7" borderId="68" xfId="0" applyFont="1" applyFill="1" applyBorder="1" applyAlignment="1">
      <alignment horizontal="center"/>
    </xf>
    <xf numFmtId="0" fontId="12" fillId="7" borderId="54" xfId="0" applyFont="1" applyFill="1" applyBorder="1" applyAlignment="1">
      <alignment horizontal="center"/>
    </xf>
    <xf numFmtId="0" fontId="1" fillId="0" borderId="59" xfId="0" applyFont="1" applyBorder="1"/>
    <xf numFmtId="0" fontId="1" fillId="0" borderId="54" xfId="0" applyFont="1" applyBorder="1"/>
    <xf numFmtId="0" fontId="12" fillId="7" borderId="59" xfId="0" applyFont="1" applyFill="1" applyBorder="1"/>
    <xf numFmtId="0" fontId="12" fillId="7" borderId="54" xfId="0" applyFont="1" applyFill="1" applyBorder="1"/>
    <xf numFmtId="44" fontId="14" fillId="4" borderId="149" xfId="2" applyFont="1" applyFill="1" applyBorder="1" applyAlignment="1">
      <alignment horizontal="center"/>
    </xf>
    <xf numFmtId="44" fontId="14" fillId="4" borderId="71" xfId="2" applyFont="1" applyFill="1" applyBorder="1" applyAlignment="1">
      <alignment horizontal="center"/>
    </xf>
    <xf numFmtId="0" fontId="65" fillId="0" borderId="85" xfId="0" applyFont="1" applyBorder="1"/>
    <xf numFmtId="0" fontId="65" fillId="0" borderId="86" xfId="0" applyFont="1" applyBorder="1"/>
    <xf numFmtId="9" fontId="0" fillId="8" borderId="69" xfId="1" applyFont="1" applyFill="1" applyBorder="1" applyAlignment="1">
      <alignment horizontal="right"/>
    </xf>
    <xf numFmtId="9" fontId="0" fillId="8" borderId="68" xfId="1" applyFont="1" applyFill="1" applyBorder="1" applyAlignment="1">
      <alignment horizontal="right"/>
    </xf>
    <xf numFmtId="0" fontId="12" fillId="7" borderId="148" xfId="0" applyFont="1" applyFill="1" applyBorder="1" applyAlignment="1">
      <alignment horizontal="center"/>
    </xf>
    <xf numFmtId="0" fontId="12" fillId="7" borderId="65" xfId="0" applyFont="1" applyFill="1" applyBorder="1" applyAlignment="1">
      <alignment horizontal="center"/>
    </xf>
    <xf numFmtId="0" fontId="1" fillId="0" borderId="85" xfId="0" applyFont="1" applyBorder="1" applyAlignment="1">
      <alignment horizontal="center"/>
    </xf>
    <xf numFmtId="0" fontId="1" fillId="0" borderId="86" xfId="0" applyFont="1" applyBorder="1" applyAlignment="1">
      <alignment horizontal="center"/>
    </xf>
    <xf numFmtId="0" fontId="25" fillId="0" borderId="43" xfId="0" applyFont="1" applyBorder="1" applyAlignment="1">
      <alignment horizontal="center"/>
    </xf>
    <xf numFmtId="0" fontId="25" fillId="0" borderId="37" xfId="0" applyFont="1" applyBorder="1" applyAlignment="1">
      <alignment horizontal="center"/>
    </xf>
    <xf numFmtId="0" fontId="25" fillId="0" borderId="106" xfId="0" applyFont="1" applyBorder="1" applyAlignment="1">
      <alignment horizontal="center"/>
    </xf>
    <xf numFmtId="0" fontId="0" fillId="8" borderId="54" xfId="18" applyFont="1" applyFill="1" applyBorder="1" applyAlignment="1" applyProtection="1">
      <alignment horizontal="left"/>
      <protection locked="0"/>
    </xf>
    <xf numFmtId="0" fontId="1" fillId="0" borderId="78" xfId="0" applyFont="1" applyBorder="1" applyAlignment="1">
      <alignment horizontal="center"/>
    </xf>
    <xf numFmtId="0" fontId="1" fillId="0" borderId="87" xfId="0" applyFont="1" applyBorder="1" applyAlignment="1">
      <alignment horizontal="center"/>
    </xf>
    <xf numFmtId="44" fontId="1" fillId="0" borderId="87" xfId="0" applyNumberFormat="1" applyFont="1" applyBorder="1" applyAlignment="1">
      <alignment horizontal="center"/>
    </xf>
    <xf numFmtId="0" fontId="1" fillId="0" borderId="80" xfId="0" applyFont="1" applyBorder="1" applyAlignment="1">
      <alignment horizontal="center"/>
    </xf>
    <xf numFmtId="0" fontId="1" fillId="5" borderId="69" xfId="0" applyFont="1" applyFill="1" applyBorder="1" applyAlignment="1">
      <alignment horizontal="center"/>
    </xf>
    <xf numFmtId="0" fontId="1" fillId="5" borderId="67" xfId="0" applyFont="1" applyFill="1" applyBorder="1" applyAlignment="1">
      <alignment horizontal="center"/>
    </xf>
    <xf numFmtId="14" fontId="0" fillId="8" borderId="59" xfId="0" applyNumberFormat="1" applyFill="1" applyBorder="1" applyAlignment="1">
      <alignment horizontal="center"/>
    </xf>
    <xf numFmtId="0" fontId="0" fillId="8" borderId="60" xfId="0" applyFill="1" applyBorder="1" applyAlignment="1">
      <alignment horizontal="center"/>
    </xf>
    <xf numFmtId="0" fontId="0" fillId="0" borderId="0" xfId="0" applyAlignment="1">
      <alignment horizontal="right"/>
    </xf>
    <xf numFmtId="0" fontId="1" fillId="0" borderId="59" xfId="0" applyFont="1" applyBorder="1" applyAlignment="1">
      <alignment horizontal="center"/>
    </xf>
    <xf numFmtId="0" fontId="1" fillId="0" borderId="54" xfId="0" applyFont="1" applyBorder="1" applyAlignment="1">
      <alignment horizontal="center"/>
    </xf>
    <xf numFmtId="0" fontId="1" fillId="5" borderId="59" xfId="0" applyFont="1" applyFill="1" applyBorder="1" applyAlignment="1">
      <alignment horizontal="center"/>
    </xf>
    <xf numFmtId="0" fontId="1" fillId="5" borderId="54" xfId="0" applyFont="1" applyFill="1" applyBorder="1" applyAlignment="1">
      <alignment horizontal="center"/>
    </xf>
    <xf numFmtId="44" fontId="0" fillId="5" borderId="54" xfId="2" applyFont="1" applyFill="1" applyBorder="1" applyAlignment="1">
      <alignment horizontal="center"/>
    </xf>
    <xf numFmtId="44" fontId="0" fillId="5" borderId="60" xfId="2" applyFont="1" applyFill="1" applyBorder="1" applyAlignment="1">
      <alignment horizontal="center"/>
    </xf>
    <xf numFmtId="44" fontId="1" fillId="0" borderId="54" xfId="2" applyFont="1" applyBorder="1" applyAlignment="1">
      <alignment horizontal="center"/>
    </xf>
    <xf numFmtId="44" fontId="1" fillId="0" borderId="60" xfId="2" applyFont="1" applyBorder="1" applyAlignment="1">
      <alignment horizontal="center"/>
    </xf>
    <xf numFmtId="0" fontId="68" fillId="0" borderId="161" xfId="0" applyFont="1" applyFill="1" applyBorder="1" applyAlignment="1">
      <alignment horizontal="center"/>
    </xf>
    <xf numFmtId="0" fontId="68" fillId="0" borderId="96" xfId="0" applyFont="1" applyFill="1" applyBorder="1" applyAlignment="1">
      <alignment horizontal="center"/>
    </xf>
    <xf numFmtId="0" fontId="68" fillId="0" borderId="162" xfId="0" applyFont="1" applyFill="1" applyBorder="1" applyAlignment="1">
      <alignment horizontal="center"/>
    </xf>
    <xf numFmtId="0" fontId="12" fillId="7" borderId="63" xfId="0" applyFont="1" applyFill="1" applyBorder="1" applyAlignment="1">
      <alignment horizontal="center"/>
    </xf>
    <xf numFmtId="0" fontId="12" fillId="7" borderId="0" xfId="0" applyFont="1" applyFill="1" applyBorder="1" applyAlignment="1">
      <alignment horizontal="center"/>
    </xf>
    <xf numFmtId="0" fontId="0" fillId="8" borderId="157" xfId="0" applyFill="1" applyBorder="1" applyAlignment="1">
      <alignment horizontal="center"/>
    </xf>
    <xf numFmtId="0" fontId="0" fillId="8" borderId="158" xfId="0" applyFill="1" applyBorder="1" applyAlignment="1">
      <alignment horizontal="center"/>
    </xf>
    <xf numFmtId="0" fontId="68" fillId="0" borderId="92" xfId="0" applyFont="1" applyFill="1" applyBorder="1" applyAlignment="1">
      <alignment horizontal="center"/>
    </xf>
    <xf numFmtId="0" fontId="68" fillId="0" borderId="93" xfId="0" applyFont="1" applyFill="1" applyBorder="1" applyAlignment="1">
      <alignment horizontal="center"/>
    </xf>
    <xf numFmtId="0" fontId="68" fillId="0" borderId="94" xfId="0" applyFont="1" applyFill="1" applyBorder="1" applyAlignment="1">
      <alignment horizontal="center"/>
    </xf>
    <xf numFmtId="0" fontId="1" fillId="0" borderId="100" xfId="0" applyFont="1" applyBorder="1" applyAlignment="1">
      <alignment horizontal="center"/>
    </xf>
    <xf numFmtId="0" fontId="1" fillId="0" borderId="101" xfId="0" applyFont="1" applyBorder="1" applyAlignment="1">
      <alignment horizontal="center"/>
    </xf>
    <xf numFmtId="44" fontId="0" fillId="8" borderId="67" xfId="2" applyFont="1" applyFill="1" applyBorder="1" applyAlignment="1" applyProtection="1">
      <alignment horizontal="center"/>
      <protection locked="0"/>
    </xf>
    <xf numFmtId="0" fontId="1" fillId="5" borderId="64" xfId="0" applyFont="1" applyFill="1" applyBorder="1" applyAlignment="1">
      <alignment horizontal="center"/>
    </xf>
    <xf numFmtId="0" fontId="1" fillId="5" borderId="65" xfId="0" applyFont="1" applyFill="1" applyBorder="1" applyAlignment="1">
      <alignment horizontal="center"/>
    </xf>
    <xf numFmtId="0" fontId="0" fillId="8" borderId="57" xfId="18" applyFont="1" applyFill="1" applyBorder="1" applyAlignment="1" applyProtection="1">
      <alignment horizontal="left"/>
      <protection locked="0"/>
    </xf>
    <xf numFmtId="0" fontId="8" fillId="8" borderId="65" xfId="18" applyFill="1" applyBorder="1" applyAlignment="1" applyProtection="1">
      <alignment horizontal="left"/>
      <protection locked="0"/>
    </xf>
    <xf numFmtId="0" fontId="8" fillId="8" borderId="66" xfId="18" applyFill="1" applyBorder="1" applyAlignment="1" applyProtection="1">
      <alignment horizontal="left"/>
      <protection locked="0"/>
    </xf>
    <xf numFmtId="0" fontId="67" fillId="7" borderId="156" xfId="0" applyFont="1" applyFill="1" applyBorder="1" applyAlignment="1">
      <alignment horizontal="center"/>
    </xf>
    <xf numFmtId="0" fontId="67" fillId="7" borderId="157" xfId="0" applyFont="1" applyFill="1" applyBorder="1" applyAlignment="1">
      <alignment horizontal="center"/>
    </xf>
    <xf numFmtId="0" fontId="1" fillId="0" borderId="56" xfId="0" applyFont="1" applyBorder="1" applyAlignment="1">
      <alignment horizontal="center"/>
    </xf>
    <xf numFmtId="0" fontId="0" fillId="8" borderId="67" xfId="0" applyFill="1" applyBorder="1"/>
    <xf numFmtId="0" fontId="0" fillId="8" borderId="68" xfId="0" applyFill="1" applyBorder="1"/>
    <xf numFmtId="0" fontId="12" fillId="7" borderId="98" xfId="0" applyFont="1" applyFill="1" applyBorder="1" applyAlignment="1">
      <alignment horizontal="center"/>
    </xf>
    <xf numFmtId="0" fontId="69" fillId="0" borderId="95" xfId="0" applyFont="1" applyFill="1" applyBorder="1" applyAlignment="1">
      <alignment horizontal="center"/>
    </xf>
    <xf numFmtId="0" fontId="69" fillId="0" borderId="96" xfId="0" applyFont="1" applyFill="1" applyBorder="1" applyAlignment="1">
      <alignment horizontal="center"/>
    </xf>
    <xf numFmtId="0" fontId="69" fillId="0" borderId="97" xfId="0" applyFont="1" applyFill="1" applyBorder="1" applyAlignment="1">
      <alignment horizontal="center"/>
    </xf>
    <xf numFmtId="0" fontId="12" fillId="7" borderId="155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/>
    </xf>
    <xf numFmtId="0" fontId="70" fillId="4" borderId="43" xfId="0" applyFont="1" applyFill="1" applyBorder="1" applyAlignment="1">
      <alignment horizontal="center" vertical="center" wrapText="1"/>
    </xf>
    <xf numFmtId="0" fontId="70" fillId="4" borderId="37" xfId="0" applyFont="1" applyFill="1" applyBorder="1" applyAlignment="1">
      <alignment horizontal="center" vertical="center" wrapText="1"/>
    </xf>
    <xf numFmtId="0" fontId="70" fillId="4" borderId="106" xfId="0" applyFont="1" applyFill="1" applyBorder="1" applyAlignment="1">
      <alignment horizontal="center" vertical="center" wrapText="1"/>
    </xf>
    <xf numFmtId="0" fontId="70" fillId="4" borderId="44" xfId="0" applyFont="1" applyFill="1" applyBorder="1" applyAlignment="1">
      <alignment horizontal="center" vertical="center" wrapText="1"/>
    </xf>
    <xf numFmtId="0" fontId="70" fillId="4" borderId="25" xfId="0" applyFont="1" applyFill="1" applyBorder="1" applyAlignment="1">
      <alignment horizontal="center" vertical="center" wrapText="1"/>
    </xf>
    <xf numFmtId="0" fontId="70" fillId="4" borderId="49" xfId="0" applyFont="1" applyFill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1" fillId="0" borderId="42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0" fillId="0" borderId="31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32" xfId="0" applyBorder="1" applyAlignment="1">
      <alignment vertical="center"/>
    </xf>
    <xf numFmtId="0" fontId="1" fillId="0" borderId="103" xfId="0" applyFont="1" applyBorder="1" applyAlignment="1">
      <alignment horizontal="center"/>
    </xf>
    <xf numFmtId="0" fontId="1" fillId="0" borderId="105" xfId="0" applyFont="1" applyBorder="1" applyAlignment="1">
      <alignment horizontal="center"/>
    </xf>
    <xf numFmtId="0" fontId="69" fillId="0" borderId="92" xfId="0" applyFont="1" applyFill="1" applyBorder="1" applyAlignment="1">
      <alignment horizontal="center"/>
    </xf>
    <xf numFmtId="0" fontId="69" fillId="0" borderId="93" xfId="0" applyFont="1" applyFill="1" applyBorder="1" applyAlignment="1">
      <alignment horizontal="center"/>
    </xf>
    <xf numFmtId="0" fontId="69" fillId="0" borderId="94" xfId="0" applyFont="1" applyFill="1" applyBorder="1" applyAlignment="1">
      <alignment horizontal="center"/>
    </xf>
    <xf numFmtId="0" fontId="69" fillId="0" borderId="161" xfId="0" applyFont="1" applyFill="1" applyBorder="1" applyAlignment="1">
      <alignment horizontal="center"/>
    </xf>
    <xf numFmtId="0" fontId="69" fillId="0" borderId="162" xfId="0" applyFont="1" applyFill="1" applyBorder="1" applyAlignment="1">
      <alignment horizontal="center"/>
    </xf>
    <xf numFmtId="0" fontId="0" fillId="8" borderId="164" xfId="0" applyFill="1" applyBorder="1" applyAlignment="1" applyProtection="1">
      <alignment horizontal="center"/>
      <protection locked="0"/>
    </xf>
    <xf numFmtId="0" fontId="0" fillId="8" borderId="181" xfId="0" applyFill="1" applyBorder="1" applyAlignment="1" applyProtection="1">
      <alignment horizontal="center"/>
      <protection locked="0"/>
    </xf>
    <xf numFmtId="0" fontId="69" fillId="0" borderId="169" xfId="0" applyFont="1" applyFill="1" applyBorder="1" applyAlignment="1">
      <alignment horizontal="center"/>
    </xf>
    <xf numFmtId="0" fontId="69" fillId="0" borderId="170" xfId="0" applyFont="1" applyFill="1" applyBorder="1" applyAlignment="1">
      <alignment horizontal="center"/>
    </xf>
    <xf numFmtId="0" fontId="69" fillId="0" borderId="171" xfId="0" applyFont="1" applyFill="1" applyBorder="1" applyAlignment="1">
      <alignment horizontal="center"/>
    </xf>
    <xf numFmtId="0" fontId="0" fillId="8" borderId="179" xfId="0" applyFill="1" applyBorder="1" applyAlignment="1" applyProtection="1">
      <alignment horizontal="center"/>
      <protection locked="0"/>
    </xf>
    <xf numFmtId="0" fontId="0" fillId="8" borderId="180" xfId="0" applyFill="1" applyBorder="1" applyAlignment="1" applyProtection="1">
      <alignment horizontal="center"/>
      <protection locked="0"/>
    </xf>
    <xf numFmtId="0" fontId="1" fillId="5" borderId="70" xfId="0" applyFont="1" applyFill="1" applyBorder="1" applyAlignment="1">
      <alignment horizontal="center"/>
    </xf>
    <xf numFmtId="0" fontId="1" fillId="5" borderId="88" xfId="0" applyFont="1" applyFill="1" applyBorder="1" applyAlignment="1">
      <alignment horizontal="center"/>
    </xf>
    <xf numFmtId="0" fontId="1" fillId="0" borderId="81" xfId="0" applyFont="1" applyBorder="1" applyAlignment="1">
      <alignment horizontal="center"/>
    </xf>
    <xf numFmtId="0" fontId="1" fillId="0" borderId="83" xfId="0" applyFont="1" applyBorder="1" applyAlignment="1">
      <alignment horizontal="center"/>
    </xf>
    <xf numFmtId="0" fontId="1" fillId="0" borderId="115" xfId="0" applyFont="1" applyBorder="1" applyAlignment="1">
      <alignment horizontal="center"/>
    </xf>
    <xf numFmtId="0" fontId="1" fillId="0" borderId="31" xfId="0" quotePrefix="1" applyFont="1" applyBorder="1" applyAlignment="1">
      <alignment vertical="center" wrapText="1"/>
    </xf>
    <xf numFmtId="0" fontId="1" fillId="0" borderId="0" xfId="0" quotePrefix="1" applyFont="1" applyBorder="1" applyAlignment="1">
      <alignment vertical="center" wrapText="1"/>
    </xf>
    <xf numFmtId="0" fontId="1" fillId="0" borderId="32" xfId="0" quotePrefix="1" applyFont="1" applyBorder="1" applyAlignment="1">
      <alignment vertical="center" wrapText="1"/>
    </xf>
    <xf numFmtId="0" fontId="1" fillId="0" borderId="31" xfId="0" quotePrefix="1" applyFont="1" applyBorder="1"/>
    <xf numFmtId="0" fontId="1" fillId="0" borderId="0" xfId="0" quotePrefix="1" applyFont="1" applyBorder="1"/>
    <xf numFmtId="0" fontId="1" fillId="0" borderId="32" xfId="0" quotePrefix="1" applyFont="1" applyBorder="1"/>
    <xf numFmtId="0" fontId="1" fillId="0" borderId="0" xfId="0" applyFont="1" applyBorder="1" applyAlignment="1">
      <alignment vertical="center" wrapText="1"/>
    </xf>
    <xf numFmtId="0" fontId="1" fillId="0" borderId="32" xfId="0" applyFont="1" applyBorder="1" applyAlignment="1">
      <alignment vertical="center" wrapText="1"/>
    </xf>
    <xf numFmtId="0" fontId="1" fillId="0" borderId="0" xfId="0" applyFont="1" applyBorder="1"/>
    <xf numFmtId="0" fontId="1" fillId="0" borderId="32" xfId="0" applyFont="1" applyBorder="1"/>
    <xf numFmtId="0" fontId="0" fillId="0" borderId="31" xfId="0" quotePrefix="1" applyBorder="1" applyAlignment="1">
      <alignment vertical="center" wrapText="1"/>
    </xf>
    <xf numFmtId="0" fontId="0" fillId="0" borderId="0" xfId="0" applyBorder="1" applyAlignment="1">
      <alignment vertical="center" wrapText="1"/>
    </xf>
    <xf numFmtId="0" fontId="0" fillId="0" borderId="32" xfId="0" applyBorder="1" applyAlignment="1">
      <alignment vertical="center" wrapText="1"/>
    </xf>
    <xf numFmtId="0" fontId="0" fillId="0" borderId="0" xfId="0" quotePrefix="1" applyBorder="1" applyAlignment="1">
      <alignment vertical="center" wrapText="1"/>
    </xf>
    <xf numFmtId="0" fontId="0" fillId="0" borderId="0" xfId="0" quotePrefix="1" applyBorder="1"/>
    <xf numFmtId="0" fontId="0" fillId="0" borderId="0" xfId="0" applyBorder="1"/>
    <xf numFmtId="0" fontId="0" fillId="0" borderId="32" xfId="0" applyBorder="1"/>
    <xf numFmtId="0" fontId="0" fillId="0" borderId="0" xfId="0" quotePrefix="1" applyFill="1" applyBorder="1"/>
    <xf numFmtId="0" fontId="0" fillId="0" borderId="0" xfId="0" applyFill="1" applyBorder="1"/>
    <xf numFmtId="0" fontId="0" fillId="0" borderId="32" xfId="0" applyFill="1" applyBorder="1"/>
    <xf numFmtId="0" fontId="1" fillId="0" borderId="0" xfId="0" quotePrefix="1" applyFont="1" applyFill="1" applyBorder="1"/>
    <xf numFmtId="0" fontId="1" fillId="0" borderId="0" xfId="0" applyFont="1" applyFill="1" applyBorder="1"/>
    <xf numFmtId="0" fontId="1" fillId="0" borderId="32" xfId="0" applyFont="1" applyFill="1" applyBorder="1"/>
    <xf numFmtId="0" fontId="0" fillId="0" borderId="31" xfId="0" applyBorder="1" applyAlignment="1">
      <alignment vertical="center" wrapText="1"/>
    </xf>
    <xf numFmtId="0" fontId="36" fillId="0" borderId="43" xfId="10" applyFont="1" applyBorder="1" applyAlignment="1">
      <alignment horizontal="center" vertical="center"/>
    </xf>
    <xf numFmtId="0" fontId="36" fillId="0" borderId="37" xfId="10" applyFont="1" applyBorder="1" applyAlignment="1">
      <alignment horizontal="center" vertical="center"/>
    </xf>
    <xf numFmtId="3" fontId="36" fillId="12" borderId="19" xfId="10" applyNumberFormat="1" applyFont="1" applyFill="1" applyBorder="1" applyAlignment="1">
      <alignment horizontal="center" vertical="center"/>
    </xf>
    <xf numFmtId="0" fontId="36" fillId="12" borderId="22" xfId="10" applyFont="1" applyFill="1" applyBorder="1" applyAlignment="1">
      <alignment horizontal="center" vertical="center"/>
    </xf>
    <xf numFmtId="0" fontId="37" fillId="0" borderId="0" xfId="10" applyFont="1" applyBorder="1" applyAlignment="1">
      <alignment horizontal="center" vertical="center" wrapText="1"/>
    </xf>
    <xf numFmtId="0" fontId="37" fillId="0" borderId="32" xfId="10" applyFont="1" applyBorder="1" applyAlignment="1">
      <alignment horizontal="center" vertical="center" wrapText="1"/>
    </xf>
    <xf numFmtId="0" fontId="50" fillId="0" borderId="0" xfId="12" applyFont="1" applyAlignment="1">
      <alignment horizontal="center"/>
    </xf>
    <xf numFmtId="0" fontId="49" fillId="0" borderId="30" xfId="12" applyFont="1" applyBorder="1" applyAlignment="1">
      <alignment horizontal="center" vertical="center"/>
    </xf>
    <xf numFmtId="0" fontId="49" fillId="0" borderId="28" xfId="12" applyFont="1" applyBorder="1" applyAlignment="1">
      <alignment horizontal="center" vertical="center"/>
    </xf>
    <xf numFmtId="0" fontId="49" fillId="0" borderId="43" xfId="23" applyBorder="1" applyAlignment="1">
      <alignment horizontal="center" vertical="center"/>
    </xf>
    <xf numFmtId="0" fontId="49" fillId="0" borderId="44" xfId="23" applyBorder="1" applyAlignment="1">
      <alignment horizontal="center" vertical="center"/>
    </xf>
    <xf numFmtId="0" fontId="49" fillId="0" borderId="30" xfId="23" applyBorder="1" applyAlignment="1">
      <alignment horizontal="center" vertical="center"/>
    </xf>
    <xf numFmtId="0" fontId="49" fillId="0" borderId="28" xfId="23" applyBorder="1" applyAlignment="1">
      <alignment horizontal="center" vertical="center"/>
    </xf>
    <xf numFmtId="0" fontId="28" fillId="0" borderId="25" xfId="3" applyFont="1" applyBorder="1" applyAlignment="1" applyProtection="1">
      <alignment horizontal="center"/>
      <protection locked="0"/>
    </xf>
    <xf numFmtId="0" fontId="8" fillId="8" borderId="54" xfId="18" applyFill="1" applyBorder="1" applyAlignment="1"/>
    <xf numFmtId="0" fontId="8" fillId="8" borderId="60" xfId="18" applyFill="1" applyBorder="1" applyAlignment="1"/>
  </cellXfs>
  <cellStyles count="24">
    <cellStyle name="Euro" xfId="5"/>
    <cellStyle name="Milliers 2" xfId="4"/>
    <cellStyle name="Milliers 3" xfId="6"/>
    <cellStyle name="Milliers 4" xfId="7"/>
    <cellStyle name="Milliers 5" xfId="8"/>
    <cellStyle name="Monétaire" xfId="2" builtinId="4"/>
    <cellStyle name="Monétaire 2" xfId="9"/>
    <cellStyle name="Monétaire 3" xfId="16"/>
    <cellStyle name="Normal" xfId="0" builtinId="0"/>
    <cellStyle name="Normal 2" xfId="3"/>
    <cellStyle name="Normal 2 2" xfId="10"/>
    <cellStyle name="Normal 3" xfId="11"/>
    <cellStyle name="Normal 3 2" xfId="12"/>
    <cellStyle name="Normal 3 3" xfId="13"/>
    <cellStyle name="Normal 4" xfId="14"/>
    <cellStyle name="Normal 5" xfId="17"/>
    <cellStyle name="Normal 6" xfId="18"/>
    <cellStyle name="Normal 6 2" xfId="19"/>
    <cellStyle name="Normal 6 2 2" xfId="20"/>
    <cellStyle name="Normal 6 3" xfId="21"/>
    <cellStyle name="Normal_BORDCADR" xfId="23"/>
    <cellStyle name="Normal_CRUS" xfId="22"/>
    <cellStyle name="Pourcentage" xfId="1" builtinId="5"/>
    <cellStyle name="Pourcentage 2" xfId="15"/>
  </cellStyles>
  <dxfs count="9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7B7B7B"/>
      <color rgb="FFFEC12A"/>
      <color rgb="FFFFFF99"/>
      <color rgb="FFC4BF00"/>
      <color rgb="FFD2A000"/>
      <color rgb="FFB4B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Boite%20&#224;%20outils/Outils%20paie/2017/05-Mai/Nouvelle%20matrice%20v17-150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otisations"/>
      <sheetName val="Société"/>
      <sheetName val="non cadre"/>
      <sheetName val="cadre"/>
      <sheetName val="dirigeant"/>
      <sheetName val="Régul plafonds"/>
      <sheetName val="Régul plafonds + GMP"/>
      <sheetName val="Régul Fillon"/>
      <sheetName val="Régul AF"/>
      <sheetName val="Logement"/>
      <sheetName val="Saisie"/>
      <sheetName val="IJSS maladie"/>
      <sheetName val="IJSS AT"/>
      <sheetName val="Indemn. licenc."/>
      <sheetName val="IC(C)P"/>
      <sheetName val="variables"/>
      <sheetName val="Listes"/>
    </sheetNames>
    <sheetDataSet>
      <sheetData sheetId="0">
        <row r="45">
          <cell r="B45">
            <v>9.76</v>
          </cell>
        </row>
        <row r="46">
          <cell r="B46">
            <v>1480.2991999999999</v>
          </cell>
        </row>
        <row r="47">
          <cell r="B47">
            <v>3269</v>
          </cell>
        </row>
        <row r="48">
          <cell r="B48">
            <v>39228</v>
          </cell>
        </row>
        <row r="50">
          <cell r="B50">
            <v>342.48</v>
          </cell>
        </row>
      </sheetData>
      <sheetData sheetId="1">
        <row r="11">
          <cell r="B11">
            <v>0</v>
          </cell>
        </row>
        <row r="13">
          <cell r="B13">
            <v>0.28089999999999998</v>
          </cell>
        </row>
      </sheetData>
      <sheetData sheetId="2">
        <row r="13">
          <cell r="I13">
            <v>3269</v>
          </cell>
        </row>
        <row r="24">
          <cell r="I24">
            <v>0</v>
          </cell>
        </row>
        <row r="78">
          <cell r="B78">
            <v>0</v>
          </cell>
        </row>
        <row r="79">
          <cell r="B79">
            <v>0</v>
          </cell>
        </row>
        <row r="80">
          <cell r="B80">
            <v>0</v>
          </cell>
        </row>
        <row r="81">
          <cell r="B81">
            <v>0</v>
          </cell>
        </row>
        <row r="87">
          <cell r="B87">
            <v>1480.2991999999999</v>
          </cell>
        </row>
      </sheetData>
      <sheetData sheetId="3">
        <row r="13">
          <cell r="I13">
            <v>3269</v>
          </cell>
        </row>
        <row r="24">
          <cell r="I24">
            <v>0</v>
          </cell>
        </row>
        <row r="83">
          <cell r="B83">
            <v>0</v>
          </cell>
        </row>
        <row r="84">
          <cell r="B84">
            <v>0</v>
          </cell>
        </row>
        <row r="85">
          <cell r="B85">
            <v>0</v>
          </cell>
        </row>
        <row r="86">
          <cell r="B86">
            <v>0</v>
          </cell>
        </row>
        <row r="87">
          <cell r="B87">
            <v>0</v>
          </cell>
        </row>
        <row r="93">
          <cell r="B93">
            <v>1480.2991999999999</v>
          </cell>
        </row>
      </sheetData>
      <sheetData sheetId="4">
        <row r="21">
          <cell r="I21">
            <v>0</v>
          </cell>
        </row>
      </sheetData>
      <sheetData sheetId="5"/>
      <sheetData sheetId="6"/>
      <sheetData sheetId="7"/>
      <sheetData sheetId="8"/>
      <sheetData sheetId="9"/>
      <sheetData sheetId="10">
        <row r="14">
          <cell r="C14">
            <v>0</v>
          </cell>
        </row>
        <row r="15">
          <cell r="C15">
            <v>0</v>
          </cell>
        </row>
        <row r="16">
          <cell r="C16">
            <v>0</v>
          </cell>
        </row>
        <row r="20">
          <cell r="C20">
            <v>0</v>
          </cell>
        </row>
        <row r="21">
          <cell r="C21">
            <v>0</v>
          </cell>
        </row>
      </sheetData>
      <sheetData sheetId="11"/>
      <sheetData sheetId="12"/>
      <sheetData sheetId="13"/>
      <sheetData sheetId="14"/>
      <sheetData sheetId="15"/>
      <sheetData sheetId="16">
        <row r="2">
          <cell r="A2" t="str">
            <v>en heures réelles</v>
          </cell>
        </row>
        <row r="3">
          <cell r="A3" t="str">
            <v>au 30ème</v>
          </cell>
        </row>
        <row r="4">
          <cell r="A4" t="str">
            <v>au 26ème</v>
          </cell>
        </row>
        <row r="7">
          <cell r="A7" t="str">
            <v>H.S.</v>
          </cell>
        </row>
        <row r="8">
          <cell r="A8" t="str">
            <v>H.C.</v>
          </cell>
        </row>
        <row r="9">
          <cell r="A9" t="str">
            <v>H.S. non majorées</v>
          </cell>
        </row>
        <row r="10">
          <cell r="A10" t="str">
            <v>Complément d'heures</v>
          </cell>
        </row>
        <row r="13">
          <cell r="A13" t="str">
            <v>Réduction Fillon</v>
          </cell>
        </row>
        <row r="14">
          <cell r="A14" t="str">
            <v>Régularisation Fillon</v>
          </cell>
        </row>
        <row r="17">
          <cell r="A17" t="str">
            <v>Allocations familliales</v>
          </cell>
        </row>
        <row r="18">
          <cell r="A18" t="str">
            <v>Régularisation allocations familliales</v>
          </cell>
        </row>
        <row r="21">
          <cell r="A21" t="str">
            <v>Initial</v>
          </cell>
        </row>
        <row r="22">
          <cell r="A22" t="str">
            <v>Prolongation</v>
          </cell>
        </row>
        <row r="25">
          <cell r="A25">
            <v>0</v>
          </cell>
        </row>
        <row r="26">
          <cell r="A26">
            <v>1</v>
          </cell>
        </row>
        <row r="27">
          <cell r="A27">
            <v>2</v>
          </cell>
        </row>
        <row r="28">
          <cell r="A28">
            <v>3</v>
          </cell>
        </row>
        <row r="29">
          <cell r="A29">
            <v>4</v>
          </cell>
        </row>
        <row r="30">
          <cell r="A30">
            <v>5</v>
          </cell>
        </row>
        <row r="31">
          <cell r="A31">
            <v>6</v>
          </cell>
        </row>
        <row r="32">
          <cell r="A32">
            <v>7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3" tint="0.39997558519241921"/>
  </sheetPr>
  <dimension ref="A1:J62"/>
  <sheetViews>
    <sheetView showZeros="0" zoomScale="110" zoomScaleNormal="110" workbookViewId="0">
      <selection activeCell="A15" sqref="A15"/>
    </sheetView>
  </sheetViews>
  <sheetFormatPr baseColWidth="10" defaultRowHeight="15"/>
  <cols>
    <col min="1" max="1" width="40.28515625" bestFit="1" customWidth="1"/>
    <col min="2" max="4" width="12.85546875" customWidth="1"/>
    <col min="5" max="5" width="19" bestFit="1" customWidth="1"/>
  </cols>
  <sheetData>
    <row r="1" spans="1:5" ht="21">
      <c r="A1" s="961" t="s">
        <v>100</v>
      </c>
      <c r="B1" s="961"/>
      <c r="C1" s="961"/>
      <c r="D1" s="961"/>
      <c r="E1" s="961"/>
    </row>
    <row r="2" spans="1:5">
      <c r="A2" s="962"/>
      <c r="B2" s="963"/>
      <c r="C2" s="963"/>
      <c r="D2" s="963"/>
      <c r="E2" s="964"/>
    </row>
    <row r="3" spans="1:5" ht="30">
      <c r="A3" s="50"/>
      <c r="B3" s="48" t="s">
        <v>104</v>
      </c>
      <c r="C3" s="48" t="s">
        <v>105</v>
      </c>
      <c r="D3" s="49" t="s">
        <v>106</v>
      </c>
      <c r="E3" s="49" t="s">
        <v>107</v>
      </c>
    </row>
    <row r="4" spans="1:5">
      <c r="A4" s="47" t="s">
        <v>18</v>
      </c>
      <c r="B4" s="52"/>
      <c r="C4" s="52"/>
      <c r="D4" s="52"/>
      <c r="E4" s="38"/>
    </row>
    <row r="5" spans="1:5">
      <c r="A5" s="38" t="s">
        <v>98</v>
      </c>
      <c r="B5" s="53"/>
      <c r="C5" s="53">
        <v>5.0999999999999997E-2</v>
      </c>
      <c r="D5" s="53">
        <f>B5+C5</f>
        <v>5.0999999999999997E-2</v>
      </c>
      <c r="E5" s="62" t="s">
        <v>130</v>
      </c>
    </row>
    <row r="6" spans="1:5">
      <c r="A6" s="38" t="s">
        <v>207</v>
      </c>
      <c r="B6" s="53"/>
      <c r="C6" s="53">
        <v>2.4E-2</v>
      </c>
      <c r="D6" s="53">
        <f t="shared" ref="D6:D41" si="0">B6+C6</f>
        <v>2.4E-2</v>
      </c>
      <c r="E6" s="62" t="s">
        <v>130</v>
      </c>
    </row>
    <row r="7" spans="1:5">
      <c r="A7" s="38" t="s">
        <v>208</v>
      </c>
      <c r="B7" s="53"/>
      <c r="C7" s="53">
        <v>5.0000000000000001E-3</v>
      </c>
      <c r="D7" s="53">
        <f t="shared" si="0"/>
        <v>5.0000000000000001E-3</v>
      </c>
      <c r="E7" s="62" t="s">
        <v>130</v>
      </c>
    </row>
    <row r="8" spans="1:5">
      <c r="A8" s="38" t="s">
        <v>19</v>
      </c>
      <c r="B8" s="53">
        <v>0.12889999999999999</v>
      </c>
      <c r="C8" s="53">
        <v>7.4999999999999997E-3</v>
      </c>
      <c r="D8" s="53">
        <f t="shared" si="0"/>
        <v>0.13639999999999999</v>
      </c>
      <c r="E8" s="54" t="s">
        <v>112</v>
      </c>
    </row>
    <row r="9" spans="1:5">
      <c r="A9" s="38" t="s">
        <v>20</v>
      </c>
      <c r="B9" s="53">
        <v>3.0000000000000001E-3</v>
      </c>
      <c r="C9" s="53"/>
      <c r="D9" s="53">
        <f t="shared" si="0"/>
        <v>3.0000000000000001E-3</v>
      </c>
      <c r="E9" s="54" t="s">
        <v>112</v>
      </c>
    </row>
    <row r="10" spans="1:5">
      <c r="A10" s="38" t="s">
        <v>22</v>
      </c>
      <c r="B10" s="53">
        <v>3.4500000000000003E-2</v>
      </c>
      <c r="C10" s="53"/>
      <c r="D10" s="53">
        <f t="shared" si="0"/>
        <v>3.4500000000000003E-2</v>
      </c>
      <c r="E10" s="54" t="s">
        <v>112</v>
      </c>
    </row>
    <row r="11" spans="1:5">
      <c r="A11" s="38" t="s">
        <v>99</v>
      </c>
      <c r="B11" s="53">
        <v>1.7999999999999999E-2</v>
      </c>
      <c r="C11" s="53"/>
      <c r="D11" s="53">
        <f t="shared" si="0"/>
        <v>1.7999999999999999E-2</v>
      </c>
      <c r="E11" s="54" t="s">
        <v>112</v>
      </c>
    </row>
    <row r="12" spans="1:5">
      <c r="A12" s="38" t="s">
        <v>24</v>
      </c>
      <c r="B12" s="53">
        <v>1.9E-2</v>
      </c>
      <c r="C12" s="53">
        <v>4.0000000000000001E-3</v>
      </c>
      <c r="D12" s="53">
        <f t="shared" si="0"/>
        <v>2.3E-2</v>
      </c>
      <c r="E12" s="54" t="s">
        <v>112</v>
      </c>
    </row>
    <row r="13" spans="1:5">
      <c r="A13" s="38" t="s">
        <v>25</v>
      </c>
      <c r="B13" s="53">
        <v>8.5500000000000007E-2</v>
      </c>
      <c r="C13" s="53">
        <v>6.9000000000000006E-2</v>
      </c>
      <c r="D13" s="53">
        <f t="shared" si="0"/>
        <v>0.15450000000000003</v>
      </c>
      <c r="E13" s="54" t="s">
        <v>113</v>
      </c>
    </row>
    <row r="14" spans="1:5">
      <c r="A14" s="38" t="s">
        <v>712</v>
      </c>
      <c r="B14" s="53">
        <v>1E-3</v>
      </c>
      <c r="C14" s="53"/>
      <c r="D14" s="53">
        <f t="shared" si="0"/>
        <v>1E-3</v>
      </c>
      <c r="E14" s="54" t="s">
        <v>113</v>
      </c>
    </row>
    <row r="15" spans="1:5">
      <c r="A15" s="38" t="s">
        <v>713</v>
      </c>
      <c r="B15" s="53">
        <v>5.0000000000000001E-3</v>
      </c>
      <c r="C15" s="53"/>
      <c r="D15" s="53">
        <f t="shared" si="0"/>
        <v>5.0000000000000001E-3</v>
      </c>
      <c r="E15" s="54" t="s">
        <v>112</v>
      </c>
    </row>
    <row r="16" spans="1:5">
      <c r="A16" s="38" t="s">
        <v>114</v>
      </c>
      <c r="B16" s="53">
        <v>0.08</v>
      </c>
      <c r="C16" s="53"/>
      <c r="D16" s="53">
        <f t="shared" si="0"/>
        <v>0.08</v>
      </c>
      <c r="E16" s="54" t="s">
        <v>131</v>
      </c>
    </row>
    <row r="17" spans="1:10">
      <c r="A17" s="38" t="s">
        <v>210</v>
      </c>
      <c r="B17" s="53">
        <v>0.2</v>
      </c>
      <c r="C17" s="53"/>
      <c r="D17" s="53">
        <f t="shared" si="0"/>
        <v>0.2</v>
      </c>
      <c r="E17" s="54" t="s">
        <v>212</v>
      </c>
    </row>
    <row r="18" spans="1:10">
      <c r="A18" s="38" t="s">
        <v>28</v>
      </c>
      <c r="B18" s="53">
        <v>1.6000000000000001E-4</v>
      </c>
      <c r="C18" s="53"/>
      <c r="D18" s="53">
        <f t="shared" si="0"/>
        <v>1.6000000000000001E-4</v>
      </c>
      <c r="E18" s="54" t="s">
        <v>112</v>
      </c>
    </row>
    <row r="19" spans="1:10">
      <c r="A19" s="38" t="s">
        <v>29</v>
      </c>
      <c r="B19" s="53">
        <v>1E-4</v>
      </c>
      <c r="C19" s="53"/>
      <c r="D19" s="53">
        <f t="shared" si="0"/>
        <v>1E-4</v>
      </c>
      <c r="E19" s="54" t="s">
        <v>112</v>
      </c>
    </row>
    <row r="20" spans="1:10">
      <c r="A20" s="38"/>
      <c r="B20" s="53"/>
      <c r="C20" s="53"/>
      <c r="D20" s="53">
        <f t="shared" si="0"/>
        <v>0</v>
      </c>
      <c r="E20" s="54"/>
    </row>
    <row r="21" spans="1:10">
      <c r="A21" s="47" t="s">
        <v>101</v>
      </c>
      <c r="B21" s="53"/>
      <c r="C21" s="53"/>
      <c r="D21" s="53">
        <f t="shared" si="0"/>
        <v>0</v>
      </c>
      <c r="E21" s="54"/>
    </row>
    <row r="22" spans="1:10">
      <c r="A22" s="38" t="s">
        <v>31</v>
      </c>
      <c r="B22" s="53">
        <v>4.0500000000000001E-2</v>
      </c>
      <c r="C22" s="53">
        <v>2.4E-2</v>
      </c>
      <c r="D22" s="53">
        <f t="shared" si="0"/>
        <v>6.4500000000000002E-2</v>
      </c>
      <c r="E22" s="54" t="s">
        <v>141</v>
      </c>
    </row>
    <row r="23" spans="1:10">
      <c r="A23" s="38" t="s">
        <v>102</v>
      </c>
      <c r="B23" s="53">
        <v>1.5E-3</v>
      </c>
      <c r="C23" s="53"/>
      <c r="D23" s="53">
        <f t="shared" si="0"/>
        <v>1.5E-3</v>
      </c>
      <c r="E23" s="54" t="s">
        <v>141</v>
      </c>
    </row>
    <row r="24" spans="1:10">
      <c r="A24" s="38" t="s">
        <v>33</v>
      </c>
      <c r="B24" s="53"/>
      <c r="C24" s="53"/>
      <c r="D24" s="53">
        <f t="shared" si="0"/>
        <v>0</v>
      </c>
      <c r="E24" s="54"/>
    </row>
    <row r="25" spans="1:10">
      <c r="A25" s="38"/>
      <c r="B25" s="53"/>
      <c r="C25" s="53"/>
      <c r="D25" s="53">
        <f t="shared" si="0"/>
        <v>0</v>
      </c>
      <c r="E25" s="54"/>
    </row>
    <row r="26" spans="1:10">
      <c r="A26" s="47" t="s">
        <v>103</v>
      </c>
      <c r="B26" s="53"/>
      <c r="C26" s="53"/>
      <c r="D26" s="53">
        <f t="shared" si="0"/>
        <v>0</v>
      </c>
      <c r="E26" s="54"/>
      <c r="I26" s="59"/>
    </row>
    <row r="27" spans="1:10">
      <c r="A27" s="58" t="s">
        <v>119</v>
      </c>
      <c r="B27" s="53"/>
      <c r="C27" s="53"/>
      <c r="D27" s="53"/>
      <c r="E27" s="54"/>
    </row>
    <row r="28" spans="1:10">
      <c r="A28" s="38" t="s">
        <v>122</v>
      </c>
      <c r="B28" s="53">
        <v>4.65E-2</v>
      </c>
      <c r="C28" s="53">
        <v>3.1E-2</v>
      </c>
      <c r="D28" s="53">
        <f t="shared" si="0"/>
        <v>7.7499999999999999E-2</v>
      </c>
      <c r="E28" s="54" t="s">
        <v>115</v>
      </c>
    </row>
    <row r="29" spans="1:10">
      <c r="A29" s="38" t="s">
        <v>123</v>
      </c>
      <c r="B29" s="53">
        <v>0.1215</v>
      </c>
      <c r="C29" s="53">
        <v>8.1000000000000003E-2</v>
      </c>
      <c r="D29" s="53">
        <f t="shared" si="0"/>
        <v>0.20250000000000001</v>
      </c>
      <c r="E29" s="54" t="s">
        <v>116</v>
      </c>
    </row>
    <row r="30" spans="1:10">
      <c r="A30" s="38" t="s">
        <v>34</v>
      </c>
      <c r="B30" s="53">
        <v>1.2E-2</v>
      </c>
      <c r="C30" s="53">
        <v>8.0000000000000002E-3</v>
      </c>
      <c r="D30" s="53">
        <f>B30+C30</f>
        <v>0.02</v>
      </c>
      <c r="E30" s="54" t="s">
        <v>115</v>
      </c>
    </row>
    <row r="31" spans="1:10">
      <c r="A31" s="38" t="s">
        <v>35</v>
      </c>
      <c r="B31" s="53">
        <v>1.2999999999999999E-2</v>
      </c>
      <c r="C31" s="53">
        <v>8.9999999999999993E-3</v>
      </c>
      <c r="D31" s="53">
        <f>B31+C31</f>
        <v>2.1999999999999999E-2</v>
      </c>
      <c r="E31" s="54" t="s">
        <v>116</v>
      </c>
      <c r="J31" s="59"/>
    </row>
    <row r="32" spans="1:10">
      <c r="A32" s="58" t="s">
        <v>120</v>
      </c>
      <c r="B32" s="53"/>
      <c r="C32" s="53"/>
      <c r="D32" s="53"/>
      <c r="E32" s="54"/>
    </row>
    <row r="33" spans="1:5">
      <c r="A33" s="38" t="s">
        <v>124</v>
      </c>
      <c r="B33" s="53">
        <v>4.65E-2</v>
      </c>
      <c r="C33" s="53">
        <v>3.1E-2</v>
      </c>
      <c r="D33" s="53">
        <f t="shared" si="0"/>
        <v>7.7499999999999999E-2</v>
      </c>
      <c r="E33" s="54" t="s">
        <v>113</v>
      </c>
    </row>
    <row r="34" spans="1:5">
      <c r="A34" s="38" t="s">
        <v>125</v>
      </c>
      <c r="B34" s="53">
        <v>0.1275</v>
      </c>
      <c r="C34" s="53">
        <v>7.8E-2</v>
      </c>
      <c r="D34" s="53">
        <f t="shared" si="0"/>
        <v>0.20550000000000002</v>
      </c>
      <c r="E34" s="54" t="s">
        <v>117</v>
      </c>
    </row>
    <row r="35" spans="1:5">
      <c r="A35" s="38" t="s">
        <v>126</v>
      </c>
      <c r="B35" s="53">
        <v>0.1275</v>
      </c>
      <c r="C35" s="53">
        <v>7.8E-2</v>
      </c>
      <c r="D35" s="53">
        <f t="shared" si="0"/>
        <v>0.20550000000000002</v>
      </c>
      <c r="E35" s="54" t="s">
        <v>118</v>
      </c>
    </row>
    <row r="36" spans="1:5">
      <c r="A36" s="38" t="s">
        <v>108</v>
      </c>
      <c r="B36" s="53">
        <v>0.1275</v>
      </c>
      <c r="C36" s="53">
        <v>7.8E-2</v>
      </c>
      <c r="D36" s="53">
        <f t="shared" si="0"/>
        <v>0.20550000000000002</v>
      </c>
      <c r="E36" s="54" t="s">
        <v>108</v>
      </c>
    </row>
    <row r="37" spans="1:5">
      <c r="A37" s="51" t="s">
        <v>127</v>
      </c>
      <c r="B37" s="53">
        <v>1.2E-2</v>
      </c>
      <c r="C37" s="53">
        <v>8.0000000000000002E-3</v>
      </c>
      <c r="D37" s="53">
        <f t="shared" si="0"/>
        <v>0.02</v>
      </c>
      <c r="E37" s="54" t="s">
        <v>113</v>
      </c>
    </row>
    <row r="38" spans="1:5">
      <c r="A38" s="51" t="s">
        <v>128</v>
      </c>
      <c r="B38" s="53">
        <v>1.2999999999999999E-2</v>
      </c>
      <c r="C38" s="53">
        <v>8.9999999999999993E-3</v>
      </c>
      <c r="D38" s="53">
        <f t="shared" si="0"/>
        <v>2.1999999999999999E-2</v>
      </c>
      <c r="E38" s="54" t="s">
        <v>121</v>
      </c>
    </row>
    <row r="39" spans="1:5">
      <c r="A39" s="51" t="s">
        <v>109</v>
      </c>
      <c r="B39" s="53">
        <v>2.2000000000000001E-3</v>
      </c>
      <c r="C39" s="53">
        <v>1.2999999999999999E-3</v>
      </c>
      <c r="D39" s="53">
        <f t="shared" si="0"/>
        <v>3.5000000000000001E-3</v>
      </c>
      <c r="E39" s="54" t="s">
        <v>140</v>
      </c>
    </row>
    <row r="40" spans="1:5">
      <c r="A40" s="51" t="s">
        <v>110</v>
      </c>
      <c r="B40" s="53">
        <v>3.6000000000000002E-4</v>
      </c>
      <c r="C40" s="53">
        <v>2.4000000000000001E-4</v>
      </c>
      <c r="D40" s="53">
        <f t="shared" si="0"/>
        <v>6.0000000000000006E-4</v>
      </c>
      <c r="E40" s="54" t="s">
        <v>141</v>
      </c>
    </row>
    <row r="41" spans="1:5">
      <c r="A41" s="51" t="s">
        <v>111</v>
      </c>
      <c r="B41" s="53">
        <v>1.4999999999999999E-2</v>
      </c>
      <c r="C41" s="53"/>
      <c r="D41" s="53">
        <f t="shared" si="0"/>
        <v>1.4999999999999999E-2</v>
      </c>
      <c r="E41" s="54" t="s">
        <v>113</v>
      </c>
    </row>
    <row r="42" spans="1:5">
      <c r="B42" s="708"/>
      <c r="C42" s="708"/>
      <c r="D42" s="708"/>
    </row>
    <row r="43" spans="1:5" ht="21">
      <c r="A43" s="958" t="s">
        <v>129</v>
      </c>
      <c r="B43" s="965"/>
    </row>
    <row r="44" spans="1:5">
      <c r="A44" s="64"/>
    </row>
    <row r="45" spans="1:5">
      <c r="A45" s="38" t="s">
        <v>132</v>
      </c>
      <c r="B45" s="63">
        <v>9.76</v>
      </c>
    </row>
    <row r="46" spans="1:5">
      <c r="A46" s="38" t="s">
        <v>133</v>
      </c>
      <c r="B46" s="63">
        <f>B45*151.67</f>
        <v>1480.2991999999999</v>
      </c>
    </row>
    <row r="47" spans="1:5">
      <c r="A47" s="38" t="s">
        <v>134</v>
      </c>
      <c r="B47" s="63">
        <v>3269</v>
      </c>
    </row>
    <row r="48" spans="1:5">
      <c r="A48" s="38" t="s">
        <v>135</v>
      </c>
      <c r="B48" s="63">
        <f>3269*12</f>
        <v>39228</v>
      </c>
    </row>
    <row r="49" spans="1:3">
      <c r="A49" s="51" t="s">
        <v>136</v>
      </c>
      <c r="B49" s="63">
        <v>3.54</v>
      </c>
    </row>
    <row r="50" spans="1:3">
      <c r="A50" s="51" t="s">
        <v>108</v>
      </c>
      <c r="B50" s="63">
        <v>342.48</v>
      </c>
    </row>
    <row r="51" spans="1:3">
      <c r="A51" s="51" t="s">
        <v>137</v>
      </c>
      <c r="B51" s="63">
        <f>PMSS+GMP</f>
        <v>3611.48</v>
      </c>
    </row>
    <row r="52" spans="1:3">
      <c r="A52" s="51" t="s">
        <v>269</v>
      </c>
      <c r="B52" s="63">
        <v>545.48</v>
      </c>
    </row>
    <row r="54" spans="1:3" ht="21">
      <c r="A54" s="958" t="s">
        <v>138</v>
      </c>
      <c r="B54" s="959"/>
      <c r="C54" s="67"/>
    </row>
    <row r="56" spans="1:3">
      <c r="A56" s="956" t="s">
        <v>139</v>
      </c>
      <c r="B56" s="960"/>
      <c r="C56" s="65"/>
    </row>
    <row r="57" spans="1:3">
      <c r="A57" s="66" t="s">
        <v>142</v>
      </c>
      <c r="B57" s="70">
        <v>18.399999999999999</v>
      </c>
    </row>
    <row r="58" spans="1:3">
      <c r="A58" s="66" t="s">
        <v>143</v>
      </c>
      <c r="B58" s="63">
        <v>9</v>
      </c>
    </row>
    <row r="59" spans="1:3">
      <c r="A59" s="66" t="s">
        <v>144</v>
      </c>
      <c r="B59" s="63">
        <v>6.4</v>
      </c>
    </row>
    <row r="60" spans="1:3">
      <c r="A60" s="68"/>
      <c r="B60" s="69"/>
    </row>
    <row r="61" spans="1:3">
      <c r="A61" s="956" t="s">
        <v>145</v>
      </c>
      <c r="B61" s="957"/>
    </row>
    <row r="62" spans="1:3">
      <c r="A62" s="66" t="s">
        <v>146</v>
      </c>
      <c r="B62" s="63">
        <v>5.38</v>
      </c>
    </row>
  </sheetData>
  <mergeCells count="6">
    <mergeCell ref="A61:B61"/>
    <mergeCell ref="A54:B54"/>
    <mergeCell ref="A56:B56"/>
    <mergeCell ref="A1:E1"/>
    <mergeCell ref="A2:E2"/>
    <mergeCell ref="A43:B43"/>
  </mergeCells>
  <pageMargins left="0.23622047244094491" right="0.23622047244094491" top="0.74803149606299213" bottom="0.74803149606299213" header="0.31496062992125984" footer="0.31496062992125984"/>
  <pageSetup paperSize="9" orientation="portrait" r:id="rId1"/>
  <headerFooter>
    <oddHeader>&amp;LEmmanuel ESNAULT&amp;R&amp;D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00B050"/>
  </sheetPr>
  <dimension ref="A1:F21"/>
  <sheetViews>
    <sheetView showZeros="0" zoomScale="120" zoomScaleNormal="120" workbookViewId="0">
      <selection activeCell="B3" sqref="B3"/>
    </sheetView>
  </sheetViews>
  <sheetFormatPr baseColWidth="10" defaultRowHeight="15"/>
  <cols>
    <col min="1" max="1" width="26.7109375" bestFit="1" customWidth="1"/>
    <col min="2" max="2" width="53.140625" customWidth="1"/>
  </cols>
  <sheetData>
    <row r="1" spans="1:6" ht="21">
      <c r="A1" s="958" t="s">
        <v>89</v>
      </c>
      <c r="B1" s="965"/>
      <c r="C1" s="37"/>
      <c r="D1" s="37"/>
      <c r="E1" s="37"/>
      <c r="F1" s="37"/>
    </row>
    <row r="3" spans="1:6">
      <c r="A3" s="43" t="s">
        <v>88</v>
      </c>
      <c r="B3" s="406"/>
    </row>
    <row r="4" spans="1:6">
      <c r="A4" s="39" t="s">
        <v>69</v>
      </c>
      <c r="B4" s="407"/>
    </row>
    <row r="5" spans="1:6">
      <c r="A5" s="40"/>
      <c r="B5" s="408"/>
    </row>
    <row r="6" spans="1:6">
      <c r="A6" s="41" t="s">
        <v>74</v>
      </c>
      <c r="B6" s="409"/>
    </row>
    <row r="7" spans="1:6">
      <c r="A7" s="41" t="s">
        <v>90</v>
      </c>
      <c r="B7" s="409"/>
    </row>
    <row r="8" spans="1:6">
      <c r="A8" s="41" t="s">
        <v>76</v>
      </c>
      <c r="B8" s="406"/>
    </row>
    <row r="9" spans="1:6">
      <c r="A9" s="41" t="s">
        <v>91</v>
      </c>
      <c r="B9" s="406"/>
    </row>
    <row r="10" spans="1:6">
      <c r="A10" s="42"/>
      <c r="B10" s="42"/>
    </row>
    <row r="11" spans="1:6">
      <c r="A11" s="41" t="s">
        <v>92</v>
      </c>
      <c r="B11" s="406"/>
    </row>
    <row r="12" spans="1:6">
      <c r="A12" s="42"/>
      <c r="B12" s="42"/>
    </row>
    <row r="13" spans="1:6">
      <c r="A13" s="41" t="s">
        <v>93</v>
      </c>
      <c r="B13" s="41">
        <f>IF(effectif&lt;20,0.2809,0.2849)</f>
        <v>0.28089999999999998</v>
      </c>
    </row>
    <row r="14" spans="1:6">
      <c r="A14" s="41" t="s">
        <v>42</v>
      </c>
      <c r="B14" s="411">
        <f>IF(effectif&lt;20,1.5,0)</f>
        <v>1.5</v>
      </c>
    </row>
    <row r="15" spans="1:6">
      <c r="A15" s="42"/>
      <c r="B15" s="42"/>
    </row>
    <row r="16" spans="1:6">
      <c r="A16" s="41" t="s">
        <v>94</v>
      </c>
      <c r="B16" s="410"/>
    </row>
    <row r="17" spans="1:2">
      <c r="A17" s="41" t="s">
        <v>95</v>
      </c>
      <c r="B17" s="410"/>
    </row>
    <row r="18" spans="1:2">
      <c r="A18" s="42"/>
      <c r="B18" s="42"/>
    </row>
    <row r="19" spans="1:2">
      <c r="A19" s="41" t="s">
        <v>96</v>
      </c>
      <c r="B19" s="822"/>
    </row>
    <row r="20" spans="1:2">
      <c r="A20" s="42"/>
      <c r="B20" s="42"/>
    </row>
    <row r="21" spans="1:2">
      <c r="A21" s="41" t="s">
        <v>97</v>
      </c>
      <c r="B21" s="406"/>
    </row>
  </sheetData>
  <mergeCells count="1">
    <mergeCell ref="A1:B1"/>
  </mergeCells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&amp;LEmmanuel ESNAULT&amp;R&amp;D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theme="1" tint="4.9989318521683403E-2"/>
  </sheetPr>
  <dimension ref="A1:L208"/>
  <sheetViews>
    <sheetView showZeros="0" tabSelected="1" zoomScale="130" zoomScaleNormal="130" workbookViewId="0">
      <selection activeCell="L11" sqref="L11"/>
    </sheetView>
  </sheetViews>
  <sheetFormatPr baseColWidth="10" defaultRowHeight="10.5" customHeight="1"/>
  <cols>
    <col min="1" max="1" width="7.42578125" style="8" customWidth="1"/>
    <col min="2" max="2" width="4" style="8" customWidth="1"/>
    <col min="3" max="4" width="12.5703125" style="8" customWidth="1"/>
    <col min="5" max="5" width="0.85546875" style="8" customWidth="1"/>
    <col min="6" max="10" width="12.5703125" style="8" customWidth="1"/>
    <col min="11" max="11" width="1.7109375" style="8" customWidth="1"/>
    <col min="12" max="16384" width="11.42578125" style="8"/>
  </cols>
  <sheetData>
    <row r="1" spans="1:12" ht="10.5" customHeight="1">
      <c r="A1" s="996" t="s">
        <v>60</v>
      </c>
      <c r="B1" s="997"/>
      <c r="C1" s="997"/>
      <c r="D1" s="997"/>
      <c r="E1" s="997"/>
      <c r="F1" s="998"/>
      <c r="G1" s="1"/>
      <c r="H1" s="22"/>
      <c r="I1" s="91" t="s">
        <v>62</v>
      </c>
      <c r="J1" s="23"/>
    </row>
    <row r="2" spans="1:12" ht="10.5" customHeight="1" thickBot="1">
      <c r="A2" s="999"/>
      <c r="B2" s="1000"/>
      <c r="C2" s="1000"/>
      <c r="D2" s="1000"/>
      <c r="E2" s="1000"/>
      <c r="F2" s="1001"/>
      <c r="G2" s="1"/>
      <c r="H2" s="24" t="s">
        <v>63</v>
      </c>
      <c r="I2" s="1036"/>
      <c r="J2" s="1037"/>
    </row>
    <row r="3" spans="1:12" ht="10.5" customHeight="1" thickBot="1">
      <c r="A3" s="2"/>
      <c r="B3" s="2"/>
      <c r="C3" s="2"/>
      <c r="D3" s="2"/>
      <c r="E3" s="2"/>
      <c r="F3" s="2"/>
      <c r="G3" s="1"/>
      <c r="H3" s="3" t="s">
        <v>64</v>
      </c>
      <c r="I3" s="987"/>
      <c r="J3" s="1033"/>
    </row>
    <row r="4" spans="1:12" ht="10.5" customHeight="1">
      <c r="A4" s="1006" t="s">
        <v>61</v>
      </c>
      <c r="B4" s="1007"/>
      <c r="C4" s="1007"/>
      <c r="D4" s="1007"/>
      <c r="E4" s="1007"/>
      <c r="F4" s="1008"/>
      <c r="G4" s="1"/>
      <c r="H4" s="3" t="s">
        <v>65</v>
      </c>
      <c r="I4" s="987"/>
      <c r="J4" s="1033"/>
    </row>
    <row r="5" spans="1:12" ht="10.5" customHeight="1">
      <c r="A5" s="3" t="s">
        <v>88</v>
      </c>
      <c r="B5" s="385"/>
      <c r="C5" s="1020">
        <f>Société!B3</f>
        <v>0</v>
      </c>
      <c r="D5" s="1020"/>
      <c r="E5" s="1020"/>
      <c r="F5" s="1021"/>
      <c r="G5" s="1"/>
      <c r="H5" s="3" t="s">
        <v>746</v>
      </c>
      <c r="I5" s="987" t="s">
        <v>237</v>
      </c>
      <c r="J5" s="1033"/>
    </row>
    <row r="6" spans="1:12" ht="10.5" customHeight="1">
      <c r="A6" s="3" t="s">
        <v>69</v>
      </c>
      <c r="B6" s="385"/>
      <c r="C6" s="983">
        <f>Société!B4</f>
        <v>0</v>
      </c>
      <c r="D6" s="983"/>
      <c r="E6" s="983"/>
      <c r="F6" s="984"/>
      <c r="G6" s="1"/>
      <c r="H6" s="3" t="s">
        <v>71</v>
      </c>
      <c r="I6" s="88" t="s">
        <v>72</v>
      </c>
      <c r="J6" s="89" t="s">
        <v>73</v>
      </c>
    </row>
    <row r="7" spans="1:12" ht="10.5" customHeight="1">
      <c r="A7" s="3"/>
      <c r="B7" s="385"/>
      <c r="C7" s="983">
        <f>Société!B5</f>
        <v>0</v>
      </c>
      <c r="D7" s="983"/>
      <c r="E7" s="983"/>
      <c r="F7" s="984"/>
      <c r="G7" s="1"/>
      <c r="H7" s="3" t="s">
        <v>67</v>
      </c>
      <c r="I7" s="987"/>
      <c r="J7" s="1033"/>
    </row>
    <row r="8" spans="1:12" ht="10.5" customHeight="1">
      <c r="A8" s="3" t="s">
        <v>74</v>
      </c>
      <c r="B8" s="385"/>
      <c r="C8" s="983">
        <f>Société!B6</f>
        <v>0</v>
      </c>
      <c r="D8" s="983"/>
      <c r="E8" s="983"/>
      <c r="F8" s="984"/>
      <c r="G8" s="1"/>
      <c r="H8" s="3" t="s">
        <v>68</v>
      </c>
      <c r="I8" s="1022"/>
      <c r="J8" s="1023"/>
    </row>
    <row r="9" spans="1:12" ht="10.5" customHeight="1">
      <c r="A9" s="3" t="s">
        <v>75</v>
      </c>
      <c r="B9" s="385"/>
      <c r="C9" s="983">
        <f>Société!B7</f>
        <v>0</v>
      </c>
      <c r="D9" s="983"/>
      <c r="E9" s="983"/>
      <c r="F9" s="984"/>
      <c r="G9" s="1"/>
      <c r="H9" s="3" t="s">
        <v>69</v>
      </c>
      <c r="I9" s="987"/>
      <c r="J9" s="1033"/>
    </row>
    <row r="10" spans="1:12" ht="10.5" customHeight="1">
      <c r="A10" s="3" t="s">
        <v>76</v>
      </c>
      <c r="B10" s="385"/>
      <c r="C10" s="983">
        <f>Société!B8</f>
        <v>0</v>
      </c>
      <c r="D10" s="983"/>
      <c r="E10" s="983"/>
      <c r="F10" s="984"/>
      <c r="G10" s="1"/>
      <c r="H10" s="3"/>
      <c r="I10" s="987"/>
      <c r="J10" s="1033"/>
    </row>
    <row r="11" spans="1:12" ht="10.5" customHeight="1" thickBot="1">
      <c r="A11" s="4" t="s">
        <v>77</v>
      </c>
      <c r="B11" s="386"/>
      <c r="C11" s="985">
        <f>Société!B9</f>
        <v>0</v>
      </c>
      <c r="D11" s="985"/>
      <c r="E11" s="985"/>
      <c r="F11" s="986"/>
      <c r="G11" s="1"/>
      <c r="H11" s="4" t="s">
        <v>70</v>
      </c>
      <c r="I11" s="1034"/>
      <c r="J11" s="1035"/>
    </row>
    <row r="12" spans="1:12" ht="10.5" customHeight="1" thickBot="1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2" ht="10.5" customHeight="1" thickBot="1">
      <c r="A13" s="94" t="s">
        <v>79</v>
      </c>
      <c r="B13" s="96"/>
      <c r="C13" s="95">
        <f>Société!B19</f>
        <v>0</v>
      </c>
      <c r="D13" s="98" t="s">
        <v>80</v>
      </c>
      <c r="E13" s="96"/>
      <c r="F13" s="97">
        <f>IF(C13=0,0,EOMONTH(C13,0))</f>
        <v>0</v>
      </c>
      <c r="G13" s="1"/>
      <c r="H13" s="1016" t="s">
        <v>221</v>
      </c>
      <c r="I13" s="1017"/>
      <c r="J13" s="99">
        <f>3269*F17/151.67</f>
        <v>3269</v>
      </c>
      <c r="L13" s="933" t="s">
        <v>743</v>
      </c>
    </row>
    <row r="14" spans="1:12" ht="10.5" customHeight="1" thickBot="1">
      <c r="A14" s="1"/>
      <c r="B14" s="1"/>
      <c r="C14" s="1"/>
      <c r="D14" s="1"/>
      <c r="E14" s="1"/>
      <c r="F14" s="1"/>
      <c r="G14" s="1"/>
      <c r="H14" s="1"/>
      <c r="I14" s="1"/>
      <c r="J14" s="1"/>
      <c r="L14" s="1" t="s">
        <v>723</v>
      </c>
    </row>
    <row r="15" spans="1:12" ht="10.5" customHeight="1">
      <c r="A15" s="1002" t="s">
        <v>0</v>
      </c>
      <c r="B15" s="1003"/>
      <c r="C15" s="1003"/>
      <c r="D15" s="1003"/>
      <c r="E15" s="1003"/>
      <c r="F15" s="92" t="s">
        <v>50</v>
      </c>
      <c r="G15" s="1011"/>
      <c r="H15" s="1011"/>
      <c r="I15" s="1012" t="s">
        <v>1</v>
      </c>
      <c r="J15" s="1014" t="s">
        <v>3</v>
      </c>
      <c r="K15" s="11"/>
      <c r="L15" s="1" t="s">
        <v>724</v>
      </c>
    </row>
    <row r="16" spans="1:12" ht="10.5" customHeight="1">
      <c r="A16" s="1004"/>
      <c r="B16" s="1005"/>
      <c r="C16" s="1005"/>
      <c r="D16" s="1005"/>
      <c r="E16" s="1005"/>
      <c r="F16" s="93" t="s">
        <v>51</v>
      </c>
      <c r="G16" s="447"/>
      <c r="H16" s="448"/>
      <c r="I16" s="1013"/>
      <c r="J16" s="1015"/>
      <c r="K16" s="11"/>
    </row>
    <row r="17" spans="1:12" ht="10.5" customHeight="1">
      <c r="A17" s="3" t="s">
        <v>5</v>
      </c>
      <c r="B17" s="385"/>
      <c r="C17" s="88"/>
      <c r="D17" s="88"/>
      <c r="E17" s="88"/>
      <c r="F17" s="9">
        <v>151.66999999999999</v>
      </c>
      <c r="G17" s="449"/>
      <c r="H17" s="449"/>
      <c r="I17" s="9">
        <f>J17/F17</f>
        <v>0</v>
      </c>
      <c r="J17" s="87"/>
      <c r="K17" s="11"/>
      <c r="L17" s="915" t="s">
        <v>725</v>
      </c>
    </row>
    <row r="18" spans="1:12" ht="10.5" customHeight="1">
      <c r="A18" s="3" t="str">
        <f>IF(B18=0,"","Absences")</f>
        <v>Absences</v>
      </c>
      <c r="B18" s="987" t="s">
        <v>7</v>
      </c>
      <c r="C18" s="987"/>
      <c r="D18" s="88"/>
      <c r="E18" s="88"/>
      <c r="F18" s="9"/>
      <c r="G18" s="449"/>
      <c r="H18" s="449"/>
      <c r="I18" s="100">
        <f>IF(B18="en heures réelles",IF(H89=0,"Heures réelles",J17/H89),IF(B18="au 30ème",J17/30,J17/26))</f>
        <v>0</v>
      </c>
      <c r="J18" s="87">
        <f>IF(I18="Heures réelles",0,-F18*I18)</f>
        <v>0</v>
      </c>
      <c r="K18" s="11"/>
      <c r="L18" s="821"/>
    </row>
    <row r="19" spans="1:12" ht="10.5" customHeight="1">
      <c r="A19" s="3" t="s">
        <v>10</v>
      </c>
      <c r="B19" s="1026">
        <v>1.25</v>
      </c>
      <c r="C19" s="1026"/>
      <c r="D19" s="88"/>
      <c r="E19" s="88"/>
      <c r="F19" s="9"/>
      <c r="G19" s="449"/>
      <c r="H19" s="449"/>
      <c r="I19" s="9">
        <f>IF(B19=0,$I$17,$I$17*B19)</f>
        <v>0</v>
      </c>
      <c r="J19" s="87">
        <f>F19*I19</f>
        <v>0</v>
      </c>
      <c r="K19" s="11"/>
      <c r="L19" s="789" t="s">
        <v>640</v>
      </c>
    </row>
    <row r="20" spans="1:12" ht="10.5" customHeight="1">
      <c r="A20" s="3" t="s">
        <v>10</v>
      </c>
      <c r="B20" s="1026">
        <v>1.5</v>
      </c>
      <c r="C20" s="1026"/>
      <c r="D20" s="88"/>
      <c r="E20" s="88"/>
      <c r="F20" s="9"/>
      <c r="G20" s="449"/>
      <c r="H20" s="449"/>
      <c r="I20" s="9">
        <f>IF(B20=0,$I$17,$I$17*B20)</f>
        <v>0</v>
      </c>
      <c r="J20" s="87">
        <f>F20*I20</f>
        <v>0</v>
      </c>
      <c r="K20" s="11"/>
    </row>
    <row r="21" spans="1:12" ht="10.5" customHeight="1">
      <c r="A21" s="3" t="s">
        <v>14</v>
      </c>
      <c r="B21" s="385"/>
      <c r="C21" s="88"/>
      <c r="D21" s="88"/>
      <c r="E21" s="88"/>
      <c r="F21" s="9"/>
      <c r="G21" s="449"/>
      <c r="H21" s="449"/>
      <c r="I21" s="5"/>
      <c r="J21" s="87"/>
      <c r="K21" s="11"/>
      <c r="L21" s="789"/>
    </row>
    <row r="22" spans="1:12" ht="10.5" customHeight="1">
      <c r="A22" s="3" t="s">
        <v>15</v>
      </c>
      <c r="B22" s="385"/>
      <c r="C22" s="88"/>
      <c r="D22" s="88"/>
      <c r="E22" s="88"/>
      <c r="F22" s="9"/>
      <c r="G22" s="449"/>
      <c r="H22" s="449"/>
      <c r="I22" s="5"/>
      <c r="J22" s="87"/>
      <c r="K22" s="11"/>
      <c r="L22" s="790"/>
    </row>
    <row r="23" spans="1:12" ht="10.5" customHeight="1" thickBot="1">
      <c r="A23" s="3" t="s">
        <v>16</v>
      </c>
      <c r="B23" s="385"/>
      <c r="C23" s="88"/>
      <c r="D23" s="88"/>
      <c r="E23" s="88"/>
      <c r="F23" s="9"/>
      <c r="G23" s="449"/>
      <c r="H23" s="449"/>
      <c r="I23" s="5"/>
      <c r="J23" s="87"/>
      <c r="K23" s="11"/>
    </row>
    <row r="24" spans="1:12" ht="10.5" customHeight="1" thickBot="1">
      <c r="A24" s="10" t="s">
        <v>17</v>
      </c>
      <c r="B24" s="403"/>
      <c r="C24" s="11"/>
      <c r="D24" s="11"/>
      <c r="E24" s="11"/>
      <c r="F24" s="34"/>
      <c r="G24" s="450"/>
      <c r="H24" s="450"/>
      <c r="I24" s="484"/>
      <c r="J24" s="32">
        <f>SUM(J17:J23)</f>
        <v>0</v>
      </c>
      <c r="K24" s="11"/>
    </row>
    <row r="25" spans="1:12" ht="10.5" customHeight="1">
      <c r="A25" s="13"/>
      <c r="B25" s="11"/>
      <c r="C25" s="11"/>
      <c r="D25" s="11"/>
      <c r="E25" s="11"/>
      <c r="F25" s="34"/>
      <c r="G25" s="1009" t="s">
        <v>2</v>
      </c>
      <c r="H25" s="1009"/>
      <c r="I25" s="1009" t="s">
        <v>4</v>
      </c>
      <c r="J25" s="1010"/>
      <c r="K25" s="11"/>
    </row>
    <row r="26" spans="1:12" ht="10.5" customHeight="1">
      <c r="A26" s="13"/>
      <c r="B26" s="11"/>
      <c r="C26" s="11"/>
      <c r="D26" s="11"/>
      <c r="E26" s="11"/>
      <c r="F26" s="34"/>
      <c r="G26" s="6" t="s">
        <v>1</v>
      </c>
      <c r="H26" s="6" t="s">
        <v>3</v>
      </c>
      <c r="I26" s="6" t="s">
        <v>1</v>
      </c>
      <c r="J26" s="7" t="s">
        <v>3</v>
      </c>
      <c r="K26" s="11"/>
    </row>
    <row r="27" spans="1:12" ht="12" customHeight="1">
      <c r="A27" s="14" t="s">
        <v>18</v>
      </c>
      <c r="B27" s="404"/>
      <c r="C27" s="11"/>
      <c r="D27" s="11"/>
      <c r="E27" s="11"/>
      <c r="F27" s="34"/>
      <c r="G27" s="46"/>
      <c r="H27" s="33"/>
      <c r="I27" s="61"/>
      <c r="J27" s="30"/>
      <c r="K27" s="11"/>
    </row>
    <row r="28" spans="1:12" ht="10.5" customHeight="1">
      <c r="A28" s="3" t="s">
        <v>98</v>
      </c>
      <c r="B28" s="385"/>
      <c r="C28" s="11"/>
      <c r="D28" s="11"/>
      <c r="E28" s="11"/>
      <c r="F28" s="34">
        <f>M_CSGRDS</f>
        <v>0</v>
      </c>
      <c r="G28" s="46"/>
      <c r="H28" s="34">
        <f t="shared" ref="H28:H67" si="0">ROUNDUP(F28*G28,2)</f>
        <v>0</v>
      </c>
      <c r="I28" s="60">
        <f>Cotisations!C5</f>
        <v>5.0999999999999997E-2</v>
      </c>
      <c r="J28" s="30">
        <f t="shared" ref="J28:J68" si="1">ROUNDUP(F28*I28,2)</f>
        <v>0</v>
      </c>
      <c r="K28" s="11"/>
    </row>
    <row r="29" spans="1:12" ht="10.5" customHeight="1">
      <c r="A29" s="3" t="s">
        <v>19</v>
      </c>
      <c r="B29" s="385"/>
      <c r="C29" s="11"/>
      <c r="D29" s="11"/>
      <c r="E29" s="11"/>
      <c r="F29" s="34">
        <f t="shared" ref="F29:F34" si="2">M_Brut</f>
        <v>0</v>
      </c>
      <c r="G29" s="46">
        <f>Cotisations!B8</f>
        <v>0.12889999999999999</v>
      </c>
      <c r="H29" s="34">
        <f t="shared" si="0"/>
        <v>0</v>
      </c>
      <c r="I29" s="60">
        <f>Cotisations!C8</f>
        <v>7.4999999999999997E-3</v>
      </c>
      <c r="J29" s="30">
        <f t="shared" si="1"/>
        <v>0</v>
      </c>
      <c r="K29" s="11"/>
      <c r="L29" s="492"/>
    </row>
    <row r="30" spans="1:12" ht="10.5" customHeight="1">
      <c r="A30" s="3" t="s">
        <v>20</v>
      </c>
      <c r="B30" s="385"/>
      <c r="C30" s="11"/>
      <c r="D30" s="11"/>
      <c r="E30" s="11"/>
      <c r="F30" s="34">
        <f t="shared" si="2"/>
        <v>0</v>
      </c>
      <c r="G30" s="46">
        <f>Cotisations!B9</f>
        <v>3.0000000000000001E-3</v>
      </c>
      <c r="H30" s="34">
        <f t="shared" si="0"/>
        <v>0</v>
      </c>
      <c r="I30" s="60"/>
      <c r="J30" s="30">
        <f t="shared" si="1"/>
        <v>0</v>
      </c>
      <c r="K30" s="11"/>
    </row>
    <row r="31" spans="1:12" ht="10.5" customHeight="1">
      <c r="A31" s="3" t="s">
        <v>21</v>
      </c>
      <c r="B31" s="385"/>
      <c r="C31" s="11"/>
      <c r="D31" s="11"/>
      <c r="E31" s="11"/>
      <c r="F31" s="34">
        <f t="shared" si="2"/>
        <v>0</v>
      </c>
      <c r="G31" s="46">
        <f>Société!B16</f>
        <v>0</v>
      </c>
      <c r="H31" s="34">
        <f t="shared" si="0"/>
        <v>0</v>
      </c>
      <c r="I31" s="60"/>
      <c r="J31" s="30">
        <f t="shared" si="1"/>
        <v>0</v>
      </c>
      <c r="K31" s="11"/>
    </row>
    <row r="32" spans="1:12" ht="10.5" customHeight="1">
      <c r="A32" s="3" t="s">
        <v>22</v>
      </c>
      <c r="B32" s="385"/>
      <c r="C32" s="11"/>
      <c r="D32" s="11"/>
      <c r="E32" s="11"/>
      <c r="F32" s="34">
        <f t="shared" si="2"/>
        <v>0</v>
      </c>
      <c r="G32" s="46">
        <f>Cotisations!B10+IF(M_Brut&lt;3.5*SMIC_proratisé,0,Cotisations!B11)</f>
        <v>3.4500000000000003E-2</v>
      </c>
      <c r="H32" s="34">
        <f t="shared" si="0"/>
        <v>0</v>
      </c>
      <c r="I32" s="60"/>
      <c r="J32" s="30">
        <f t="shared" si="1"/>
        <v>0</v>
      </c>
      <c r="K32" s="11"/>
    </row>
    <row r="33" spans="1:12" ht="10.5" customHeight="1">
      <c r="A33" s="3" t="s">
        <v>23</v>
      </c>
      <c r="B33" s="385"/>
      <c r="C33" s="11"/>
      <c r="D33" s="11"/>
      <c r="E33" s="11"/>
      <c r="F33" s="45">
        <f>IF(effectif&gt;10,M_Brut,0)</f>
        <v>0</v>
      </c>
      <c r="G33" s="46">
        <f>Société!B17</f>
        <v>0</v>
      </c>
      <c r="H33" s="34">
        <f t="shared" si="0"/>
        <v>0</v>
      </c>
      <c r="I33" s="60"/>
      <c r="J33" s="30">
        <f t="shared" si="1"/>
        <v>0</v>
      </c>
      <c r="K33" s="11"/>
      <c r="L33" s="790" t="s">
        <v>727</v>
      </c>
    </row>
    <row r="34" spans="1:12" ht="10.5" customHeight="1">
      <c r="A34" s="3" t="s">
        <v>24</v>
      </c>
      <c r="B34" s="385"/>
      <c r="C34" s="11"/>
      <c r="D34" s="11"/>
      <c r="E34" s="11"/>
      <c r="F34" s="34">
        <f t="shared" si="2"/>
        <v>0</v>
      </c>
      <c r="G34" s="46">
        <f>Cotisations!B12</f>
        <v>1.9E-2</v>
      </c>
      <c r="H34" s="34">
        <f t="shared" si="0"/>
        <v>0</v>
      </c>
      <c r="I34" s="60">
        <f>Cotisations!C12</f>
        <v>4.0000000000000001E-3</v>
      </c>
      <c r="J34" s="30">
        <f t="shared" si="1"/>
        <v>0</v>
      </c>
      <c r="K34" s="11"/>
    </row>
    <row r="35" spans="1:12" ht="10.5" customHeight="1">
      <c r="A35" s="3" t="s">
        <v>25</v>
      </c>
      <c r="B35" s="385"/>
      <c r="C35" s="11"/>
      <c r="D35" s="11"/>
      <c r="E35" s="11"/>
      <c r="F35" s="34">
        <f>MIN(M_Brut,M_Plafond)</f>
        <v>0</v>
      </c>
      <c r="G35" s="46">
        <f>Cotisations!B13</f>
        <v>8.5500000000000007E-2</v>
      </c>
      <c r="H35" s="34">
        <f t="shared" si="0"/>
        <v>0</v>
      </c>
      <c r="I35" s="60">
        <f>Cotisations!C13</f>
        <v>6.9000000000000006E-2</v>
      </c>
      <c r="J35" s="30">
        <f t="shared" si="1"/>
        <v>0</v>
      </c>
      <c r="K35" s="11"/>
    </row>
    <row r="36" spans="1:12" ht="10.5" customHeight="1">
      <c r="A36" s="3" t="s">
        <v>714</v>
      </c>
      <c r="B36" s="385"/>
      <c r="C36" s="11"/>
      <c r="D36" s="11"/>
      <c r="E36" s="11"/>
      <c r="F36" s="45">
        <f>IF(effectif&lt;20,M_TA,M_Brut)</f>
        <v>0</v>
      </c>
      <c r="G36" s="46">
        <f>IF(effectif&lt;20,Cotisations!B14,Cotisations!B15)</f>
        <v>1E-3</v>
      </c>
      <c r="H36" s="34">
        <f t="shared" si="0"/>
        <v>0</v>
      </c>
      <c r="I36" s="60"/>
      <c r="J36" s="30">
        <f t="shared" si="1"/>
        <v>0</v>
      </c>
      <c r="K36" s="11"/>
    </row>
    <row r="37" spans="1:12" ht="10.5" customHeight="1">
      <c r="A37" s="3" t="s">
        <v>27</v>
      </c>
      <c r="B37" s="385"/>
      <c r="C37" s="11"/>
      <c r="D37" s="11"/>
      <c r="E37" s="11"/>
      <c r="F37" s="45">
        <f>IF(effectif&lt;11,0,SUM(H61:H66))</f>
        <v>0</v>
      </c>
      <c r="G37" s="46">
        <f>Cotisations!B16</f>
        <v>0.08</v>
      </c>
      <c r="H37" s="34">
        <f t="shared" si="0"/>
        <v>0</v>
      </c>
      <c r="I37" s="60"/>
      <c r="J37" s="30">
        <f t="shared" si="1"/>
        <v>0</v>
      </c>
      <c r="K37" s="11"/>
      <c r="L37" s="818" t="s">
        <v>726</v>
      </c>
    </row>
    <row r="38" spans="1:12" ht="10.5" customHeight="1">
      <c r="A38" s="3" t="s">
        <v>717</v>
      </c>
      <c r="B38" s="385"/>
      <c r="C38" s="11"/>
      <c r="D38" s="11"/>
      <c r="E38" s="11"/>
      <c r="F38" s="45">
        <f>SUM(H58:H60)</f>
        <v>0</v>
      </c>
      <c r="G38" s="46">
        <f>Cotisations!B17</f>
        <v>0.2</v>
      </c>
      <c r="H38" s="34">
        <f t="shared" si="0"/>
        <v>0</v>
      </c>
      <c r="I38" s="60"/>
      <c r="J38" s="30"/>
      <c r="K38" s="11"/>
    </row>
    <row r="39" spans="1:12" ht="10.5" customHeight="1">
      <c r="A39" s="3" t="s">
        <v>28</v>
      </c>
      <c r="B39" s="385"/>
      <c r="C39" s="11"/>
      <c r="D39" s="11"/>
      <c r="E39" s="11"/>
      <c r="F39" s="34">
        <f>M_Brut</f>
        <v>0</v>
      </c>
      <c r="G39" s="46">
        <f>Cotisations!B18</f>
        <v>1.6000000000000001E-4</v>
      </c>
      <c r="H39" s="34">
        <f t="shared" si="0"/>
        <v>0</v>
      </c>
      <c r="I39" s="60"/>
      <c r="J39" s="30">
        <f t="shared" si="1"/>
        <v>0</v>
      </c>
      <c r="K39" s="11"/>
    </row>
    <row r="40" spans="1:12" ht="10.5" customHeight="1">
      <c r="A40" s="3" t="s">
        <v>29</v>
      </c>
      <c r="B40" s="385"/>
      <c r="C40" s="11"/>
      <c r="D40" s="11"/>
      <c r="E40" s="11"/>
      <c r="F40" s="34">
        <f>M_Brut</f>
        <v>0</v>
      </c>
      <c r="G40" s="46">
        <f>Cotisations!B19</f>
        <v>1E-4</v>
      </c>
      <c r="H40" s="34">
        <f t="shared" si="0"/>
        <v>0</v>
      </c>
      <c r="I40" s="60"/>
      <c r="J40" s="30">
        <f t="shared" si="1"/>
        <v>0</v>
      </c>
      <c r="K40" s="11"/>
    </row>
    <row r="41" spans="1:12" ht="12" customHeight="1">
      <c r="A41" s="14" t="s">
        <v>30</v>
      </c>
      <c r="B41" s="404"/>
      <c r="C41" s="11"/>
      <c r="D41" s="11"/>
      <c r="E41" s="11"/>
      <c r="F41" s="34"/>
      <c r="G41" s="46"/>
      <c r="H41" s="34">
        <f t="shared" si="0"/>
        <v>0</v>
      </c>
      <c r="I41" s="60"/>
      <c r="J41" s="30">
        <f t="shared" si="1"/>
        <v>0</v>
      </c>
      <c r="K41" s="11"/>
    </row>
    <row r="42" spans="1:12" ht="10.5" customHeight="1">
      <c r="A42" s="3" t="s">
        <v>31</v>
      </c>
      <c r="B42" s="385"/>
      <c r="C42" s="11"/>
      <c r="D42" s="11"/>
      <c r="E42" s="11"/>
      <c r="F42" s="34">
        <f>M_TA+M_TB</f>
        <v>0</v>
      </c>
      <c r="G42" s="46">
        <f>Cotisations!B22</f>
        <v>4.0500000000000001E-2</v>
      </c>
      <c r="H42" s="34">
        <f t="shared" si="0"/>
        <v>0</v>
      </c>
      <c r="I42" s="60">
        <f>Cotisations!C22</f>
        <v>2.4E-2</v>
      </c>
      <c r="J42" s="30">
        <f t="shared" si="1"/>
        <v>0</v>
      </c>
      <c r="K42" s="11"/>
    </row>
    <row r="43" spans="1:12" ht="10.5" customHeight="1">
      <c r="A43" s="3" t="s">
        <v>32</v>
      </c>
      <c r="B43" s="385"/>
      <c r="C43" s="11"/>
      <c r="D43" s="11"/>
      <c r="E43" s="11"/>
      <c r="F43" s="34">
        <f>M_TA+M_TB</f>
        <v>0</v>
      </c>
      <c r="G43" s="46">
        <f>Cotisations!B23</f>
        <v>1.5E-3</v>
      </c>
      <c r="H43" s="34">
        <f t="shared" si="0"/>
        <v>0</v>
      </c>
      <c r="I43" s="60"/>
      <c r="J43" s="30">
        <f t="shared" si="1"/>
        <v>0</v>
      </c>
      <c r="K43" s="11"/>
    </row>
    <row r="44" spans="1:12" ht="10.5" customHeight="1">
      <c r="A44" s="3" t="s">
        <v>33</v>
      </c>
      <c r="B44" s="944"/>
      <c r="C44" s="951"/>
      <c r="D44" s="951"/>
      <c r="E44" s="951"/>
      <c r="F44" s="34"/>
      <c r="G44" s="46"/>
      <c r="H44" s="34">
        <f t="shared" si="0"/>
        <v>0</v>
      </c>
      <c r="I44" s="60"/>
      <c r="J44" s="30">
        <f>ROUNDDOWN(F44*I44,2)</f>
        <v>0</v>
      </c>
      <c r="K44" s="951"/>
    </row>
    <row r="45" spans="1:12" ht="12" customHeight="1">
      <c r="A45" s="14" t="s">
        <v>215</v>
      </c>
      <c r="B45" s="404"/>
      <c r="C45" s="11"/>
      <c r="D45" s="11"/>
      <c r="E45" s="11"/>
      <c r="F45" s="34"/>
      <c r="G45" s="46"/>
      <c r="H45" s="34">
        <f t="shared" si="0"/>
        <v>0</v>
      </c>
      <c r="I45" s="60"/>
      <c r="J45" s="30">
        <f t="shared" si="1"/>
        <v>0</v>
      </c>
      <c r="K45" s="11"/>
    </row>
    <row r="46" spans="1:12" ht="10.5" customHeight="1">
      <c r="A46" s="3" t="s">
        <v>122</v>
      </c>
      <c r="B46" s="944"/>
      <c r="C46" s="951"/>
      <c r="D46" s="951"/>
      <c r="E46" s="951"/>
      <c r="F46" s="34">
        <f>M_TA</f>
        <v>0</v>
      </c>
      <c r="G46" s="46">
        <f>Cotisations!B28</f>
        <v>4.65E-2</v>
      </c>
      <c r="H46" s="34">
        <f t="shared" si="0"/>
        <v>0</v>
      </c>
      <c r="I46" s="60">
        <f>Cotisations!C28</f>
        <v>3.1E-2</v>
      </c>
      <c r="J46" s="30">
        <f>ROUNDDOWN(F46*I46,2)</f>
        <v>0</v>
      </c>
      <c r="K46" s="951"/>
    </row>
    <row r="47" spans="1:12" ht="10.5" customHeight="1">
      <c r="A47" s="3" t="s">
        <v>123</v>
      </c>
      <c r="B47" s="944"/>
      <c r="C47" s="951"/>
      <c r="D47" s="951"/>
      <c r="E47" s="951"/>
      <c r="F47" s="34">
        <f>M_T2</f>
        <v>0</v>
      </c>
      <c r="G47" s="46">
        <f>Cotisations!B29</f>
        <v>0.1215</v>
      </c>
      <c r="H47" s="34">
        <f t="shared" si="0"/>
        <v>0</v>
      </c>
      <c r="I47" s="60">
        <f>Cotisations!C29</f>
        <v>8.1000000000000003E-2</v>
      </c>
      <c r="J47" s="30">
        <f>ROUNDDOWN(F47*I47,2)</f>
        <v>0</v>
      </c>
      <c r="K47" s="951"/>
    </row>
    <row r="48" spans="1:12" ht="10.5" customHeight="1">
      <c r="A48" s="3" t="s">
        <v>34</v>
      </c>
      <c r="B48" s="944"/>
      <c r="C48" s="951"/>
      <c r="D48" s="951"/>
      <c r="E48" s="951"/>
      <c r="F48" s="34">
        <f>M_TA</f>
        <v>0</v>
      </c>
      <c r="G48" s="46">
        <f>Cotisations!B30</f>
        <v>1.2E-2</v>
      </c>
      <c r="H48" s="34">
        <f t="shared" si="0"/>
        <v>0</v>
      </c>
      <c r="I48" s="60">
        <f>Cotisations!C30</f>
        <v>8.0000000000000002E-3</v>
      </c>
      <c r="J48" s="30">
        <f>ROUNDDOWN(F48*I48,2)</f>
        <v>0</v>
      </c>
      <c r="K48" s="951"/>
    </row>
    <row r="49" spans="1:12" ht="10.5" customHeight="1">
      <c r="A49" s="3" t="s">
        <v>35</v>
      </c>
      <c r="B49" s="944"/>
      <c r="C49" s="951"/>
      <c r="D49" s="951"/>
      <c r="E49" s="951"/>
      <c r="F49" s="34">
        <f>M_T2</f>
        <v>0</v>
      </c>
      <c r="G49" s="46">
        <f>Cotisations!B31</f>
        <v>1.2999999999999999E-2</v>
      </c>
      <c r="H49" s="34">
        <f t="shared" si="0"/>
        <v>0</v>
      </c>
      <c r="I49" s="60">
        <f>Cotisations!C31</f>
        <v>8.9999999999999993E-3</v>
      </c>
      <c r="J49" s="30">
        <f>ROUNDDOWN(F49*I49,2)</f>
        <v>0</v>
      </c>
      <c r="K49" s="951"/>
    </row>
    <row r="50" spans="1:12" ht="10.5" customHeight="1">
      <c r="A50" s="3" t="s">
        <v>216</v>
      </c>
      <c r="B50" s="385"/>
      <c r="C50" s="11"/>
      <c r="D50" s="11"/>
      <c r="E50" s="11"/>
      <c r="F50" s="34"/>
      <c r="G50" s="46">
        <f>Cotisations!B33</f>
        <v>4.65E-2</v>
      </c>
      <c r="H50" s="34">
        <f t="shared" si="0"/>
        <v>0</v>
      </c>
      <c r="I50" s="60">
        <f>Cotisations!C33</f>
        <v>3.1E-2</v>
      </c>
      <c r="J50" s="30">
        <f t="shared" si="1"/>
        <v>0</v>
      </c>
      <c r="K50" s="11"/>
    </row>
    <row r="51" spans="1:12" ht="10.5" customHeight="1">
      <c r="A51" s="3" t="s">
        <v>227</v>
      </c>
      <c r="B51" s="385"/>
      <c r="C51" s="11"/>
      <c r="D51" s="11"/>
      <c r="E51" s="11"/>
      <c r="F51" s="34"/>
      <c r="G51" s="46">
        <f>Cotisations!B34</f>
        <v>0.1275</v>
      </c>
      <c r="H51" s="34">
        <f t="shared" si="0"/>
        <v>0</v>
      </c>
      <c r="I51" s="60">
        <f>Cotisations!C34</f>
        <v>7.8E-2</v>
      </c>
      <c r="J51" s="30">
        <f t="shared" si="1"/>
        <v>0</v>
      </c>
      <c r="K51" s="11"/>
    </row>
    <row r="52" spans="1:12" ht="10.5" customHeight="1">
      <c r="A52" s="3" t="s">
        <v>228</v>
      </c>
      <c r="B52" s="385"/>
      <c r="C52" s="11"/>
      <c r="D52" s="11"/>
      <c r="E52" s="11"/>
      <c r="F52" s="34"/>
      <c r="G52" s="46">
        <f>Cotisations!B35</f>
        <v>0.1275</v>
      </c>
      <c r="H52" s="34">
        <f t="shared" si="0"/>
        <v>0</v>
      </c>
      <c r="I52" s="60">
        <f>Cotisations!C35</f>
        <v>7.8E-2</v>
      </c>
      <c r="J52" s="30">
        <f t="shared" si="1"/>
        <v>0</v>
      </c>
      <c r="K52" s="11"/>
    </row>
    <row r="53" spans="1:12" ht="10.5" customHeight="1">
      <c r="A53" s="3" t="s">
        <v>217</v>
      </c>
      <c r="B53" s="385"/>
      <c r="C53" s="11"/>
      <c r="D53" s="11"/>
      <c r="E53" s="11"/>
      <c r="F53" s="34"/>
      <c r="G53" s="46">
        <f>Cotisations!B37</f>
        <v>1.2E-2</v>
      </c>
      <c r="H53" s="34">
        <f t="shared" si="0"/>
        <v>0</v>
      </c>
      <c r="I53" s="60">
        <f>Cotisations!C37</f>
        <v>8.0000000000000002E-3</v>
      </c>
      <c r="J53" s="30">
        <f t="shared" si="1"/>
        <v>0</v>
      </c>
      <c r="K53" s="11"/>
    </row>
    <row r="54" spans="1:12" ht="10.5" customHeight="1">
      <c r="A54" s="3" t="s">
        <v>229</v>
      </c>
      <c r="B54" s="385"/>
      <c r="C54" s="11"/>
      <c r="D54" s="11"/>
      <c r="E54" s="11"/>
      <c r="F54" s="34"/>
      <c r="G54" s="46">
        <f>Cotisations!B38</f>
        <v>1.2999999999999999E-2</v>
      </c>
      <c r="H54" s="34">
        <f t="shared" si="0"/>
        <v>0</v>
      </c>
      <c r="I54" s="60">
        <f>Cotisations!C38</f>
        <v>8.9999999999999993E-3</v>
      </c>
      <c r="J54" s="30">
        <f t="shared" si="1"/>
        <v>0</v>
      </c>
      <c r="K54" s="11"/>
    </row>
    <row r="55" spans="1:12" ht="10.5" customHeight="1">
      <c r="A55" s="3" t="s">
        <v>108</v>
      </c>
      <c r="B55" s="385"/>
      <c r="C55" s="11"/>
      <c r="D55" s="11"/>
      <c r="E55" s="11"/>
      <c r="F55" s="34"/>
      <c r="G55" s="46">
        <f>Cotisations!B36</f>
        <v>0.1275</v>
      </c>
      <c r="H55" s="34">
        <f t="shared" si="0"/>
        <v>0</v>
      </c>
      <c r="I55" s="60">
        <f>Cotisations!C36</f>
        <v>7.8E-2</v>
      </c>
      <c r="J55" s="30">
        <f t="shared" si="1"/>
        <v>0</v>
      </c>
      <c r="K55" s="11"/>
    </row>
    <row r="56" spans="1:12" ht="10.5" customHeight="1">
      <c r="A56" s="3" t="s">
        <v>109</v>
      </c>
      <c r="B56" s="385"/>
      <c r="C56" s="11"/>
      <c r="D56" s="11"/>
      <c r="E56" s="11"/>
      <c r="F56" s="34"/>
      <c r="G56" s="46">
        <f>Cotisations!B39</f>
        <v>2.2000000000000001E-3</v>
      </c>
      <c r="H56" s="34">
        <f t="shared" si="0"/>
        <v>0</v>
      </c>
      <c r="I56" s="60">
        <f>Cotisations!C39</f>
        <v>1.2999999999999999E-3</v>
      </c>
      <c r="J56" s="30">
        <f t="shared" si="1"/>
        <v>0</v>
      </c>
      <c r="K56" s="11"/>
    </row>
    <row r="57" spans="1:12" ht="10.5" customHeight="1">
      <c r="A57" s="3" t="s">
        <v>110</v>
      </c>
      <c r="B57" s="385"/>
      <c r="C57" s="11"/>
      <c r="D57" s="11"/>
      <c r="E57" s="11"/>
      <c r="F57" s="34"/>
      <c r="G57" s="46">
        <f>Cotisations!B40</f>
        <v>3.6000000000000002E-4</v>
      </c>
      <c r="H57" s="34">
        <f t="shared" si="0"/>
        <v>0</v>
      </c>
      <c r="I57" s="60">
        <f>Cotisations!C40</f>
        <v>2.4000000000000001E-4</v>
      </c>
      <c r="J57" s="30">
        <f t="shared" si="1"/>
        <v>0</v>
      </c>
      <c r="K57" s="11"/>
      <c r="L57" s="818" t="s">
        <v>735</v>
      </c>
    </row>
    <row r="58" spans="1:12" ht="10.5" customHeight="1">
      <c r="A58" s="3" t="s">
        <v>213</v>
      </c>
      <c r="B58" s="385"/>
      <c r="C58" s="11"/>
      <c r="D58" s="11"/>
      <c r="E58" s="11"/>
      <c r="F58" s="34"/>
      <c r="G58" s="46"/>
      <c r="H58" s="34">
        <f t="shared" si="0"/>
        <v>0</v>
      </c>
      <c r="I58" s="60"/>
      <c r="J58" s="30">
        <f t="shared" si="1"/>
        <v>0</v>
      </c>
      <c r="K58" s="11"/>
    </row>
    <row r="59" spans="1:12" ht="10.5" customHeight="1">
      <c r="A59" s="3" t="s">
        <v>214</v>
      </c>
      <c r="B59" s="385"/>
      <c r="C59" s="11"/>
      <c r="D59" s="11"/>
      <c r="E59" s="11"/>
      <c r="F59" s="34"/>
      <c r="G59" s="46"/>
      <c r="H59" s="34">
        <f t="shared" si="0"/>
        <v>0</v>
      </c>
      <c r="I59" s="60"/>
      <c r="J59" s="30">
        <f t="shared" si="1"/>
        <v>0</v>
      </c>
      <c r="K59" s="11"/>
    </row>
    <row r="60" spans="1:12" ht="10.5" customHeight="1">
      <c r="A60" s="3" t="s">
        <v>218</v>
      </c>
      <c r="B60" s="385"/>
      <c r="C60" s="11"/>
      <c r="D60" s="11"/>
      <c r="E60" s="11"/>
      <c r="F60" s="34"/>
      <c r="G60" s="46"/>
      <c r="H60" s="34">
        <f t="shared" si="0"/>
        <v>0</v>
      </c>
      <c r="I60" s="60"/>
      <c r="J60" s="30">
        <f t="shared" si="1"/>
        <v>0</v>
      </c>
      <c r="K60" s="11"/>
    </row>
    <row r="61" spans="1:12" ht="12" customHeight="1">
      <c r="A61" s="14" t="s">
        <v>36</v>
      </c>
      <c r="B61" s="404"/>
      <c r="C61" s="11"/>
      <c r="D61" s="11"/>
      <c r="E61" s="11"/>
      <c r="F61" s="34"/>
      <c r="G61" s="46"/>
      <c r="H61" s="34">
        <f t="shared" si="0"/>
        <v>0</v>
      </c>
      <c r="I61" s="60"/>
      <c r="J61" s="30">
        <f t="shared" si="1"/>
        <v>0</v>
      </c>
      <c r="K61" s="11"/>
    </row>
    <row r="62" spans="1:12" ht="10.5" customHeight="1">
      <c r="A62" s="3" t="s">
        <v>219</v>
      </c>
      <c r="B62" s="385"/>
      <c r="C62" s="11"/>
      <c r="D62" s="11"/>
      <c r="E62" s="11"/>
      <c r="F62" s="34"/>
      <c r="G62" s="46">
        <f>Cotisations!B41</f>
        <v>1.4999999999999999E-2</v>
      </c>
      <c r="H62" s="34">
        <f>ROUNDUP(F62*G62,2)</f>
        <v>0</v>
      </c>
      <c r="I62" s="60"/>
      <c r="J62" s="30">
        <f>ROUNDUP(F62*I62,2)</f>
        <v>0</v>
      </c>
      <c r="K62" s="11"/>
    </row>
    <row r="63" spans="1:12" ht="10.5" customHeight="1">
      <c r="A63" s="3" t="s">
        <v>37</v>
      </c>
      <c r="B63" s="385"/>
      <c r="C63" s="11"/>
      <c r="D63" s="11"/>
      <c r="E63" s="11"/>
      <c r="F63" s="34">
        <f>M_TA</f>
        <v>0</v>
      </c>
      <c r="G63" s="46"/>
      <c r="H63" s="34">
        <f t="shared" si="0"/>
        <v>0</v>
      </c>
      <c r="I63" s="60"/>
      <c r="J63" s="30">
        <f t="shared" si="1"/>
        <v>0</v>
      </c>
      <c r="K63" s="11"/>
    </row>
    <row r="64" spans="1:12" ht="10.5" customHeight="1">
      <c r="A64" s="3" t="s">
        <v>38</v>
      </c>
      <c r="B64" s="385"/>
      <c r="C64" s="11"/>
      <c r="D64" s="11"/>
      <c r="E64" s="11"/>
      <c r="F64" s="34">
        <f>M_TB</f>
        <v>0</v>
      </c>
      <c r="G64" s="46"/>
      <c r="H64" s="34">
        <f t="shared" si="0"/>
        <v>0</v>
      </c>
      <c r="I64" s="60"/>
      <c r="J64" s="30">
        <f t="shared" si="1"/>
        <v>0</v>
      </c>
      <c r="K64" s="11"/>
    </row>
    <row r="65" spans="1:12" ht="10.5" customHeight="1">
      <c r="A65" s="3" t="s">
        <v>225</v>
      </c>
      <c r="B65" s="385"/>
      <c r="C65" s="11"/>
      <c r="D65" s="11"/>
      <c r="E65" s="11"/>
      <c r="F65" s="34">
        <f>M_TA</f>
        <v>0</v>
      </c>
      <c r="G65" s="46"/>
      <c r="H65" s="34">
        <f t="shared" si="0"/>
        <v>0</v>
      </c>
      <c r="I65" s="60"/>
      <c r="J65" s="30">
        <f t="shared" si="1"/>
        <v>0</v>
      </c>
      <c r="K65" s="11"/>
      <c r="L65" s="1" t="s">
        <v>736</v>
      </c>
    </row>
    <row r="66" spans="1:12" ht="10.5" customHeight="1">
      <c r="A66" s="3" t="s">
        <v>226</v>
      </c>
      <c r="B66" s="385"/>
      <c r="C66" s="11"/>
      <c r="D66" s="11"/>
      <c r="E66" s="11"/>
      <c r="F66" s="34">
        <f>M_TB</f>
        <v>0</v>
      </c>
      <c r="G66" s="46"/>
      <c r="H66" s="34">
        <f t="shared" si="0"/>
        <v>0</v>
      </c>
      <c r="I66" s="60"/>
      <c r="J66" s="30">
        <f t="shared" si="1"/>
        <v>0</v>
      </c>
      <c r="K66" s="11"/>
      <c r="L66" s="1" t="s">
        <v>611</v>
      </c>
    </row>
    <row r="67" spans="1:12" ht="10.5" customHeight="1">
      <c r="A67" s="3"/>
      <c r="B67" s="385"/>
      <c r="C67" s="11"/>
      <c r="D67" s="11"/>
      <c r="E67" s="11"/>
      <c r="F67" s="34"/>
      <c r="G67" s="11"/>
      <c r="H67" s="34">
        <f t="shared" si="0"/>
        <v>0</v>
      </c>
      <c r="I67" s="12"/>
      <c r="J67" s="30">
        <f t="shared" si="1"/>
        <v>0</v>
      </c>
      <c r="K67" s="11"/>
    </row>
    <row r="68" spans="1:12" ht="10.5" customHeight="1">
      <c r="A68" s="3" t="s">
        <v>42</v>
      </c>
      <c r="B68" s="385"/>
      <c r="C68" s="11"/>
      <c r="D68" s="11"/>
      <c r="E68" s="11"/>
      <c r="F68" s="45">
        <f>IF(effectif&lt;20,SUM(F24:F25),0)</f>
        <v>0</v>
      </c>
      <c r="G68" s="494">
        <v>1.5</v>
      </c>
      <c r="H68" s="34">
        <f>-ROUNDUP(F68*G68,2)</f>
        <v>0</v>
      </c>
      <c r="I68" s="12"/>
      <c r="J68" s="30">
        <f t="shared" si="1"/>
        <v>0</v>
      </c>
      <c r="K68" s="11"/>
    </row>
    <row r="69" spans="1:12" ht="10.5" customHeight="1" thickBot="1">
      <c r="A69" s="3" t="s">
        <v>41</v>
      </c>
      <c r="B69" s="385"/>
      <c r="C69" s="11"/>
      <c r="D69" s="11"/>
      <c r="E69" s="11"/>
      <c r="F69" s="86">
        <f>M_Brut</f>
        <v>0</v>
      </c>
      <c r="G69" s="85">
        <f>MAX(0,C103)</f>
        <v>0</v>
      </c>
      <c r="H69" s="34">
        <f>-ROUNDUP(F69*G69,2)</f>
        <v>0</v>
      </c>
      <c r="I69" s="16"/>
      <c r="J69" s="31"/>
      <c r="K69" s="11"/>
    </row>
    <row r="70" spans="1:12" ht="12" customHeight="1" thickBot="1">
      <c r="A70" s="10" t="s">
        <v>78</v>
      </c>
      <c r="B70" s="403"/>
      <c r="C70" s="11"/>
      <c r="D70" s="11"/>
      <c r="E70" s="11"/>
      <c r="F70" s="451"/>
      <c r="G70" s="450"/>
      <c r="H70" s="101">
        <f>SUM(H27:H69)</f>
        <v>0</v>
      </c>
      <c r="I70" s="450"/>
      <c r="J70" s="101">
        <f>SUM(J27:J69)</f>
        <v>0</v>
      </c>
      <c r="K70" s="11"/>
      <c r="L70" s="501"/>
    </row>
    <row r="71" spans="1:12" ht="12" customHeight="1" thickBot="1">
      <c r="A71" s="10" t="s">
        <v>43</v>
      </c>
      <c r="B71" s="403"/>
      <c r="F71" s="459"/>
      <c r="G71" s="450"/>
      <c r="H71" s="450"/>
      <c r="I71" s="460"/>
      <c r="J71" s="101">
        <f>M_Brut-J70+SUM(H63:H64)</f>
        <v>0</v>
      </c>
      <c r="K71" s="11"/>
    </row>
    <row r="72" spans="1:12" ht="10.5" customHeight="1">
      <c r="A72" s="3" t="s">
        <v>207</v>
      </c>
      <c r="B72" s="385"/>
      <c r="F72" s="33">
        <f>M_CSGRDS</f>
        <v>0</v>
      </c>
      <c r="G72" s="455"/>
      <c r="H72" s="456"/>
      <c r="I72" s="56">
        <f>Cotisations!C6</f>
        <v>2.4E-2</v>
      </c>
      <c r="J72" s="30">
        <f>F72*I72</f>
        <v>0</v>
      </c>
      <c r="K72" s="11"/>
    </row>
    <row r="73" spans="1:12" ht="10.5" customHeight="1" thickBot="1">
      <c r="A73" s="3" t="s">
        <v>208</v>
      </c>
      <c r="B73" s="385"/>
      <c r="F73" s="86">
        <f>M_CSGRDS</f>
        <v>0</v>
      </c>
      <c r="G73" s="455"/>
      <c r="H73" s="456"/>
      <c r="I73" s="57">
        <f>Cotisations!C7</f>
        <v>5.0000000000000001E-3</v>
      </c>
      <c r="J73" s="30">
        <f>F73*I73</f>
        <v>0</v>
      </c>
      <c r="K73" s="11"/>
    </row>
    <row r="74" spans="1:12" ht="10.5" customHeight="1" thickBot="1">
      <c r="A74" s="21" t="s">
        <v>44</v>
      </c>
      <c r="B74" s="405"/>
      <c r="C74" s="15"/>
      <c r="D74" s="15"/>
      <c r="E74" s="90"/>
      <c r="F74" s="457"/>
      <c r="G74" s="453"/>
      <c r="H74" s="453"/>
      <c r="I74" s="458"/>
      <c r="J74" s="101">
        <f>M_Brut-J70-J72-J73</f>
        <v>0</v>
      </c>
      <c r="K74" s="11"/>
    </row>
    <row r="75" spans="1:12" ht="10.5" customHeight="1" thickBot="1">
      <c r="E75" s="88"/>
      <c r="F75" s="19" t="s">
        <v>45</v>
      </c>
      <c r="G75" s="11"/>
      <c r="H75" s="11"/>
      <c r="I75" s="11"/>
      <c r="J75" s="30"/>
      <c r="K75" s="11"/>
    </row>
    <row r="76" spans="1:12" ht="10.5" customHeight="1">
      <c r="A76" s="988" t="s">
        <v>230</v>
      </c>
      <c r="B76" s="989"/>
      <c r="C76" s="27">
        <f>IF($F$13=0,0,IF(MONTH($F$13)&gt;5,CONCATENATE("juin-",YEAR($F$13)-2001," / mai-",YEAR($F$13)-2000),CONCATENATE("juin-",YEAR($F$13)-2002," / mai-",YEAR($F$13)-2001)))</f>
        <v>0</v>
      </c>
      <c r="D76" s="28">
        <f>IF($F$13=0,0,IF(MONTH($F$13)&gt;5,CONCATENATE("juin-",YEAR($F$13)-2000," / mai-",YEAR($F$13)-1999),CONCATENATE("juin-",YEAR($F$13)-2001," / mai-",YEAR($F$13)-2000)))</f>
        <v>0</v>
      </c>
      <c r="E76" s="88"/>
      <c r="F76" s="3"/>
      <c r="G76" s="724"/>
      <c r="H76" s="724"/>
      <c r="I76" s="724"/>
      <c r="J76" s="87"/>
      <c r="K76" s="11"/>
    </row>
    <row r="77" spans="1:12" ht="10.5" customHeight="1">
      <c r="A77" s="990" t="s">
        <v>48</v>
      </c>
      <c r="B77" s="991"/>
      <c r="C77" s="116"/>
      <c r="D77" s="117"/>
      <c r="E77" s="88"/>
      <c r="F77" s="3"/>
      <c r="G77" s="724"/>
      <c r="H77" s="724"/>
      <c r="I77" s="724"/>
      <c r="J77" s="87"/>
      <c r="K77" s="11"/>
    </row>
    <row r="78" spans="1:12" ht="10.5" customHeight="1">
      <c r="A78" s="990" t="s">
        <v>231</v>
      </c>
      <c r="B78" s="991"/>
      <c r="C78" s="116"/>
      <c r="D78" s="117"/>
      <c r="F78" s="13"/>
      <c r="G78" s="11"/>
      <c r="H78" s="11"/>
      <c r="I78" s="11"/>
      <c r="J78" s="30"/>
      <c r="K78" s="11"/>
    </row>
    <row r="79" spans="1:12" ht="10.5" customHeight="1">
      <c r="A79" s="990" t="s">
        <v>49</v>
      </c>
      <c r="B79" s="991"/>
      <c r="C79" s="116"/>
      <c r="D79" s="117"/>
      <c r="F79" s="19" t="s">
        <v>46</v>
      </c>
      <c r="G79" s="724"/>
      <c r="H79" s="724"/>
      <c r="I79" s="724"/>
      <c r="J79" s="87"/>
      <c r="K79" s="11"/>
    </row>
    <row r="80" spans="1:12" ht="10.5" customHeight="1" thickBot="1">
      <c r="A80" s="992" t="s">
        <v>232</v>
      </c>
      <c r="B80" s="993"/>
      <c r="C80" s="118"/>
      <c r="D80" s="119"/>
      <c r="F80" s="3"/>
      <c r="G80" s="724"/>
      <c r="H80" s="724"/>
      <c r="I80" s="724"/>
      <c r="J80" s="87"/>
      <c r="K80" s="11"/>
    </row>
    <row r="81" spans="1:11" ht="10.5" customHeight="1">
      <c r="A81" s="952"/>
      <c r="B81" s="952"/>
      <c r="C81" s="954"/>
      <c r="D81" s="954"/>
      <c r="F81" s="3"/>
      <c r="G81" s="953"/>
      <c r="H81" s="953"/>
      <c r="I81" s="953"/>
      <c r="J81" s="87"/>
      <c r="K81" s="955"/>
    </row>
    <row r="82" spans="1:11" ht="10.5" customHeight="1" thickBot="1">
      <c r="A82" s="952"/>
      <c r="B82" s="952"/>
      <c r="C82" s="954"/>
      <c r="D82" s="954"/>
      <c r="F82" s="3"/>
      <c r="G82" s="953"/>
      <c r="H82" s="953"/>
      <c r="I82" s="953"/>
      <c r="J82" s="87"/>
      <c r="K82" s="955"/>
    </row>
    <row r="83" spans="1:11" ht="12" customHeight="1" thickBot="1">
      <c r="F83" s="1030" t="s">
        <v>748</v>
      </c>
      <c r="G83" s="1031"/>
      <c r="H83" s="1031"/>
      <c r="I83" s="1032"/>
      <c r="J83" s="101">
        <f>SUM(J74:J80)</f>
        <v>0</v>
      </c>
      <c r="K83" s="11"/>
    </row>
    <row r="84" spans="1:11" ht="10.5" customHeight="1" thickBot="1"/>
    <row r="85" spans="1:11" ht="10.5" customHeight="1" thickBot="1">
      <c r="A85" s="994"/>
      <c r="B85" s="995"/>
      <c r="C85" s="35" t="s">
        <v>54</v>
      </c>
      <c r="D85" s="981" t="s">
        <v>55</v>
      </c>
      <c r="E85" s="982"/>
      <c r="F85" s="27" t="s">
        <v>56</v>
      </c>
      <c r="G85" s="27" t="s">
        <v>57</v>
      </c>
      <c r="H85" s="27" t="s">
        <v>58</v>
      </c>
      <c r="I85" s="27" t="s">
        <v>59</v>
      </c>
      <c r="J85" s="28" t="s">
        <v>43</v>
      </c>
    </row>
    <row r="86" spans="1:11" ht="10.5" customHeight="1">
      <c r="A86" s="973" t="s">
        <v>52</v>
      </c>
      <c r="B86" s="974"/>
      <c r="C86" s="29">
        <f>F17</f>
        <v>151.66999999999999</v>
      </c>
      <c r="D86" s="971">
        <f>M_Brut</f>
        <v>0</v>
      </c>
      <c r="E86" s="972"/>
      <c r="F86" s="29">
        <f>M_TA</f>
        <v>0</v>
      </c>
      <c r="G86" s="29">
        <f>M_TB</f>
        <v>0</v>
      </c>
      <c r="H86" s="29">
        <f>M_TC</f>
        <v>0</v>
      </c>
      <c r="I86" s="29">
        <f>J83</f>
        <v>0</v>
      </c>
      <c r="J86" s="36">
        <f>J71</f>
        <v>0</v>
      </c>
    </row>
    <row r="87" spans="1:11" ht="10.5" customHeight="1" thickBot="1">
      <c r="A87" s="975" t="s">
        <v>53</v>
      </c>
      <c r="B87" s="976"/>
      <c r="C87" s="120"/>
      <c r="D87" s="969"/>
      <c r="E87" s="970"/>
      <c r="F87" s="120"/>
      <c r="G87" s="120"/>
      <c r="H87" s="120"/>
      <c r="I87" s="120"/>
      <c r="J87" s="121"/>
    </row>
    <row r="89" spans="1:11" ht="10.5" customHeight="1">
      <c r="A89" s="968" t="s">
        <v>82</v>
      </c>
      <c r="B89" s="968"/>
      <c r="C89" s="968"/>
      <c r="F89" s="966" t="s">
        <v>206</v>
      </c>
      <c r="G89" s="967"/>
      <c r="H89" s="18"/>
    </row>
    <row r="90" spans="1:11" ht="15">
      <c r="A90" s="1027" t="s">
        <v>222</v>
      </c>
      <c r="B90" s="1028"/>
      <c r="C90" s="29">
        <f>MIN(M_Brut,M_Plafond)</f>
        <v>0</v>
      </c>
    </row>
    <row r="91" spans="1:11" ht="15">
      <c r="A91" s="1029" t="s">
        <v>85</v>
      </c>
      <c r="B91" s="991"/>
      <c r="C91" s="29">
        <f>IF(M_Brut&lt;M_Plafond,0,MIN(M_Brut-M_Plafond,2*M_Plafond))</f>
        <v>0</v>
      </c>
    </row>
    <row r="92" spans="1:11" ht="15">
      <c r="A92" s="1027" t="s">
        <v>84</v>
      </c>
      <c r="B92" s="1028"/>
      <c r="C92" s="29">
        <f>IF(M_Brut&lt;M_Plafond,0,MIN(M_Brut-M_Plafond,3*M_Plafond))</f>
        <v>0</v>
      </c>
    </row>
    <row r="93" spans="1:11" ht="15">
      <c r="A93" s="1027" t="s">
        <v>220</v>
      </c>
      <c r="B93" s="1028"/>
      <c r="C93" s="29">
        <f>IF(M_Brut&lt;4*M_Plafond,0,MIN(M_Brut-4*M_Plafond,4*M_Plafond))</f>
        <v>0</v>
      </c>
    </row>
    <row r="94" spans="1:11" ht="15">
      <c r="A94" s="1027" t="s">
        <v>223</v>
      </c>
      <c r="B94" s="1028"/>
      <c r="C94" s="29">
        <f>IF(M_Brut=0,0,IF(M_TB&lt;GMP,GMP-M_TB,0))</f>
        <v>0</v>
      </c>
    </row>
    <row r="95" spans="1:11" ht="15">
      <c r="A95" s="1027" t="s">
        <v>86</v>
      </c>
      <c r="B95" s="1028"/>
      <c r="C95" s="29">
        <f>0.9825*MIN(M_Brut,4*M_Plafond)+MAX(M_Brut-4*M_Plafond,0)+SUM(H58:H66)</f>
        <v>0</v>
      </c>
    </row>
    <row r="96" spans="1:11" ht="15" customHeight="1"/>
    <row r="97" spans="1:8" ht="15" customHeight="1">
      <c r="A97" s="968" t="s">
        <v>747</v>
      </c>
      <c r="B97" s="968"/>
      <c r="C97" s="968"/>
    </row>
    <row r="98" spans="1:8" ht="15" customHeight="1">
      <c r="A98" s="1027" t="s">
        <v>190</v>
      </c>
      <c r="B98" s="1028"/>
      <c r="C98" s="18">
        <v>1</v>
      </c>
    </row>
    <row r="99" spans="1:8" ht="15" customHeight="1">
      <c r="A99" s="1027" t="s">
        <v>191</v>
      </c>
      <c r="B99" s="1028"/>
      <c r="C99" s="18">
        <v>1</v>
      </c>
    </row>
    <row r="100" spans="1:8" ht="15" customHeight="1">
      <c r="A100" s="1027" t="s">
        <v>192</v>
      </c>
      <c r="B100" s="1028"/>
      <c r="C100" s="29">
        <f>SUM(multi!F19:'multi'!F20)</f>
        <v>0</v>
      </c>
    </row>
    <row r="101" spans="1:8" ht="15" customHeight="1">
      <c r="A101" s="1027" t="s">
        <v>224</v>
      </c>
      <c r="B101" s="1028"/>
      <c r="C101" s="29">
        <f>SMIC_mens*C98*C99+SMIC_hor*C100</f>
        <v>1480.2991999999999</v>
      </c>
      <c r="H101" s="83"/>
    </row>
    <row r="102" spans="1:8" ht="15" customHeight="1"/>
    <row r="103" spans="1:8" ht="15" customHeight="1">
      <c r="A103" s="1024" t="s">
        <v>205</v>
      </c>
      <c r="B103" s="1025"/>
      <c r="C103" s="84">
        <f>IF(M_Brut=0,0,Société!B13/0.6*(1.6*SMIC_proratisé/M_Brut-1))</f>
        <v>0</v>
      </c>
    </row>
    <row r="104" spans="1:8" ht="15" customHeight="1">
      <c r="A104" s="1024" t="s">
        <v>41</v>
      </c>
      <c r="B104" s="1025"/>
      <c r="C104" s="29">
        <f>IF(C103&lt;0,0,-M_Brut*C103)</f>
        <v>0</v>
      </c>
    </row>
    <row r="105" spans="1:8" ht="15" customHeight="1"/>
    <row r="106" spans="1:8" ht="15" customHeight="1"/>
    <row r="107" spans="1:8" ht="15" customHeight="1"/>
    <row r="108" spans="1:8" ht="15" customHeight="1"/>
    <row r="109" spans="1:8" ht="15" customHeight="1"/>
    <row r="110" spans="1:8" ht="15" customHeight="1"/>
    <row r="111" spans="1:8" ht="15" customHeight="1"/>
    <row r="112" spans="1:8" ht="15" customHeight="1"/>
    <row r="113" ht="15" customHeight="1"/>
    <row r="114" ht="15" customHeight="1"/>
    <row r="115" ht="15" customHeight="1"/>
    <row r="116" ht="15" customHeight="1"/>
    <row r="117" ht="15" customHeight="1"/>
    <row r="118" ht="15" customHeight="1"/>
    <row r="119" ht="15" customHeight="1"/>
    <row r="120" ht="15" customHeight="1"/>
    <row r="121" ht="15" customHeight="1"/>
    <row r="122" ht="15" customHeight="1"/>
    <row r="123" ht="15" customHeight="1"/>
    <row r="124" ht="15" customHeight="1"/>
    <row r="125" ht="15" customHeight="1"/>
    <row r="126" ht="15" customHeight="1"/>
    <row r="127" ht="15" customHeight="1"/>
    <row r="128" ht="15" customHeight="1"/>
    <row r="129" ht="15" customHeight="1"/>
    <row r="130" ht="15" customHeight="1"/>
    <row r="131" ht="15" customHeight="1"/>
    <row r="132" ht="15" customHeight="1"/>
    <row r="133" ht="15" customHeight="1"/>
    <row r="134" ht="15" customHeight="1"/>
    <row r="135" ht="15" customHeight="1"/>
    <row r="136" ht="15" customHeight="1"/>
    <row r="137" ht="15" customHeight="1"/>
    <row r="138" ht="15" customHeight="1"/>
    <row r="139" ht="15" customHeight="1"/>
    <row r="140" ht="15" customHeight="1"/>
    <row r="141" ht="15" customHeight="1"/>
    <row r="142" ht="15" customHeight="1"/>
    <row r="143" ht="15" customHeight="1"/>
    <row r="144" ht="15" customHeight="1"/>
    <row r="145" ht="15" customHeight="1"/>
    <row r="146" ht="15" customHeight="1"/>
    <row r="147" ht="15" customHeight="1"/>
    <row r="148" ht="15" customHeight="1"/>
    <row r="149" ht="15" customHeight="1"/>
    <row r="150" ht="15" customHeight="1"/>
    <row r="151" ht="15" customHeight="1"/>
    <row r="152" ht="15" customHeight="1"/>
    <row r="153" ht="15" customHeight="1"/>
    <row r="154" ht="15" customHeight="1"/>
    <row r="155" ht="15" customHeight="1"/>
    <row r="156" ht="15" customHeight="1"/>
    <row r="157" ht="15" customHeight="1"/>
    <row r="158" ht="15" customHeight="1"/>
    <row r="159" ht="15" customHeight="1"/>
    <row r="160" ht="15" customHeight="1"/>
    <row r="161" ht="15" customHeight="1"/>
    <row r="162" ht="15" customHeight="1"/>
    <row r="163" ht="15" customHeight="1"/>
    <row r="164" ht="15" customHeight="1"/>
    <row r="165" ht="15" customHeight="1"/>
    <row r="166" ht="15" customHeight="1"/>
    <row r="167" ht="15" customHeight="1"/>
    <row r="168" ht="15" customHeight="1"/>
    <row r="169" ht="15" customHeight="1"/>
    <row r="170" ht="15" customHeight="1"/>
    <row r="171" ht="15" customHeight="1"/>
    <row r="172" ht="15" customHeight="1"/>
    <row r="173" ht="15" customHeight="1"/>
    <row r="174" ht="15" customHeight="1"/>
    <row r="175" ht="15" customHeight="1"/>
    <row r="176" ht="15" customHeight="1"/>
    <row r="177" ht="15" customHeight="1"/>
    <row r="178" ht="15" customHeight="1"/>
    <row r="179" ht="15" customHeight="1"/>
    <row r="180" ht="15" customHeight="1"/>
    <row r="181" ht="15" customHeight="1"/>
    <row r="182" ht="15" customHeight="1"/>
    <row r="183" ht="15" customHeight="1"/>
    <row r="184" ht="15" customHeight="1"/>
    <row r="185" ht="15" customHeight="1"/>
    <row r="186" ht="15" customHeight="1"/>
    <row r="187" ht="15" customHeight="1"/>
    <row r="188" ht="15" customHeight="1"/>
    <row r="189" ht="15" customHeight="1"/>
    <row r="190" ht="15" customHeight="1"/>
    <row r="191" ht="15" customHeight="1"/>
    <row r="192" ht="15" customHeight="1"/>
    <row r="193" ht="15" customHeight="1"/>
    <row r="194" ht="15" customHeight="1"/>
    <row r="195" ht="15" customHeight="1"/>
    <row r="196" ht="15" customHeight="1"/>
    <row r="197" ht="15" customHeight="1"/>
    <row r="198" ht="15" customHeight="1"/>
    <row r="199" ht="15" customHeight="1"/>
    <row r="200" ht="15" customHeight="1"/>
    <row r="201" ht="15" customHeight="1"/>
    <row r="202" ht="15" customHeight="1"/>
    <row r="203" ht="15" customHeight="1"/>
    <row r="204" ht="15" customHeight="1"/>
    <row r="205" ht="15" customHeight="1"/>
    <row r="206" ht="15" customHeight="1"/>
    <row r="207" ht="15" customHeight="1"/>
    <row r="208" ht="15" customHeight="1"/>
  </sheetData>
  <mergeCells count="55">
    <mergeCell ref="A103:B103"/>
    <mergeCell ref="A104:B104"/>
    <mergeCell ref="A93:B93"/>
    <mergeCell ref="A94:B94"/>
    <mergeCell ref="A95:B95"/>
    <mergeCell ref="A98:B98"/>
    <mergeCell ref="A99:B99"/>
    <mergeCell ref="B18:C18"/>
    <mergeCell ref="B19:C19"/>
    <mergeCell ref="B20:C20"/>
    <mergeCell ref="A100:B100"/>
    <mergeCell ref="A101:B101"/>
    <mergeCell ref="A97:C97"/>
    <mergeCell ref="A79:B79"/>
    <mergeCell ref="A80:B80"/>
    <mergeCell ref="A85:B85"/>
    <mergeCell ref="A86:B86"/>
    <mergeCell ref="A87:B87"/>
    <mergeCell ref="A90:B90"/>
    <mergeCell ref="A92:B92"/>
    <mergeCell ref="A76:B76"/>
    <mergeCell ref="A77:B77"/>
    <mergeCell ref="A78:B78"/>
    <mergeCell ref="C5:F5"/>
    <mergeCell ref="I5:J5"/>
    <mergeCell ref="A1:F2"/>
    <mergeCell ref="I2:J2"/>
    <mergeCell ref="I3:J3"/>
    <mergeCell ref="A4:F4"/>
    <mergeCell ref="I4:J4"/>
    <mergeCell ref="A15:E16"/>
    <mergeCell ref="G15:H15"/>
    <mergeCell ref="I15:I16"/>
    <mergeCell ref="J15:J16"/>
    <mergeCell ref="C6:F6"/>
    <mergeCell ref="C7:F7"/>
    <mergeCell ref="I7:J7"/>
    <mergeCell ref="C8:F8"/>
    <mergeCell ref="I8:J8"/>
    <mergeCell ref="C9:F9"/>
    <mergeCell ref="I9:J9"/>
    <mergeCell ref="C10:F10"/>
    <mergeCell ref="I10:J10"/>
    <mergeCell ref="C11:F11"/>
    <mergeCell ref="I11:J11"/>
    <mergeCell ref="H13:I13"/>
    <mergeCell ref="A91:B91"/>
    <mergeCell ref="A89:C89"/>
    <mergeCell ref="F89:G89"/>
    <mergeCell ref="G25:H25"/>
    <mergeCell ref="I25:J25"/>
    <mergeCell ref="D85:E85"/>
    <mergeCell ref="D86:E86"/>
    <mergeCell ref="D87:E87"/>
    <mergeCell ref="F83:I83"/>
  </mergeCells>
  <conditionalFormatting sqref="I18">
    <cfRule type="cellIs" dxfId="8" priority="1" operator="equal">
      <formula>"Heures réelles"</formula>
    </cfRule>
  </conditionalFormatting>
  <dataValidations count="6">
    <dataValidation type="list" allowBlank="1" showInputMessage="1" showErrorMessage="1" sqref="B19:B20">
      <formula1>INDIRECT(A19)</formula1>
    </dataValidation>
    <dataValidation type="list" allowBlank="1" showInputMessage="1" showErrorMessage="1" sqref="B18">
      <formula1>absences</formula1>
    </dataValidation>
    <dataValidation type="list" allowBlank="1" showInputMessage="1" showErrorMessage="1" sqref="A69:B69">
      <formula1>liste_Fillon</formula1>
    </dataValidation>
    <dataValidation type="list" allowBlank="1" showInputMessage="1" showErrorMessage="1" sqref="A19:A20">
      <formula1>HS.HC</formula1>
    </dataValidation>
    <dataValidation type="list" allowBlank="1" showInputMessage="1" showErrorMessage="1" sqref="A32:B32">
      <formula1>Liste_AF</formula1>
    </dataValidation>
    <dataValidation type="list" allowBlank="1" showInputMessage="1" showErrorMessage="1" sqref="I5:J5">
      <formula1>INDIRECT($H$5)</formula1>
    </dataValidation>
  </dataValidations>
  <pageMargins left="0.19685039370078741" right="0.19685039370078741" top="0.39370078740157483" bottom="0.19685039370078741" header="0.19685039370078741" footer="0.19685039370078741"/>
  <pageSetup paperSize="9" orientation="portrait" r:id="rId1"/>
  <headerFooter differentFirst="1">
    <oddHeader>&amp;LEmmanuel ESNAULT</oddHeader>
    <firstHeader>&amp;LEmmanuel ESNAULT</firstHeader>
    <firstFooter>&amp;C&amp;7DANS VOTRE INTERET ET POUR FAIRE VALOIR VOS DROITS, NOUS VOUS CONSEILLONS DE CONSERVER CE BULLETIN SANS LIMITATION DE DUREE</firstFooter>
  </headerFooter>
  <rowBreaks count="1" manualBreakCount="1">
    <brk id="87" max="16383" man="1"/>
  </rowBreaks>
  <ignoredErrors>
    <ignoredError sqref="F64:F65 F33" formula="1"/>
  </ignoredErrors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0"/>
  <dimension ref="A1:D37"/>
  <sheetViews>
    <sheetView topLeftCell="A22" workbookViewId="0">
      <selection activeCell="A35" sqref="A35:A37"/>
    </sheetView>
  </sheetViews>
  <sheetFormatPr baseColWidth="10" defaultRowHeight="15"/>
  <cols>
    <col min="1" max="1" width="34" bestFit="1" customWidth="1"/>
  </cols>
  <sheetData>
    <row r="1" spans="1:4">
      <c r="A1" s="58" t="s">
        <v>6</v>
      </c>
    </row>
    <row r="2" spans="1:4">
      <c r="A2" s="38" t="s">
        <v>209</v>
      </c>
    </row>
    <row r="3" spans="1:4">
      <c r="A3" s="38" t="s">
        <v>7</v>
      </c>
    </row>
    <row r="4" spans="1:4">
      <c r="A4" s="38" t="s">
        <v>8</v>
      </c>
    </row>
    <row r="6" spans="1:4">
      <c r="A6" s="1038" t="s">
        <v>9</v>
      </c>
      <c r="B6" s="1039"/>
      <c r="C6" s="1040"/>
    </row>
    <row r="7" spans="1:4">
      <c r="A7" s="38" t="s">
        <v>10</v>
      </c>
      <c r="B7" s="488">
        <v>1.1000000000000001</v>
      </c>
      <c r="C7" s="81">
        <v>1.25</v>
      </c>
      <c r="D7" s="81">
        <v>1.5</v>
      </c>
    </row>
    <row r="8" spans="1:4">
      <c r="A8" s="38" t="s">
        <v>13</v>
      </c>
      <c r="B8" s="81">
        <v>1.1000000000000001</v>
      </c>
      <c r="C8" s="81">
        <v>1.25</v>
      </c>
    </row>
    <row r="9" spans="1:4">
      <c r="A9" s="38" t="s">
        <v>11</v>
      </c>
    </row>
    <row r="10" spans="1:4">
      <c r="A10" s="38" t="s">
        <v>12</v>
      </c>
    </row>
    <row r="12" spans="1:4">
      <c r="A12" s="58" t="s">
        <v>272</v>
      </c>
    </row>
    <row r="13" spans="1:4">
      <c r="A13" s="38" t="s">
        <v>41</v>
      </c>
    </row>
    <row r="14" spans="1:4">
      <c r="A14" s="38" t="s">
        <v>271</v>
      </c>
    </row>
    <row r="16" spans="1:4">
      <c r="A16" s="58" t="s">
        <v>273</v>
      </c>
    </row>
    <row r="17" spans="1:1">
      <c r="A17" s="38" t="s">
        <v>274</v>
      </c>
    </row>
    <row r="18" spans="1:1">
      <c r="A18" s="38" t="s">
        <v>263</v>
      </c>
    </row>
    <row r="20" spans="1:1">
      <c r="A20" s="58" t="s">
        <v>283</v>
      </c>
    </row>
    <row r="21" spans="1:1">
      <c r="A21" s="38" t="s">
        <v>285</v>
      </c>
    </row>
    <row r="22" spans="1:1">
      <c r="A22" s="38" t="s">
        <v>284</v>
      </c>
    </row>
    <row r="24" spans="1:1">
      <c r="A24" s="58" t="s">
        <v>299</v>
      </c>
    </row>
    <row r="25" spans="1:1">
      <c r="A25" s="320">
        <v>0</v>
      </c>
    </row>
    <row r="26" spans="1:1">
      <c r="A26" s="38">
        <v>1</v>
      </c>
    </row>
    <row r="27" spans="1:1">
      <c r="A27" s="38">
        <v>2</v>
      </c>
    </row>
    <row r="28" spans="1:1">
      <c r="A28" s="38">
        <v>3</v>
      </c>
    </row>
    <row r="29" spans="1:1">
      <c r="A29" s="38">
        <v>4</v>
      </c>
    </row>
    <row r="30" spans="1:1">
      <c r="A30" s="38">
        <v>5</v>
      </c>
    </row>
    <row r="31" spans="1:1">
      <c r="A31" s="38">
        <v>6</v>
      </c>
    </row>
    <row r="32" spans="1:1">
      <c r="A32" s="38">
        <v>7</v>
      </c>
    </row>
    <row r="34" spans="1:1">
      <c r="A34" s="58" t="s">
        <v>746</v>
      </c>
    </row>
    <row r="35" spans="1:1">
      <c r="A35" s="38" t="s">
        <v>87</v>
      </c>
    </row>
    <row r="36" spans="1:1">
      <c r="A36" s="38" t="s">
        <v>237</v>
      </c>
    </row>
    <row r="37" spans="1:1">
      <c r="A37" s="38" t="s">
        <v>238</v>
      </c>
    </row>
  </sheetData>
  <mergeCells count="1">
    <mergeCell ref="A6:C6"/>
  </mergeCells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&amp;LEmmanuel ESNAULT&amp;R&amp;D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1">
    <tabColor theme="9" tint="-0.249977111117893"/>
  </sheetPr>
  <dimension ref="A1:L200"/>
  <sheetViews>
    <sheetView showZeros="0" topLeftCell="A7" zoomScale="130" zoomScaleNormal="130" workbookViewId="0">
      <selection activeCell="I5" sqref="I5:J5"/>
    </sheetView>
  </sheetViews>
  <sheetFormatPr baseColWidth="10" defaultRowHeight="10.5" customHeight="1"/>
  <cols>
    <col min="1" max="1" width="7.42578125" style="8" customWidth="1"/>
    <col min="2" max="2" width="4" style="8" customWidth="1"/>
    <col min="3" max="4" width="12.5703125" style="8" customWidth="1"/>
    <col min="5" max="5" width="0.85546875" style="8" customWidth="1"/>
    <col min="6" max="10" width="12.5703125" style="8" customWidth="1"/>
    <col min="11" max="11" width="1.7109375" style="8" customWidth="1"/>
    <col min="12" max="16384" width="11.42578125" style="8"/>
  </cols>
  <sheetData>
    <row r="1" spans="1:12" ht="10.5" customHeight="1">
      <c r="A1" s="996" t="s">
        <v>60</v>
      </c>
      <c r="B1" s="997"/>
      <c r="C1" s="997"/>
      <c r="D1" s="997"/>
      <c r="E1" s="997"/>
      <c r="F1" s="998"/>
      <c r="G1" s="1"/>
      <c r="H1" s="22"/>
      <c r="I1" s="945" t="s">
        <v>62</v>
      </c>
      <c r="J1" s="23"/>
    </row>
    <row r="2" spans="1:12" ht="10.5" customHeight="1" thickBot="1">
      <c r="A2" s="999"/>
      <c r="B2" s="1000"/>
      <c r="C2" s="1000"/>
      <c r="D2" s="1000"/>
      <c r="E2" s="1000"/>
      <c r="F2" s="1001"/>
      <c r="G2" s="1"/>
      <c r="H2" s="24" t="s">
        <v>63</v>
      </c>
      <c r="I2" s="1036"/>
      <c r="J2" s="1037"/>
    </row>
    <row r="3" spans="1:12" ht="10.5" customHeight="1" thickBot="1">
      <c r="A3" s="2"/>
      <c r="B3" s="2"/>
      <c r="C3" s="2"/>
      <c r="D3" s="2"/>
      <c r="E3" s="2"/>
      <c r="F3" s="2"/>
      <c r="G3" s="1"/>
      <c r="H3" s="3" t="s">
        <v>64</v>
      </c>
      <c r="I3" s="987"/>
      <c r="J3" s="1033"/>
    </row>
    <row r="4" spans="1:12" ht="10.5" customHeight="1">
      <c r="A4" s="1006" t="s">
        <v>61</v>
      </c>
      <c r="B4" s="1007"/>
      <c r="C4" s="1007"/>
      <c r="D4" s="1007"/>
      <c r="E4" s="1007"/>
      <c r="F4" s="1008"/>
      <c r="G4" s="1"/>
      <c r="H4" s="3" t="s">
        <v>65</v>
      </c>
      <c r="I4" s="987"/>
      <c r="J4" s="1033"/>
    </row>
    <row r="5" spans="1:12" ht="10.5" customHeight="1">
      <c r="A5" s="3" t="s">
        <v>88</v>
      </c>
      <c r="B5" s="944"/>
      <c r="C5" s="1020">
        <f>Société!B3</f>
        <v>0</v>
      </c>
      <c r="D5" s="1020"/>
      <c r="E5" s="1020"/>
      <c r="F5" s="1021"/>
      <c r="G5" s="1"/>
      <c r="H5" s="3" t="s">
        <v>746</v>
      </c>
      <c r="I5" s="987" t="s">
        <v>237</v>
      </c>
      <c r="J5" s="1033"/>
    </row>
    <row r="6" spans="1:12" ht="10.5" customHeight="1">
      <c r="A6" s="3" t="s">
        <v>69</v>
      </c>
      <c r="B6" s="944"/>
      <c r="C6" s="983">
        <f>Société!B4</f>
        <v>0</v>
      </c>
      <c r="D6" s="983"/>
      <c r="E6" s="983"/>
      <c r="F6" s="984"/>
      <c r="G6" s="1"/>
      <c r="H6" s="3" t="s">
        <v>71</v>
      </c>
      <c r="I6" s="944" t="s">
        <v>72</v>
      </c>
      <c r="J6" s="949" t="s">
        <v>73</v>
      </c>
    </row>
    <row r="7" spans="1:12" ht="10.5" customHeight="1">
      <c r="A7" s="3"/>
      <c r="B7" s="944"/>
      <c r="C7" s="983">
        <f>Société!B5</f>
        <v>0</v>
      </c>
      <c r="D7" s="983"/>
      <c r="E7" s="983"/>
      <c r="F7" s="984"/>
      <c r="G7" s="1"/>
      <c r="H7" s="3" t="s">
        <v>67</v>
      </c>
      <c r="I7" s="987"/>
      <c r="J7" s="1033"/>
    </row>
    <row r="8" spans="1:12" ht="10.5" customHeight="1">
      <c r="A8" s="3" t="s">
        <v>74</v>
      </c>
      <c r="B8" s="944"/>
      <c r="C8" s="983">
        <f>Société!B6</f>
        <v>0</v>
      </c>
      <c r="D8" s="983"/>
      <c r="E8" s="983"/>
      <c r="F8" s="984"/>
      <c r="G8" s="1"/>
      <c r="H8" s="3" t="s">
        <v>68</v>
      </c>
      <c r="I8" s="1022"/>
      <c r="J8" s="1023"/>
    </row>
    <row r="9" spans="1:12" ht="10.5" customHeight="1">
      <c r="A9" s="3" t="s">
        <v>75</v>
      </c>
      <c r="B9" s="944"/>
      <c r="C9" s="983">
        <f>Société!B7</f>
        <v>0</v>
      </c>
      <c r="D9" s="983"/>
      <c r="E9" s="983"/>
      <c r="F9" s="984"/>
      <c r="G9" s="1"/>
      <c r="H9" s="3" t="s">
        <v>69</v>
      </c>
      <c r="I9" s="987"/>
      <c r="J9" s="1033"/>
    </row>
    <row r="10" spans="1:12" ht="10.5" customHeight="1">
      <c r="A10" s="3" t="s">
        <v>76</v>
      </c>
      <c r="B10" s="944"/>
      <c r="C10" s="983">
        <f>Société!B8</f>
        <v>0</v>
      </c>
      <c r="D10" s="983"/>
      <c r="E10" s="983"/>
      <c r="F10" s="984"/>
      <c r="G10" s="1"/>
      <c r="H10" s="3"/>
      <c r="I10" s="987"/>
      <c r="J10" s="1033"/>
    </row>
    <row r="11" spans="1:12" ht="10.5" customHeight="1" thickBot="1">
      <c r="A11" s="4" t="s">
        <v>77</v>
      </c>
      <c r="B11" s="950"/>
      <c r="C11" s="985">
        <f>Société!B9</f>
        <v>0</v>
      </c>
      <c r="D11" s="985"/>
      <c r="E11" s="985"/>
      <c r="F11" s="986"/>
      <c r="G11" s="1"/>
      <c r="H11" s="4" t="s">
        <v>70</v>
      </c>
      <c r="I11" s="1034"/>
      <c r="J11" s="1035"/>
    </row>
    <row r="12" spans="1:12" ht="10.5" customHeight="1" thickBot="1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2" ht="10.5" customHeight="1" thickBot="1">
      <c r="A13" s="94" t="s">
        <v>79</v>
      </c>
      <c r="B13" s="96"/>
      <c r="C13" s="95">
        <f>Société!B19</f>
        <v>0</v>
      </c>
      <c r="D13" s="948" t="s">
        <v>80</v>
      </c>
      <c r="E13" s="96"/>
      <c r="F13" s="97">
        <f>IF(C13=0,0,EOMONTH(C13,0))</f>
        <v>0</v>
      </c>
      <c r="G13" s="1"/>
      <c r="H13" s="1016" t="s">
        <v>221</v>
      </c>
      <c r="I13" s="1017"/>
      <c r="J13" s="99">
        <f>3269*F17/151.67</f>
        <v>3269</v>
      </c>
      <c r="L13" s="933" t="s">
        <v>743</v>
      </c>
    </row>
    <row r="14" spans="1:12" ht="10.5" customHeight="1" thickBot="1">
      <c r="A14" s="1"/>
      <c r="B14" s="1"/>
      <c r="C14" s="1"/>
      <c r="D14" s="1"/>
      <c r="E14" s="1"/>
      <c r="F14" s="1"/>
      <c r="G14" s="1"/>
      <c r="H14" s="1"/>
      <c r="I14" s="1"/>
      <c r="J14" s="1"/>
      <c r="L14" s="1" t="s">
        <v>723</v>
      </c>
    </row>
    <row r="15" spans="1:12" ht="10.5" customHeight="1">
      <c r="A15" s="1002" t="s">
        <v>0</v>
      </c>
      <c r="B15" s="1003"/>
      <c r="C15" s="1003"/>
      <c r="D15" s="1003"/>
      <c r="E15" s="1003"/>
      <c r="F15" s="946" t="s">
        <v>50</v>
      </c>
      <c r="G15" s="1011"/>
      <c r="H15" s="1011"/>
      <c r="I15" s="1012" t="s">
        <v>1</v>
      </c>
      <c r="J15" s="1014" t="s">
        <v>3</v>
      </c>
      <c r="K15" s="951"/>
      <c r="L15" s="1" t="s">
        <v>724</v>
      </c>
    </row>
    <row r="16" spans="1:12" ht="10.5" customHeight="1">
      <c r="A16" s="1004"/>
      <c r="B16" s="1005"/>
      <c r="C16" s="1005"/>
      <c r="D16" s="1005"/>
      <c r="E16" s="1005"/>
      <c r="F16" s="947" t="s">
        <v>51</v>
      </c>
      <c r="G16" s="447"/>
      <c r="H16" s="448"/>
      <c r="I16" s="1013"/>
      <c r="J16" s="1015"/>
      <c r="K16" s="951"/>
    </row>
    <row r="17" spans="1:12" ht="10.5" customHeight="1">
      <c r="A17" s="3" t="s">
        <v>5</v>
      </c>
      <c r="B17" s="944"/>
      <c r="C17" s="944"/>
      <c r="D17" s="944"/>
      <c r="E17" s="944"/>
      <c r="F17" s="9">
        <v>151.66999999999999</v>
      </c>
      <c r="G17" s="449"/>
      <c r="H17" s="449"/>
      <c r="I17" s="9">
        <f>J17/F17</f>
        <v>0</v>
      </c>
      <c r="J17" s="87"/>
      <c r="K17" s="951"/>
      <c r="L17" s="915" t="s">
        <v>725</v>
      </c>
    </row>
    <row r="18" spans="1:12" ht="10.5" customHeight="1">
      <c r="A18" s="3" t="str">
        <f>IF(B18=0,"","Absences")</f>
        <v>Absences</v>
      </c>
      <c r="B18" s="987" t="s">
        <v>7</v>
      </c>
      <c r="C18" s="987"/>
      <c r="D18" s="944"/>
      <c r="E18" s="944"/>
      <c r="F18" s="9"/>
      <c r="G18" s="449"/>
      <c r="H18" s="449"/>
      <c r="I18" s="100">
        <f>IF(B18="en heures réelles",IF(H82=0,"Heures réelles",J17/H82),IF(B18="au 30ème",J17/30,J17/26))</f>
        <v>0</v>
      </c>
      <c r="J18" s="87">
        <f>IF(I18="Heures réelles",0,-F18*I18)</f>
        <v>0</v>
      </c>
      <c r="K18" s="951"/>
      <c r="L18" s="821"/>
    </row>
    <row r="19" spans="1:12" ht="10.5" customHeight="1">
      <c r="A19" s="3" t="s">
        <v>10</v>
      </c>
      <c r="B19" s="1026">
        <v>1.25</v>
      </c>
      <c r="C19" s="1026"/>
      <c r="D19" s="944"/>
      <c r="E19" s="944"/>
      <c r="F19" s="9"/>
      <c r="G19" s="449"/>
      <c r="H19" s="449"/>
      <c r="I19" s="9">
        <f>IF(B19=0,$I$17,$I$17*B19)</f>
        <v>0</v>
      </c>
      <c r="J19" s="87">
        <f>F19*I19</f>
        <v>0</v>
      </c>
      <c r="K19" s="951"/>
      <c r="L19" s="789" t="s">
        <v>640</v>
      </c>
    </row>
    <row r="20" spans="1:12" ht="10.5" customHeight="1">
      <c r="A20" s="3" t="s">
        <v>10</v>
      </c>
      <c r="B20" s="1026">
        <v>1.5</v>
      </c>
      <c r="C20" s="1026"/>
      <c r="D20" s="944"/>
      <c r="E20" s="944"/>
      <c r="F20" s="9"/>
      <c r="G20" s="449"/>
      <c r="H20" s="449"/>
      <c r="I20" s="9">
        <f>IF(B20=0,$I$17,$I$17*B20)</f>
        <v>0</v>
      </c>
      <c r="J20" s="87">
        <f>F20*I20</f>
        <v>0</v>
      </c>
      <c r="K20" s="951"/>
    </row>
    <row r="21" spans="1:12" ht="10.5" customHeight="1">
      <c r="A21" s="3" t="s">
        <v>14</v>
      </c>
      <c r="B21" s="944"/>
      <c r="C21" s="944"/>
      <c r="D21" s="944"/>
      <c r="E21" s="944"/>
      <c r="F21" s="9"/>
      <c r="G21" s="449"/>
      <c r="H21" s="449"/>
      <c r="I21" s="5"/>
      <c r="J21" s="87"/>
      <c r="K21" s="951"/>
      <c r="L21" s="789"/>
    </row>
    <row r="22" spans="1:12" ht="10.5" customHeight="1">
      <c r="A22" s="3" t="s">
        <v>15</v>
      </c>
      <c r="B22" s="944"/>
      <c r="C22" s="944"/>
      <c r="D22" s="944"/>
      <c r="E22" s="944"/>
      <c r="F22" s="9"/>
      <c r="G22" s="449"/>
      <c r="H22" s="449"/>
      <c r="I22" s="5"/>
      <c r="J22" s="87"/>
      <c r="K22" s="951"/>
      <c r="L22" s="790"/>
    </row>
    <row r="23" spans="1:12" ht="10.5" customHeight="1" thickBot="1">
      <c r="A23" s="3" t="s">
        <v>16</v>
      </c>
      <c r="B23" s="944"/>
      <c r="C23" s="944"/>
      <c r="D23" s="944"/>
      <c r="E23" s="944"/>
      <c r="F23" s="9"/>
      <c r="G23" s="449"/>
      <c r="H23" s="449"/>
      <c r="I23" s="5"/>
      <c r="J23" s="87"/>
      <c r="K23" s="951"/>
    </row>
    <row r="24" spans="1:12" ht="10.5" customHeight="1" thickBot="1">
      <c r="A24" s="10" t="s">
        <v>17</v>
      </c>
      <c r="B24" s="403"/>
      <c r="C24" s="951"/>
      <c r="D24" s="951"/>
      <c r="E24" s="951"/>
      <c r="F24" s="34"/>
      <c r="G24" s="450"/>
      <c r="H24" s="450"/>
      <c r="I24" s="484"/>
      <c r="J24" s="32">
        <f>SUM(J17:J23)</f>
        <v>0</v>
      </c>
      <c r="K24" s="951"/>
    </row>
    <row r="25" spans="1:12" ht="10.5" customHeight="1">
      <c r="A25" s="13"/>
      <c r="B25" s="951"/>
      <c r="C25" s="951"/>
      <c r="D25" s="951"/>
      <c r="E25" s="951"/>
      <c r="F25" s="34"/>
      <c r="G25" s="1009" t="s">
        <v>2</v>
      </c>
      <c r="H25" s="1009"/>
      <c r="I25" s="1009" t="s">
        <v>4</v>
      </c>
      <c r="J25" s="1010"/>
      <c r="K25" s="951"/>
    </row>
    <row r="26" spans="1:12" ht="10.5" customHeight="1">
      <c r="A26" s="13"/>
      <c r="B26" s="951"/>
      <c r="C26" s="951"/>
      <c r="D26" s="951"/>
      <c r="E26" s="951"/>
      <c r="F26" s="34"/>
      <c r="G26" s="6" t="s">
        <v>1</v>
      </c>
      <c r="H26" s="6" t="s">
        <v>3</v>
      </c>
      <c r="I26" s="6" t="s">
        <v>1</v>
      </c>
      <c r="J26" s="7" t="s">
        <v>3</v>
      </c>
      <c r="K26" s="951"/>
    </row>
    <row r="27" spans="1:12" ht="12" customHeight="1">
      <c r="A27" s="14" t="s">
        <v>18</v>
      </c>
      <c r="B27" s="404"/>
      <c r="C27" s="951"/>
      <c r="D27" s="951"/>
      <c r="E27" s="951"/>
      <c r="F27" s="34"/>
      <c r="G27" s="46"/>
      <c r="H27" s="33"/>
      <c r="I27" s="61"/>
      <c r="J27" s="30"/>
      <c r="K27" s="951"/>
    </row>
    <row r="28" spans="1:12" ht="10.5" customHeight="1">
      <c r="A28" s="3" t="s">
        <v>98</v>
      </c>
      <c r="B28" s="944"/>
      <c r="C28" s="951"/>
      <c r="D28" s="951"/>
      <c r="E28" s="951"/>
      <c r="F28" s="34">
        <f>C_CSGRDS</f>
        <v>0</v>
      </c>
      <c r="G28" s="46"/>
      <c r="H28" s="34">
        <f t="shared" ref="H28:H62" si="0">ROUNDUP(F28*G28,2)</f>
        <v>0</v>
      </c>
      <c r="I28" s="60">
        <f>Cotisations!C5</f>
        <v>5.0999999999999997E-2</v>
      </c>
      <c r="J28" s="30">
        <f t="shared" ref="J28:J63" si="1">ROUNDUP(F28*I28,2)</f>
        <v>0</v>
      </c>
      <c r="K28" s="951"/>
    </row>
    <row r="29" spans="1:12" ht="10.5" customHeight="1">
      <c r="A29" s="3" t="s">
        <v>19</v>
      </c>
      <c r="B29" s="944"/>
      <c r="C29" s="951"/>
      <c r="D29" s="951"/>
      <c r="E29" s="951"/>
      <c r="F29" s="34">
        <f t="shared" ref="F29:F34" si="2">C_Brut</f>
        <v>0</v>
      </c>
      <c r="G29" s="46">
        <f>Cotisations!B8</f>
        <v>0.12889999999999999</v>
      </c>
      <c r="H29" s="34">
        <f t="shared" si="0"/>
        <v>0</v>
      </c>
      <c r="I29" s="60">
        <f>Cotisations!C8</f>
        <v>7.4999999999999997E-3</v>
      </c>
      <c r="J29" s="30">
        <f t="shared" si="1"/>
        <v>0</v>
      </c>
      <c r="K29" s="951"/>
      <c r="L29" s="492"/>
    </row>
    <row r="30" spans="1:12" ht="10.5" customHeight="1">
      <c r="A30" s="3" t="s">
        <v>20</v>
      </c>
      <c r="B30" s="944"/>
      <c r="C30" s="951"/>
      <c r="D30" s="951"/>
      <c r="E30" s="951"/>
      <c r="F30" s="34">
        <f t="shared" si="2"/>
        <v>0</v>
      </c>
      <c r="G30" s="46">
        <f>Cotisations!B9</f>
        <v>3.0000000000000001E-3</v>
      </c>
      <c r="H30" s="34">
        <f t="shared" si="0"/>
        <v>0</v>
      </c>
      <c r="I30" s="60"/>
      <c r="J30" s="30">
        <f t="shared" si="1"/>
        <v>0</v>
      </c>
      <c r="K30" s="951"/>
    </row>
    <row r="31" spans="1:12" ht="10.5" customHeight="1">
      <c r="A31" s="3" t="s">
        <v>21</v>
      </c>
      <c r="B31" s="944"/>
      <c r="C31" s="951"/>
      <c r="D31" s="951"/>
      <c r="E31" s="951"/>
      <c r="F31" s="34">
        <f t="shared" si="2"/>
        <v>0</v>
      </c>
      <c r="G31" s="46">
        <f>Société!B16</f>
        <v>0</v>
      </c>
      <c r="H31" s="34">
        <f t="shared" si="0"/>
        <v>0</v>
      </c>
      <c r="I31" s="60"/>
      <c r="J31" s="30">
        <f t="shared" si="1"/>
        <v>0</v>
      </c>
      <c r="K31" s="951"/>
    </row>
    <row r="32" spans="1:12" ht="10.5" customHeight="1">
      <c r="A32" s="3" t="s">
        <v>22</v>
      </c>
      <c r="B32" s="944"/>
      <c r="C32" s="951"/>
      <c r="D32" s="951"/>
      <c r="E32" s="951"/>
      <c r="F32" s="34">
        <f t="shared" si="2"/>
        <v>0</v>
      </c>
      <c r="G32" s="46">
        <f>Cotisations!B10+IF(C_Brut&lt;3.5*SMIC_proratisé,0,Cotisations!B11)</f>
        <v>3.4500000000000003E-2</v>
      </c>
      <c r="H32" s="34">
        <f t="shared" si="0"/>
        <v>0</v>
      </c>
      <c r="I32" s="60"/>
      <c r="J32" s="30">
        <f t="shared" si="1"/>
        <v>0</v>
      </c>
      <c r="K32" s="951"/>
    </row>
    <row r="33" spans="1:12" ht="10.5" customHeight="1">
      <c r="A33" s="3" t="s">
        <v>23</v>
      </c>
      <c r="B33" s="944"/>
      <c r="C33" s="951"/>
      <c r="D33" s="951"/>
      <c r="E33" s="951"/>
      <c r="F33" s="45">
        <f t="shared" si="2"/>
        <v>0</v>
      </c>
      <c r="G33" s="46">
        <f>Société!B17</f>
        <v>0</v>
      </c>
      <c r="H33" s="34">
        <f t="shared" si="0"/>
        <v>0</v>
      </c>
      <c r="I33" s="60"/>
      <c r="J33" s="30">
        <f t="shared" si="1"/>
        <v>0</v>
      </c>
      <c r="K33" s="951"/>
      <c r="L33" s="790" t="s">
        <v>727</v>
      </c>
    </row>
    <row r="34" spans="1:12" ht="10.5" customHeight="1">
      <c r="A34" s="3" t="s">
        <v>24</v>
      </c>
      <c r="B34" s="944"/>
      <c r="C34" s="951"/>
      <c r="D34" s="951"/>
      <c r="E34" s="951"/>
      <c r="F34" s="34">
        <f t="shared" si="2"/>
        <v>0</v>
      </c>
      <c r="G34" s="46">
        <f>Cotisations!B12</f>
        <v>1.9E-2</v>
      </c>
      <c r="H34" s="34">
        <f t="shared" si="0"/>
        <v>0</v>
      </c>
      <c r="I34" s="60">
        <f>Cotisations!C12</f>
        <v>4.0000000000000001E-3</v>
      </c>
      <c r="J34" s="30">
        <f t="shared" si="1"/>
        <v>0</v>
      </c>
      <c r="K34" s="951"/>
    </row>
    <row r="35" spans="1:12" ht="10.5" customHeight="1">
      <c r="A35" s="3" t="s">
        <v>25</v>
      </c>
      <c r="B35" s="944"/>
      <c r="C35" s="951"/>
      <c r="D35" s="951"/>
      <c r="E35" s="951"/>
      <c r="F35" s="34">
        <f>MIN(C_Brut,C_Plafond)</f>
        <v>0</v>
      </c>
      <c r="G35" s="46">
        <f>Cotisations!B13</f>
        <v>8.5500000000000007E-2</v>
      </c>
      <c r="H35" s="34">
        <f t="shared" si="0"/>
        <v>0</v>
      </c>
      <c r="I35" s="60">
        <f>Cotisations!C13</f>
        <v>6.9000000000000006E-2</v>
      </c>
      <c r="J35" s="30">
        <f t="shared" si="1"/>
        <v>0</v>
      </c>
      <c r="K35" s="951"/>
    </row>
    <row r="36" spans="1:12" ht="10.5" customHeight="1">
      <c r="A36" s="3" t="s">
        <v>714</v>
      </c>
      <c r="B36" s="944"/>
      <c r="C36" s="951"/>
      <c r="D36" s="951"/>
      <c r="E36" s="951"/>
      <c r="F36" s="45">
        <f>IF(effectif&lt;20,C_TA,C_Brut)</f>
        <v>0</v>
      </c>
      <c r="G36" s="46">
        <f>IF(effectif&lt;20,Cotisations!B14,Cotisations!B15)</f>
        <v>1E-3</v>
      </c>
      <c r="H36" s="34">
        <f t="shared" si="0"/>
        <v>0</v>
      </c>
      <c r="I36" s="60"/>
      <c r="J36" s="30">
        <f t="shared" si="1"/>
        <v>0</v>
      </c>
      <c r="K36" s="951"/>
    </row>
    <row r="37" spans="1:12" ht="10.5" customHeight="1">
      <c r="A37" s="3" t="s">
        <v>27</v>
      </c>
      <c r="B37" s="944"/>
      <c r="C37" s="951"/>
      <c r="D37" s="951"/>
      <c r="E37" s="951"/>
      <c r="F37" s="45">
        <f>IF(effectif&lt;11,0,SUM(H56:H61))</f>
        <v>0</v>
      </c>
      <c r="G37" s="46">
        <f>Cotisations!B16</f>
        <v>0.08</v>
      </c>
      <c r="H37" s="34">
        <f t="shared" si="0"/>
        <v>0</v>
      </c>
      <c r="I37" s="60"/>
      <c r="J37" s="30">
        <f t="shared" si="1"/>
        <v>0</v>
      </c>
      <c r="K37" s="951"/>
      <c r="L37" s="818" t="s">
        <v>726</v>
      </c>
    </row>
    <row r="38" spans="1:12" ht="10.5" customHeight="1">
      <c r="A38" s="3" t="s">
        <v>717</v>
      </c>
      <c r="B38" s="944"/>
      <c r="C38" s="951"/>
      <c r="D38" s="951"/>
      <c r="E38" s="951"/>
      <c r="F38" s="45">
        <f>SUM(H53:H55)</f>
        <v>0</v>
      </c>
      <c r="G38" s="46">
        <f>Cotisations!B17</f>
        <v>0.2</v>
      </c>
      <c r="H38" s="34">
        <f t="shared" si="0"/>
        <v>0</v>
      </c>
      <c r="I38" s="60"/>
      <c r="J38" s="30"/>
      <c r="K38" s="951"/>
    </row>
    <row r="39" spans="1:12" ht="10.5" customHeight="1">
      <c r="A39" s="3" t="s">
        <v>28</v>
      </c>
      <c r="B39" s="944"/>
      <c r="C39" s="951"/>
      <c r="D39" s="951"/>
      <c r="E39" s="951"/>
      <c r="F39" s="34">
        <f>C_Brut</f>
        <v>0</v>
      </c>
      <c r="G39" s="46">
        <f>Cotisations!B18</f>
        <v>1.6000000000000001E-4</v>
      </c>
      <c r="H39" s="34">
        <f t="shared" si="0"/>
        <v>0</v>
      </c>
      <c r="I39" s="60"/>
      <c r="J39" s="30">
        <f t="shared" si="1"/>
        <v>0</v>
      </c>
      <c r="K39" s="951"/>
    </row>
    <row r="40" spans="1:12" ht="10.5" customHeight="1">
      <c r="A40" s="3" t="s">
        <v>29</v>
      </c>
      <c r="B40" s="944"/>
      <c r="C40" s="951"/>
      <c r="D40" s="951"/>
      <c r="E40" s="951"/>
      <c r="F40" s="34">
        <f>C_Brut</f>
        <v>0</v>
      </c>
      <c r="G40" s="46">
        <f>Cotisations!B19</f>
        <v>1E-4</v>
      </c>
      <c r="H40" s="34">
        <f t="shared" si="0"/>
        <v>0</v>
      </c>
      <c r="I40" s="60"/>
      <c r="J40" s="30">
        <f t="shared" si="1"/>
        <v>0</v>
      </c>
      <c r="K40" s="951"/>
    </row>
    <row r="41" spans="1:12" ht="12" customHeight="1">
      <c r="A41" s="14" t="s">
        <v>30</v>
      </c>
      <c r="B41" s="404"/>
      <c r="C41" s="951"/>
      <c r="D41" s="951"/>
      <c r="E41" s="951"/>
      <c r="F41" s="34"/>
      <c r="G41" s="46"/>
      <c r="H41" s="34">
        <f t="shared" si="0"/>
        <v>0</v>
      </c>
      <c r="I41" s="60"/>
      <c r="J41" s="30">
        <f t="shared" si="1"/>
        <v>0</v>
      </c>
      <c r="K41" s="951"/>
    </row>
    <row r="42" spans="1:12" ht="10.5" customHeight="1">
      <c r="A42" s="3" t="s">
        <v>31</v>
      </c>
      <c r="B42" s="944"/>
      <c r="C42" s="951"/>
      <c r="D42" s="951"/>
      <c r="E42" s="951"/>
      <c r="F42" s="34">
        <f>C_TA+C_TB</f>
        <v>0</v>
      </c>
      <c r="G42" s="46">
        <f>Cotisations!B22</f>
        <v>4.0500000000000001E-2</v>
      </c>
      <c r="H42" s="34">
        <f t="shared" si="0"/>
        <v>0</v>
      </c>
      <c r="I42" s="60">
        <f>Cotisations!C22</f>
        <v>2.4E-2</v>
      </c>
      <c r="J42" s="30">
        <f t="shared" si="1"/>
        <v>0</v>
      </c>
      <c r="K42" s="951"/>
    </row>
    <row r="43" spans="1:12" ht="10.5" customHeight="1">
      <c r="A43" s="3" t="s">
        <v>32</v>
      </c>
      <c r="B43" s="944"/>
      <c r="C43" s="951"/>
      <c r="D43" s="951"/>
      <c r="E43" s="951"/>
      <c r="F43" s="34">
        <f>C_TA+C_TB</f>
        <v>0</v>
      </c>
      <c r="G43" s="46">
        <f>Cotisations!B23</f>
        <v>1.5E-3</v>
      </c>
      <c r="H43" s="34">
        <f t="shared" si="0"/>
        <v>0</v>
      </c>
      <c r="I43" s="60"/>
      <c r="J43" s="30">
        <f t="shared" si="1"/>
        <v>0</v>
      </c>
      <c r="K43" s="951"/>
    </row>
    <row r="44" spans="1:12" ht="12" customHeight="1">
      <c r="A44" s="14" t="s">
        <v>215</v>
      </c>
      <c r="B44" s="404"/>
      <c r="C44" s="951"/>
      <c r="D44" s="951"/>
      <c r="E44" s="951"/>
      <c r="F44" s="34"/>
      <c r="G44" s="46"/>
      <c r="H44" s="34">
        <f t="shared" si="0"/>
        <v>0</v>
      </c>
      <c r="I44" s="60"/>
      <c r="J44" s="30">
        <f t="shared" si="1"/>
        <v>0</v>
      </c>
      <c r="K44" s="951"/>
    </row>
    <row r="45" spans="1:12" ht="10.5" customHeight="1">
      <c r="A45" s="3" t="s">
        <v>216</v>
      </c>
      <c r="B45" s="944"/>
      <c r="C45" s="951"/>
      <c r="D45" s="951"/>
      <c r="E45" s="951"/>
      <c r="F45" s="34">
        <f>C_TA</f>
        <v>0</v>
      </c>
      <c r="G45" s="46">
        <f>Cotisations!B33</f>
        <v>4.65E-2</v>
      </c>
      <c r="H45" s="34">
        <f t="shared" si="0"/>
        <v>0</v>
      </c>
      <c r="I45" s="60">
        <f>Cotisations!C33</f>
        <v>3.1E-2</v>
      </c>
      <c r="J45" s="30">
        <f t="shared" si="1"/>
        <v>0</v>
      </c>
      <c r="K45" s="951"/>
    </row>
    <row r="46" spans="1:12" ht="10.5" customHeight="1">
      <c r="A46" s="3" t="s">
        <v>227</v>
      </c>
      <c r="B46" s="944"/>
      <c r="C46" s="951"/>
      <c r="D46" s="951"/>
      <c r="E46" s="951"/>
      <c r="F46" s="34">
        <f>C_TB</f>
        <v>0</v>
      </c>
      <c r="G46" s="46">
        <f>Cotisations!B34</f>
        <v>0.1275</v>
      </c>
      <c r="H46" s="34">
        <f t="shared" si="0"/>
        <v>0</v>
      </c>
      <c r="I46" s="60">
        <f>Cotisations!C34</f>
        <v>7.8E-2</v>
      </c>
      <c r="J46" s="30">
        <f t="shared" si="1"/>
        <v>0</v>
      </c>
      <c r="K46" s="951"/>
    </row>
    <row r="47" spans="1:12" ht="10.5" customHeight="1">
      <c r="A47" s="3" t="s">
        <v>228</v>
      </c>
      <c r="B47" s="944"/>
      <c r="C47" s="951"/>
      <c r="D47" s="951"/>
      <c r="E47" s="951"/>
      <c r="F47" s="34">
        <f>C_TC</f>
        <v>0</v>
      </c>
      <c r="G47" s="46">
        <f>Cotisations!B35</f>
        <v>0.1275</v>
      </c>
      <c r="H47" s="34">
        <f t="shared" si="0"/>
        <v>0</v>
      </c>
      <c r="I47" s="60">
        <f>Cotisations!C35</f>
        <v>7.8E-2</v>
      </c>
      <c r="J47" s="30">
        <f t="shared" si="1"/>
        <v>0</v>
      </c>
      <c r="K47" s="951"/>
    </row>
    <row r="48" spans="1:12" ht="10.5" customHeight="1">
      <c r="A48" s="3" t="s">
        <v>217</v>
      </c>
      <c r="B48" s="944"/>
      <c r="C48" s="951"/>
      <c r="D48" s="951"/>
      <c r="E48" s="951"/>
      <c r="F48" s="34">
        <f>C_TA</f>
        <v>0</v>
      </c>
      <c r="G48" s="46">
        <f>Cotisations!B37</f>
        <v>1.2E-2</v>
      </c>
      <c r="H48" s="34">
        <f t="shared" si="0"/>
        <v>0</v>
      </c>
      <c r="I48" s="60">
        <f>Cotisations!C37</f>
        <v>8.0000000000000002E-3</v>
      </c>
      <c r="J48" s="30">
        <f t="shared" si="1"/>
        <v>0</v>
      </c>
      <c r="K48" s="951"/>
    </row>
    <row r="49" spans="1:12" ht="10.5" customHeight="1">
      <c r="A49" s="3" t="s">
        <v>229</v>
      </c>
      <c r="B49" s="944"/>
      <c r="C49" s="951"/>
      <c r="D49" s="951"/>
      <c r="E49" s="951"/>
      <c r="F49" s="34">
        <f>C_TB+C_TC</f>
        <v>0</v>
      </c>
      <c r="G49" s="46">
        <f>Cotisations!B38</f>
        <v>1.2999999999999999E-2</v>
      </c>
      <c r="H49" s="34">
        <f t="shared" si="0"/>
        <v>0</v>
      </c>
      <c r="I49" s="60">
        <f>Cotisations!C38</f>
        <v>8.9999999999999993E-3</v>
      </c>
      <c r="J49" s="30">
        <f t="shared" si="1"/>
        <v>0</v>
      </c>
      <c r="K49" s="951"/>
    </row>
    <row r="50" spans="1:12" ht="10.5" customHeight="1">
      <c r="A50" s="3" t="s">
        <v>108</v>
      </c>
      <c r="B50" s="944"/>
      <c r="C50" s="951"/>
      <c r="D50" s="951"/>
      <c r="E50" s="951"/>
      <c r="F50" s="34">
        <f>C_GMP</f>
        <v>0</v>
      </c>
      <c r="G50" s="46">
        <f>Cotisations!B36</f>
        <v>0.1275</v>
      </c>
      <c r="H50" s="34">
        <f t="shared" si="0"/>
        <v>0</v>
      </c>
      <c r="I50" s="60">
        <f>Cotisations!C36</f>
        <v>7.8E-2</v>
      </c>
      <c r="J50" s="30">
        <f t="shared" si="1"/>
        <v>0</v>
      </c>
      <c r="K50" s="951"/>
    </row>
    <row r="51" spans="1:12" ht="10.5" customHeight="1">
      <c r="A51" s="3" t="s">
        <v>109</v>
      </c>
      <c r="B51" s="944"/>
      <c r="C51" s="951"/>
      <c r="D51" s="951"/>
      <c r="E51" s="951"/>
      <c r="F51" s="34">
        <f>C_TA+C_TB+C_TC</f>
        <v>0</v>
      </c>
      <c r="G51" s="46">
        <f>Cotisations!B39</f>
        <v>2.2000000000000001E-3</v>
      </c>
      <c r="H51" s="34">
        <f t="shared" si="0"/>
        <v>0</v>
      </c>
      <c r="I51" s="60">
        <f>Cotisations!C39</f>
        <v>1.2999999999999999E-3</v>
      </c>
      <c r="J51" s="30">
        <f t="shared" si="1"/>
        <v>0</v>
      </c>
      <c r="K51" s="951"/>
    </row>
    <row r="52" spans="1:12" ht="10.5" customHeight="1">
      <c r="A52" s="3" t="s">
        <v>110</v>
      </c>
      <c r="B52" s="944"/>
      <c r="C52" s="951"/>
      <c r="D52" s="951"/>
      <c r="E52" s="951"/>
      <c r="F52" s="34">
        <f>C_TA+C_TB</f>
        <v>0</v>
      </c>
      <c r="G52" s="46">
        <f>Cotisations!B40</f>
        <v>3.6000000000000002E-4</v>
      </c>
      <c r="H52" s="34">
        <f t="shared" si="0"/>
        <v>0</v>
      </c>
      <c r="I52" s="60">
        <f>Cotisations!C40</f>
        <v>2.4000000000000001E-4</v>
      </c>
      <c r="J52" s="30">
        <f t="shared" si="1"/>
        <v>0</v>
      </c>
      <c r="K52" s="951"/>
      <c r="L52" s="818" t="s">
        <v>735</v>
      </c>
    </row>
    <row r="53" spans="1:12" ht="10.5" customHeight="1">
      <c r="A53" s="3" t="s">
        <v>213</v>
      </c>
      <c r="B53" s="944"/>
      <c r="C53" s="951"/>
      <c r="D53" s="951"/>
      <c r="E53" s="951"/>
      <c r="F53" s="34">
        <f>C_TA</f>
        <v>0</v>
      </c>
      <c r="G53" s="46"/>
      <c r="H53" s="34">
        <f t="shared" si="0"/>
        <v>0</v>
      </c>
      <c r="I53" s="60"/>
      <c r="J53" s="30">
        <f t="shared" si="1"/>
        <v>0</v>
      </c>
      <c r="K53" s="951"/>
    </row>
    <row r="54" spans="1:12" ht="10.5" customHeight="1">
      <c r="A54" s="3" t="s">
        <v>214</v>
      </c>
      <c r="B54" s="944"/>
      <c r="C54" s="951"/>
      <c r="D54" s="951"/>
      <c r="E54" s="951"/>
      <c r="F54" s="34">
        <f>C_TB</f>
        <v>0</v>
      </c>
      <c r="G54" s="46"/>
      <c r="H54" s="34">
        <f t="shared" si="0"/>
        <v>0</v>
      </c>
      <c r="I54" s="60"/>
      <c r="J54" s="30">
        <f t="shared" si="1"/>
        <v>0</v>
      </c>
      <c r="K54" s="951"/>
    </row>
    <row r="55" spans="1:12" ht="10.5" customHeight="1">
      <c r="A55" s="3" t="s">
        <v>218</v>
      </c>
      <c r="B55" s="944"/>
      <c r="C55" s="951"/>
      <c r="D55" s="951"/>
      <c r="E55" s="951"/>
      <c r="F55" s="34">
        <f>C_TC</f>
        <v>0</v>
      </c>
      <c r="G55" s="46"/>
      <c r="H55" s="34">
        <f t="shared" si="0"/>
        <v>0</v>
      </c>
      <c r="I55" s="60"/>
      <c r="J55" s="30">
        <f t="shared" si="1"/>
        <v>0</v>
      </c>
      <c r="K55" s="951"/>
    </row>
    <row r="56" spans="1:12" ht="12" customHeight="1">
      <c r="A56" s="14" t="s">
        <v>36</v>
      </c>
      <c r="B56" s="404"/>
      <c r="C56" s="951"/>
      <c r="D56" s="951"/>
      <c r="E56" s="951"/>
      <c r="F56" s="34"/>
      <c r="G56" s="46"/>
      <c r="H56" s="34">
        <f t="shared" si="0"/>
        <v>0</v>
      </c>
      <c r="I56" s="60"/>
      <c r="J56" s="30">
        <f t="shared" si="1"/>
        <v>0</v>
      </c>
      <c r="K56" s="951"/>
    </row>
    <row r="57" spans="1:12" ht="10.5" customHeight="1">
      <c r="A57" s="3" t="s">
        <v>219</v>
      </c>
      <c r="B57" s="944"/>
      <c r="C57" s="951"/>
      <c r="D57" s="951"/>
      <c r="E57" s="951"/>
      <c r="F57" s="34">
        <f>C_TA</f>
        <v>0</v>
      </c>
      <c r="G57" s="46">
        <f>Cotisations!B41</f>
        <v>1.4999999999999999E-2</v>
      </c>
      <c r="H57" s="34">
        <f>ROUNDUP(F57*G57,2)</f>
        <v>0</v>
      </c>
      <c r="I57" s="60"/>
      <c r="J57" s="30">
        <f>ROUNDUP(F57*I57,2)</f>
        <v>0</v>
      </c>
      <c r="K57" s="951"/>
    </row>
    <row r="58" spans="1:12" ht="10.5" customHeight="1">
      <c r="A58" s="3" t="s">
        <v>37</v>
      </c>
      <c r="B58" s="944"/>
      <c r="C58" s="951"/>
      <c r="D58" s="951"/>
      <c r="E58" s="951"/>
      <c r="F58" s="34">
        <f>C_TA</f>
        <v>0</v>
      </c>
      <c r="G58" s="46"/>
      <c r="H58" s="34">
        <f t="shared" si="0"/>
        <v>0</v>
      </c>
      <c r="I58" s="60"/>
      <c r="J58" s="30">
        <f t="shared" si="1"/>
        <v>0</v>
      </c>
      <c r="K58" s="951"/>
    </row>
    <row r="59" spans="1:12" ht="10.5" customHeight="1">
      <c r="A59" s="3" t="s">
        <v>38</v>
      </c>
      <c r="B59" s="944"/>
      <c r="C59" s="951"/>
      <c r="D59" s="951"/>
      <c r="E59" s="951"/>
      <c r="F59" s="34">
        <f>C_TB</f>
        <v>0</v>
      </c>
      <c r="G59" s="46"/>
      <c r="H59" s="34">
        <f t="shared" si="0"/>
        <v>0</v>
      </c>
      <c r="I59" s="60"/>
      <c r="J59" s="30">
        <f t="shared" si="1"/>
        <v>0</v>
      </c>
      <c r="K59" s="951"/>
    </row>
    <row r="60" spans="1:12" ht="10.5" customHeight="1">
      <c r="A60" s="3" t="s">
        <v>225</v>
      </c>
      <c r="B60" s="944"/>
      <c r="C60" s="951"/>
      <c r="D60" s="951"/>
      <c r="E60" s="951"/>
      <c r="F60" s="34">
        <f>C_TA</f>
        <v>0</v>
      </c>
      <c r="G60" s="46"/>
      <c r="H60" s="34">
        <f t="shared" si="0"/>
        <v>0</v>
      </c>
      <c r="I60" s="60"/>
      <c r="J60" s="30">
        <f t="shared" si="1"/>
        <v>0</v>
      </c>
      <c r="K60" s="951"/>
      <c r="L60" s="1" t="s">
        <v>736</v>
      </c>
    </row>
    <row r="61" spans="1:12" ht="10.5" customHeight="1">
      <c r="A61" s="3" t="s">
        <v>226</v>
      </c>
      <c r="B61" s="944"/>
      <c r="C61" s="951"/>
      <c r="D61" s="951"/>
      <c r="E61" s="951"/>
      <c r="F61" s="34">
        <f>C_TB</f>
        <v>0</v>
      </c>
      <c r="G61" s="46"/>
      <c r="H61" s="34">
        <f t="shared" si="0"/>
        <v>0</v>
      </c>
      <c r="I61" s="60"/>
      <c r="J61" s="30">
        <f t="shared" si="1"/>
        <v>0</v>
      </c>
      <c r="K61" s="951"/>
      <c r="L61" s="1" t="s">
        <v>611</v>
      </c>
    </row>
    <row r="62" spans="1:12" ht="10.5" customHeight="1">
      <c r="A62" s="3"/>
      <c r="B62" s="944"/>
      <c r="C62" s="951"/>
      <c r="D62" s="951"/>
      <c r="E62" s="951"/>
      <c r="F62" s="34"/>
      <c r="G62" s="951"/>
      <c r="H62" s="34">
        <f t="shared" si="0"/>
        <v>0</v>
      </c>
      <c r="I62" s="12"/>
      <c r="J62" s="30">
        <f t="shared" si="1"/>
        <v>0</v>
      </c>
      <c r="K62" s="951"/>
    </row>
    <row r="63" spans="1:12" ht="10.5" customHeight="1">
      <c r="A63" s="3" t="s">
        <v>42</v>
      </c>
      <c r="B63" s="944"/>
      <c r="C63" s="951"/>
      <c r="D63" s="951"/>
      <c r="E63" s="951"/>
      <c r="F63" s="45">
        <f>IF(effectif&lt;20,SUM(F24:F25),0)</f>
        <v>0</v>
      </c>
      <c r="G63" s="494">
        <v>1.5</v>
      </c>
      <c r="H63" s="34">
        <f>-ROUNDUP(F63*G63,2)</f>
        <v>0</v>
      </c>
      <c r="I63" s="12"/>
      <c r="J63" s="30">
        <f t="shared" si="1"/>
        <v>0</v>
      </c>
      <c r="K63" s="951"/>
    </row>
    <row r="64" spans="1:12" ht="10.5" customHeight="1" thickBot="1">
      <c r="A64" s="3" t="s">
        <v>41</v>
      </c>
      <c r="B64" s="944"/>
      <c r="C64" s="951"/>
      <c r="D64" s="951"/>
      <c r="E64" s="951"/>
      <c r="F64" s="86">
        <f>C_Brut</f>
        <v>0</v>
      </c>
      <c r="G64" s="85">
        <f>MAX(0,C95)</f>
        <v>0</v>
      </c>
      <c r="H64" s="34">
        <f>-ROUNDUP(F64*G64,2)</f>
        <v>0</v>
      </c>
      <c r="I64" s="16"/>
      <c r="J64" s="31"/>
      <c r="K64" s="951"/>
    </row>
    <row r="65" spans="1:12" ht="12" customHeight="1" thickBot="1">
      <c r="A65" s="10" t="s">
        <v>78</v>
      </c>
      <c r="B65" s="403"/>
      <c r="C65" s="951"/>
      <c r="D65" s="951"/>
      <c r="E65" s="951"/>
      <c r="F65" s="451"/>
      <c r="G65" s="450"/>
      <c r="H65" s="101">
        <f>SUM(H27:H64)</f>
        <v>0</v>
      </c>
      <c r="I65" s="450"/>
      <c r="J65" s="101">
        <f>SUM(J27:J64)</f>
        <v>0</v>
      </c>
      <c r="K65" s="951"/>
      <c r="L65" s="501"/>
    </row>
    <row r="66" spans="1:12" ht="12" customHeight="1" thickBot="1">
      <c r="A66" s="10" t="s">
        <v>43</v>
      </c>
      <c r="B66" s="403"/>
      <c r="F66" s="459"/>
      <c r="G66" s="450"/>
      <c r="H66" s="450"/>
      <c r="I66" s="460"/>
      <c r="J66" s="101">
        <f>C_Brut-J65+SUM(H58:H59)</f>
        <v>0</v>
      </c>
      <c r="K66" s="951"/>
    </row>
    <row r="67" spans="1:12" ht="10.5" customHeight="1">
      <c r="A67" s="3" t="s">
        <v>207</v>
      </c>
      <c r="B67" s="944"/>
      <c r="F67" s="33">
        <f>C_CSGRDS</f>
        <v>0</v>
      </c>
      <c r="G67" s="455"/>
      <c r="H67" s="456"/>
      <c r="I67" s="56">
        <f>Cotisations!C6</f>
        <v>2.4E-2</v>
      </c>
      <c r="J67" s="30">
        <f>F67*I67</f>
        <v>0</v>
      </c>
      <c r="K67" s="951"/>
    </row>
    <row r="68" spans="1:12" ht="10.5" customHeight="1" thickBot="1">
      <c r="A68" s="3" t="s">
        <v>208</v>
      </c>
      <c r="B68" s="944"/>
      <c r="F68" s="86">
        <f>C_CSGRDS</f>
        <v>0</v>
      </c>
      <c r="G68" s="455"/>
      <c r="H68" s="456"/>
      <c r="I68" s="57">
        <f>Cotisations!C7</f>
        <v>5.0000000000000001E-3</v>
      </c>
      <c r="J68" s="30">
        <f>F68*I68</f>
        <v>0</v>
      </c>
      <c r="K68" s="951"/>
    </row>
    <row r="69" spans="1:12" ht="10.5" customHeight="1" thickBot="1">
      <c r="A69" s="21" t="s">
        <v>44</v>
      </c>
      <c r="B69" s="405"/>
      <c r="C69" s="15"/>
      <c r="D69" s="15"/>
      <c r="E69" s="950"/>
      <c r="F69" s="457"/>
      <c r="G69" s="453"/>
      <c r="H69" s="453"/>
      <c r="I69" s="458"/>
      <c r="J69" s="101">
        <f>C_Brut-J65-J67-J68</f>
        <v>0</v>
      </c>
      <c r="K69" s="951"/>
    </row>
    <row r="70" spans="1:12" ht="10.5" customHeight="1">
      <c r="E70" s="944"/>
      <c r="F70" s="19" t="s">
        <v>45</v>
      </c>
      <c r="G70" s="951"/>
      <c r="H70" s="951"/>
      <c r="I70" s="951"/>
      <c r="J70" s="30"/>
      <c r="K70" s="951"/>
    </row>
    <row r="71" spans="1:12" ht="10.5" customHeight="1" thickBot="1">
      <c r="E71" s="944"/>
      <c r="F71" s="3"/>
      <c r="G71" s="944"/>
      <c r="H71" s="944"/>
      <c r="I71" s="944"/>
      <c r="J71" s="87"/>
      <c r="K71" s="951"/>
    </row>
    <row r="72" spans="1:12" ht="10.5" customHeight="1">
      <c r="A72" s="988" t="s">
        <v>230</v>
      </c>
      <c r="B72" s="989"/>
      <c r="C72" s="27">
        <f>IF($F$13=0,0,IF(MONTH($F$13)&gt;5,CONCATENATE("juin-",YEAR($F$13)-2001," / mai-",YEAR($F$13)-2000),CONCATENATE("juin-",YEAR($F$13)-2002," / mai-",YEAR($F$13)-2001)))</f>
        <v>0</v>
      </c>
      <c r="D72" s="27">
        <f>IF($F$13=0,0,IF(MONTH($F$13)&gt;5,CONCATENATE("juin-",YEAR($F$13)-2000," / mai-",YEAR($F$13)-1999),CONCATENATE("juin-",YEAR($F$13)-2001," / mai-",YEAR($F$13)-2000)))</f>
        <v>0</v>
      </c>
      <c r="E72" s="944"/>
      <c r="F72" s="3"/>
      <c r="G72" s="944"/>
      <c r="H72" s="944"/>
      <c r="I72" s="944"/>
      <c r="J72" s="87"/>
      <c r="K72" s="951"/>
    </row>
    <row r="73" spans="1:12" ht="10.5" customHeight="1">
      <c r="A73" s="990" t="s">
        <v>48</v>
      </c>
      <c r="B73" s="991"/>
      <c r="C73" s="116"/>
      <c r="D73" s="117"/>
      <c r="F73" s="19" t="s">
        <v>46</v>
      </c>
      <c r="G73" s="951"/>
      <c r="H73" s="951"/>
      <c r="I73" s="951"/>
      <c r="J73" s="30"/>
      <c r="K73" s="951"/>
    </row>
    <row r="74" spans="1:12" ht="10.5" customHeight="1">
      <c r="A74" s="990" t="s">
        <v>231</v>
      </c>
      <c r="B74" s="991"/>
      <c r="C74" s="116"/>
      <c r="D74" s="117"/>
      <c r="F74" s="3"/>
      <c r="G74" s="944"/>
      <c r="H74" s="944"/>
      <c r="I74" s="944"/>
      <c r="J74" s="87"/>
      <c r="K74" s="951"/>
    </row>
    <row r="75" spans="1:12" ht="10.5" customHeight="1" thickBot="1">
      <c r="A75" s="990" t="s">
        <v>49</v>
      </c>
      <c r="B75" s="991"/>
      <c r="C75" s="116"/>
      <c r="D75" s="117"/>
      <c r="F75" s="3"/>
      <c r="G75" s="944"/>
      <c r="H75" s="944"/>
      <c r="I75" s="944"/>
      <c r="J75" s="87"/>
      <c r="K75" s="951"/>
    </row>
    <row r="76" spans="1:12" ht="12" customHeight="1" thickBot="1">
      <c r="A76" s="992" t="s">
        <v>232</v>
      </c>
      <c r="B76" s="993"/>
      <c r="C76" s="118"/>
      <c r="D76" s="119"/>
      <c r="F76" s="26" t="s">
        <v>47</v>
      </c>
      <c r="G76" s="25"/>
      <c r="H76" s="25"/>
      <c r="I76" s="25"/>
      <c r="J76" s="101">
        <f>SUM(J69:J75)</f>
        <v>0</v>
      </c>
      <c r="K76" s="951"/>
    </row>
    <row r="77" spans="1:12" ht="10.5" customHeight="1" thickBot="1"/>
    <row r="78" spans="1:12" ht="10.5" customHeight="1" thickBot="1">
      <c r="A78" s="994"/>
      <c r="B78" s="995"/>
      <c r="C78" s="35" t="s">
        <v>54</v>
      </c>
      <c r="D78" s="981" t="s">
        <v>55</v>
      </c>
      <c r="E78" s="982"/>
      <c r="F78" s="27" t="s">
        <v>56</v>
      </c>
      <c r="G78" s="27" t="s">
        <v>57</v>
      </c>
      <c r="H78" s="27" t="s">
        <v>58</v>
      </c>
      <c r="I78" s="27" t="s">
        <v>59</v>
      </c>
      <c r="J78" s="28" t="s">
        <v>43</v>
      </c>
    </row>
    <row r="79" spans="1:12" ht="10.5" customHeight="1">
      <c r="A79" s="973" t="s">
        <v>52</v>
      </c>
      <c r="B79" s="974"/>
      <c r="C79" s="29">
        <f>F17</f>
        <v>151.66999999999999</v>
      </c>
      <c r="D79" s="971">
        <f>C_Brut</f>
        <v>0</v>
      </c>
      <c r="E79" s="972"/>
      <c r="F79" s="29">
        <f>C_TA</f>
        <v>0</v>
      </c>
      <c r="G79" s="29">
        <f>C_TB</f>
        <v>0</v>
      </c>
      <c r="H79" s="29">
        <f>C_TC</f>
        <v>0</v>
      </c>
      <c r="I79" s="29">
        <f>J76</f>
        <v>0</v>
      </c>
      <c r="J79" s="36">
        <f>J66</f>
        <v>0</v>
      </c>
    </row>
    <row r="80" spans="1:12" ht="10.5" customHeight="1" thickBot="1">
      <c r="A80" s="975" t="s">
        <v>53</v>
      </c>
      <c r="B80" s="976"/>
      <c r="C80" s="120"/>
      <c r="D80" s="969"/>
      <c r="E80" s="970"/>
      <c r="F80" s="120"/>
      <c r="G80" s="120"/>
      <c r="H80" s="120"/>
      <c r="I80" s="120"/>
      <c r="J80" s="121"/>
    </row>
    <row r="82" spans="1:8" ht="10.5" customHeight="1">
      <c r="A82" s="968" t="s">
        <v>82</v>
      </c>
      <c r="B82" s="968"/>
      <c r="C82" s="968"/>
      <c r="F82" s="966" t="s">
        <v>206</v>
      </c>
      <c r="G82" s="967"/>
      <c r="H82" s="18"/>
    </row>
    <row r="83" spans="1:8" ht="15">
      <c r="A83" s="1027" t="s">
        <v>222</v>
      </c>
      <c r="B83" s="1028"/>
      <c r="C83" s="29">
        <f>MIN(C_Brut,C_Plafond)</f>
        <v>0</v>
      </c>
    </row>
    <row r="84" spans="1:8" ht="15">
      <c r="A84" s="1027" t="s">
        <v>84</v>
      </c>
      <c r="B84" s="1028"/>
      <c r="C84" s="29">
        <f>IF(C_Brut&lt;C_Plafond,0,MIN(C_Brut-C_Plafond,3*C_Plafond))</f>
        <v>0</v>
      </c>
    </row>
    <row r="85" spans="1:8" ht="15">
      <c r="A85" s="1027" t="s">
        <v>220</v>
      </c>
      <c r="B85" s="1028"/>
      <c r="C85" s="29">
        <f>IF(C_Brut&lt;4*C_Plafond,0,MIN(C_Brut-4*C_Plafond,4*C_Plafond))</f>
        <v>0</v>
      </c>
    </row>
    <row r="86" spans="1:8" ht="15">
      <c r="A86" s="1027" t="s">
        <v>223</v>
      </c>
      <c r="B86" s="1028"/>
      <c r="C86" s="29">
        <f>IF(C_Brut=0,0,IF(C_TB&lt;GMP,GMP-C_TB,0))</f>
        <v>0</v>
      </c>
    </row>
    <row r="87" spans="1:8" ht="15">
      <c r="A87" s="1027" t="s">
        <v>86</v>
      </c>
      <c r="B87" s="1028"/>
      <c r="C87" s="29">
        <f>0.9825*MIN(C_Brut,4*C_Plafond)+MAX(C_Brut-4*C_Plafond,0)+SUM(H53:H61)</f>
        <v>0</v>
      </c>
    </row>
    <row r="88" spans="1:8" ht="15" customHeight="1"/>
    <row r="89" spans="1:8" ht="15" customHeight="1">
      <c r="A89" s="968" t="s">
        <v>224</v>
      </c>
      <c r="B89" s="968"/>
      <c r="C89" s="968"/>
    </row>
    <row r="90" spans="1:8" ht="15" customHeight="1">
      <c r="A90" s="1027" t="s">
        <v>190</v>
      </c>
      <c r="B90" s="1028"/>
      <c r="C90" s="18">
        <v>1</v>
      </c>
    </row>
    <row r="91" spans="1:8" ht="15" customHeight="1">
      <c r="A91" s="1027" t="s">
        <v>191</v>
      </c>
      <c r="B91" s="1028"/>
      <c r="C91" s="18">
        <v>1</v>
      </c>
    </row>
    <row r="92" spans="1:8" ht="15" customHeight="1">
      <c r="A92" s="1027" t="s">
        <v>192</v>
      </c>
      <c r="B92" s="1028"/>
      <c r="C92" s="29">
        <f>SUM(cadre!F19:'cadre'!F20)</f>
        <v>0</v>
      </c>
    </row>
    <row r="93" spans="1:8" ht="15" customHeight="1">
      <c r="A93" s="1027" t="s">
        <v>224</v>
      </c>
      <c r="B93" s="1028"/>
      <c r="C93" s="29">
        <f>SMIC_mens*C90*C91+SMIC_hor*C92</f>
        <v>1480.2991999999999</v>
      </c>
      <c r="H93" s="83"/>
    </row>
    <row r="94" spans="1:8" ht="15" customHeight="1"/>
    <row r="95" spans="1:8" ht="15" customHeight="1">
      <c r="A95" s="1024" t="s">
        <v>205</v>
      </c>
      <c r="B95" s="1025"/>
      <c r="C95" s="84">
        <f>IF(C_Brut=0,0,Société!B13/0.6*(1.6*SMIC_proratisé/C_Brut-1))</f>
        <v>0</v>
      </c>
    </row>
    <row r="96" spans="1:8" ht="15" customHeight="1">
      <c r="A96" s="1024" t="s">
        <v>41</v>
      </c>
      <c r="B96" s="1025"/>
      <c r="C96" s="29">
        <f>IF(C95&lt;0,0,-C_Brut*C95)</f>
        <v>0</v>
      </c>
    </row>
    <row r="97" ht="15" customHeight="1"/>
    <row r="98" ht="15" customHeight="1"/>
    <row r="99" ht="15" customHeight="1"/>
    <row r="100" ht="15" customHeight="1"/>
    <row r="101" ht="15" customHeight="1"/>
    <row r="102" ht="15" customHeight="1"/>
    <row r="103" ht="15" customHeight="1"/>
    <row r="104" ht="15" customHeight="1"/>
    <row r="105" ht="15" customHeight="1"/>
    <row r="106" ht="15" customHeight="1"/>
    <row r="107" ht="15" customHeight="1"/>
    <row r="108" ht="15" customHeight="1"/>
    <row r="109" ht="15" customHeight="1"/>
    <row r="110" ht="15" customHeight="1"/>
    <row r="111" ht="15" customHeight="1"/>
    <row r="112" ht="15" customHeight="1"/>
    <row r="113" ht="15" customHeight="1"/>
    <row r="114" ht="15" customHeight="1"/>
    <row r="115" ht="15" customHeight="1"/>
    <row r="116" ht="15" customHeight="1"/>
    <row r="117" ht="15" customHeight="1"/>
    <row r="118" ht="15" customHeight="1"/>
    <row r="119" ht="15" customHeight="1"/>
    <row r="120" ht="15" customHeight="1"/>
    <row r="121" ht="15" customHeight="1"/>
    <row r="122" ht="15" customHeight="1"/>
    <row r="123" ht="15" customHeight="1"/>
    <row r="124" ht="15" customHeight="1"/>
    <row r="125" ht="15" customHeight="1"/>
    <row r="126" ht="15" customHeight="1"/>
    <row r="127" ht="15" customHeight="1"/>
    <row r="128" ht="15" customHeight="1"/>
    <row r="129" ht="15" customHeight="1"/>
    <row r="130" ht="15" customHeight="1"/>
    <row r="131" ht="15" customHeight="1"/>
    <row r="132" ht="15" customHeight="1"/>
    <row r="133" ht="15" customHeight="1"/>
    <row r="134" ht="15" customHeight="1"/>
    <row r="135" ht="15" customHeight="1"/>
    <row r="136" ht="15" customHeight="1"/>
    <row r="137" ht="15" customHeight="1"/>
    <row r="138" ht="15" customHeight="1"/>
    <row r="139" ht="15" customHeight="1"/>
    <row r="140" ht="15" customHeight="1"/>
    <row r="141" ht="15" customHeight="1"/>
    <row r="142" ht="15" customHeight="1"/>
    <row r="143" ht="15" customHeight="1"/>
    <row r="144" ht="15" customHeight="1"/>
    <row r="145" ht="15" customHeight="1"/>
    <row r="146" ht="15" customHeight="1"/>
    <row r="147" ht="15" customHeight="1"/>
    <row r="148" ht="15" customHeight="1"/>
    <row r="149" ht="15" customHeight="1"/>
    <row r="150" ht="15" customHeight="1"/>
    <row r="151" ht="15" customHeight="1"/>
    <row r="152" ht="15" customHeight="1"/>
    <row r="153" ht="15" customHeight="1"/>
    <row r="154" ht="15" customHeight="1"/>
    <row r="155" ht="15" customHeight="1"/>
    <row r="156" ht="15" customHeight="1"/>
    <row r="157" ht="15" customHeight="1"/>
    <row r="158" ht="15" customHeight="1"/>
    <row r="159" ht="15" customHeight="1"/>
    <row r="160" ht="15" customHeight="1"/>
    <row r="161" ht="15" customHeight="1"/>
    <row r="162" ht="15" customHeight="1"/>
    <row r="163" ht="15" customHeight="1"/>
    <row r="164" ht="15" customHeight="1"/>
    <row r="165" ht="15" customHeight="1"/>
    <row r="166" ht="15" customHeight="1"/>
    <row r="167" ht="15" customHeight="1"/>
    <row r="168" ht="15" customHeight="1"/>
    <row r="169" ht="15" customHeight="1"/>
    <row r="170" ht="15" customHeight="1"/>
    <row r="171" ht="15" customHeight="1"/>
    <row r="172" ht="15" customHeight="1"/>
    <row r="173" ht="15" customHeight="1"/>
    <row r="174" ht="15" customHeight="1"/>
    <row r="175" ht="15" customHeight="1"/>
    <row r="176" ht="15" customHeight="1"/>
    <row r="177" ht="15" customHeight="1"/>
    <row r="178" ht="15" customHeight="1"/>
    <row r="179" ht="15" customHeight="1"/>
    <row r="180" ht="15" customHeight="1"/>
    <row r="181" ht="15" customHeight="1"/>
    <row r="182" ht="15" customHeight="1"/>
    <row r="183" ht="15" customHeight="1"/>
    <row r="184" ht="15" customHeight="1"/>
    <row r="185" ht="15" customHeight="1"/>
    <row r="186" ht="15" customHeight="1"/>
    <row r="187" ht="15" customHeight="1"/>
    <row r="188" ht="15" customHeight="1"/>
    <row r="189" ht="15" customHeight="1"/>
    <row r="190" ht="15" customHeight="1"/>
    <row r="191" ht="15" customHeight="1"/>
    <row r="192" ht="15" customHeight="1"/>
    <row r="193" ht="15" customHeight="1"/>
    <row r="194" ht="15" customHeight="1"/>
    <row r="195" ht="15" customHeight="1"/>
    <row r="196" ht="15" customHeight="1"/>
    <row r="197" ht="15" customHeight="1"/>
    <row r="198" ht="15" customHeight="1"/>
    <row r="199" ht="15" customHeight="1"/>
    <row r="200" ht="15" customHeight="1"/>
  </sheetData>
  <mergeCells count="53">
    <mergeCell ref="C9:F9"/>
    <mergeCell ref="I9:J9"/>
    <mergeCell ref="A1:F2"/>
    <mergeCell ref="I2:J2"/>
    <mergeCell ref="I3:J3"/>
    <mergeCell ref="A4:F4"/>
    <mergeCell ref="I4:J4"/>
    <mergeCell ref="C5:F5"/>
    <mergeCell ref="I5:J5"/>
    <mergeCell ref="C6:F6"/>
    <mergeCell ref="C7:F7"/>
    <mergeCell ref="I7:J7"/>
    <mergeCell ref="C8:F8"/>
    <mergeCell ref="I8:J8"/>
    <mergeCell ref="A72:B72"/>
    <mergeCell ref="C10:F10"/>
    <mergeCell ref="I10:J10"/>
    <mergeCell ref="C11:F11"/>
    <mergeCell ref="I11:J11"/>
    <mergeCell ref="H13:I13"/>
    <mergeCell ref="A15:E16"/>
    <mergeCell ref="G15:H15"/>
    <mergeCell ref="I15:I16"/>
    <mergeCell ref="J15:J16"/>
    <mergeCell ref="B18:C18"/>
    <mergeCell ref="B19:C19"/>
    <mergeCell ref="B20:C20"/>
    <mergeCell ref="G25:H25"/>
    <mergeCell ref="I25:J25"/>
    <mergeCell ref="F82:G82"/>
    <mergeCell ref="A73:B73"/>
    <mergeCell ref="A74:B74"/>
    <mergeCell ref="A75:B75"/>
    <mergeCell ref="A76:B76"/>
    <mergeCell ref="A78:B78"/>
    <mergeCell ref="D78:E78"/>
    <mergeCell ref="A79:B79"/>
    <mergeCell ref="D79:E79"/>
    <mergeCell ref="A80:B80"/>
    <mergeCell ref="D80:E80"/>
    <mergeCell ref="A82:C82"/>
    <mergeCell ref="A96:B96"/>
    <mergeCell ref="A83:B83"/>
    <mergeCell ref="A84:B84"/>
    <mergeCell ref="A85:B85"/>
    <mergeCell ref="A86:B86"/>
    <mergeCell ref="A87:B87"/>
    <mergeCell ref="A89:C89"/>
    <mergeCell ref="A90:B90"/>
    <mergeCell ref="A91:B91"/>
    <mergeCell ref="A92:B92"/>
    <mergeCell ref="A93:B93"/>
    <mergeCell ref="A95:B95"/>
  </mergeCells>
  <conditionalFormatting sqref="I18">
    <cfRule type="cellIs" dxfId="7" priority="1" operator="equal">
      <formula>"Heures réelles"</formula>
    </cfRule>
  </conditionalFormatting>
  <dataValidations count="6">
    <dataValidation type="list" allowBlank="1" showInputMessage="1" showErrorMessage="1" sqref="I5:J5">
      <formula1>INDIRECT($H$5)</formula1>
    </dataValidation>
    <dataValidation type="list" allowBlank="1" showInputMessage="1" showErrorMessage="1" sqref="A32:B32">
      <formula1>Liste_AF</formula1>
    </dataValidation>
    <dataValidation type="list" allowBlank="1" showInputMessage="1" showErrorMessage="1" sqref="A19:A20">
      <formula1>HS.HC</formula1>
    </dataValidation>
    <dataValidation type="list" allowBlank="1" showInputMessage="1" showErrorMessage="1" sqref="A64:B64">
      <formula1>liste_Fillon</formula1>
    </dataValidation>
    <dataValidation type="list" allowBlank="1" showInputMessage="1" showErrorMessage="1" sqref="B18">
      <formula1>absences</formula1>
    </dataValidation>
    <dataValidation type="list" allowBlank="1" showInputMessage="1" showErrorMessage="1" sqref="B19:B20">
      <formula1>INDIRECT(A19)</formula1>
    </dataValidation>
  </dataValidations>
  <pageMargins left="0.19685039370078741" right="0.19685039370078741" top="0.39370078740157483" bottom="0.19685039370078741" header="0.19685039370078741" footer="0.19685039370078741"/>
  <pageSetup paperSize="9" orientation="portrait" r:id="rId1"/>
  <headerFooter differentFirst="1">
    <oddHeader>&amp;LEmmanuel ESNAULT</oddHeader>
    <firstHeader>&amp;LEmmanuel ESNAULT</firstHeader>
    <firstFooter>&amp;C&amp;7DANS VOTRE INTERET ET POUR FAIRE VALOIR VOS DROITS, NOUS VOUS CONSEILLONS DE CONSERVER CE BULLETIN SANS LIMITATION DE DUREE</firstFooter>
  </headerFooter>
  <rowBreaks count="1" manualBreakCount="1">
    <brk id="80" max="16383" man="1"/>
  </rowBreak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>
    <tabColor rgb="FFFF0000"/>
  </sheetPr>
  <dimension ref="A1:K192"/>
  <sheetViews>
    <sheetView showZeros="0" topLeftCell="A16" zoomScale="130" zoomScaleNormal="130" workbookViewId="0">
      <selection activeCell="I5" sqref="I5:J5"/>
    </sheetView>
  </sheetViews>
  <sheetFormatPr baseColWidth="10" defaultRowHeight="10.5" customHeight="1"/>
  <cols>
    <col min="1" max="1" width="10.7109375" style="8" customWidth="1"/>
    <col min="2" max="3" width="12.5703125" style="8" customWidth="1"/>
    <col min="4" max="4" width="0.85546875" style="8" customWidth="1"/>
    <col min="5" max="9" width="12.5703125" style="8" customWidth="1"/>
    <col min="10" max="10" width="1.7109375" style="8" customWidth="1"/>
    <col min="11" max="16384" width="11.42578125" style="8"/>
  </cols>
  <sheetData>
    <row r="1" spans="1:11" ht="10.5" customHeight="1">
      <c r="A1" s="996" t="s">
        <v>60</v>
      </c>
      <c r="B1" s="997"/>
      <c r="C1" s="997"/>
      <c r="D1" s="997"/>
      <c r="E1" s="998"/>
      <c r="F1" s="1"/>
      <c r="G1" s="22"/>
      <c r="H1" s="109" t="s">
        <v>62</v>
      </c>
      <c r="I1" s="23"/>
    </row>
    <row r="2" spans="1:11" ht="10.5" customHeight="1" thickBot="1">
      <c r="A2" s="999"/>
      <c r="B2" s="1000"/>
      <c r="C2" s="1000"/>
      <c r="D2" s="1000"/>
      <c r="E2" s="1001"/>
      <c r="F2" s="1"/>
      <c r="G2" s="24" t="s">
        <v>63</v>
      </c>
      <c r="H2" s="1036"/>
      <c r="I2" s="1037"/>
    </row>
    <row r="3" spans="1:11" ht="10.5" customHeight="1" thickBot="1">
      <c r="A3" s="2"/>
      <c r="B3" s="2"/>
      <c r="C3" s="2"/>
      <c r="D3" s="2"/>
      <c r="E3" s="2"/>
      <c r="F3" s="1"/>
      <c r="G3" s="3" t="s">
        <v>64</v>
      </c>
      <c r="H3" s="987"/>
      <c r="I3" s="1033"/>
    </row>
    <row r="4" spans="1:11" ht="10.5" customHeight="1">
      <c r="A4" s="1006" t="s">
        <v>61</v>
      </c>
      <c r="B4" s="1007"/>
      <c r="C4" s="1007"/>
      <c r="D4" s="1007"/>
      <c r="E4" s="1008"/>
      <c r="F4" s="1"/>
      <c r="G4" s="3" t="s">
        <v>65</v>
      </c>
      <c r="H4" s="987"/>
      <c r="I4" s="1033"/>
    </row>
    <row r="5" spans="1:11" ht="10.5" customHeight="1">
      <c r="A5" s="3" t="s">
        <v>88</v>
      </c>
      <c r="B5" s="1043">
        <f>Société!B3</f>
        <v>0</v>
      </c>
      <c r="C5" s="1043"/>
      <c r="D5" s="1043"/>
      <c r="E5" s="1044"/>
      <c r="F5" s="1"/>
      <c r="G5" s="3" t="s">
        <v>66</v>
      </c>
      <c r="H5" s="987" t="s">
        <v>238</v>
      </c>
      <c r="I5" s="1033"/>
    </row>
    <row r="6" spans="1:11" ht="10.5" customHeight="1">
      <c r="A6" s="3" t="s">
        <v>69</v>
      </c>
      <c r="B6" s="1041">
        <f>Société!B4</f>
        <v>0</v>
      </c>
      <c r="C6" s="1041"/>
      <c r="D6" s="1041"/>
      <c r="E6" s="1042"/>
      <c r="F6" s="1"/>
      <c r="G6" s="3" t="s">
        <v>71</v>
      </c>
      <c r="H6" s="102" t="s">
        <v>72</v>
      </c>
      <c r="I6" s="103" t="s">
        <v>73</v>
      </c>
    </row>
    <row r="7" spans="1:11" ht="10.5" customHeight="1">
      <c r="A7" s="3"/>
      <c r="B7" s="1041">
        <f>Société!B5</f>
        <v>0</v>
      </c>
      <c r="C7" s="1041"/>
      <c r="D7" s="1041"/>
      <c r="E7" s="1042"/>
      <c r="F7" s="1"/>
      <c r="G7" s="3" t="s">
        <v>67</v>
      </c>
      <c r="H7" s="987"/>
      <c r="I7" s="1033"/>
    </row>
    <row r="8" spans="1:11" ht="10.5" customHeight="1">
      <c r="A8" s="3" t="s">
        <v>74</v>
      </c>
      <c r="B8" s="1041">
        <f>Société!B6</f>
        <v>0</v>
      </c>
      <c r="C8" s="1041"/>
      <c r="D8" s="1041"/>
      <c r="E8" s="1042"/>
      <c r="F8" s="1"/>
      <c r="G8" s="3" t="s">
        <v>68</v>
      </c>
      <c r="H8" s="1022"/>
      <c r="I8" s="980"/>
    </row>
    <row r="9" spans="1:11" ht="10.5" customHeight="1">
      <c r="A9" s="3" t="s">
        <v>75</v>
      </c>
      <c r="B9" s="1041">
        <f>Société!B7</f>
        <v>0</v>
      </c>
      <c r="C9" s="1041"/>
      <c r="D9" s="1041"/>
      <c r="E9" s="1042"/>
      <c r="F9" s="1"/>
      <c r="G9" s="3" t="s">
        <v>69</v>
      </c>
      <c r="H9" s="987"/>
      <c r="I9" s="1033"/>
    </row>
    <row r="10" spans="1:11" ht="10.5" customHeight="1">
      <c r="A10" s="3" t="s">
        <v>76</v>
      </c>
      <c r="B10" s="1041">
        <f>Société!B8</f>
        <v>0</v>
      </c>
      <c r="C10" s="1041"/>
      <c r="D10" s="1041"/>
      <c r="E10" s="1042"/>
      <c r="F10" s="1"/>
      <c r="G10" s="3"/>
      <c r="H10" s="987"/>
      <c r="I10" s="1033"/>
    </row>
    <row r="11" spans="1:11" ht="10.5" customHeight="1" thickBot="1">
      <c r="A11" s="4" t="s">
        <v>77</v>
      </c>
      <c r="B11" s="1045">
        <f>Société!B9</f>
        <v>0</v>
      </c>
      <c r="C11" s="1045"/>
      <c r="D11" s="1045"/>
      <c r="E11" s="1046"/>
      <c r="F11" s="1"/>
      <c r="G11" s="4" t="s">
        <v>70</v>
      </c>
      <c r="H11" s="1034"/>
      <c r="I11" s="1035"/>
    </row>
    <row r="12" spans="1:11" ht="10.5" customHeight="1" thickBot="1">
      <c r="A12" s="1"/>
      <c r="B12" s="1"/>
      <c r="C12" s="1"/>
      <c r="D12" s="1"/>
      <c r="E12" s="1"/>
      <c r="F12" s="1"/>
      <c r="G12" s="1"/>
      <c r="H12" s="1"/>
      <c r="I12" s="1"/>
    </row>
    <row r="13" spans="1:11" ht="10.5" customHeight="1" thickBot="1">
      <c r="A13" s="94" t="s">
        <v>79</v>
      </c>
      <c r="B13" s="95">
        <f>Société!B19</f>
        <v>0</v>
      </c>
      <c r="C13" s="108" t="s">
        <v>80</v>
      </c>
      <c r="D13" s="96"/>
      <c r="E13" s="97">
        <f>IF(B13=0,0,EOMONTH(B13,0))</f>
        <v>0</v>
      </c>
      <c r="F13" s="1"/>
      <c r="G13" s="1016" t="s">
        <v>221</v>
      </c>
      <c r="H13" s="1017"/>
      <c r="I13" s="99">
        <v>3269</v>
      </c>
      <c r="K13" s="933"/>
    </row>
    <row r="14" spans="1:11" ht="10.5" customHeight="1" thickBot="1">
      <c r="A14" s="1"/>
      <c r="B14" s="1"/>
      <c r="C14" s="1"/>
      <c r="D14" s="1"/>
      <c r="E14" s="1"/>
      <c r="F14" s="1"/>
      <c r="G14" s="1"/>
      <c r="H14" s="1"/>
      <c r="I14" s="1"/>
      <c r="K14" s="1"/>
    </row>
    <row r="15" spans="1:11" ht="10.5" customHeight="1">
      <c r="A15" s="1002" t="s">
        <v>0</v>
      </c>
      <c r="B15" s="1003"/>
      <c r="C15" s="1003"/>
      <c r="D15" s="1003"/>
      <c r="E15" s="106" t="s">
        <v>50</v>
      </c>
      <c r="F15" s="1011"/>
      <c r="G15" s="1011"/>
      <c r="H15" s="1012" t="s">
        <v>1</v>
      </c>
      <c r="I15" s="1014" t="s">
        <v>3</v>
      </c>
      <c r="J15" s="11"/>
    </row>
    <row r="16" spans="1:11" ht="10.5" customHeight="1">
      <c r="A16" s="1004"/>
      <c r="B16" s="1005"/>
      <c r="C16" s="1005"/>
      <c r="D16" s="1005"/>
      <c r="E16" s="107" t="s">
        <v>51</v>
      </c>
      <c r="F16" s="447"/>
      <c r="G16" s="448"/>
      <c r="H16" s="1013"/>
      <c r="I16" s="1015"/>
      <c r="J16" s="11"/>
    </row>
    <row r="17" spans="1:11" ht="10.5" customHeight="1">
      <c r="A17" s="3" t="s">
        <v>5</v>
      </c>
      <c r="B17" s="102"/>
      <c r="C17" s="102"/>
      <c r="D17" s="102"/>
      <c r="E17" s="9"/>
      <c r="F17" s="449"/>
      <c r="G17" s="449"/>
      <c r="H17" s="9"/>
      <c r="I17" s="87"/>
      <c r="J17" s="11"/>
    </row>
    <row r="18" spans="1:11" ht="10.5" customHeight="1">
      <c r="A18" s="3" t="s">
        <v>14</v>
      </c>
      <c r="B18" s="102"/>
      <c r="C18" s="102"/>
      <c r="D18" s="102"/>
      <c r="E18" s="9"/>
      <c r="F18" s="449"/>
      <c r="G18" s="449"/>
      <c r="H18" s="5"/>
      <c r="I18" s="87"/>
      <c r="J18" s="11"/>
    </row>
    <row r="19" spans="1:11" ht="10.5" customHeight="1">
      <c r="A19" s="3" t="s">
        <v>15</v>
      </c>
      <c r="B19" s="102"/>
      <c r="C19" s="102"/>
      <c r="D19" s="102"/>
      <c r="E19" s="9"/>
      <c r="F19" s="449"/>
      <c r="G19" s="449"/>
      <c r="H19" s="5"/>
      <c r="I19" s="87"/>
      <c r="J19" s="11"/>
    </row>
    <row r="20" spans="1:11" ht="10.5" customHeight="1" thickBot="1">
      <c r="A20" s="3" t="s">
        <v>16</v>
      </c>
      <c r="B20" s="102"/>
      <c r="C20" s="102"/>
      <c r="D20" s="102"/>
      <c r="E20" s="9"/>
      <c r="F20" s="449"/>
      <c r="G20" s="449"/>
      <c r="H20" s="5"/>
      <c r="I20" s="87"/>
      <c r="J20" s="11"/>
    </row>
    <row r="21" spans="1:11" ht="10.5" customHeight="1" thickBot="1">
      <c r="A21" s="10" t="s">
        <v>17</v>
      </c>
      <c r="B21" s="11"/>
      <c r="C21" s="11"/>
      <c r="D21" s="11"/>
      <c r="E21" s="34"/>
      <c r="F21" s="450"/>
      <c r="G21" s="450"/>
      <c r="H21" s="484"/>
      <c r="I21" s="32">
        <f>SUM(I17:I20)</f>
        <v>0</v>
      </c>
      <c r="J21" s="11"/>
    </row>
    <row r="22" spans="1:11" ht="10.5" customHeight="1">
      <c r="A22" s="13"/>
      <c r="B22" s="11"/>
      <c r="C22" s="11"/>
      <c r="D22" s="11"/>
      <c r="E22" s="34"/>
      <c r="F22" s="1009" t="s">
        <v>2</v>
      </c>
      <c r="G22" s="1009"/>
      <c r="H22" s="1009" t="s">
        <v>4</v>
      </c>
      <c r="I22" s="1010"/>
      <c r="J22" s="11"/>
    </row>
    <row r="23" spans="1:11" ht="10.5" customHeight="1">
      <c r="A23" s="13"/>
      <c r="B23" s="11"/>
      <c r="C23" s="11"/>
      <c r="D23" s="11"/>
      <c r="E23" s="34"/>
      <c r="F23" s="6" t="s">
        <v>1</v>
      </c>
      <c r="G23" s="6" t="s">
        <v>3</v>
      </c>
      <c r="H23" s="6" t="s">
        <v>1</v>
      </c>
      <c r="I23" s="7" t="s">
        <v>3</v>
      </c>
      <c r="J23" s="11"/>
    </row>
    <row r="24" spans="1:11" ht="12" customHeight="1">
      <c r="A24" s="14" t="s">
        <v>18</v>
      </c>
      <c r="B24" s="11"/>
      <c r="C24" s="11"/>
      <c r="D24" s="11"/>
      <c r="E24" s="34"/>
      <c r="F24" s="46"/>
      <c r="G24" s="33"/>
      <c r="H24" s="61"/>
      <c r="I24" s="30"/>
      <c r="J24" s="11"/>
    </row>
    <row r="25" spans="1:11" ht="10.5" customHeight="1">
      <c r="A25" s="3" t="s">
        <v>98</v>
      </c>
      <c r="B25" s="11"/>
      <c r="C25" s="11"/>
      <c r="D25" s="11"/>
      <c r="E25" s="34">
        <f>D_CSGRDS</f>
        <v>0</v>
      </c>
      <c r="F25" s="46"/>
      <c r="G25" s="34">
        <f t="shared" ref="G25:G56" si="0">ROUNDUP(E25*F25,2)</f>
        <v>0</v>
      </c>
      <c r="H25" s="60">
        <f>Cotisations!C5</f>
        <v>5.0999999999999997E-2</v>
      </c>
      <c r="I25" s="30">
        <f t="shared" ref="I25:I55" si="1">ROUNDUP(E25*H25,2)</f>
        <v>0</v>
      </c>
      <c r="J25" s="11"/>
    </row>
    <row r="26" spans="1:11" ht="10.5" customHeight="1">
      <c r="A26" s="3" t="s">
        <v>19</v>
      </c>
      <c r="B26" s="11"/>
      <c r="C26" s="11"/>
      <c r="D26" s="11"/>
      <c r="E26" s="34">
        <f t="shared" ref="E26:E31" si="2">D_Brut</f>
        <v>0</v>
      </c>
      <c r="F26" s="46">
        <f>Cotisations!B8</f>
        <v>0.12889999999999999</v>
      </c>
      <c r="G26" s="34">
        <f t="shared" si="0"/>
        <v>0</v>
      </c>
      <c r="H26" s="60">
        <f>Cotisations!C8</f>
        <v>7.4999999999999997E-3</v>
      </c>
      <c r="I26" s="30">
        <f t="shared" si="1"/>
        <v>0</v>
      </c>
      <c r="J26" s="11"/>
    </row>
    <row r="27" spans="1:11" ht="10.5" customHeight="1">
      <c r="A27" s="3" t="s">
        <v>20</v>
      </c>
      <c r="B27" s="11"/>
      <c r="C27" s="11"/>
      <c r="D27" s="11"/>
      <c r="E27" s="34">
        <f t="shared" si="2"/>
        <v>0</v>
      </c>
      <c r="F27" s="46">
        <f>Cotisations!B9</f>
        <v>3.0000000000000001E-3</v>
      </c>
      <c r="G27" s="34">
        <f t="shared" si="0"/>
        <v>0</v>
      </c>
      <c r="H27" s="60"/>
      <c r="I27" s="30">
        <f t="shared" si="1"/>
        <v>0</v>
      </c>
      <c r="J27" s="11"/>
    </row>
    <row r="28" spans="1:11" ht="10.5" customHeight="1">
      <c r="A28" s="3" t="s">
        <v>21</v>
      </c>
      <c r="B28" s="11"/>
      <c r="C28" s="11"/>
      <c r="D28" s="11"/>
      <c r="E28" s="34">
        <f t="shared" si="2"/>
        <v>0</v>
      </c>
      <c r="F28" s="46">
        <f>Société!B16</f>
        <v>0</v>
      </c>
      <c r="G28" s="34">
        <f t="shared" si="0"/>
        <v>0</v>
      </c>
      <c r="H28" s="60"/>
      <c r="I28" s="30">
        <f t="shared" si="1"/>
        <v>0</v>
      </c>
      <c r="J28" s="11"/>
    </row>
    <row r="29" spans="1:11" ht="10.5" customHeight="1">
      <c r="A29" s="3" t="s">
        <v>22</v>
      </c>
      <c r="B29" s="11"/>
      <c r="C29" s="11"/>
      <c r="D29" s="11"/>
      <c r="E29" s="34">
        <f t="shared" si="2"/>
        <v>0</v>
      </c>
      <c r="F29" s="46">
        <f>Cotisations!B10+IF(D_Brut&lt;3.5*SMIC_mens,0,Cotisations!B11)</f>
        <v>3.4500000000000003E-2</v>
      </c>
      <c r="G29" s="34">
        <f t="shared" si="0"/>
        <v>0</v>
      </c>
      <c r="H29" s="60"/>
      <c r="I29" s="30">
        <f t="shared" si="1"/>
        <v>0</v>
      </c>
      <c r="J29" s="11"/>
    </row>
    <row r="30" spans="1:11" ht="10.5" customHeight="1">
      <c r="A30" s="3" t="s">
        <v>23</v>
      </c>
      <c r="B30" s="11"/>
      <c r="C30" s="11"/>
      <c r="D30" s="11"/>
      <c r="E30" s="45">
        <f t="shared" si="2"/>
        <v>0</v>
      </c>
      <c r="F30" s="46">
        <f>Société!B17</f>
        <v>0</v>
      </c>
      <c r="G30" s="34">
        <f t="shared" si="0"/>
        <v>0</v>
      </c>
      <c r="H30" s="60"/>
      <c r="I30" s="30">
        <f t="shared" si="1"/>
        <v>0</v>
      </c>
      <c r="J30" s="11"/>
      <c r="K30" s="8" t="s">
        <v>589</v>
      </c>
    </row>
    <row r="31" spans="1:11" ht="10.5" customHeight="1">
      <c r="A31" s="3" t="s">
        <v>24</v>
      </c>
      <c r="B31" s="11"/>
      <c r="C31" s="11"/>
      <c r="D31" s="11"/>
      <c r="E31" s="34">
        <f t="shared" si="2"/>
        <v>0</v>
      </c>
      <c r="F31" s="46">
        <f>Cotisations!B12</f>
        <v>1.9E-2</v>
      </c>
      <c r="G31" s="34">
        <f t="shared" si="0"/>
        <v>0</v>
      </c>
      <c r="H31" s="60">
        <f>Cotisations!C12</f>
        <v>4.0000000000000001E-3</v>
      </c>
      <c r="I31" s="30">
        <f t="shared" si="1"/>
        <v>0</v>
      </c>
      <c r="J31" s="11"/>
    </row>
    <row r="32" spans="1:11" ht="10.5" customHeight="1">
      <c r="A32" s="3" t="s">
        <v>25</v>
      </c>
      <c r="B32" s="11"/>
      <c r="C32" s="11"/>
      <c r="D32" s="11"/>
      <c r="E32" s="34">
        <f>MIN(D_Brut,D_Plafond)</f>
        <v>0</v>
      </c>
      <c r="F32" s="46">
        <f>Cotisations!B13</f>
        <v>8.5500000000000007E-2</v>
      </c>
      <c r="G32" s="34">
        <f t="shared" si="0"/>
        <v>0</v>
      </c>
      <c r="H32" s="60">
        <f>Cotisations!C13</f>
        <v>6.9000000000000006E-2</v>
      </c>
      <c r="I32" s="30">
        <f t="shared" si="1"/>
        <v>0</v>
      </c>
      <c r="J32" s="11"/>
    </row>
    <row r="33" spans="1:11" ht="10.5" customHeight="1">
      <c r="A33" s="3" t="s">
        <v>714</v>
      </c>
      <c r="B33" s="11"/>
      <c r="C33" s="11"/>
      <c r="D33" s="11"/>
      <c r="E33" s="45">
        <f>IF(effectif&lt;20,D_TA,D_Brut)</f>
        <v>0</v>
      </c>
      <c r="F33" s="46">
        <f>IF(effectif&lt;20,Cotisations!B14,Cotisations!B15)</f>
        <v>1E-3</v>
      </c>
      <c r="G33" s="34">
        <f t="shared" si="0"/>
        <v>0</v>
      </c>
      <c r="H33" s="60"/>
      <c r="I33" s="30">
        <f t="shared" si="1"/>
        <v>0</v>
      </c>
      <c r="J33" s="11"/>
    </row>
    <row r="34" spans="1:11" ht="10.5" customHeight="1">
      <c r="A34" s="3" t="s">
        <v>27</v>
      </c>
      <c r="B34" s="11"/>
      <c r="C34" s="11"/>
      <c r="D34" s="11"/>
      <c r="E34" s="45">
        <f>IF(effectif&lt;11,0,SUM(G50:G55))</f>
        <v>0</v>
      </c>
      <c r="F34" s="46">
        <f>Cotisations!B16</f>
        <v>0.08</v>
      </c>
      <c r="G34" s="34">
        <f t="shared" si="0"/>
        <v>0</v>
      </c>
      <c r="H34" s="60"/>
      <c r="I34" s="30">
        <f t="shared" si="1"/>
        <v>0</v>
      </c>
      <c r="J34" s="11"/>
    </row>
    <row r="35" spans="1:11" ht="10.5" hidden="1" customHeight="1">
      <c r="A35" s="3" t="s">
        <v>717</v>
      </c>
      <c r="B35" s="11"/>
      <c r="C35" s="11"/>
      <c r="D35" s="11"/>
      <c r="E35" s="45">
        <f>SUM(G47:G49)</f>
        <v>0</v>
      </c>
      <c r="F35" s="46">
        <f>Cotisations!B17</f>
        <v>0.2</v>
      </c>
      <c r="G35" s="34">
        <f t="shared" si="0"/>
        <v>0</v>
      </c>
      <c r="H35" s="60"/>
      <c r="I35" s="30">
        <f t="shared" si="1"/>
        <v>0</v>
      </c>
      <c r="J35" s="11"/>
    </row>
    <row r="36" spans="1:11" ht="10.5" hidden="1" customHeight="1">
      <c r="A36" s="3" t="s">
        <v>28</v>
      </c>
      <c r="B36" s="11"/>
      <c r="C36" s="11"/>
      <c r="D36" s="11"/>
      <c r="E36" s="34"/>
      <c r="F36" s="46">
        <f>Cotisations!B18</f>
        <v>1.6000000000000001E-4</v>
      </c>
      <c r="G36" s="34">
        <f t="shared" si="0"/>
        <v>0</v>
      </c>
      <c r="H36" s="60"/>
      <c r="I36" s="30">
        <f t="shared" si="1"/>
        <v>0</v>
      </c>
      <c r="J36" s="11"/>
      <c r="K36" s="8" t="s">
        <v>609</v>
      </c>
    </row>
    <row r="37" spans="1:11" ht="10.5" hidden="1" customHeight="1">
      <c r="A37" s="3" t="s">
        <v>29</v>
      </c>
      <c r="B37" s="11"/>
      <c r="C37" s="11"/>
      <c r="D37" s="11"/>
      <c r="E37" s="34"/>
      <c r="F37" s="46">
        <f>Cotisations!B19</f>
        <v>1E-4</v>
      </c>
      <c r="G37" s="34">
        <f t="shared" si="0"/>
        <v>0</v>
      </c>
      <c r="H37" s="60"/>
      <c r="I37" s="30">
        <f t="shared" si="1"/>
        <v>0</v>
      </c>
      <c r="J37" s="11"/>
      <c r="K37" s="8" t="s">
        <v>609</v>
      </c>
    </row>
    <row r="38" spans="1:11" ht="12" customHeight="1">
      <c r="A38" s="14" t="s">
        <v>215</v>
      </c>
      <c r="B38" s="11"/>
      <c r="C38" s="11"/>
      <c r="D38" s="11"/>
      <c r="E38" s="34"/>
      <c r="F38" s="46"/>
      <c r="G38" s="34">
        <f t="shared" si="0"/>
        <v>0</v>
      </c>
      <c r="H38" s="60"/>
      <c r="I38" s="30">
        <f t="shared" si="1"/>
        <v>0</v>
      </c>
      <c r="J38" s="11"/>
    </row>
    <row r="39" spans="1:11" ht="10.5" customHeight="1">
      <c r="A39" s="3" t="s">
        <v>216</v>
      </c>
      <c r="B39" s="11"/>
      <c r="C39" s="11"/>
      <c r="D39" s="11"/>
      <c r="E39" s="34">
        <f>D_TA</f>
        <v>0</v>
      </c>
      <c r="F39" s="46">
        <f>Cotisations!B33</f>
        <v>4.65E-2</v>
      </c>
      <c r="G39" s="34">
        <f t="shared" si="0"/>
        <v>0</v>
      </c>
      <c r="H39" s="60">
        <f>Cotisations!C33</f>
        <v>3.1E-2</v>
      </c>
      <c r="I39" s="30">
        <f t="shared" si="1"/>
        <v>0</v>
      </c>
      <c r="J39" s="11"/>
    </row>
    <row r="40" spans="1:11" ht="10.5" customHeight="1">
      <c r="A40" s="3" t="s">
        <v>227</v>
      </c>
      <c r="B40" s="11"/>
      <c r="C40" s="11"/>
      <c r="D40" s="11"/>
      <c r="E40" s="34">
        <f>D_TB</f>
        <v>0</v>
      </c>
      <c r="F40" s="46">
        <f>Cotisations!B34</f>
        <v>0.1275</v>
      </c>
      <c r="G40" s="34">
        <f t="shared" si="0"/>
        <v>0</v>
      </c>
      <c r="H40" s="60">
        <f>Cotisations!C34</f>
        <v>7.8E-2</v>
      </c>
      <c r="I40" s="30">
        <f t="shared" si="1"/>
        <v>0</v>
      </c>
      <c r="J40" s="11"/>
    </row>
    <row r="41" spans="1:11" ht="10.5" customHeight="1">
      <c r="A41" s="3" t="s">
        <v>228</v>
      </c>
      <c r="B41" s="11"/>
      <c r="C41" s="11"/>
      <c r="D41" s="11"/>
      <c r="E41" s="34">
        <f>D_TC</f>
        <v>0</v>
      </c>
      <c r="F41" s="46">
        <f>Cotisations!B35</f>
        <v>0.1275</v>
      </c>
      <c r="G41" s="34">
        <f t="shared" si="0"/>
        <v>0</v>
      </c>
      <c r="H41" s="60">
        <f>Cotisations!C35</f>
        <v>7.8E-2</v>
      </c>
      <c r="I41" s="30">
        <f t="shared" si="1"/>
        <v>0</v>
      </c>
      <c r="J41" s="11"/>
    </row>
    <row r="42" spans="1:11" ht="10.5" customHeight="1">
      <c r="A42" s="3" t="s">
        <v>217</v>
      </c>
      <c r="B42" s="11"/>
      <c r="C42" s="11"/>
      <c r="D42" s="11"/>
      <c r="E42" s="34">
        <f>D_TA</f>
        <v>0</v>
      </c>
      <c r="F42" s="46">
        <f>Cotisations!B37</f>
        <v>1.2E-2</v>
      </c>
      <c r="G42" s="34">
        <f t="shared" si="0"/>
        <v>0</v>
      </c>
      <c r="H42" s="60">
        <f>Cotisations!C37</f>
        <v>8.0000000000000002E-3</v>
      </c>
      <c r="I42" s="30">
        <f t="shared" si="1"/>
        <v>0</v>
      </c>
      <c r="J42" s="11"/>
    </row>
    <row r="43" spans="1:11" ht="10.5" customHeight="1">
      <c r="A43" s="3" t="s">
        <v>229</v>
      </c>
      <c r="B43" s="11"/>
      <c r="C43" s="11"/>
      <c r="D43" s="11"/>
      <c r="E43" s="34">
        <f>D_TB+D_TC</f>
        <v>0</v>
      </c>
      <c r="F43" s="46">
        <f>Cotisations!B38</f>
        <v>1.2999999999999999E-2</v>
      </c>
      <c r="G43" s="34">
        <f t="shared" si="0"/>
        <v>0</v>
      </c>
      <c r="H43" s="60">
        <f>Cotisations!C38</f>
        <v>8.9999999999999993E-3</v>
      </c>
      <c r="I43" s="30">
        <f t="shared" si="1"/>
        <v>0</v>
      </c>
      <c r="J43" s="11"/>
    </row>
    <row r="44" spans="1:11" ht="10.5" customHeight="1">
      <c r="A44" s="3" t="s">
        <v>108</v>
      </c>
      <c r="B44" s="11"/>
      <c r="C44" s="11"/>
      <c r="D44" s="11"/>
      <c r="E44" s="34">
        <f>D_GMP</f>
        <v>0</v>
      </c>
      <c r="F44" s="46">
        <f>Cotisations!B36</f>
        <v>0.1275</v>
      </c>
      <c r="G44" s="34">
        <f t="shared" si="0"/>
        <v>0</v>
      </c>
      <c r="H44" s="60">
        <f>Cotisations!C36</f>
        <v>7.8E-2</v>
      </c>
      <c r="I44" s="30">
        <f t="shared" si="1"/>
        <v>0</v>
      </c>
      <c r="J44" s="11"/>
    </row>
    <row r="45" spans="1:11" ht="10.5" customHeight="1">
      <c r="A45" s="3" t="s">
        <v>109</v>
      </c>
      <c r="B45" s="11"/>
      <c r="C45" s="11"/>
      <c r="D45" s="11"/>
      <c r="E45" s="34">
        <f>D_TA+D_TB+D_TC</f>
        <v>0</v>
      </c>
      <c r="F45" s="46">
        <f>Cotisations!B39</f>
        <v>2.2000000000000001E-3</v>
      </c>
      <c r="G45" s="34">
        <f t="shared" si="0"/>
        <v>0</v>
      </c>
      <c r="H45" s="60">
        <f>Cotisations!C39</f>
        <v>1.2999999999999999E-3</v>
      </c>
      <c r="I45" s="30">
        <f t="shared" si="1"/>
        <v>0</v>
      </c>
      <c r="J45" s="11"/>
    </row>
    <row r="46" spans="1:11" ht="10.5" customHeight="1">
      <c r="A46" s="3" t="s">
        <v>110</v>
      </c>
      <c r="B46" s="11"/>
      <c r="C46" s="11"/>
      <c r="D46" s="11"/>
      <c r="E46" s="34">
        <f>D_TA+D_TB</f>
        <v>0</v>
      </c>
      <c r="F46" s="46">
        <f>Cotisations!B40</f>
        <v>3.6000000000000002E-4</v>
      </c>
      <c r="G46" s="34">
        <f t="shared" si="0"/>
        <v>0</v>
      </c>
      <c r="H46" s="60">
        <f>Cotisations!C40</f>
        <v>2.4000000000000001E-4</v>
      </c>
      <c r="I46" s="30">
        <f t="shared" si="1"/>
        <v>0</v>
      </c>
      <c r="J46" s="11"/>
    </row>
    <row r="47" spans="1:11" ht="10.5" hidden="1" customHeight="1">
      <c r="A47" s="3" t="s">
        <v>213</v>
      </c>
      <c r="B47" s="11"/>
      <c r="C47" s="11"/>
      <c r="D47" s="11"/>
      <c r="E47" s="34">
        <f>D_TA</f>
        <v>0</v>
      </c>
      <c r="F47" s="46"/>
      <c r="G47" s="34">
        <f t="shared" si="0"/>
        <v>0</v>
      </c>
      <c r="H47" s="60"/>
      <c r="I47" s="30">
        <f t="shared" si="1"/>
        <v>0</v>
      </c>
      <c r="J47" s="11"/>
    </row>
    <row r="48" spans="1:11" ht="10.5" hidden="1" customHeight="1">
      <c r="A48" s="3" t="s">
        <v>214</v>
      </c>
      <c r="B48" s="11"/>
      <c r="C48" s="11"/>
      <c r="D48" s="11"/>
      <c r="E48" s="34">
        <f>D_TB</f>
        <v>0</v>
      </c>
      <c r="F48" s="46"/>
      <c r="G48" s="34">
        <f t="shared" si="0"/>
        <v>0</v>
      </c>
      <c r="H48" s="60"/>
      <c r="I48" s="30">
        <f t="shared" si="1"/>
        <v>0</v>
      </c>
      <c r="J48" s="11"/>
    </row>
    <row r="49" spans="1:11" ht="10.5" hidden="1" customHeight="1">
      <c r="A49" s="3" t="s">
        <v>218</v>
      </c>
      <c r="B49" s="11"/>
      <c r="C49" s="11"/>
      <c r="D49" s="11"/>
      <c r="E49" s="34">
        <f>D_TC</f>
        <v>0</v>
      </c>
      <c r="F49" s="46"/>
      <c r="G49" s="34">
        <f t="shared" si="0"/>
        <v>0</v>
      </c>
      <c r="H49" s="60"/>
      <c r="I49" s="30">
        <f t="shared" si="1"/>
        <v>0</v>
      </c>
      <c r="J49" s="11"/>
    </row>
    <row r="50" spans="1:11" ht="12" customHeight="1">
      <c r="A50" s="14" t="s">
        <v>36</v>
      </c>
      <c r="B50" s="11"/>
      <c r="C50" s="11"/>
      <c r="D50" s="11"/>
      <c r="E50" s="34"/>
      <c r="F50" s="46"/>
      <c r="G50" s="34">
        <f t="shared" si="0"/>
        <v>0</v>
      </c>
      <c r="H50" s="60"/>
      <c r="I50" s="30">
        <f t="shared" si="1"/>
        <v>0</v>
      </c>
      <c r="J50" s="11"/>
    </row>
    <row r="51" spans="1:11" ht="10.5" customHeight="1">
      <c r="A51" s="3" t="s">
        <v>219</v>
      </c>
      <c r="B51" s="11"/>
      <c r="C51" s="11"/>
      <c r="D51" s="11"/>
      <c r="E51" s="34">
        <f>D_TA</f>
        <v>0</v>
      </c>
      <c r="F51" s="46">
        <f>Cotisations!B41</f>
        <v>1.4999999999999999E-2</v>
      </c>
      <c r="G51" s="34">
        <f>ROUNDUP(E51*F51,2)</f>
        <v>0</v>
      </c>
      <c r="H51" s="60"/>
      <c r="I51" s="30">
        <f>ROUNDUP(E51*H51,2)</f>
        <v>0</v>
      </c>
      <c r="J51" s="11"/>
    </row>
    <row r="52" spans="1:11" ht="10.5" customHeight="1">
      <c r="A52" s="3" t="s">
        <v>37</v>
      </c>
      <c r="B52" s="11"/>
      <c r="C52" s="11"/>
      <c r="D52" s="11"/>
      <c r="E52" s="34">
        <f>D_TA</f>
        <v>0</v>
      </c>
      <c r="F52" s="46"/>
      <c r="G52" s="34">
        <f t="shared" si="0"/>
        <v>0</v>
      </c>
      <c r="H52" s="60"/>
      <c r="I52" s="30">
        <f t="shared" si="1"/>
        <v>0</v>
      </c>
      <c r="J52" s="11"/>
    </row>
    <row r="53" spans="1:11" ht="10.5" customHeight="1">
      <c r="A53" s="3" t="s">
        <v>38</v>
      </c>
      <c r="B53" s="11"/>
      <c r="C53" s="11"/>
      <c r="D53" s="11"/>
      <c r="E53" s="34">
        <f>D_TB</f>
        <v>0</v>
      </c>
      <c r="F53" s="46"/>
      <c r="G53" s="34">
        <f t="shared" si="0"/>
        <v>0</v>
      </c>
      <c r="H53" s="60"/>
      <c r="I53" s="30">
        <f t="shared" si="1"/>
        <v>0</v>
      </c>
      <c r="J53" s="11"/>
    </row>
    <row r="54" spans="1:11" ht="10.5" customHeight="1">
      <c r="A54" s="3" t="s">
        <v>225</v>
      </c>
      <c r="B54" s="11"/>
      <c r="C54" s="11"/>
      <c r="D54" s="11"/>
      <c r="E54" s="34">
        <f>D_TA</f>
        <v>0</v>
      </c>
      <c r="F54" s="46"/>
      <c r="G54" s="34">
        <f t="shared" si="0"/>
        <v>0</v>
      </c>
      <c r="H54" s="60"/>
      <c r="I54" s="30">
        <f t="shared" si="1"/>
        <v>0</v>
      </c>
      <c r="J54" s="11"/>
      <c r="K54" s="818" t="s">
        <v>610</v>
      </c>
    </row>
    <row r="55" spans="1:11" ht="10.5" customHeight="1">
      <c r="A55" s="3" t="s">
        <v>226</v>
      </c>
      <c r="B55" s="11"/>
      <c r="C55" s="11"/>
      <c r="D55" s="11"/>
      <c r="E55" s="34">
        <f>D_TB</f>
        <v>0</v>
      </c>
      <c r="F55" s="46"/>
      <c r="G55" s="34">
        <f t="shared" si="0"/>
        <v>0</v>
      </c>
      <c r="H55" s="60"/>
      <c r="I55" s="30">
        <f t="shared" si="1"/>
        <v>0</v>
      </c>
      <c r="J55" s="11"/>
      <c r="K55" s="1" t="s">
        <v>611</v>
      </c>
    </row>
    <row r="56" spans="1:11" ht="10.5" customHeight="1" thickBot="1">
      <c r="A56" s="3"/>
      <c r="B56" s="11"/>
      <c r="C56" s="11"/>
      <c r="D56" s="11"/>
      <c r="E56" s="34"/>
      <c r="F56" s="11"/>
      <c r="G56" s="34">
        <f t="shared" si="0"/>
        <v>0</v>
      </c>
      <c r="H56" s="12"/>
      <c r="I56" s="30"/>
      <c r="J56" s="11"/>
    </row>
    <row r="57" spans="1:11" ht="12" customHeight="1" thickBot="1">
      <c r="A57" s="10" t="s">
        <v>78</v>
      </c>
      <c r="B57" s="11"/>
      <c r="C57" s="11"/>
      <c r="D57" s="11"/>
      <c r="E57" s="451"/>
      <c r="F57" s="461"/>
      <c r="G57" s="101">
        <f>SUM(G24:G56)</f>
        <v>0</v>
      </c>
      <c r="H57" s="462"/>
      <c r="I57" s="101">
        <f>SUM(I24:I56)</f>
        <v>0</v>
      </c>
      <c r="J57" s="11"/>
    </row>
    <row r="58" spans="1:11" ht="12" customHeight="1" thickBot="1">
      <c r="A58" s="10" t="s">
        <v>43</v>
      </c>
      <c r="E58" s="459"/>
      <c r="F58" s="450"/>
      <c r="G58" s="450"/>
      <c r="H58" s="460"/>
      <c r="I58" s="101">
        <f>D_Brut-I57+SUM(G52:G53)</f>
        <v>0</v>
      </c>
      <c r="J58" s="11"/>
    </row>
    <row r="59" spans="1:11" ht="10.5" customHeight="1">
      <c r="A59" s="3" t="s">
        <v>207</v>
      </c>
      <c r="E59" s="33">
        <f>D_CSGRDS</f>
        <v>0</v>
      </c>
      <c r="F59" s="455"/>
      <c r="G59" s="456"/>
      <c r="H59" s="56">
        <f>Cotisations!C6</f>
        <v>2.4E-2</v>
      </c>
      <c r="I59" s="30">
        <f>E59*H59</f>
        <v>0</v>
      </c>
      <c r="J59" s="11"/>
    </row>
    <row r="60" spans="1:11" ht="10.5" customHeight="1" thickBot="1">
      <c r="A60" s="3" t="s">
        <v>208</v>
      </c>
      <c r="E60" s="86">
        <f>D_CSGRDS</f>
        <v>0</v>
      </c>
      <c r="F60" s="455"/>
      <c r="G60" s="456"/>
      <c r="H60" s="57">
        <f>Cotisations!C7</f>
        <v>5.0000000000000001E-3</v>
      </c>
      <c r="I60" s="30">
        <f>E60*H60</f>
        <v>0</v>
      </c>
      <c r="J60" s="11"/>
    </row>
    <row r="61" spans="1:11" ht="10.5" customHeight="1" thickBot="1">
      <c r="A61" s="21" t="s">
        <v>44</v>
      </c>
      <c r="B61" s="15"/>
      <c r="C61" s="15"/>
      <c r="D61" s="104"/>
      <c r="E61" s="457"/>
      <c r="F61" s="453"/>
      <c r="G61" s="453"/>
      <c r="H61" s="458"/>
      <c r="I61" s="101">
        <f>D_Brut-I57-I59-I60</f>
        <v>0</v>
      </c>
      <c r="J61" s="11"/>
    </row>
    <row r="62" spans="1:11" ht="10.5" customHeight="1">
      <c r="D62" s="102"/>
      <c r="E62" s="19" t="s">
        <v>45</v>
      </c>
      <c r="F62" s="11"/>
      <c r="G62" s="11"/>
      <c r="H62" s="11"/>
      <c r="I62" s="30"/>
      <c r="J62" s="11"/>
    </row>
    <row r="63" spans="1:11" ht="10.5" customHeight="1">
      <c r="D63" s="102"/>
      <c r="E63" s="3"/>
      <c r="F63" s="724"/>
      <c r="G63" s="724"/>
      <c r="H63" s="724"/>
      <c r="I63" s="87"/>
      <c r="J63" s="11"/>
    </row>
    <row r="64" spans="1:11" ht="10.5" customHeight="1">
      <c r="A64" s="382"/>
      <c r="B64" s="383"/>
      <c r="C64" s="383"/>
      <c r="D64" s="102"/>
      <c r="E64" s="3"/>
      <c r="F64" s="724"/>
      <c r="G64" s="724"/>
      <c r="H64" s="724"/>
      <c r="I64" s="87"/>
      <c r="J64" s="11"/>
    </row>
    <row r="65" spans="1:10" ht="10.5" customHeight="1">
      <c r="A65" s="381"/>
      <c r="B65" s="383"/>
      <c r="C65" s="383"/>
      <c r="E65" s="19" t="s">
        <v>46</v>
      </c>
      <c r="F65" s="11"/>
      <c r="G65" s="11"/>
      <c r="H65" s="11"/>
      <c r="I65" s="30"/>
      <c r="J65" s="11"/>
    </row>
    <row r="66" spans="1:10" ht="10.5" customHeight="1">
      <c r="A66" s="381"/>
      <c r="B66" s="383"/>
      <c r="C66" s="383"/>
      <c r="E66" s="3"/>
      <c r="F66" s="724"/>
      <c r="G66" s="724"/>
      <c r="H66" s="724"/>
      <c r="I66" s="87"/>
      <c r="J66" s="11"/>
    </row>
    <row r="67" spans="1:10" ht="10.5" customHeight="1" thickBot="1">
      <c r="A67" s="381"/>
      <c r="B67" s="383"/>
      <c r="C67" s="383"/>
      <c r="E67" s="3"/>
      <c r="F67" s="724"/>
      <c r="G67" s="724"/>
      <c r="H67" s="724"/>
      <c r="I67" s="87"/>
      <c r="J67" s="11"/>
    </row>
    <row r="68" spans="1:10" ht="12" customHeight="1" thickBot="1">
      <c r="A68" s="381"/>
      <c r="B68" s="383"/>
      <c r="C68" s="383"/>
      <c r="E68" s="26" t="s">
        <v>47</v>
      </c>
      <c r="F68" s="25"/>
      <c r="G68" s="25"/>
      <c r="H68" s="25"/>
      <c r="I68" s="101">
        <f>SUM(I61:I67)</f>
        <v>0</v>
      </c>
      <c r="J68" s="11"/>
    </row>
    <row r="77" spans="1:10" ht="10.5" customHeight="1" thickBot="1"/>
    <row r="78" spans="1:10" ht="10.5" customHeight="1" thickBot="1">
      <c r="A78" s="105"/>
      <c r="B78" s="35" t="s">
        <v>54</v>
      </c>
      <c r="C78" s="981" t="s">
        <v>55</v>
      </c>
      <c r="D78" s="982"/>
      <c r="E78" s="27" t="s">
        <v>56</v>
      </c>
      <c r="F78" s="27" t="s">
        <v>57</v>
      </c>
      <c r="G78" s="27" t="s">
        <v>58</v>
      </c>
      <c r="H78" s="27" t="s">
        <v>59</v>
      </c>
      <c r="I78" s="28" t="s">
        <v>43</v>
      </c>
    </row>
    <row r="79" spans="1:10" ht="10.5" customHeight="1">
      <c r="A79" s="17" t="s">
        <v>52</v>
      </c>
      <c r="B79" s="29"/>
      <c r="C79" s="971">
        <f>D_Brut</f>
        <v>0</v>
      </c>
      <c r="D79" s="972"/>
      <c r="E79" s="29">
        <f>D_TA</f>
        <v>0</v>
      </c>
      <c r="F79" s="29">
        <f>D_TB</f>
        <v>0</v>
      </c>
      <c r="G79" s="29">
        <f>D_TC</f>
        <v>0</v>
      </c>
      <c r="H79" s="29">
        <f>I68</f>
        <v>0</v>
      </c>
      <c r="I79" s="36">
        <f>I58</f>
        <v>0</v>
      </c>
    </row>
    <row r="80" spans="1:10" ht="10.5" customHeight="1" thickBot="1">
      <c r="A80" s="20" t="s">
        <v>53</v>
      </c>
      <c r="B80" s="120"/>
      <c r="C80" s="969"/>
      <c r="D80" s="970"/>
      <c r="E80" s="120"/>
      <c r="F80" s="120"/>
      <c r="G80" s="120"/>
      <c r="H80" s="120"/>
      <c r="I80" s="121"/>
    </row>
    <row r="82" spans="1:2" ht="10.5" customHeight="1">
      <c r="A82" s="968" t="s">
        <v>82</v>
      </c>
      <c r="B82" s="968"/>
    </row>
    <row r="83" spans="1:2" ht="15">
      <c r="A83" s="18" t="s">
        <v>222</v>
      </c>
      <c r="B83" s="29">
        <f>MIN(D_Brut,D_Plafond)</f>
        <v>0</v>
      </c>
    </row>
    <row r="84" spans="1:2" ht="15">
      <c r="A84" s="18" t="s">
        <v>84</v>
      </c>
      <c r="B84" s="29">
        <f>IF(D_Brut&lt;D_Plafond,0,MIN(D_Brut-D_Plafond,3*D_Plafond))</f>
        <v>0</v>
      </c>
    </row>
    <row r="85" spans="1:2" ht="15">
      <c r="A85" s="18" t="s">
        <v>220</v>
      </c>
      <c r="B85" s="29">
        <f>IF(D_Brut&lt;4*D_Plafond,0,MIN(D_Brut-4*D_Plafond,4*D_Plafond))</f>
        <v>0</v>
      </c>
    </row>
    <row r="86" spans="1:2" ht="15">
      <c r="A86" s="18" t="s">
        <v>223</v>
      </c>
      <c r="B86" s="29">
        <f>IF(D_Brut=0,0,IF(D_TB&lt;GMP,GMP-D_TB,0))</f>
        <v>0</v>
      </c>
    </row>
    <row r="87" spans="1:2" ht="15">
      <c r="A87" s="18" t="s">
        <v>86</v>
      </c>
      <c r="B87" s="29">
        <f>0.9825*MIN(D_Brut,4*D_Plafond)+MAX(D_Brut-4*D_Plafond,0)+SUM(G47:G55)</f>
        <v>0</v>
      </c>
    </row>
    <row r="88" spans="1:2" ht="15" customHeight="1"/>
    <row r="89" spans="1:2" ht="15" customHeight="1"/>
    <row r="90" spans="1:2" ht="15" customHeight="1"/>
    <row r="91" spans="1:2" ht="15" customHeight="1"/>
    <row r="92" spans="1:2" ht="15" customHeight="1"/>
    <row r="93" spans="1:2" ht="15" customHeight="1"/>
    <row r="94" spans="1:2" ht="15" customHeight="1"/>
    <row r="95" spans="1:2" ht="15" customHeight="1"/>
    <row r="96" spans="1:2" ht="15" customHeight="1"/>
    <row r="97" ht="15" customHeight="1"/>
    <row r="98" ht="15" customHeight="1"/>
    <row r="99" ht="15" customHeight="1"/>
    <row r="100" ht="15" customHeight="1"/>
    <row r="101" ht="15" customHeight="1"/>
    <row r="102" ht="15" customHeight="1"/>
    <row r="103" ht="15" customHeight="1"/>
    <row r="104" ht="15" customHeight="1"/>
    <row r="105" ht="15" customHeight="1"/>
    <row r="106" ht="15" customHeight="1"/>
    <row r="107" ht="15" customHeight="1"/>
    <row r="108" ht="15" customHeight="1"/>
    <row r="109" ht="15" customHeight="1"/>
    <row r="110" ht="15" customHeight="1"/>
    <row r="111" ht="15" customHeight="1"/>
    <row r="112" ht="15" customHeight="1"/>
    <row r="113" ht="15" customHeight="1"/>
    <row r="114" ht="15" customHeight="1"/>
    <row r="115" ht="15" customHeight="1"/>
    <row r="116" ht="15" customHeight="1"/>
    <row r="117" ht="15" customHeight="1"/>
    <row r="118" ht="15" customHeight="1"/>
    <row r="119" ht="15" customHeight="1"/>
    <row r="120" ht="15" customHeight="1"/>
    <row r="121" ht="15" customHeight="1"/>
    <row r="122" ht="15" customHeight="1"/>
    <row r="123" ht="15" customHeight="1"/>
    <row r="124" ht="15" customHeight="1"/>
    <row r="125" ht="15" customHeight="1"/>
    <row r="126" ht="15" customHeight="1"/>
    <row r="127" ht="15" customHeight="1"/>
    <row r="128" ht="15" customHeight="1"/>
    <row r="129" ht="15" customHeight="1"/>
    <row r="130" ht="15" customHeight="1"/>
    <row r="131" ht="15" customHeight="1"/>
    <row r="132" ht="15" customHeight="1"/>
    <row r="133" ht="15" customHeight="1"/>
    <row r="134" ht="15" customHeight="1"/>
    <row r="135" ht="15" customHeight="1"/>
    <row r="136" ht="15" customHeight="1"/>
    <row r="137" ht="15" customHeight="1"/>
    <row r="138" ht="15" customHeight="1"/>
    <row r="139" ht="15" customHeight="1"/>
    <row r="140" ht="15" customHeight="1"/>
    <row r="141" ht="15" customHeight="1"/>
    <row r="142" ht="15" customHeight="1"/>
    <row r="143" ht="15" customHeight="1"/>
    <row r="144" ht="15" customHeight="1"/>
    <row r="145" ht="15" customHeight="1"/>
    <row r="146" ht="15" customHeight="1"/>
    <row r="147" ht="15" customHeight="1"/>
    <row r="148" ht="15" customHeight="1"/>
    <row r="149" ht="15" customHeight="1"/>
    <row r="150" ht="15" customHeight="1"/>
    <row r="151" ht="15" customHeight="1"/>
    <row r="152" ht="15" customHeight="1"/>
    <row r="153" ht="15" customHeight="1"/>
    <row r="154" ht="15" customHeight="1"/>
    <row r="155" ht="15" customHeight="1"/>
    <row r="156" ht="15" customHeight="1"/>
    <row r="157" ht="15" customHeight="1"/>
    <row r="158" ht="15" customHeight="1"/>
    <row r="159" ht="15" customHeight="1"/>
    <row r="160" ht="15" customHeight="1"/>
    <row r="161" ht="15" customHeight="1"/>
    <row r="162" ht="15" customHeight="1"/>
    <row r="163" ht="15" customHeight="1"/>
    <row r="164" ht="15" customHeight="1"/>
    <row r="165" ht="15" customHeight="1"/>
    <row r="166" ht="15" customHeight="1"/>
    <row r="167" ht="15" customHeight="1"/>
    <row r="168" ht="15" customHeight="1"/>
    <row r="169" ht="15" customHeight="1"/>
    <row r="170" ht="15" customHeight="1"/>
    <row r="171" ht="15" customHeight="1"/>
    <row r="172" ht="15" customHeight="1"/>
    <row r="173" ht="15" customHeight="1"/>
    <row r="174" ht="15" customHeight="1"/>
    <row r="175" ht="15" customHeight="1"/>
    <row r="176" ht="15" customHeight="1"/>
    <row r="177" ht="15" customHeight="1"/>
    <row r="178" ht="15" customHeight="1"/>
    <row r="179" ht="15" customHeight="1"/>
    <row r="180" ht="15" customHeight="1"/>
    <row r="181" ht="15" customHeight="1"/>
    <row r="182" ht="15" customHeight="1"/>
    <row r="183" ht="15" customHeight="1"/>
    <row r="184" ht="15" customHeight="1"/>
    <row r="185" ht="15" customHeight="1"/>
    <row r="186" ht="15" customHeight="1"/>
    <row r="187" ht="15" customHeight="1"/>
    <row r="188" ht="15" customHeight="1"/>
    <row r="189" ht="15" customHeight="1"/>
    <row r="190" ht="15" customHeight="1"/>
    <row r="191" ht="15" customHeight="1"/>
    <row r="192" ht="15" customHeight="1"/>
  </sheetData>
  <mergeCells count="29">
    <mergeCell ref="A82:B82"/>
    <mergeCell ref="B10:E10"/>
    <mergeCell ref="H10:I10"/>
    <mergeCell ref="B11:E11"/>
    <mergeCell ref="H11:I11"/>
    <mergeCell ref="G13:H13"/>
    <mergeCell ref="A15:D16"/>
    <mergeCell ref="F15:G15"/>
    <mergeCell ref="H15:H16"/>
    <mergeCell ref="I15:I16"/>
    <mergeCell ref="F22:G22"/>
    <mergeCell ref="H22:I22"/>
    <mergeCell ref="C78:D78"/>
    <mergeCell ref="C79:D79"/>
    <mergeCell ref="C80:D80"/>
    <mergeCell ref="B9:E9"/>
    <mergeCell ref="H9:I9"/>
    <mergeCell ref="A1:E2"/>
    <mergeCell ref="H2:I2"/>
    <mergeCell ref="H3:I3"/>
    <mergeCell ref="A4:E4"/>
    <mergeCell ref="H4:I4"/>
    <mergeCell ref="B5:E5"/>
    <mergeCell ref="H5:I5"/>
    <mergeCell ref="B6:E6"/>
    <mergeCell ref="B7:E7"/>
    <mergeCell ref="H7:I7"/>
    <mergeCell ref="B8:E8"/>
    <mergeCell ref="H8:I8"/>
  </mergeCells>
  <dataValidations count="1">
    <dataValidation type="list" allowBlank="1" showInputMessage="1" showErrorMessage="1" sqref="A29">
      <formula1>Liste_AF</formula1>
    </dataValidation>
  </dataValidations>
  <pageMargins left="0.19685039370078741" right="0.19685039370078741" top="0.39370078740157483" bottom="0.19685039370078741" header="0.19685039370078741" footer="0.19685039370078741"/>
  <pageSetup paperSize="9" orientation="portrait" r:id="rId1"/>
  <headerFooter differentFirst="1">
    <oddHeader>&amp;LEmmanuel ESNAULT</oddHeader>
    <firstHeader>&amp;LEmmanuel ESNAULT</firstHeader>
    <firstFooter>&amp;C&amp;7DANS VOTRE INTERET ET POUR FAIRE VALOIR VOS DROITS, NOUS VOUS CONSEILLONS DE CONSERVER CE BULLETIN SANS LIMITATION DE DUREE</firstFooter>
  </headerFooter>
  <rowBreaks count="1" manualBreakCount="1">
    <brk id="80" max="16383" man="1"/>
  </rowBreak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>
    <tabColor rgb="FFFFFF00"/>
  </sheetPr>
  <dimension ref="A1:L201"/>
  <sheetViews>
    <sheetView showZeros="0" zoomScale="130" zoomScaleNormal="130" workbookViewId="0">
      <selection activeCell="B5" sqref="B5:D5"/>
    </sheetView>
  </sheetViews>
  <sheetFormatPr baseColWidth="10" defaultRowHeight="10.5" customHeight="1"/>
  <cols>
    <col min="1" max="1" width="7.42578125" style="8" customWidth="1"/>
    <col min="2" max="2" width="4" style="8" customWidth="1"/>
    <col min="3" max="4" width="12.5703125" style="8" customWidth="1"/>
    <col min="5" max="5" width="0.85546875" style="8" customWidth="1"/>
    <col min="6" max="10" width="12.5703125" style="8" customWidth="1"/>
    <col min="11" max="11" width="1.7109375" style="8" customWidth="1"/>
    <col min="12" max="16384" width="11.42578125" style="8"/>
  </cols>
  <sheetData>
    <row r="1" spans="1:11" ht="10.5" customHeight="1">
      <c r="A1" s="996" t="s">
        <v>60</v>
      </c>
      <c r="B1" s="997"/>
      <c r="C1" s="997"/>
      <c r="D1" s="997"/>
      <c r="E1" s="997"/>
      <c r="F1" s="998"/>
      <c r="G1" s="1"/>
      <c r="H1" s="22"/>
      <c r="I1" s="419" t="s">
        <v>62</v>
      </c>
      <c r="J1" s="23"/>
    </row>
    <row r="2" spans="1:11" ht="10.5" customHeight="1" thickBot="1">
      <c r="A2" s="999"/>
      <c r="B2" s="1000"/>
      <c r="C2" s="1000"/>
      <c r="D2" s="1000"/>
      <c r="E2" s="1000"/>
      <c r="F2" s="1001"/>
      <c r="G2" s="1"/>
      <c r="H2" s="110" t="s">
        <v>63</v>
      </c>
      <c r="I2" s="977"/>
      <c r="J2" s="978"/>
    </row>
    <row r="3" spans="1:11" ht="10.5" customHeight="1" thickBot="1">
      <c r="A3" s="2"/>
      <c r="B3" s="2"/>
      <c r="C3" s="2"/>
      <c r="D3" s="2"/>
      <c r="E3" s="2"/>
      <c r="F3" s="2"/>
      <c r="G3" s="1"/>
      <c r="H3" s="111" t="s">
        <v>64</v>
      </c>
      <c r="I3" s="979"/>
      <c r="J3" s="980"/>
    </row>
    <row r="4" spans="1:11" ht="10.5" customHeight="1">
      <c r="A4" s="1006" t="s">
        <v>61</v>
      </c>
      <c r="B4" s="1007"/>
      <c r="C4" s="1007"/>
      <c r="D4" s="1007"/>
      <c r="E4" s="1007"/>
      <c r="F4" s="1008"/>
      <c r="G4" s="1"/>
      <c r="H4" s="111" t="s">
        <v>65</v>
      </c>
      <c r="I4" s="979"/>
      <c r="J4" s="980"/>
    </row>
    <row r="5" spans="1:11" ht="10.5" customHeight="1">
      <c r="A5" s="3" t="s">
        <v>88</v>
      </c>
      <c r="B5" s="418"/>
      <c r="C5" s="1020">
        <f>Société!B3</f>
        <v>0</v>
      </c>
      <c r="D5" s="1020"/>
      <c r="E5" s="1020"/>
      <c r="F5" s="1021"/>
      <c r="G5" s="1"/>
      <c r="H5" s="111" t="s">
        <v>66</v>
      </c>
      <c r="I5" s="979" t="s">
        <v>87</v>
      </c>
      <c r="J5" s="980"/>
    </row>
    <row r="6" spans="1:11" ht="10.5" customHeight="1">
      <c r="A6" s="3" t="s">
        <v>69</v>
      </c>
      <c r="B6" s="418"/>
      <c r="C6" s="983">
        <f>Société!B4</f>
        <v>0</v>
      </c>
      <c r="D6" s="983"/>
      <c r="E6" s="983"/>
      <c r="F6" s="984"/>
      <c r="G6" s="1"/>
      <c r="H6" s="111" t="s">
        <v>71</v>
      </c>
      <c r="I6" s="416" t="s">
        <v>72</v>
      </c>
      <c r="J6" s="417" t="s">
        <v>73</v>
      </c>
    </row>
    <row r="7" spans="1:11" ht="10.5" customHeight="1">
      <c r="A7" s="3"/>
      <c r="B7" s="418"/>
      <c r="C7" s="983">
        <f>Société!B5</f>
        <v>0</v>
      </c>
      <c r="D7" s="983"/>
      <c r="E7" s="983"/>
      <c r="F7" s="984"/>
      <c r="G7" s="1"/>
      <c r="H7" s="111" t="s">
        <v>67</v>
      </c>
      <c r="I7" s="979"/>
      <c r="J7" s="980"/>
    </row>
    <row r="8" spans="1:11" ht="10.5" customHeight="1">
      <c r="A8" s="3" t="s">
        <v>74</v>
      </c>
      <c r="B8" s="418"/>
      <c r="C8" s="983">
        <f>Société!B6</f>
        <v>0</v>
      </c>
      <c r="D8" s="983"/>
      <c r="E8" s="983"/>
      <c r="F8" s="984"/>
      <c r="G8" s="1"/>
      <c r="H8" s="111" t="s">
        <v>68</v>
      </c>
      <c r="I8" s="1022"/>
      <c r="J8" s="1023"/>
    </row>
    <row r="9" spans="1:11" ht="10.5" customHeight="1">
      <c r="A9" s="3" t="s">
        <v>75</v>
      </c>
      <c r="B9" s="418"/>
      <c r="C9" s="983">
        <f>Société!B7</f>
        <v>0</v>
      </c>
      <c r="D9" s="983"/>
      <c r="E9" s="983"/>
      <c r="F9" s="984"/>
      <c r="G9" s="1"/>
      <c r="H9" s="111" t="s">
        <v>69</v>
      </c>
      <c r="I9" s="979"/>
      <c r="J9" s="980"/>
    </row>
    <row r="10" spans="1:11" ht="10.5" customHeight="1">
      <c r="A10" s="3" t="s">
        <v>76</v>
      </c>
      <c r="B10" s="418"/>
      <c r="C10" s="983">
        <f>Société!B8</f>
        <v>0</v>
      </c>
      <c r="D10" s="983"/>
      <c r="E10" s="983"/>
      <c r="F10" s="984"/>
      <c r="G10" s="1"/>
      <c r="H10" s="111"/>
      <c r="I10" s="979"/>
      <c r="J10" s="980"/>
    </row>
    <row r="11" spans="1:11" ht="10.5" customHeight="1" thickBot="1">
      <c r="A11" s="4" t="s">
        <v>77</v>
      </c>
      <c r="B11" s="423"/>
      <c r="C11" s="985">
        <f>Société!B9</f>
        <v>0</v>
      </c>
      <c r="D11" s="985"/>
      <c r="E11" s="985"/>
      <c r="F11" s="986"/>
      <c r="G11" s="1"/>
      <c r="H11" s="4" t="s">
        <v>451</v>
      </c>
      <c r="I11" s="495"/>
      <c r="J11" s="496"/>
    </row>
    <row r="12" spans="1:11" ht="10.5" customHeight="1" thickBot="1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1" ht="10.5" customHeight="1" thickBot="1">
      <c r="A13" s="94" t="s">
        <v>79</v>
      </c>
      <c r="B13" s="96"/>
      <c r="C13" s="95">
        <f>Société!B19</f>
        <v>0</v>
      </c>
      <c r="D13" s="422" t="s">
        <v>80</v>
      </c>
      <c r="E13" s="96"/>
      <c r="F13" s="97">
        <f>IF(C13=0,0,EOMONTH(C13,0))</f>
        <v>0</v>
      </c>
      <c r="G13" s="1"/>
      <c r="H13" s="1016" t="s">
        <v>81</v>
      </c>
      <c r="I13" s="1017"/>
      <c r="J13" s="99">
        <f>3269*F17/151.67</f>
        <v>3269</v>
      </c>
    </row>
    <row r="14" spans="1:11" ht="10.5" customHeight="1" thickBot="1">
      <c r="A14" s="1"/>
      <c r="B14" s="1"/>
      <c r="C14" s="1"/>
      <c r="D14" s="1"/>
      <c r="E14" s="1"/>
      <c r="F14" s="1"/>
      <c r="G14" s="1"/>
      <c r="H14" s="1"/>
      <c r="I14" s="1"/>
      <c r="J14" s="1"/>
    </row>
    <row r="15" spans="1:11" ht="10.5" customHeight="1">
      <c r="A15" s="1002" t="s">
        <v>0</v>
      </c>
      <c r="B15" s="1003"/>
      <c r="C15" s="1003"/>
      <c r="D15" s="1003"/>
      <c r="E15" s="1003"/>
      <c r="F15" s="420" t="s">
        <v>50</v>
      </c>
      <c r="G15" s="1011"/>
      <c r="H15" s="1011"/>
      <c r="I15" s="1012" t="s">
        <v>1</v>
      </c>
      <c r="J15" s="1014" t="s">
        <v>3</v>
      </c>
      <c r="K15" s="11"/>
    </row>
    <row r="16" spans="1:11" ht="10.5" customHeight="1">
      <c r="A16" s="1004"/>
      <c r="B16" s="1005"/>
      <c r="C16" s="1005"/>
      <c r="D16" s="1005"/>
      <c r="E16" s="1005"/>
      <c r="F16" s="421" t="s">
        <v>51</v>
      </c>
      <c r="G16" s="447"/>
      <c r="H16" s="448"/>
      <c r="I16" s="1013"/>
      <c r="J16" s="1015"/>
      <c r="K16" s="11"/>
    </row>
    <row r="17" spans="1:12" ht="10.5" customHeight="1">
      <c r="A17" s="3" t="s">
        <v>5</v>
      </c>
      <c r="B17" s="418"/>
      <c r="C17" s="418"/>
      <c r="D17" s="418"/>
      <c r="E17" s="418"/>
      <c r="F17" s="9">
        <v>151.66999999999999</v>
      </c>
      <c r="G17" s="449"/>
      <c r="H17" s="449"/>
      <c r="I17" s="9">
        <f>J17/F17</f>
        <v>0</v>
      </c>
      <c r="J17" s="87"/>
      <c r="K17" s="11"/>
    </row>
    <row r="18" spans="1:12" ht="10.5" customHeight="1">
      <c r="A18" s="3" t="str">
        <f>IF(B18=0,"","Absences")</f>
        <v>Absences</v>
      </c>
      <c r="B18" s="987" t="s">
        <v>209</v>
      </c>
      <c r="C18" s="987"/>
      <c r="D18" s="418"/>
      <c r="E18" s="418"/>
      <c r="F18" s="9"/>
      <c r="G18" s="449"/>
      <c r="H18" s="449"/>
      <c r="I18" s="100" t="str">
        <f>IF(B18="en heures réelles",IF(H82=0,"Heures réelles",J17/H82),IF(B18="au 30ème",J17/30,J17/26))</f>
        <v>Heures réelles</v>
      </c>
      <c r="J18" s="87">
        <f>IF(I18="Heures réelles",0,-F18*I18)</f>
        <v>0</v>
      </c>
      <c r="K18" s="11"/>
    </row>
    <row r="19" spans="1:12" ht="10.5" customHeight="1">
      <c r="A19" s="3" t="s">
        <v>10</v>
      </c>
      <c r="B19" s="1026">
        <v>1.25</v>
      </c>
      <c r="C19" s="1026"/>
      <c r="D19" s="418"/>
      <c r="E19" s="418"/>
      <c r="F19" s="9"/>
      <c r="G19" s="449"/>
      <c r="H19" s="449"/>
      <c r="I19" s="9">
        <f>IF(B19=0,$I$17,$I$17*B19)</f>
        <v>0</v>
      </c>
      <c r="J19" s="87">
        <f>F19*I19</f>
        <v>0</v>
      </c>
      <c r="K19" s="11"/>
      <c r="L19" s="789" t="s">
        <v>639</v>
      </c>
    </row>
    <row r="20" spans="1:12" ht="10.5" customHeight="1">
      <c r="A20" s="3" t="s">
        <v>10</v>
      </c>
      <c r="B20" s="1026">
        <v>1.5</v>
      </c>
      <c r="C20" s="1026"/>
      <c r="D20" s="418"/>
      <c r="E20" s="418"/>
      <c r="F20" s="9"/>
      <c r="G20" s="449"/>
      <c r="H20" s="449"/>
      <c r="I20" s="9">
        <f>IF(B20=0,$I$17,$I$17*B20)</f>
        <v>0</v>
      </c>
      <c r="J20" s="87">
        <f>F20*I20</f>
        <v>0</v>
      </c>
      <c r="K20" s="11"/>
      <c r="L20" s="789" t="s">
        <v>640</v>
      </c>
    </row>
    <row r="21" spans="1:12" ht="10.5" customHeight="1">
      <c r="A21" s="3" t="s">
        <v>14</v>
      </c>
      <c r="B21" s="418"/>
      <c r="C21" s="418"/>
      <c r="D21" s="418"/>
      <c r="E21" s="418"/>
      <c r="F21" s="9"/>
      <c r="G21" s="449"/>
      <c r="H21" s="449"/>
      <c r="I21" s="5"/>
      <c r="J21" s="87"/>
      <c r="K21" s="11"/>
      <c r="L21" s="789" t="s">
        <v>641</v>
      </c>
    </row>
    <row r="22" spans="1:12" ht="10.5" customHeight="1">
      <c r="A22" s="3" t="s">
        <v>15</v>
      </c>
      <c r="B22" s="418"/>
      <c r="C22" s="418"/>
      <c r="D22" s="418"/>
      <c r="E22" s="418"/>
      <c r="F22" s="9"/>
      <c r="G22" s="449"/>
      <c r="H22" s="449"/>
      <c r="I22" s="5"/>
      <c r="J22" s="87"/>
      <c r="K22" s="11"/>
    </row>
    <row r="23" spans="1:12" ht="10.5" customHeight="1" thickBot="1">
      <c r="A23" s="3" t="s">
        <v>16</v>
      </c>
      <c r="B23" s="418"/>
      <c r="C23" s="418"/>
      <c r="D23" s="418"/>
      <c r="E23" s="418"/>
      <c r="F23" s="9"/>
      <c r="G23" s="449"/>
      <c r="H23" s="449"/>
      <c r="I23" s="5"/>
      <c r="J23" s="87"/>
      <c r="K23" s="11"/>
    </row>
    <row r="24" spans="1:12" ht="10.5" customHeight="1" thickBot="1">
      <c r="A24" s="10" t="s">
        <v>17</v>
      </c>
      <c r="B24" s="403"/>
      <c r="C24" s="11"/>
      <c r="D24" s="11"/>
      <c r="E24" s="11"/>
      <c r="F24" s="34"/>
      <c r="G24" s="450"/>
      <c r="H24" s="450"/>
      <c r="I24" s="484"/>
      <c r="J24" s="32">
        <f>SUM(J17:J23)</f>
        <v>0</v>
      </c>
      <c r="K24" s="11"/>
    </row>
    <row r="25" spans="1:12" ht="10.5" customHeight="1">
      <c r="A25" s="13"/>
      <c r="B25" s="11"/>
      <c r="C25" s="11"/>
      <c r="D25" s="11"/>
      <c r="E25" s="11"/>
      <c r="F25" s="34"/>
      <c r="G25" s="1009" t="s">
        <v>2</v>
      </c>
      <c r="H25" s="1009"/>
      <c r="I25" s="1009" t="s">
        <v>4</v>
      </c>
      <c r="J25" s="1010"/>
      <c r="K25" s="11"/>
    </row>
    <row r="26" spans="1:12" ht="10.5" customHeight="1">
      <c r="A26" s="13"/>
      <c r="B26" s="11"/>
      <c r="C26" s="11"/>
      <c r="D26" s="11"/>
      <c r="E26" s="11"/>
      <c r="F26" s="34"/>
      <c r="G26" s="6" t="s">
        <v>1</v>
      </c>
      <c r="H26" s="6" t="s">
        <v>3</v>
      </c>
      <c r="I26" s="6" t="s">
        <v>1</v>
      </c>
      <c r="J26" s="7" t="s">
        <v>3</v>
      </c>
      <c r="K26" s="11"/>
    </row>
    <row r="27" spans="1:12" ht="12" customHeight="1">
      <c r="A27" s="14" t="s">
        <v>18</v>
      </c>
      <c r="B27" s="404"/>
      <c r="C27" s="11"/>
      <c r="D27" s="11"/>
      <c r="E27" s="11"/>
      <c r="F27" s="34"/>
      <c r="G27" s="46"/>
      <c r="H27" s="33"/>
      <c r="I27" s="61"/>
      <c r="J27" s="30"/>
      <c r="K27" s="11"/>
    </row>
    <row r="28" spans="1:12" ht="10.5" customHeight="1">
      <c r="A28" s="3" t="s">
        <v>98</v>
      </c>
      <c r="B28" s="418"/>
      <c r="C28" s="11"/>
      <c r="D28" s="11"/>
      <c r="E28" s="11"/>
      <c r="F28" s="34">
        <f>CPro_CSGRDS</f>
        <v>0</v>
      </c>
      <c r="G28" s="46"/>
      <c r="H28" s="34">
        <f t="shared" ref="H28:H60" si="0">ROUNDUP(F28*G28,2)</f>
        <v>0</v>
      </c>
      <c r="I28" s="60">
        <f>Cotisations!C5</f>
        <v>5.0999999999999997E-2</v>
      </c>
      <c r="J28" s="30">
        <f t="shared" ref="J28:J61" si="1">ROUNDUP(F28*I28,2)</f>
        <v>0</v>
      </c>
      <c r="K28" s="11"/>
    </row>
    <row r="29" spans="1:12" ht="10.5" customHeight="1">
      <c r="A29" s="3" t="s">
        <v>19</v>
      </c>
      <c r="B29" s="418"/>
      <c r="C29" s="11"/>
      <c r="D29" s="11"/>
      <c r="E29" s="11"/>
      <c r="F29" s="34">
        <f t="shared" ref="F29:F35" si="2">CPro_Brut</f>
        <v>0</v>
      </c>
      <c r="G29" s="492"/>
      <c r="H29" s="34">
        <f>ROUNDUP(F29*G30,2)</f>
        <v>0</v>
      </c>
      <c r="I29" s="60">
        <f>Cotisations!C8</f>
        <v>7.4999999999999997E-3</v>
      </c>
      <c r="J29" s="30">
        <f t="shared" si="1"/>
        <v>0</v>
      </c>
      <c r="K29" s="11"/>
    </row>
    <row r="30" spans="1:12" ht="10.5" customHeight="1">
      <c r="A30" s="3" t="s">
        <v>447</v>
      </c>
      <c r="B30" s="418"/>
      <c r="C30" s="11"/>
      <c r="D30" s="11"/>
      <c r="E30" s="11"/>
      <c r="F30" s="34">
        <f>CPRO_TEXO</f>
        <v>0</v>
      </c>
      <c r="G30" s="46">
        <f>Cotisations!B8</f>
        <v>0.12889999999999999</v>
      </c>
      <c r="H30" s="34"/>
      <c r="I30" s="60"/>
      <c r="J30" s="30"/>
      <c r="K30" s="11"/>
    </row>
    <row r="31" spans="1:12" ht="10.5" customHeight="1">
      <c r="A31" s="3" t="s">
        <v>20</v>
      </c>
      <c r="B31" s="418"/>
      <c r="C31" s="11"/>
      <c r="D31" s="11"/>
      <c r="E31" s="11"/>
      <c r="F31" s="34">
        <f t="shared" si="2"/>
        <v>0</v>
      </c>
      <c r="G31" s="46">
        <f>Cotisations!B9</f>
        <v>3.0000000000000001E-3</v>
      </c>
      <c r="H31" s="34">
        <f t="shared" si="0"/>
        <v>0</v>
      </c>
      <c r="I31" s="60"/>
      <c r="J31" s="30">
        <f t="shared" si="1"/>
        <v>0</v>
      </c>
      <c r="K31" s="11"/>
    </row>
    <row r="32" spans="1:12" ht="10.5" customHeight="1">
      <c r="A32" s="3" t="s">
        <v>21</v>
      </c>
      <c r="B32" s="418"/>
      <c r="C32" s="11"/>
      <c r="D32" s="11"/>
      <c r="E32" s="11"/>
      <c r="F32" s="34">
        <f t="shared" si="2"/>
        <v>0</v>
      </c>
      <c r="G32" s="46">
        <f>Société!B16</f>
        <v>0</v>
      </c>
      <c r="H32" s="34">
        <f t="shared" si="0"/>
        <v>0</v>
      </c>
      <c r="I32" s="60"/>
      <c r="J32" s="30">
        <f t="shared" si="1"/>
        <v>0</v>
      </c>
      <c r="K32" s="11"/>
    </row>
    <row r="33" spans="1:11" ht="10.5" customHeight="1">
      <c r="A33" s="3" t="s">
        <v>274</v>
      </c>
      <c r="B33" s="418"/>
      <c r="C33" s="11"/>
      <c r="D33" s="11"/>
      <c r="E33" s="11"/>
      <c r="F33" s="34">
        <f>CPRO_TEXO</f>
        <v>0</v>
      </c>
      <c r="G33" s="46">
        <f>Cotisations!B10+IF(CPro_Brut&lt;3.5*SMIC_Fillon,0,Cotisations!B11)</f>
        <v>3.4500000000000003E-2</v>
      </c>
      <c r="H33" s="34">
        <f t="shared" si="0"/>
        <v>0</v>
      </c>
      <c r="I33" s="60"/>
      <c r="J33" s="30">
        <f t="shared" si="1"/>
        <v>0</v>
      </c>
      <c r="K33" s="11"/>
    </row>
    <row r="34" spans="1:11" ht="10.5" customHeight="1">
      <c r="A34" s="3" t="s">
        <v>23</v>
      </c>
      <c r="B34" s="418"/>
      <c r="C34" s="11"/>
      <c r="D34" s="11"/>
      <c r="E34" s="11"/>
      <c r="F34" s="45">
        <f t="shared" si="2"/>
        <v>0</v>
      </c>
      <c r="G34" s="46">
        <f>Société!B17</f>
        <v>0</v>
      </c>
      <c r="H34" s="34">
        <f t="shared" si="0"/>
        <v>0</v>
      </c>
      <c r="I34" s="60"/>
      <c r="J34" s="30">
        <f t="shared" si="1"/>
        <v>0</v>
      </c>
      <c r="K34" s="11"/>
    </row>
    <row r="35" spans="1:11" ht="10.5" customHeight="1">
      <c r="A35" s="3" t="s">
        <v>24</v>
      </c>
      <c r="B35" s="418"/>
      <c r="C35" s="11"/>
      <c r="D35" s="11"/>
      <c r="E35" s="11"/>
      <c r="F35" s="34">
        <f t="shared" si="2"/>
        <v>0</v>
      </c>
      <c r="G35" s="492"/>
      <c r="H35" s="34">
        <f>ROUNDUP(F35*G36,2)</f>
        <v>0</v>
      </c>
      <c r="I35" s="60">
        <f>Cotisations!C12</f>
        <v>4.0000000000000001E-3</v>
      </c>
      <c r="J35" s="30">
        <f t="shared" si="1"/>
        <v>0</v>
      </c>
      <c r="K35" s="11"/>
    </row>
    <row r="36" spans="1:11" ht="10.5" customHeight="1">
      <c r="A36" s="3" t="s">
        <v>448</v>
      </c>
      <c r="B36" s="418"/>
      <c r="C36" s="11"/>
      <c r="D36" s="11"/>
      <c r="E36" s="11"/>
      <c r="F36" s="34">
        <f>CPRO_TEXO</f>
        <v>0</v>
      </c>
      <c r="G36" s="46">
        <f>Cotisations!B12</f>
        <v>1.9E-2</v>
      </c>
      <c r="H36" s="34"/>
      <c r="I36" s="60"/>
      <c r="J36" s="30"/>
      <c r="K36" s="11"/>
    </row>
    <row r="37" spans="1:11" ht="10.5" customHeight="1">
      <c r="A37" s="3" t="s">
        <v>25</v>
      </c>
      <c r="B37" s="418"/>
      <c r="C37" s="11"/>
      <c r="D37" s="11"/>
      <c r="E37" s="11"/>
      <c r="F37" s="34">
        <f>MIN(CPro_Brut,CPro_Plafond)</f>
        <v>0</v>
      </c>
      <c r="G37" s="492"/>
      <c r="H37" s="34">
        <f>ROUNDUP(F37*G38,2)</f>
        <v>0</v>
      </c>
      <c r="I37" s="60">
        <f>Cotisations!C13</f>
        <v>6.9000000000000006E-2</v>
      </c>
      <c r="J37" s="30">
        <f t="shared" si="1"/>
        <v>0</v>
      </c>
      <c r="K37" s="11"/>
    </row>
    <row r="38" spans="1:11" ht="10.5" customHeight="1">
      <c r="A38" s="3" t="s">
        <v>449</v>
      </c>
      <c r="B38" s="418"/>
      <c r="C38" s="11"/>
      <c r="D38" s="11"/>
      <c r="E38" s="11"/>
      <c r="F38" s="34">
        <f>CPRO_TEXO</f>
        <v>0</v>
      </c>
      <c r="G38" s="46">
        <f>Cotisations!B13</f>
        <v>8.5500000000000007E-2</v>
      </c>
      <c r="H38" s="34"/>
      <c r="I38" s="60"/>
      <c r="J38" s="30"/>
      <c r="K38" s="11"/>
    </row>
    <row r="39" spans="1:11" ht="10.5" customHeight="1">
      <c r="A39" s="3" t="s">
        <v>26</v>
      </c>
      <c r="B39" s="418"/>
      <c r="C39" s="11"/>
      <c r="D39" s="11"/>
      <c r="E39" s="11"/>
      <c r="F39" s="45">
        <f>IF(effectif&lt;20,CPro_TA,CPro_Brut)</f>
        <v>0</v>
      </c>
      <c r="G39" s="46">
        <f>IF(effectif&lt;20,Cotisations!B14,Cotisations!B15)</f>
        <v>1E-3</v>
      </c>
      <c r="H39" s="34">
        <f t="shared" si="0"/>
        <v>0</v>
      </c>
      <c r="I39" s="60"/>
      <c r="J39" s="30">
        <f t="shared" si="1"/>
        <v>0</v>
      </c>
      <c r="K39" s="11"/>
    </row>
    <row r="40" spans="1:11" ht="10.5" customHeight="1">
      <c r="A40" s="3" t="s">
        <v>27</v>
      </c>
      <c r="B40" s="418"/>
      <c r="C40" s="11"/>
      <c r="D40" s="11"/>
      <c r="E40" s="11"/>
      <c r="F40" s="45">
        <f>IF(effectif&lt;11,0,SUM(H56:H59))</f>
        <v>0</v>
      </c>
      <c r="G40" s="46">
        <f>Cotisations!B16</f>
        <v>0.08</v>
      </c>
      <c r="H40" s="34">
        <f t="shared" si="0"/>
        <v>0</v>
      </c>
      <c r="I40" s="60"/>
      <c r="J40" s="30">
        <f t="shared" si="1"/>
        <v>0</v>
      </c>
      <c r="K40" s="11"/>
    </row>
    <row r="41" spans="1:11" ht="10.5" hidden="1" customHeight="1">
      <c r="A41" s="3" t="s">
        <v>211</v>
      </c>
      <c r="B41" s="418"/>
      <c r="C41" s="11"/>
      <c r="D41" s="11"/>
      <c r="E41" s="11"/>
      <c r="F41" s="45">
        <f>SUM(H53:H54)</f>
        <v>0</v>
      </c>
      <c r="G41" s="46">
        <f>Cotisations!B17</f>
        <v>0.2</v>
      </c>
      <c r="H41" s="34">
        <f t="shared" si="0"/>
        <v>0</v>
      </c>
      <c r="I41" s="60"/>
      <c r="J41" s="30"/>
      <c r="K41" s="11"/>
    </row>
    <row r="42" spans="1:11" ht="10.5" customHeight="1">
      <c r="A42" s="3" t="s">
        <v>28</v>
      </c>
      <c r="B42" s="418"/>
      <c r="C42" s="11"/>
      <c r="D42" s="11"/>
      <c r="E42" s="11"/>
      <c r="F42" s="34">
        <f>CPro_Brut</f>
        <v>0</v>
      </c>
      <c r="G42" s="46">
        <f>Cotisations!B18</f>
        <v>1.6000000000000001E-4</v>
      </c>
      <c r="H42" s="34">
        <f t="shared" si="0"/>
        <v>0</v>
      </c>
      <c r="I42" s="60"/>
      <c r="J42" s="30">
        <f t="shared" si="1"/>
        <v>0</v>
      </c>
      <c r="K42" s="11"/>
    </row>
    <row r="43" spans="1:11" ht="10.5" customHeight="1">
      <c r="A43" s="3" t="s">
        <v>29</v>
      </c>
      <c r="B43" s="418"/>
      <c r="C43" s="11"/>
      <c r="D43" s="11"/>
      <c r="E43" s="11"/>
      <c r="F43" s="34">
        <f>CPro_Brut</f>
        <v>0</v>
      </c>
      <c r="G43" s="46">
        <f>Cotisations!B19</f>
        <v>1E-4</v>
      </c>
      <c r="H43" s="34">
        <f t="shared" si="0"/>
        <v>0</v>
      </c>
      <c r="I43" s="60"/>
      <c r="J43" s="30">
        <f t="shared" si="1"/>
        <v>0</v>
      </c>
      <c r="K43" s="11"/>
    </row>
    <row r="44" spans="1:11" ht="12" customHeight="1">
      <c r="A44" s="14" t="s">
        <v>30</v>
      </c>
      <c r="B44" s="404"/>
      <c r="C44" s="11"/>
      <c r="D44" s="11"/>
      <c r="E44" s="11"/>
      <c r="F44" s="34"/>
      <c r="G44" s="46"/>
      <c r="H44" s="34">
        <f t="shared" si="0"/>
        <v>0</v>
      </c>
      <c r="I44" s="60"/>
      <c r="J44" s="30">
        <f t="shared" si="1"/>
        <v>0</v>
      </c>
      <c r="K44" s="11"/>
    </row>
    <row r="45" spans="1:11" ht="10.5" customHeight="1">
      <c r="A45" s="3" t="s">
        <v>31</v>
      </c>
      <c r="B45" s="418"/>
      <c r="C45" s="11"/>
      <c r="D45" s="11"/>
      <c r="E45" s="11"/>
      <c r="F45" s="34">
        <f>CPro_TA+CPro_TB</f>
        <v>0</v>
      </c>
      <c r="G45" s="46">
        <f>Cotisations!B22</f>
        <v>4.0500000000000001E-2</v>
      </c>
      <c r="H45" s="34">
        <f t="shared" si="0"/>
        <v>0</v>
      </c>
      <c r="I45" s="60">
        <f>Cotisations!C22</f>
        <v>2.4E-2</v>
      </c>
      <c r="J45" s="30">
        <f t="shared" si="1"/>
        <v>0</v>
      </c>
      <c r="K45" s="11"/>
    </row>
    <row r="46" spans="1:11" ht="10.5" customHeight="1">
      <c r="A46" s="3" t="s">
        <v>32</v>
      </c>
      <c r="B46" s="418"/>
      <c r="C46" s="11"/>
      <c r="D46" s="11"/>
      <c r="E46" s="11"/>
      <c r="F46" s="34">
        <f>CPro_TA+CPro_TB</f>
        <v>0</v>
      </c>
      <c r="G46" s="46">
        <f>Cotisations!B23</f>
        <v>1.5E-3</v>
      </c>
      <c r="H46" s="34">
        <f t="shared" si="0"/>
        <v>0</v>
      </c>
      <c r="I46" s="60"/>
      <c r="J46" s="30">
        <f t="shared" si="1"/>
        <v>0</v>
      </c>
      <c r="K46" s="11"/>
    </row>
    <row r="47" spans="1:11" ht="10.5" hidden="1" customHeight="1">
      <c r="A47" s="3" t="s">
        <v>33</v>
      </c>
      <c r="B47" s="418"/>
      <c r="C47" s="11"/>
      <c r="D47" s="11"/>
      <c r="E47" s="11"/>
      <c r="F47" s="34"/>
      <c r="G47" s="46"/>
      <c r="H47" s="34">
        <f t="shared" si="0"/>
        <v>0</v>
      </c>
      <c r="I47" s="60"/>
      <c r="J47" s="30">
        <f t="shared" si="1"/>
        <v>0</v>
      </c>
      <c r="K47" s="11"/>
    </row>
    <row r="48" spans="1:11" ht="12" customHeight="1">
      <c r="A48" s="14" t="s">
        <v>215</v>
      </c>
      <c r="B48" s="404"/>
      <c r="C48" s="11"/>
      <c r="D48" s="11"/>
      <c r="E48" s="11"/>
      <c r="F48" s="34"/>
      <c r="G48" s="46"/>
      <c r="H48" s="34">
        <f t="shared" si="0"/>
        <v>0</v>
      </c>
      <c r="I48" s="60"/>
      <c r="J48" s="30">
        <f t="shared" si="1"/>
        <v>0</v>
      </c>
      <c r="K48" s="11"/>
    </row>
    <row r="49" spans="1:12" ht="10.5" customHeight="1">
      <c r="A49" s="3" t="s">
        <v>122</v>
      </c>
      <c r="B49" s="418"/>
      <c r="C49" s="11"/>
      <c r="D49" s="11"/>
      <c r="E49" s="11"/>
      <c r="F49" s="34">
        <f>CPro_TA</f>
        <v>0</v>
      </c>
      <c r="G49" s="46">
        <f>Cotisations!B28</f>
        <v>4.65E-2</v>
      </c>
      <c r="H49" s="34">
        <f t="shared" si="0"/>
        <v>0</v>
      </c>
      <c r="I49" s="60">
        <f>Cotisations!C28</f>
        <v>3.1E-2</v>
      </c>
      <c r="J49" s="30">
        <f t="shared" si="1"/>
        <v>0</v>
      </c>
      <c r="K49" s="11"/>
    </row>
    <row r="50" spans="1:12" ht="10.5" customHeight="1">
      <c r="A50" s="3" t="s">
        <v>123</v>
      </c>
      <c r="B50" s="418"/>
      <c r="C50" s="11"/>
      <c r="D50" s="11"/>
      <c r="E50" s="11"/>
      <c r="F50" s="34">
        <f>CPro_T2</f>
        <v>0</v>
      </c>
      <c r="G50" s="46">
        <f>Cotisations!B29</f>
        <v>0.1215</v>
      </c>
      <c r="H50" s="34">
        <f t="shared" si="0"/>
        <v>0</v>
      </c>
      <c r="I50" s="60">
        <f>Cotisations!C29</f>
        <v>8.1000000000000003E-2</v>
      </c>
      <c r="J50" s="30">
        <f t="shared" si="1"/>
        <v>0</v>
      </c>
      <c r="K50" s="11"/>
    </row>
    <row r="51" spans="1:12" ht="10.5" customHeight="1">
      <c r="A51" s="3" t="s">
        <v>34</v>
      </c>
      <c r="B51" s="418"/>
      <c r="C51" s="11"/>
      <c r="D51" s="11"/>
      <c r="E51" s="11"/>
      <c r="F51" s="34">
        <f>CPro_TA</f>
        <v>0</v>
      </c>
      <c r="G51" s="46">
        <f>Cotisations!B30</f>
        <v>1.2E-2</v>
      </c>
      <c r="H51" s="34">
        <f t="shared" si="0"/>
        <v>0</v>
      </c>
      <c r="I51" s="60">
        <f>Cotisations!C30</f>
        <v>8.0000000000000002E-3</v>
      </c>
      <c r="J51" s="30">
        <f t="shared" si="1"/>
        <v>0</v>
      </c>
      <c r="K51" s="11"/>
    </row>
    <row r="52" spans="1:12" ht="10.5" customHeight="1">
      <c r="A52" s="3" t="s">
        <v>35</v>
      </c>
      <c r="B52" s="418"/>
      <c r="C52" s="11"/>
      <c r="D52" s="11"/>
      <c r="E52" s="11"/>
      <c r="F52" s="34">
        <f>CPro_T2</f>
        <v>0</v>
      </c>
      <c r="G52" s="46">
        <f>Cotisations!B31</f>
        <v>1.2999999999999999E-2</v>
      </c>
      <c r="H52" s="34">
        <f t="shared" si="0"/>
        <v>0</v>
      </c>
      <c r="I52" s="60">
        <f>Cotisations!C31</f>
        <v>8.9999999999999993E-3</v>
      </c>
      <c r="J52" s="30">
        <f t="shared" si="1"/>
        <v>0</v>
      </c>
      <c r="K52" s="11"/>
    </row>
    <row r="53" spans="1:12" ht="10.5" hidden="1" customHeight="1">
      <c r="A53" s="3" t="s">
        <v>213</v>
      </c>
      <c r="B53" s="418"/>
      <c r="C53" s="11"/>
      <c r="D53" s="11"/>
      <c r="E53" s="11"/>
      <c r="F53" s="34">
        <f>CPro_TA</f>
        <v>0</v>
      </c>
      <c r="G53" s="46"/>
      <c r="H53" s="34">
        <f t="shared" si="0"/>
        <v>0</v>
      </c>
      <c r="I53" s="60"/>
      <c r="J53" s="30">
        <f t="shared" si="1"/>
        <v>0</v>
      </c>
      <c r="K53" s="11"/>
    </row>
    <row r="54" spans="1:12" ht="10.5" hidden="1" customHeight="1">
      <c r="A54" s="3" t="s">
        <v>214</v>
      </c>
      <c r="B54" s="418"/>
      <c r="C54" s="11"/>
      <c r="D54" s="11"/>
      <c r="E54" s="11"/>
      <c r="F54" s="34">
        <f>CPro_TB</f>
        <v>0</v>
      </c>
      <c r="G54" s="46"/>
      <c r="H54" s="34">
        <f t="shared" si="0"/>
        <v>0</v>
      </c>
      <c r="I54" s="60"/>
      <c r="J54" s="30">
        <f t="shared" si="1"/>
        <v>0</v>
      </c>
      <c r="K54" s="11"/>
    </row>
    <row r="55" spans="1:12" ht="12" customHeight="1">
      <c r="A55" s="14" t="s">
        <v>36</v>
      </c>
      <c r="B55" s="404"/>
      <c r="C55" s="11"/>
      <c r="D55" s="11"/>
      <c r="E55" s="11"/>
      <c r="F55" s="34"/>
      <c r="G55" s="46"/>
      <c r="H55" s="34">
        <f t="shared" si="0"/>
        <v>0</v>
      </c>
      <c r="I55" s="60"/>
      <c r="J55" s="30">
        <f t="shared" si="1"/>
        <v>0</v>
      </c>
      <c r="K55" s="11"/>
    </row>
    <row r="56" spans="1:12" ht="10.5" customHeight="1">
      <c r="A56" s="3" t="s">
        <v>37</v>
      </c>
      <c r="B56" s="418"/>
      <c r="C56" s="11"/>
      <c r="D56" s="11"/>
      <c r="E56" s="11"/>
      <c r="F56" s="34">
        <f>CPro_TA</f>
        <v>0</v>
      </c>
      <c r="G56" s="46"/>
      <c r="H56" s="34">
        <f t="shared" si="0"/>
        <v>0</v>
      </c>
      <c r="I56" s="60"/>
      <c r="J56" s="30">
        <f t="shared" si="1"/>
        <v>0</v>
      </c>
      <c r="K56" s="11"/>
    </row>
    <row r="57" spans="1:12" ht="10.5" customHeight="1">
      <c r="A57" s="3" t="s">
        <v>38</v>
      </c>
      <c r="B57" s="418"/>
      <c r="C57" s="11"/>
      <c r="D57" s="11"/>
      <c r="E57" s="11"/>
      <c r="F57" s="34">
        <f>CPro_TB</f>
        <v>0</v>
      </c>
      <c r="G57" s="46"/>
      <c r="H57" s="34">
        <f t="shared" si="0"/>
        <v>0</v>
      </c>
      <c r="I57" s="60"/>
      <c r="J57" s="30">
        <f t="shared" si="1"/>
        <v>0</v>
      </c>
      <c r="K57" s="11"/>
    </row>
    <row r="58" spans="1:12" ht="10.5" customHeight="1">
      <c r="A58" s="3" t="s">
        <v>39</v>
      </c>
      <c r="B58" s="418"/>
      <c r="C58" s="11"/>
      <c r="D58" s="11"/>
      <c r="E58" s="11"/>
      <c r="F58" s="34">
        <f>CPro_TA</f>
        <v>0</v>
      </c>
      <c r="G58" s="46"/>
      <c r="H58" s="34">
        <f t="shared" si="0"/>
        <v>0</v>
      </c>
      <c r="I58" s="60"/>
      <c r="J58" s="30">
        <f t="shared" si="1"/>
        <v>0</v>
      </c>
      <c r="K58" s="11"/>
      <c r="L58" s="1" t="s">
        <v>610</v>
      </c>
    </row>
    <row r="59" spans="1:12" ht="10.5" customHeight="1">
      <c r="A59" s="3" t="s">
        <v>40</v>
      </c>
      <c r="B59" s="418"/>
      <c r="C59" s="11"/>
      <c r="D59" s="11"/>
      <c r="E59" s="11"/>
      <c r="F59" s="34">
        <f>CPro_T2</f>
        <v>0</v>
      </c>
      <c r="G59" s="46"/>
      <c r="H59" s="34">
        <f t="shared" si="0"/>
        <v>0</v>
      </c>
      <c r="I59" s="60"/>
      <c r="J59" s="30">
        <f t="shared" si="1"/>
        <v>0</v>
      </c>
      <c r="K59" s="11"/>
      <c r="L59" s="1" t="s">
        <v>611</v>
      </c>
    </row>
    <row r="60" spans="1:12" ht="10.5" customHeight="1">
      <c r="A60" s="3"/>
      <c r="B60" s="418"/>
      <c r="C60" s="11"/>
      <c r="D60" s="11"/>
      <c r="E60" s="11"/>
      <c r="F60" s="34"/>
      <c r="G60" s="493"/>
      <c r="H60" s="34">
        <f t="shared" si="0"/>
        <v>0</v>
      </c>
      <c r="I60" s="464"/>
      <c r="J60" s="30">
        <f t="shared" si="1"/>
        <v>0</v>
      </c>
      <c r="K60" s="11"/>
    </row>
    <row r="61" spans="1:12" ht="10.5" customHeight="1">
      <c r="A61" s="3" t="s">
        <v>42</v>
      </c>
      <c r="B61" s="418"/>
      <c r="C61" s="11"/>
      <c r="D61" s="11"/>
      <c r="E61" s="11"/>
      <c r="F61" s="45">
        <f>IF(effectif&lt;20,SUM(F22:F23),0)</f>
        <v>0</v>
      </c>
      <c r="G61" s="494">
        <v>1.5</v>
      </c>
      <c r="H61" s="34">
        <f>-ROUNDUP(F61*G61,2)</f>
        <v>0</v>
      </c>
      <c r="I61" s="464"/>
      <c r="J61" s="30">
        <f t="shared" si="1"/>
        <v>0</v>
      </c>
      <c r="K61" s="11"/>
    </row>
    <row r="62" spans="1:12" ht="10.5" customHeight="1" thickBot="1">
      <c r="A62" s="3" t="s">
        <v>41</v>
      </c>
      <c r="B62" s="418"/>
      <c r="C62" s="11"/>
      <c r="D62" s="11"/>
      <c r="E62" s="11"/>
      <c r="F62" s="86">
        <f>CPro_Brut</f>
        <v>0</v>
      </c>
      <c r="G62" s="85">
        <f>MAX(C95,0)</f>
        <v>0</v>
      </c>
      <c r="H62" s="34">
        <f>-ROUNDUP(F62*G62,2)</f>
        <v>0</v>
      </c>
      <c r="I62" s="16"/>
      <c r="J62" s="31"/>
      <c r="K62" s="11"/>
    </row>
    <row r="63" spans="1:12" ht="12" customHeight="1" thickBot="1">
      <c r="A63" s="10" t="s">
        <v>78</v>
      </c>
      <c r="B63" s="403"/>
      <c r="C63" s="11"/>
      <c r="D63" s="11"/>
      <c r="E63" s="11"/>
      <c r="F63" s="451"/>
      <c r="G63" s="450"/>
      <c r="H63" s="101">
        <f>SUM(H27:H62)</f>
        <v>0</v>
      </c>
      <c r="I63" s="450"/>
      <c r="J63" s="101">
        <f>SUM(J27:J62)</f>
        <v>0</v>
      </c>
      <c r="K63" s="11"/>
    </row>
    <row r="64" spans="1:12" ht="12" customHeight="1" thickBot="1">
      <c r="A64" s="10" t="s">
        <v>43</v>
      </c>
      <c r="B64" s="403"/>
      <c r="F64" s="459"/>
      <c r="G64" s="450"/>
      <c r="H64" s="450"/>
      <c r="I64" s="460"/>
      <c r="J64" s="101">
        <f>CPro_Brut-J63+SUM(H56:H57)</f>
        <v>0</v>
      </c>
      <c r="K64" s="11"/>
    </row>
    <row r="65" spans="1:11" ht="10.5" customHeight="1">
      <c r="A65" s="3" t="s">
        <v>207</v>
      </c>
      <c r="B65" s="418"/>
      <c r="F65" s="33">
        <f>CPro_CSGRDS</f>
        <v>0</v>
      </c>
      <c r="G65" s="455"/>
      <c r="H65" s="456"/>
      <c r="I65" s="56">
        <f>Cotisations!C6</f>
        <v>2.4E-2</v>
      </c>
      <c r="J65" s="30">
        <f>F65*I65</f>
        <v>0</v>
      </c>
      <c r="K65" s="11"/>
    </row>
    <row r="66" spans="1:11" ht="10.5" customHeight="1" thickBot="1">
      <c r="A66" s="3" t="s">
        <v>208</v>
      </c>
      <c r="B66" s="418"/>
      <c r="F66" s="86">
        <f>CPro_CSGRDS</f>
        <v>0</v>
      </c>
      <c r="G66" s="455"/>
      <c r="H66" s="456"/>
      <c r="I66" s="57">
        <f>Cotisations!C7</f>
        <v>5.0000000000000001E-3</v>
      </c>
      <c r="J66" s="30">
        <f>F66*I66</f>
        <v>0</v>
      </c>
      <c r="K66" s="11"/>
    </row>
    <row r="67" spans="1:11" ht="10.5" customHeight="1" thickBot="1">
      <c r="A67" s="21" t="s">
        <v>44</v>
      </c>
      <c r="B67" s="405"/>
      <c r="C67" s="15"/>
      <c r="D67" s="15"/>
      <c r="E67" s="423"/>
      <c r="F67" s="457"/>
      <c r="G67" s="453"/>
      <c r="H67" s="453"/>
      <c r="I67" s="458"/>
      <c r="J67" s="101">
        <f>CPro_Brut-J63-J65-J66</f>
        <v>0</v>
      </c>
      <c r="K67" s="11"/>
    </row>
    <row r="68" spans="1:11" ht="10.5" customHeight="1">
      <c r="E68" s="418"/>
      <c r="F68" s="19" t="s">
        <v>45</v>
      </c>
      <c r="G68" s="11"/>
      <c r="H68" s="11"/>
      <c r="I68" s="11"/>
      <c r="J68" s="30"/>
      <c r="K68" s="11"/>
    </row>
    <row r="69" spans="1:11" ht="10.5" customHeight="1" thickBot="1">
      <c r="E69" s="418"/>
      <c r="F69" s="3"/>
      <c r="G69" s="724"/>
      <c r="H69" s="724"/>
      <c r="I69" s="724"/>
      <c r="J69" s="87"/>
      <c r="K69" s="11"/>
    </row>
    <row r="70" spans="1:11" ht="10.5" customHeight="1">
      <c r="A70" s="988" t="s">
        <v>230</v>
      </c>
      <c r="B70" s="989"/>
      <c r="C70" s="27" t="s">
        <v>420</v>
      </c>
      <c r="D70" s="28" t="s">
        <v>421</v>
      </c>
      <c r="E70" s="418"/>
      <c r="F70" s="3"/>
      <c r="G70" s="724"/>
      <c r="H70" s="724"/>
      <c r="I70" s="724"/>
      <c r="J70" s="87"/>
      <c r="K70" s="11"/>
    </row>
    <row r="71" spans="1:11" ht="10.5" customHeight="1">
      <c r="A71" s="990" t="s">
        <v>48</v>
      </c>
      <c r="B71" s="991"/>
      <c r="C71" s="116"/>
      <c r="D71" s="117"/>
      <c r="F71" s="19" t="s">
        <v>46</v>
      </c>
      <c r="G71" s="11"/>
      <c r="H71" s="11"/>
      <c r="I71" s="11"/>
      <c r="J71" s="30"/>
      <c r="K71" s="11"/>
    </row>
    <row r="72" spans="1:11" ht="10.5" customHeight="1">
      <c r="A72" s="990" t="s">
        <v>231</v>
      </c>
      <c r="B72" s="991"/>
      <c r="C72" s="116"/>
      <c r="D72" s="117"/>
      <c r="F72" s="3"/>
      <c r="G72" s="724"/>
      <c r="H72" s="724"/>
      <c r="I72" s="724"/>
      <c r="J72" s="87"/>
      <c r="K72" s="11"/>
    </row>
    <row r="73" spans="1:11" ht="10.5" customHeight="1" thickBot="1">
      <c r="A73" s="990" t="s">
        <v>49</v>
      </c>
      <c r="B73" s="991"/>
      <c r="C73" s="116"/>
      <c r="D73" s="117"/>
      <c r="F73" s="3"/>
      <c r="G73" s="724"/>
      <c r="H73" s="724"/>
      <c r="I73" s="724"/>
      <c r="J73" s="87"/>
      <c r="K73" s="11"/>
    </row>
    <row r="74" spans="1:11" ht="12" customHeight="1" thickBot="1">
      <c r="A74" s="992" t="s">
        <v>232</v>
      </c>
      <c r="B74" s="993"/>
      <c r="C74" s="118"/>
      <c r="D74" s="119"/>
      <c r="F74" s="26" t="s">
        <v>47</v>
      </c>
      <c r="G74" s="25"/>
      <c r="H74" s="25"/>
      <c r="I74" s="25"/>
      <c r="J74" s="101">
        <f>SUM(J67:J73)</f>
        <v>0</v>
      </c>
      <c r="K74" s="11"/>
    </row>
    <row r="77" spans="1:11" ht="10.5" customHeight="1" thickBot="1"/>
    <row r="78" spans="1:11" ht="10.5" customHeight="1" thickBot="1">
      <c r="A78" s="994"/>
      <c r="B78" s="995"/>
      <c r="C78" s="35" t="s">
        <v>54</v>
      </c>
      <c r="D78" s="981" t="s">
        <v>55</v>
      </c>
      <c r="E78" s="982"/>
      <c r="F78" s="27" t="s">
        <v>56</v>
      </c>
      <c r="G78" s="27" t="s">
        <v>57</v>
      </c>
      <c r="H78" s="27" t="s">
        <v>58</v>
      </c>
      <c r="I78" s="27" t="s">
        <v>59</v>
      </c>
      <c r="J78" s="28" t="s">
        <v>43</v>
      </c>
    </row>
    <row r="79" spans="1:11" ht="10.5" customHeight="1">
      <c r="A79" s="973" t="s">
        <v>52</v>
      </c>
      <c r="B79" s="974"/>
      <c r="C79" s="29">
        <f>F17</f>
        <v>151.66999999999999</v>
      </c>
      <c r="D79" s="971">
        <f>CPro_Brut</f>
        <v>0</v>
      </c>
      <c r="E79" s="972"/>
      <c r="F79" s="29">
        <f>CPro_TA</f>
        <v>0</v>
      </c>
      <c r="G79" s="29">
        <f>CPro_TB</f>
        <v>0</v>
      </c>
      <c r="H79" s="29">
        <v>0</v>
      </c>
      <c r="I79" s="29">
        <f>J74</f>
        <v>0</v>
      </c>
      <c r="J79" s="36">
        <f>J64</f>
        <v>0</v>
      </c>
    </row>
    <row r="80" spans="1:11" ht="10.5" customHeight="1" thickBot="1">
      <c r="A80" s="975" t="s">
        <v>53</v>
      </c>
      <c r="B80" s="976"/>
      <c r="C80" s="120"/>
      <c r="D80" s="969"/>
      <c r="E80" s="970"/>
      <c r="F80" s="120"/>
      <c r="G80" s="120"/>
      <c r="H80" s="120"/>
      <c r="I80" s="120"/>
      <c r="J80" s="121"/>
    </row>
    <row r="82" spans="1:8" ht="10.5" customHeight="1">
      <c r="A82" s="968" t="s">
        <v>82</v>
      </c>
      <c r="B82" s="968"/>
      <c r="C82" s="968"/>
      <c r="F82" s="966" t="s">
        <v>206</v>
      </c>
      <c r="G82" s="967"/>
      <c r="H82" s="18"/>
    </row>
    <row r="83" spans="1:8" ht="15">
      <c r="A83" s="1027" t="s">
        <v>83</v>
      </c>
      <c r="B83" s="1028"/>
      <c r="C83" s="29">
        <f>MIN(CPro_Brut,CPro_Plafond)</f>
        <v>0</v>
      </c>
    </row>
    <row r="84" spans="1:8" ht="15" hidden="1">
      <c r="A84" s="1027" t="s">
        <v>85</v>
      </c>
      <c r="B84" s="1028"/>
      <c r="C84" s="29">
        <f>IF(CPro_Brut&lt;CPro_Plafond,0,MIN(CPro_Brut-CPro_Plafond,2*CPro_Plafond))</f>
        <v>0</v>
      </c>
    </row>
    <row r="85" spans="1:8" ht="15" hidden="1">
      <c r="A85" s="1027" t="s">
        <v>84</v>
      </c>
      <c r="B85" s="1028"/>
      <c r="C85" s="29">
        <f>IF(CPro_Brut&lt;CPro_Plafond,0,MIN(CPro_Brut-CPro_Plafond,3*CPro_Plafond))</f>
        <v>0</v>
      </c>
    </row>
    <row r="86" spans="1:8" ht="15">
      <c r="A86" s="424" t="s">
        <v>450</v>
      </c>
      <c r="B86" s="425"/>
      <c r="C86" s="29">
        <f>MAX(0,CPro_Brut-SMIC_mens)</f>
        <v>0</v>
      </c>
    </row>
    <row r="87" spans="1:8" ht="15">
      <c r="A87" s="1027" t="s">
        <v>86</v>
      </c>
      <c r="B87" s="1028"/>
      <c r="C87" s="29">
        <f>0.9825*MIN(CPro_Brut,4*CPro_Plafond)+MAX(CPro_Brut-4*CPro_Plafond,0)+SUM(H53:H59)</f>
        <v>0</v>
      </c>
    </row>
    <row r="88" spans="1:8" ht="15"/>
    <row r="89" spans="1:8" ht="15" customHeight="1">
      <c r="A89" s="968" t="s">
        <v>188</v>
      </c>
      <c r="B89" s="968"/>
      <c r="C89" s="968"/>
    </row>
    <row r="90" spans="1:8" ht="15" customHeight="1">
      <c r="A90" s="1027" t="s">
        <v>190</v>
      </c>
      <c r="B90" s="1028"/>
      <c r="C90" s="18">
        <v>1</v>
      </c>
    </row>
    <row r="91" spans="1:8" ht="15" customHeight="1">
      <c r="A91" s="1027" t="s">
        <v>191</v>
      </c>
      <c r="B91" s="1028"/>
      <c r="C91" s="18">
        <v>1</v>
      </c>
    </row>
    <row r="92" spans="1:8" ht="15" customHeight="1">
      <c r="A92" s="1029" t="s">
        <v>192</v>
      </c>
      <c r="B92" s="991"/>
      <c r="C92" s="29">
        <f>SUM('CTpro+45ans'!F19:'CTpro+45ans'!F20)</f>
        <v>0</v>
      </c>
    </row>
    <row r="93" spans="1:8" ht="15" customHeight="1">
      <c r="A93" s="1027" t="s">
        <v>188</v>
      </c>
      <c r="B93" s="1028"/>
      <c r="C93" s="29">
        <f>SMIC_mens*C90*C91+SMIC_hor*C92</f>
        <v>1480.2991999999999</v>
      </c>
      <c r="H93" s="83"/>
    </row>
    <row r="94" spans="1:8" ht="15" customHeight="1"/>
    <row r="95" spans="1:8" ht="15" customHeight="1">
      <c r="A95" s="1024" t="s">
        <v>205</v>
      </c>
      <c r="B95" s="1025"/>
      <c r="C95" s="84">
        <f>IF(CPro_Brut=0,0,Société!B13/0.6*(1.6*SMIC_Fillon/CPro_Brut-1))</f>
        <v>0</v>
      </c>
    </row>
    <row r="96" spans="1:8" ht="15" customHeight="1">
      <c r="A96" s="1024" t="s">
        <v>41</v>
      </c>
      <c r="B96" s="1025"/>
      <c r="C96" s="29">
        <f>IF(C95&gt;0,-CPro_Brut*C95,0)</f>
        <v>0</v>
      </c>
    </row>
    <row r="97" ht="15" customHeight="1"/>
    <row r="98" ht="15" customHeight="1"/>
    <row r="99" ht="15" customHeight="1"/>
    <row r="100" ht="15" customHeight="1"/>
    <row r="101" ht="15" customHeight="1"/>
    <row r="102" ht="15" customHeight="1"/>
    <row r="103" ht="15" customHeight="1"/>
    <row r="104" ht="15" customHeight="1"/>
    <row r="105" ht="15" customHeight="1"/>
    <row r="106" ht="15" customHeight="1"/>
    <row r="107" ht="15" customHeight="1"/>
    <row r="108" ht="15" customHeight="1"/>
    <row r="109" ht="15" customHeight="1"/>
    <row r="110" ht="15" customHeight="1"/>
    <row r="111" ht="15" customHeight="1"/>
    <row r="112" ht="15" customHeight="1"/>
    <row r="113" ht="15" customHeight="1"/>
    <row r="114" ht="15" customHeight="1"/>
    <row r="115" ht="15" customHeight="1"/>
    <row r="116" ht="15" customHeight="1"/>
    <row r="117" ht="15" customHeight="1"/>
    <row r="118" ht="15" customHeight="1"/>
    <row r="119" ht="15" customHeight="1"/>
    <row r="120" ht="15" customHeight="1"/>
    <row r="121" ht="15" customHeight="1"/>
    <row r="122" ht="15" customHeight="1"/>
    <row r="123" ht="15" customHeight="1"/>
    <row r="124" ht="15" customHeight="1"/>
    <row r="125" ht="15" customHeight="1"/>
    <row r="126" ht="15" customHeight="1"/>
    <row r="127" ht="15" customHeight="1"/>
    <row r="128" ht="15" customHeight="1"/>
    <row r="129" ht="15" customHeight="1"/>
    <row r="130" ht="15" customHeight="1"/>
    <row r="131" ht="15" customHeight="1"/>
    <row r="132" ht="15" customHeight="1"/>
    <row r="133" ht="15" customHeight="1"/>
    <row r="134" ht="15" customHeight="1"/>
    <row r="135" ht="15" customHeight="1"/>
    <row r="136" ht="15" customHeight="1"/>
    <row r="137" ht="15" customHeight="1"/>
    <row r="138" ht="15" customHeight="1"/>
    <row r="139" ht="15" customHeight="1"/>
    <row r="140" ht="15" customHeight="1"/>
    <row r="141" ht="15" customHeight="1"/>
    <row r="142" ht="15" customHeight="1"/>
    <row r="143" ht="15" customHeight="1"/>
    <row r="144" ht="15" customHeight="1"/>
    <row r="145" ht="15" customHeight="1"/>
    <row r="146" ht="15" customHeight="1"/>
    <row r="147" ht="15" customHeight="1"/>
    <row r="148" ht="15" customHeight="1"/>
    <row r="149" ht="15" customHeight="1"/>
    <row r="150" ht="15" customHeight="1"/>
    <row r="151" ht="15" customHeight="1"/>
    <row r="152" ht="15" customHeight="1"/>
    <row r="153" ht="15" customHeight="1"/>
    <row r="154" ht="15" customHeight="1"/>
    <row r="155" ht="15" customHeight="1"/>
    <row r="156" ht="15" customHeight="1"/>
    <row r="157" ht="15" customHeight="1"/>
    <row r="158" ht="15" customHeight="1"/>
    <row r="159" ht="15" customHeight="1"/>
    <row r="160" ht="15" customHeight="1"/>
    <row r="161" ht="15" customHeight="1"/>
    <row r="162" ht="15" customHeight="1"/>
    <row r="163" ht="15" customHeight="1"/>
    <row r="164" ht="15" customHeight="1"/>
    <row r="165" ht="15" customHeight="1"/>
    <row r="166" ht="15" customHeight="1"/>
    <row r="167" ht="15" customHeight="1"/>
    <row r="168" ht="15" customHeight="1"/>
    <row r="169" ht="15" customHeight="1"/>
    <row r="170" ht="15" customHeight="1"/>
    <row r="171" ht="15" customHeight="1"/>
    <row r="172" ht="15" customHeight="1"/>
    <row r="173" ht="15" customHeight="1"/>
    <row r="174" ht="15" customHeight="1"/>
    <row r="175" ht="15" customHeight="1"/>
    <row r="176" ht="15" customHeight="1"/>
    <row r="177" ht="15" customHeight="1"/>
    <row r="178" ht="15" customHeight="1"/>
    <row r="179" ht="15" customHeight="1"/>
    <row r="180" ht="15" customHeight="1"/>
    <row r="181" ht="15" customHeight="1"/>
    <row r="182" ht="15" customHeight="1"/>
    <row r="183" ht="15" customHeight="1"/>
    <row r="184" ht="15" customHeight="1"/>
    <row r="185" ht="15" customHeight="1"/>
    <row r="186" ht="15" customHeight="1"/>
    <row r="187" ht="15" customHeight="1"/>
    <row r="188" ht="15" customHeight="1"/>
    <row r="189" ht="15" customHeight="1"/>
    <row r="190" ht="15" customHeight="1"/>
    <row r="191" ht="15" customHeight="1"/>
    <row r="192" ht="15" customHeight="1"/>
    <row r="193" ht="15" customHeight="1"/>
    <row r="194" ht="15" customHeight="1"/>
    <row r="195" ht="15" customHeight="1"/>
    <row r="196" ht="15" customHeight="1"/>
    <row r="197" ht="15" customHeight="1"/>
    <row r="198" ht="15" customHeight="1"/>
    <row r="199" ht="15" customHeight="1"/>
    <row r="200" ht="15" customHeight="1"/>
    <row r="201" ht="15" customHeight="1"/>
  </sheetData>
  <mergeCells count="51">
    <mergeCell ref="C9:F9"/>
    <mergeCell ref="I9:J9"/>
    <mergeCell ref="A1:F2"/>
    <mergeCell ref="I2:J2"/>
    <mergeCell ref="I3:J3"/>
    <mergeCell ref="A4:F4"/>
    <mergeCell ref="I4:J4"/>
    <mergeCell ref="C5:F5"/>
    <mergeCell ref="I5:J5"/>
    <mergeCell ref="C6:F6"/>
    <mergeCell ref="C7:F7"/>
    <mergeCell ref="I7:J7"/>
    <mergeCell ref="C8:F8"/>
    <mergeCell ref="I8:J8"/>
    <mergeCell ref="A70:B70"/>
    <mergeCell ref="C10:F10"/>
    <mergeCell ref="I10:J10"/>
    <mergeCell ref="C11:F11"/>
    <mergeCell ref="H13:I13"/>
    <mergeCell ref="A15:E16"/>
    <mergeCell ref="G15:H15"/>
    <mergeCell ref="I15:I16"/>
    <mergeCell ref="J15:J16"/>
    <mergeCell ref="B18:C18"/>
    <mergeCell ref="B19:C19"/>
    <mergeCell ref="B20:C20"/>
    <mergeCell ref="G25:H25"/>
    <mergeCell ref="I25:J25"/>
    <mergeCell ref="F82:G82"/>
    <mergeCell ref="A71:B71"/>
    <mergeCell ref="A72:B72"/>
    <mergeCell ref="A73:B73"/>
    <mergeCell ref="A74:B74"/>
    <mergeCell ref="A78:B78"/>
    <mergeCell ref="D78:E78"/>
    <mergeCell ref="A90:B90"/>
    <mergeCell ref="A79:B79"/>
    <mergeCell ref="D79:E79"/>
    <mergeCell ref="A80:B80"/>
    <mergeCell ref="D80:E80"/>
    <mergeCell ref="A82:C82"/>
    <mergeCell ref="A83:B83"/>
    <mergeCell ref="A84:B84"/>
    <mergeCell ref="A85:B85"/>
    <mergeCell ref="A87:B87"/>
    <mergeCell ref="A89:C89"/>
    <mergeCell ref="A91:B91"/>
    <mergeCell ref="A92:B92"/>
    <mergeCell ref="A93:B93"/>
    <mergeCell ref="A95:B95"/>
    <mergeCell ref="A96:B96"/>
  </mergeCells>
  <conditionalFormatting sqref="I18">
    <cfRule type="cellIs" dxfId="6" priority="1" operator="equal">
      <formula>"Heures réelles"</formula>
    </cfRule>
  </conditionalFormatting>
  <dataValidations count="5">
    <dataValidation type="list" allowBlank="1" showInputMessage="1" showErrorMessage="1" sqref="B19:B20">
      <formula1>INDIRECT(A19)</formula1>
    </dataValidation>
    <dataValidation type="list" allowBlank="1" showInputMessage="1" showErrorMessage="1" sqref="A62:B62">
      <formula1>liste_Fillon</formula1>
    </dataValidation>
    <dataValidation type="list" allowBlank="1" showInputMessage="1" showErrorMessage="1" sqref="A33:B33">
      <formula1>Liste_AF</formula1>
    </dataValidation>
    <dataValidation type="list" allowBlank="1" showInputMessage="1" showErrorMessage="1" sqref="A19:A20">
      <formula1>HS.HC</formula1>
    </dataValidation>
    <dataValidation type="list" allowBlank="1" showInputMessage="1" showErrorMessage="1" sqref="B18">
      <formula1>absences</formula1>
    </dataValidation>
  </dataValidations>
  <pageMargins left="0.19685039370078741" right="0.19685039370078741" top="0.39370078740157483" bottom="0.19685039370078741" header="0.19685039370078741" footer="0.19685039370078741"/>
  <pageSetup paperSize="9" orientation="portrait" r:id="rId1"/>
  <headerFooter differentFirst="1">
    <oddHeader>&amp;LEmmanuel ESNAULT</oddHeader>
    <firstHeader>&amp;LEmmanuel ESNAULT</firstHeader>
    <firstFooter>&amp;C&amp;7DANS VOTRE INTERET ET POUR FAIRE VALOIR VOS DROITS, NOUS VOUS CONSEILLONS DE CONSERVER CE BULLETIN SANS LIMITATION DE DUREE</firstFooter>
  </headerFooter>
  <rowBreaks count="1" manualBreakCount="1">
    <brk id="80" max="16383" man="1"/>
  </rowBreak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>
    <tabColor theme="9" tint="-0.249977111117893"/>
  </sheetPr>
  <dimension ref="A1:L215"/>
  <sheetViews>
    <sheetView showZeros="0" zoomScale="130" zoomScaleNormal="130" workbookViewId="0">
      <selection activeCell="B5" sqref="B5:D5"/>
    </sheetView>
  </sheetViews>
  <sheetFormatPr baseColWidth="10" defaultRowHeight="10.5" customHeight="1"/>
  <cols>
    <col min="1" max="1" width="7.42578125" style="8" customWidth="1"/>
    <col min="2" max="2" width="4" style="8" customWidth="1"/>
    <col min="3" max="4" width="12.5703125" style="8" customWidth="1"/>
    <col min="5" max="5" width="0.85546875" style="8" customWidth="1"/>
    <col min="6" max="10" width="12.5703125" style="8" customWidth="1"/>
    <col min="11" max="11" width="1.7109375" style="8" customWidth="1"/>
    <col min="12" max="16384" width="11.42578125" style="8"/>
  </cols>
  <sheetData>
    <row r="1" spans="1:11" ht="10.5" customHeight="1">
      <c r="A1" s="996" t="s">
        <v>60</v>
      </c>
      <c r="B1" s="997"/>
      <c r="C1" s="997"/>
      <c r="D1" s="997"/>
      <c r="E1" s="997"/>
      <c r="F1" s="998"/>
      <c r="G1" s="1"/>
      <c r="H1" s="22"/>
      <c r="I1" s="429" t="s">
        <v>62</v>
      </c>
      <c r="J1" s="23"/>
    </row>
    <row r="2" spans="1:11" ht="10.5" customHeight="1" thickBot="1">
      <c r="A2" s="999"/>
      <c r="B2" s="1000"/>
      <c r="C2" s="1000"/>
      <c r="D2" s="1000"/>
      <c r="E2" s="1000"/>
      <c r="F2" s="1001"/>
      <c r="G2" s="1"/>
      <c r="H2" s="110" t="s">
        <v>63</v>
      </c>
      <c r="I2" s="977"/>
      <c r="J2" s="978"/>
    </row>
    <row r="3" spans="1:11" ht="10.5" customHeight="1" thickBot="1">
      <c r="A3" s="2"/>
      <c r="B3" s="2"/>
      <c r="C3" s="2"/>
      <c r="D3" s="2"/>
      <c r="E3" s="2"/>
      <c r="F3" s="2"/>
      <c r="G3" s="1"/>
      <c r="H3" s="111" t="s">
        <v>64</v>
      </c>
      <c r="I3" s="979"/>
      <c r="J3" s="980"/>
    </row>
    <row r="4" spans="1:11" ht="10.5" customHeight="1">
      <c r="A4" s="1006" t="s">
        <v>61</v>
      </c>
      <c r="B4" s="1007"/>
      <c r="C4" s="1007"/>
      <c r="D4" s="1007"/>
      <c r="E4" s="1007"/>
      <c r="F4" s="1008"/>
      <c r="G4" s="1"/>
      <c r="H4" s="111" t="s">
        <v>65</v>
      </c>
      <c r="I4" s="979"/>
      <c r="J4" s="980"/>
    </row>
    <row r="5" spans="1:11" ht="10.5" customHeight="1">
      <c r="A5" s="3" t="s">
        <v>88</v>
      </c>
      <c r="B5" s="428"/>
      <c r="C5" s="1020">
        <f>Société!B3</f>
        <v>0</v>
      </c>
      <c r="D5" s="1020"/>
      <c r="E5" s="1020"/>
      <c r="F5" s="1021"/>
      <c r="G5" s="1"/>
      <c r="H5" s="111" t="s">
        <v>66</v>
      </c>
      <c r="I5" s="979" t="s">
        <v>87</v>
      </c>
      <c r="J5" s="980"/>
    </row>
    <row r="6" spans="1:11" ht="10.5" customHeight="1">
      <c r="A6" s="3" t="s">
        <v>69</v>
      </c>
      <c r="B6" s="428"/>
      <c r="C6" s="983">
        <f>Société!B4</f>
        <v>0</v>
      </c>
      <c r="D6" s="983"/>
      <c r="E6" s="983"/>
      <c r="F6" s="984"/>
      <c r="G6" s="1"/>
      <c r="H6" s="111" t="s">
        <v>71</v>
      </c>
      <c r="I6" s="426" t="s">
        <v>72</v>
      </c>
      <c r="J6" s="427" t="s">
        <v>73</v>
      </c>
    </row>
    <row r="7" spans="1:11" ht="10.5" customHeight="1">
      <c r="A7" s="3"/>
      <c r="B7" s="428"/>
      <c r="C7" s="983">
        <f>Société!B5</f>
        <v>0</v>
      </c>
      <c r="D7" s="983"/>
      <c r="E7" s="983"/>
      <c r="F7" s="984"/>
      <c r="G7" s="1"/>
      <c r="H7" s="111" t="s">
        <v>67</v>
      </c>
      <c r="I7" s="979"/>
      <c r="J7" s="980"/>
    </row>
    <row r="8" spans="1:11" ht="10.5" customHeight="1">
      <c r="A8" s="3" t="s">
        <v>74</v>
      </c>
      <c r="B8" s="428"/>
      <c r="C8" s="983">
        <f>Société!B6</f>
        <v>0</v>
      </c>
      <c r="D8" s="983"/>
      <c r="E8" s="983"/>
      <c r="F8" s="984"/>
      <c r="G8" s="1"/>
      <c r="H8" s="111" t="s">
        <v>68</v>
      </c>
      <c r="I8" s="1022"/>
      <c r="J8" s="1023"/>
    </row>
    <row r="9" spans="1:11" ht="10.5" customHeight="1">
      <c r="A9" s="3" t="s">
        <v>75</v>
      </c>
      <c r="B9" s="428"/>
      <c r="C9" s="983">
        <f>Société!B7</f>
        <v>0</v>
      </c>
      <c r="D9" s="983"/>
      <c r="E9" s="983"/>
      <c r="F9" s="984"/>
      <c r="G9" s="1"/>
      <c r="H9" s="111" t="s">
        <v>69</v>
      </c>
      <c r="I9" s="979"/>
      <c r="J9" s="980"/>
    </row>
    <row r="10" spans="1:11" ht="10.5" customHeight="1">
      <c r="A10" s="3" t="s">
        <v>76</v>
      </c>
      <c r="B10" s="428"/>
      <c r="C10" s="983">
        <f>Société!B8</f>
        <v>0</v>
      </c>
      <c r="D10" s="983"/>
      <c r="E10" s="983"/>
      <c r="F10" s="984"/>
      <c r="G10" s="1"/>
      <c r="H10" s="111"/>
      <c r="I10" s="979"/>
      <c r="J10" s="980"/>
    </row>
    <row r="11" spans="1:11" ht="10.5" customHeight="1" thickBot="1">
      <c r="A11" s="4" t="s">
        <v>77</v>
      </c>
      <c r="B11" s="433"/>
      <c r="C11" s="985">
        <f>Société!B9</f>
        <v>0</v>
      </c>
      <c r="D11" s="985"/>
      <c r="E11" s="985"/>
      <c r="F11" s="986"/>
      <c r="G11" s="1"/>
      <c r="H11" s="112" t="s">
        <v>452</v>
      </c>
      <c r="I11" s="433"/>
      <c r="J11" s="434"/>
    </row>
    <row r="12" spans="1:11" ht="10.5" customHeight="1" thickBot="1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1" ht="10.5" customHeight="1" thickBot="1">
      <c r="A13" s="94" t="s">
        <v>79</v>
      </c>
      <c r="B13" s="96"/>
      <c r="C13" s="95">
        <f>Société!B19</f>
        <v>0</v>
      </c>
      <c r="D13" s="432" t="s">
        <v>80</v>
      </c>
      <c r="E13" s="96"/>
      <c r="F13" s="97">
        <f>IF(C13=0,0,EOMONTH(C13,0))</f>
        <v>0</v>
      </c>
      <c r="G13" s="1"/>
      <c r="H13" s="1016" t="s">
        <v>81</v>
      </c>
      <c r="I13" s="1017"/>
      <c r="J13" s="99">
        <f>3269*F17/151.67</f>
        <v>3269</v>
      </c>
    </row>
    <row r="14" spans="1:11" ht="10.5" customHeight="1" thickBot="1">
      <c r="A14" s="1"/>
      <c r="B14" s="1"/>
      <c r="C14" s="1"/>
      <c r="D14" s="1"/>
      <c r="E14" s="1"/>
      <c r="F14" s="1"/>
      <c r="G14" s="1"/>
      <c r="H14" s="1"/>
      <c r="I14" s="1"/>
      <c r="J14" s="1"/>
    </row>
    <row r="15" spans="1:11" ht="10.5" customHeight="1">
      <c r="A15" s="1002" t="s">
        <v>0</v>
      </c>
      <c r="B15" s="1003"/>
      <c r="C15" s="1003"/>
      <c r="D15" s="1003"/>
      <c r="E15" s="1003"/>
      <c r="F15" s="430" t="s">
        <v>50</v>
      </c>
      <c r="G15" s="1011"/>
      <c r="H15" s="1011"/>
      <c r="I15" s="1012" t="s">
        <v>1</v>
      </c>
      <c r="J15" s="1014" t="s">
        <v>3</v>
      </c>
      <c r="K15" s="11"/>
    </row>
    <row r="16" spans="1:11" ht="10.5" customHeight="1">
      <c r="A16" s="1004"/>
      <c r="B16" s="1005"/>
      <c r="C16" s="1005"/>
      <c r="D16" s="1005"/>
      <c r="E16" s="1005"/>
      <c r="F16" s="431" t="s">
        <v>51</v>
      </c>
      <c r="G16" s="447"/>
      <c r="H16" s="448"/>
      <c r="I16" s="1013"/>
      <c r="J16" s="1015"/>
      <c r="K16" s="11"/>
    </row>
    <row r="17" spans="1:12" ht="10.5" customHeight="1">
      <c r="A17" s="3" t="s">
        <v>453</v>
      </c>
      <c r="B17" s="428"/>
      <c r="C17" s="428"/>
      <c r="D17" s="435"/>
      <c r="E17" s="428"/>
      <c r="F17" s="9">
        <v>151.66999999999999</v>
      </c>
      <c r="G17" s="449"/>
      <c r="H17" s="449"/>
      <c r="I17" s="9">
        <f>J17/F17</f>
        <v>0</v>
      </c>
      <c r="J17" s="87">
        <f>D17*SMIC_mens</f>
        <v>0</v>
      </c>
      <c r="K17" s="11"/>
    </row>
    <row r="18" spans="1:12" ht="10.5" customHeight="1">
      <c r="A18" s="3" t="str">
        <f>IF(B18=0,"","Absences")</f>
        <v>Absences</v>
      </c>
      <c r="B18" s="987" t="s">
        <v>209</v>
      </c>
      <c r="C18" s="987"/>
      <c r="D18" s="428"/>
      <c r="E18" s="428"/>
      <c r="F18" s="9"/>
      <c r="G18" s="449"/>
      <c r="H18" s="449"/>
      <c r="I18" s="100" t="str">
        <f>IF(B18="en heures réelles",IF(H96=0,"Heures réelles",J17/H96),IF(B18="au 30ème",J17/30,J17/26))</f>
        <v>Heures réelles</v>
      </c>
      <c r="J18" s="87">
        <f>IF(I18="Heures réelles",0,-F18*I18)</f>
        <v>0</v>
      </c>
      <c r="K18" s="11"/>
    </row>
    <row r="19" spans="1:12" ht="10.5" customHeight="1">
      <c r="A19" s="3" t="s">
        <v>10</v>
      </c>
      <c r="B19" s="1026">
        <v>1.25</v>
      </c>
      <c r="C19" s="1026"/>
      <c r="D19" s="428"/>
      <c r="E19" s="428"/>
      <c r="F19" s="9"/>
      <c r="G19" s="449"/>
      <c r="H19" s="449"/>
      <c r="I19" s="9">
        <f>IF(B19=0,$I$17,$I$17*B19)</f>
        <v>0</v>
      </c>
      <c r="J19" s="87">
        <f>F19*I19</f>
        <v>0</v>
      </c>
      <c r="K19" s="11"/>
      <c r="L19" s="789" t="s">
        <v>639</v>
      </c>
    </row>
    <row r="20" spans="1:12" ht="10.5" customHeight="1">
      <c r="A20" s="3" t="s">
        <v>10</v>
      </c>
      <c r="B20" s="1026">
        <v>1.5</v>
      </c>
      <c r="C20" s="1026"/>
      <c r="D20" s="428"/>
      <c r="E20" s="428"/>
      <c r="F20" s="9"/>
      <c r="G20" s="449"/>
      <c r="H20" s="449"/>
      <c r="I20" s="9">
        <f>IF(B20=0,$I$17,$I$17*B20)</f>
        <v>0</v>
      </c>
      <c r="J20" s="87">
        <f>F20*I20</f>
        <v>0</v>
      </c>
      <c r="K20" s="11"/>
      <c r="L20" s="789" t="s">
        <v>640</v>
      </c>
    </row>
    <row r="21" spans="1:12" ht="10.5" customHeight="1">
      <c r="A21" s="3" t="s">
        <v>14</v>
      </c>
      <c r="B21" s="428"/>
      <c r="C21" s="428"/>
      <c r="D21" s="428"/>
      <c r="E21" s="428"/>
      <c r="F21" s="9"/>
      <c r="G21" s="449"/>
      <c r="H21" s="449"/>
      <c r="I21" s="5"/>
      <c r="J21" s="87"/>
      <c r="K21" s="11"/>
      <c r="L21" s="789" t="s">
        <v>641</v>
      </c>
    </row>
    <row r="22" spans="1:12" ht="10.5" customHeight="1">
      <c r="A22" s="3" t="s">
        <v>15</v>
      </c>
      <c r="B22" s="428"/>
      <c r="C22" s="428"/>
      <c r="D22" s="428"/>
      <c r="E22" s="428"/>
      <c r="F22" s="9"/>
      <c r="G22" s="449"/>
      <c r="H22" s="449"/>
      <c r="I22" s="5"/>
      <c r="J22" s="87"/>
      <c r="K22" s="11"/>
    </row>
    <row r="23" spans="1:12" ht="10.5" customHeight="1" thickBot="1">
      <c r="A23" s="3" t="s">
        <v>16</v>
      </c>
      <c r="B23" s="428"/>
      <c r="C23" s="428"/>
      <c r="D23" s="428"/>
      <c r="E23" s="428"/>
      <c r="F23" s="9"/>
      <c r="G23" s="449"/>
      <c r="H23" s="449"/>
      <c r="I23" s="5"/>
      <c r="J23" s="87"/>
      <c r="K23" s="11"/>
    </row>
    <row r="24" spans="1:12" ht="10.5" customHeight="1" thickBot="1">
      <c r="A24" s="10" t="s">
        <v>17</v>
      </c>
      <c r="B24" s="403"/>
      <c r="C24" s="11"/>
      <c r="D24" s="11"/>
      <c r="E24" s="11"/>
      <c r="F24" s="34"/>
      <c r="G24" s="450"/>
      <c r="H24" s="450"/>
      <c r="I24" s="484"/>
      <c r="J24" s="32">
        <f>SUM(J17:J23)</f>
        <v>0</v>
      </c>
      <c r="K24" s="11"/>
    </row>
    <row r="25" spans="1:12" ht="10.5" customHeight="1">
      <c r="A25" s="13"/>
      <c r="B25" s="11"/>
      <c r="C25" s="11"/>
      <c r="D25" s="11"/>
      <c r="E25" s="11"/>
      <c r="F25" s="34"/>
      <c r="G25" s="1009" t="s">
        <v>2</v>
      </c>
      <c r="H25" s="1009"/>
      <c r="I25" s="1009" t="s">
        <v>4</v>
      </c>
      <c r="J25" s="1010"/>
      <c r="K25" s="11"/>
    </row>
    <row r="26" spans="1:12" ht="10.5" customHeight="1">
      <c r="A26" s="13"/>
      <c r="B26" s="11"/>
      <c r="C26" s="11"/>
      <c r="D26" s="11"/>
      <c r="E26" s="11"/>
      <c r="F26" s="34"/>
      <c r="G26" s="6" t="s">
        <v>1</v>
      </c>
      <c r="H26" s="6" t="s">
        <v>3</v>
      </c>
      <c r="I26" s="6" t="s">
        <v>1</v>
      </c>
      <c r="J26" s="7" t="s">
        <v>3</v>
      </c>
      <c r="K26" s="11"/>
    </row>
    <row r="27" spans="1:12" ht="12" customHeight="1">
      <c r="A27" s="14" t="s">
        <v>18</v>
      </c>
      <c r="B27" s="404"/>
      <c r="C27" s="11"/>
      <c r="D27" s="11"/>
      <c r="E27" s="11"/>
      <c r="F27" s="34"/>
      <c r="G27" s="46"/>
      <c r="H27" s="33"/>
      <c r="I27" s="61"/>
      <c r="J27" s="30"/>
      <c r="K27" s="11"/>
    </row>
    <row r="28" spans="1:12" ht="10.5" hidden="1" customHeight="1">
      <c r="A28" s="3" t="s">
        <v>98</v>
      </c>
      <c r="B28" s="428"/>
      <c r="C28" s="11"/>
      <c r="D28" s="11"/>
      <c r="E28" s="11"/>
      <c r="F28" s="34"/>
      <c r="G28" s="46"/>
      <c r="H28" s="34">
        <f t="shared" ref="H28:H57" si="0">ROUNDUP(F28*G28,2)</f>
        <v>0</v>
      </c>
      <c r="I28" s="55">
        <f>Cotisations!C5</f>
        <v>5.0999999999999997E-2</v>
      </c>
      <c r="J28" s="30">
        <f t="shared" ref="J28:J35" si="1">ROUNDUP(F28*I28,2)</f>
        <v>0</v>
      </c>
      <c r="K28" s="11"/>
    </row>
    <row r="29" spans="1:12" ht="10.5" hidden="1" customHeight="1">
      <c r="A29" s="3" t="s">
        <v>19</v>
      </c>
      <c r="B29" s="428"/>
      <c r="C29" s="11"/>
      <c r="D29" s="11"/>
      <c r="E29" s="11"/>
      <c r="F29" s="34"/>
      <c r="G29" s="71">
        <f>Cotisations!B8</f>
        <v>0.12889999999999999</v>
      </c>
      <c r="H29" s="34">
        <f t="shared" si="0"/>
        <v>0</v>
      </c>
      <c r="I29" s="55">
        <f>Cotisations!C8</f>
        <v>7.4999999999999997E-3</v>
      </c>
      <c r="J29" s="30">
        <f t="shared" si="1"/>
        <v>0</v>
      </c>
      <c r="K29" s="11"/>
    </row>
    <row r="30" spans="1:12" ht="10.5" customHeight="1">
      <c r="A30" s="3" t="s">
        <v>20</v>
      </c>
      <c r="B30" s="428"/>
      <c r="C30" s="11"/>
      <c r="D30" s="11"/>
      <c r="E30" s="11"/>
      <c r="F30" s="34">
        <f>APP_TABB</f>
        <v>0</v>
      </c>
      <c r="G30" s="46">
        <f>Cotisations!B9</f>
        <v>3.0000000000000001E-3</v>
      </c>
      <c r="H30" s="34">
        <f t="shared" si="0"/>
        <v>0</v>
      </c>
      <c r="I30" s="55"/>
      <c r="J30" s="30">
        <f t="shared" si="1"/>
        <v>0</v>
      </c>
      <c r="K30" s="11"/>
    </row>
    <row r="31" spans="1:12" ht="10.5" customHeight="1">
      <c r="A31" s="3" t="s">
        <v>21</v>
      </c>
      <c r="B31" s="428"/>
      <c r="C31" s="11"/>
      <c r="D31" s="11"/>
      <c r="E31" s="11"/>
      <c r="F31" s="34">
        <f>APP_TABB</f>
        <v>0</v>
      </c>
      <c r="G31" s="46">
        <f>Société!B16</f>
        <v>0</v>
      </c>
      <c r="H31" s="34">
        <f t="shared" si="0"/>
        <v>0</v>
      </c>
      <c r="I31" s="55"/>
      <c r="J31" s="30">
        <f t="shared" si="1"/>
        <v>0</v>
      </c>
      <c r="K31" s="11"/>
    </row>
    <row r="32" spans="1:12" ht="10.5" hidden="1" customHeight="1">
      <c r="A32" s="3" t="s">
        <v>274</v>
      </c>
      <c r="B32" s="428"/>
      <c r="C32" s="11"/>
      <c r="D32" s="11"/>
      <c r="E32" s="11"/>
      <c r="F32" s="34"/>
      <c r="G32" s="46">
        <f>Cotisations!B10+IF(App_Brut&lt;3.5*SMIC_Fillon,0,Cotisations!B11)</f>
        <v>3.4500000000000003E-2</v>
      </c>
      <c r="H32" s="34">
        <f t="shared" si="0"/>
        <v>0</v>
      </c>
      <c r="I32" s="55"/>
      <c r="J32" s="30">
        <f t="shared" si="1"/>
        <v>0</v>
      </c>
      <c r="K32" s="11"/>
    </row>
    <row r="33" spans="1:11" ht="10.5" customHeight="1">
      <c r="A33" s="3" t="s">
        <v>23</v>
      </c>
      <c r="B33" s="428"/>
      <c r="C33" s="11"/>
      <c r="D33" s="11"/>
      <c r="E33" s="11"/>
      <c r="F33" s="45">
        <f>APP_TABB</f>
        <v>0</v>
      </c>
      <c r="G33" s="46">
        <f>Société!B17</f>
        <v>0</v>
      </c>
      <c r="H33" s="34">
        <f t="shared" si="0"/>
        <v>0</v>
      </c>
      <c r="I33" s="55"/>
      <c r="J33" s="30">
        <f t="shared" si="1"/>
        <v>0</v>
      </c>
      <c r="K33" s="11"/>
    </row>
    <row r="34" spans="1:11" ht="10.5" hidden="1" customHeight="1">
      <c r="A34" s="3" t="s">
        <v>24</v>
      </c>
      <c r="B34" s="428"/>
      <c r="C34" s="11"/>
      <c r="D34" s="11"/>
      <c r="E34" s="11"/>
      <c r="F34" s="45"/>
      <c r="G34" s="46">
        <f>Cotisations!B12</f>
        <v>1.9E-2</v>
      </c>
      <c r="H34" s="34">
        <f t="shared" si="0"/>
        <v>0</v>
      </c>
      <c r="I34" s="55">
        <f>Cotisations!C12</f>
        <v>4.0000000000000001E-3</v>
      </c>
      <c r="J34" s="30">
        <f t="shared" si="1"/>
        <v>0</v>
      </c>
      <c r="K34" s="11"/>
    </row>
    <row r="35" spans="1:11" ht="10.5" hidden="1" customHeight="1">
      <c r="A35" s="3" t="s">
        <v>25</v>
      </c>
      <c r="B35" s="428"/>
      <c r="C35" s="11"/>
      <c r="D35" s="11"/>
      <c r="E35" s="11"/>
      <c r="F35" s="45"/>
      <c r="G35" s="46">
        <f>Cotisations!B13</f>
        <v>8.5500000000000007E-2</v>
      </c>
      <c r="H35" s="34">
        <f t="shared" si="0"/>
        <v>0</v>
      </c>
      <c r="I35" s="55">
        <f>Cotisations!C13</f>
        <v>6.9000000000000006E-2</v>
      </c>
      <c r="J35" s="30">
        <f t="shared" si="1"/>
        <v>0</v>
      </c>
      <c r="K35" s="11"/>
    </row>
    <row r="36" spans="1:11" ht="10.5" customHeight="1">
      <c r="A36" s="3" t="s">
        <v>26</v>
      </c>
      <c r="B36" s="428"/>
      <c r="C36" s="11"/>
      <c r="D36" s="11"/>
      <c r="E36" s="11"/>
      <c r="F36" s="45">
        <f>APP_TABB</f>
        <v>0</v>
      </c>
      <c r="G36" s="46">
        <f>IF(effectif&lt;20,Cotisations!B14,Cotisations!B15)</f>
        <v>1E-3</v>
      </c>
      <c r="H36" s="34">
        <f t="shared" si="0"/>
        <v>0</v>
      </c>
      <c r="I36" s="55"/>
      <c r="J36" s="30"/>
      <c r="K36" s="11"/>
    </row>
    <row r="37" spans="1:11" ht="10.5" hidden="1" customHeight="1">
      <c r="A37" s="3" t="s">
        <v>27</v>
      </c>
      <c r="B37" s="428"/>
      <c r="C37" s="11"/>
      <c r="D37" s="11"/>
      <c r="E37" s="11"/>
      <c r="F37" s="45"/>
      <c r="G37" s="46">
        <f>Cotisations!B16</f>
        <v>0.08</v>
      </c>
      <c r="H37" s="34">
        <f t="shared" si="0"/>
        <v>0</v>
      </c>
      <c r="I37" s="55"/>
      <c r="J37" s="30"/>
      <c r="K37" s="11"/>
    </row>
    <row r="38" spans="1:11" ht="10.5" hidden="1" customHeight="1">
      <c r="A38" s="3" t="s">
        <v>211</v>
      </c>
      <c r="B38" s="428"/>
      <c r="C38" s="11"/>
      <c r="D38" s="11"/>
      <c r="E38" s="11"/>
      <c r="F38" s="45"/>
      <c r="G38" s="46">
        <f>Cotisations!B17</f>
        <v>0.2</v>
      </c>
      <c r="H38" s="34">
        <f t="shared" si="0"/>
        <v>0</v>
      </c>
      <c r="I38" s="55"/>
      <c r="J38" s="30"/>
      <c r="K38" s="11"/>
    </row>
    <row r="39" spans="1:11" ht="10.5" customHeight="1">
      <c r="A39" s="3" t="s">
        <v>28</v>
      </c>
      <c r="B39" s="428"/>
      <c r="C39" s="11"/>
      <c r="D39" s="11"/>
      <c r="E39" s="11"/>
      <c r="F39" s="45">
        <f>APP_TABB</f>
        <v>0</v>
      </c>
      <c r="G39" s="46">
        <f>Cotisations!B18</f>
        <v>1.6000000000000001E-4</v>
      </c>
      <c r="H39" s="34">
        <f t="shared" si="0"/>
        <v>0</v>
      </c>
      <c r="I39" s="55"/>
      <c r="J39" s="30"/>
      <c r="K39" s="11"/>
    </row>
    <row r="40" spans="1:11" ht="10.5" customHeight="1">
      <c r="A40" s="3" t="s">
        <v>29</v>
      </c>
      <c r="B40" s="428"/>
      <c r="C40" s="11"/>
      <c r="D40" s="11"/>
      <c r="E40" s="11"/>
      <c r="F40" s="45">
        <f>APP_TABB</f>
        <v>0</v>
      </c>
      <c r="G40" s="46">
        <f>Cotisations!B19</f>
        <v>1E-4</v>
      </c>
      <c r="H40" s="34">
        <f t="shared" si="0"/>
        <v>0</v>
      </c>
      <c r="I40" s="55"/>
      <c r="J40" s="30"/>
      <c r="K40" s="11"/>
    </row>
    <row r="41" spans="1:11" ht="12" customHeight="1">
      <c r="A41" s="14" t="s">
        <v>30</v>
      </c>
      <c r="B41" s="404"/>
      <c r="C41" s="11"/>
      <c r="D41" s="11"/>
      <c r="E41" s="11"/>
      <c r="F41" s="34"/>
      <c r="G41" s="46"/>
      <c r="H41" s="34">
        <f t="shared" si="0"/>
        <v>0</v>
      </c>
      <c r="I41" s="55"/>
      <c r="J41" s="30"/>
      <c r="K41" s="11"/>
    </row>
    <row r="42" spans="1:11" ht="10.5" customHeight="1">
      <c r="A42" s="3" t="s">
        <v>31</v>
      </c>
      <c r="B42" s="428"/>
      <c r="C42" s="11"/>
      <c r="D42" s="11"/>
      <c r="E42" s="11"/>
      <c r="F42" s="34">
        <f>APP_TABB</f>
        <v>0</v>
      </c>
      <c r="G42" s="46">
        <f>Cotisations!B22</f>
        <v>4.0500000000000001E-2</v>
      </c>
      <c r="H42" s="34">
        <f t="shared" si="0"/>
        <v>0</v>
      </c>
      <c r="I42" s="55"/>
      <c r="J42" s="30"/>
      <c r="K42" s="11"/>
    </row>
    <row r="43" spans="1:11" ht="10.5" customHeight="1">
      <c r="A43" s="3" t="s">
        <v>32</v>
      </c>
      <c r="B43" s="428"/>
      <c r="C43" s="11"/>
      <c r="D43" s="11"/>
      <c r="E43" s="11"/>
      <c r="F43" s="34">
        <f>APP_TABB</f>
        <v>0</v>
      </c>
      <c r="G43" s="46">
        <f>Cotisations!B23</f>
        <v>1.5E-3</v>
      </c>
      <c r="H43" s="34">
        <f t="shared" si="0"/>
        <v>0</v>
      </c>
      <c r="I43" s="55"/>
      <c r="J43" s="30"/>
      <c r="K43" s="11"/>
    </row>
    <row r="44" spans="1:11" ht="10.5" hidden="1" customHeight="1">
      <c r="A44" s="3" t="s">
        <v>33</v>
      </c>
      <c r="B44" s="428"/>
      <c r="C44" s="11"/>
      <c r="D44" s="11"/>
      <c r="E44" s="11"/>
      <c r="F44" s="34"/>
      <c r="G44" s="46"/>
      <c r="H44" s="34">
        <f t="shared" si="0"/>
        <v>0</v>
      </c>
      <c r="I44" s="55"/>
      <c r="J44" s="30"/>
      <c r="K44" s="11"/>
    </row>
    <row r="45" spans="1:11" ht="12" customHeight="1">
      <c r="A45" s="14" t="s">
        <v>215</v>
      </c>
      <c r="B45" s="404"/>
      <c r="C45" s="11"/>
      <c r="D45" s="11"/>
      <c r="E45" s="11"/>
      <c r="F45" s="34"/>
      <c r="G45" s="46"/>
      <c r="H45" s="34">
        <f t="shared" si="0"/>
        <v>0</v>
      </c>
      <c r="I45" s="55"/>
      <c r="J45" s="30"/>
      <c r="K45" s="11"/>
    </row>
    <row r="46" spans="1:11" ht="10.5" customHeight="1">
      <c r="A46" s="3" t="s">
        <v>122</v>
      </c>
      <c r="B46" s="428"/>
      <c r="C46" s="11"/>
      <c r="D46" s="11"/>
      <c r="E46" s="11"/>
      <c r="F46" s="34">
        <f>APP_TABB</f>
        <v>0</v>
      </c>
      <c r="G46" s="46">
        <f>Cotisations!B28</f>
        <v>4.65E-2</v>
      </c>
      <c r="H46" s="34">
        <f t="shared" si="0"/>
        <v>0</v>
      </c>
      <c r="I46" s="55"/>
      <c r="J46" s="30"/>
      <c r="K46" s="11"/>
    </row>
    <row r="47" spans="1:11" ht="10.5" hidden="1" customHeight="1">
      <c r="A47" s="3" t="s">
        <v>123</v>
      </c>
      <c r="B47" s="428"/>
      <c r="C47" s="11"/>
      <c r="D47" s="11"/>
      <c r="E47" s="11"/>
      <c r="F47" s="34"/>
      <c r="G47" s="46">
        <f>Cotisations!B29</f>
        <v>0.1215</v>
      </c>
      <c r="H47" s="34">
        <f t="shared" si="0"/>
        <v>0</v>
      </c>
      <c r="I47" s="55"/>
      <c r="J47" s="30"/>
      <c r="K47" s="11"/>
    </row>
    <row r="48" spans="1:11" ht="10.5" customHeight="1">
      <c r="A48" s="3" t="s">
        <v>34</v>
      </c>
      <c r="B48" s="428"/>
      <c r="C48" s="11"/>
      <c r="D48" s="11"/>
      <c r="E48" s="11"/>
      <c r="F48" s="34">
        <f>APP_TABB</f>
        <v>0</v>
      </c>
      <c r="G48" s="46">
        <f>Cotisations!B30</f>
        <v>1.2E-2</v>
      </c>
      <c r="H48" s="34">
        <f t="shared" si="0"/>
        <v>0</v>
      </c>
      <c r="I48" s="55"/>
      <c r="J48" s="30"/>
      <c r="K48" s="11"/>
    </row>
    <row r="49" spans="1:11" ht="10.5" hidden="1" customHeight="1">
      <c r="A49" s="3" t="s">
        <v>35</v>
      </c>
      <c r="B49" s="428"/>
      <c r="C49" s="11"/>
      <c r="D49" s="11"/>
      <c r="E49" s="11"/>
      <c r="F49" s="34"/>
      <c r="G49" s="46">
        <f>Cotisations!B31</f>
        <v>1.2999999999999999E-2</v>
      </c>
      <c r="H49" s="34">
        <f t="shared" si="0"/>
        <v>0</v>
      </c>
      <c r="I49" s="55"/>
      <c r="J49" s="30"/>
      <c r="K49" s="11"/>
    </row>
    <row r="50" spans="1:11" ht="10.5" hidden="1" customHeight="1">
      <c r="A50" s="3" t="s">
        <v>213</v>
      </c>
      <c r="B50" s="428"/>
      <c r="C50" s="11"/>
      <c r="D50" s="11"/>
      <c r="E50" s="11"/>
      <c r="F50" s="34">
        <f>App_TA</f>
        <v>0</v>
      </c>
      <c r="G50" s="46"/>
      <c r="H50" s="34">
        <f t="shared" si="0"/>
        <v>0</v>
      </c>
      <c r="I50" s="55"/>
      <c r="J50" s="30"/>
      <c r="K50" s="11"/>
    </row>
    <row r="51" spans="1:11" ht="10.5" hidden="1" customHeight="1">
      <c r="A51" s="3" t="s">
        <v>214</v>
      </c>
      <c r="B51" s="428"/>
      <c r="C51" s="11"/>
      <c r="D51" s="11"/>
      <c r="E51" s="11"/>
      <c r="F51" s="34">
        <f>App_TB</f>
        <v>0</v>
      </c>
      <c r="G51" s="46"/>
      <c r="H51" s="34">
        <f t="shared" si="0"/>
        <v>0</v>
      </c>
      <c r="I51" s="55"/>
      <c r="J51" s="30"/>
      <c r="K51" s="11"/>
    </row>
    <row r="52" spans="1:11" ht="12" customHeight="1">
      <c r="A52" s="14" t="s">
        <v>36</v>
      </c>
      <c r="B52" s="404"/>
      <c r="C52" s="11"/>
      <c r="D52" s="11"/>
      <c r="E52" s="11"/>
      <c r="F52" s="34"/>
      <c r="G52" s="46"/>
      <c r="H52" s="34">
        <f t="shared" si="0"/>
        <v>0</v>
      </c>
      <c r="I52" s="60"/>
      <c r="J52" s="30"/>
      <c r="K52" s="11"/>
    </row>
    <row r="53" spans="1:11" ht="10.5" customHeight="1">
      <c r="A53" s="3" t="s">
        <v>37</v>
      </c>
      <c r="B53" s="428"/>
      <c r="C53" s="11"/>
      <c r="D53" s="11"/>
      <c r="E53" s="11"/>
      <c r="F53" s="34">
        <f>APP_TABB</f>
        <v>0</v>
      </c>
      <c r="G53" s="46"/>
      <c r="H53" s="34">
        <f t="shared" si="0"/>
        <v>0</v>
      </c>
      <c r="I53" s="55"/>
      <c r="J53" s="30">
        <f t="shared" ref="J53:J58" si="2">ROUNDUP(F53*I53,2)</f>
        <v>0</v>
      </c>
      <c r="K53" s="11"/>
    </row>
    <row r="54" spans="1:11" ht="10.5" hidden="1" customHeight="1">
      <c r="A54" s="3" t="s">
        <v>38</v>
      </c>
      <c r="B54" s="428"/>
      <c r="C54" s="11"/>
      <c r="D54" s="11"/>
      <c r="E54" s="11"/>
      <c r="F54" s="34"/>
      <c r="G54" s="46"/>
      <c r="H54" s="34">
        <f t="shared" si="0"/>
        <v>0</v>
      </c>
      <c r="I54" s="55"/>
      <c r="J54" s="30">
        <f t="shared" si="2"/>
        <v>0</v>
      </c>
      <c r="K54" s="11"/>
    </row>
    <row r="55" spans="1:11" ht="10.5" customHeight="1">
      <c r="A55" s="3" t="s">
        <v>39</v>
      </c>
      <c r="B55" s="428"/>
      <c r="C55" s="11"/>
      <c r="D55" s="11"/>
      <c r="E55" s="11"/>
      <c r="F55" s="34">
        <f>APP_TABB</f>
        <v>0</v>
      </c>
      <c r="G55" s="46"/>
      <c r="H55" s="34">
        <f t="shared" si="0"/>
        <v>0</v>
      </c>
      <c r="I55" s="55"/>
      <c r="J55" s="30">
        <f t="shared" si="2"/>
        <v>0</v>
      </c>
      <c r="K55" s="11"/>
    </row>
    <row r="56" spans="1:11" ht="10.5" hidden="1" customHeight="1">
      <c r="A56" s="3" t="s">
        <v>40</v>
      </c>
      <c r="B56" s="428"/>
      <c r="C56" s="11"/>
      <c r="D56" s="11"/>
      <c r="E56" s="11"/>
      <c r="F56" s="34"/>
      <c r="G56" s="71"/>
      <c r="H56" s="34">
        <f t="shared" si="0"/>
        <v>0</v>
      </c>
      <c r="I56" s="55"/>
      <c r="J56" s="30">
        <f t="shared" si="2"/>
        <v>0</v>
      </c>
      <c r="K56" s="11"/>
    </row>
    <row r="57" spans="1:11" ht="10.5" customHeight="1">
      <c r="A57" s="3"/>
      <c r="B57" s="428"/>
      <c r="C57" s="11"/>
      <c r="D57" s="11"/>
      <c r="E57" s="11"/>
      <c r="F57" s="34"/>
      <c r="G57" s="11"/>
      <c r="H57" s="34">
        <f t="shared" si="0"/>
        <v>0</v>
      </c>
      <c r="I57" s="12"/>
      <c r="J57" s="30">
        <f t="shared" si="2"/>
        <v>0</v>
      </c>
      <c r="K57" s="11"/>
    </row>
    <row r="58" spans="1:11" ht="10.5" customHeight="1" thickBot="1">
      <c r="A58" s="3" t="s">
        <v>42</v>
      </c>
      <c r="B58" s="428"/>
      <c r="C58" s="11"/>
      <c r="D58" s="11"/>
      <c r="E58" s="11"/>
      <c r="F58" s="45">
        <f>IF(effectif&lt;20,SUM(F19:F20),0)</f>
        <v>0</v>
      </c>
      <c r="G58" s="436">
        <f>Société!B14</f>
        <v>1.5</v>
      </c>
      <c r="H58" s="34">
        <f>-ROUNDUP(F58*G58,2)</f>
        <v>0</v>
      </c>
      <c r="I58" s="16"/>
      <c r="J58" s="30">
        <f t="shared" si="2"/>
        <v>0</v>
      </c>
      <c r="K58" s="11"/>
    </row>
    <row r="59" spans="1:11" ht="10.5" hidden="1" customHeight="1" thickBot="1">
      <c r="A59" s="3" t="s">
        <v>41</v>
      </c>
      <c r="B59" s="428"/>
      <c r="C59" s="11"/>
      <c r="D59" s="11"/>
      <c r="E59" s="11"/>
      <c r="F59" s="86"/>
      <c r="G59" s="85">
        <f>MAX(C109,0)</f>
        <v>0</v>
      </c>
      <c r="H59" s="34">
        <f>-ROUNDUP(F59*G59,2)</f>
        <v>0</v>
      </c>
      <c r="I59" s="16"/>
      <c r="J59" s="31"/>
      <c r="K59" s="11"/>
    </row>
    <row r="60" spans="1:11" ht="12" customHeight="1" thickBot="1">
      <c r="A60" s="10" t="s">
        <v>78</v>
      </c>
      <c r="B60" s="403"/>
      <c r="C60" s="11"/>
      <c r="D60" s="11"/>
      <c r="E60" s="11"/>
      <c r="F60" s="451"/>
      <c r="G60" s="450"/>
      <c r="H60" s="101">
        <f>SUM(H27:H59)</f>
        <v>0</v>
      </c>
      <c r="I60" s="450"/>
      <c r="J60" s="101">
        <f>SUM(J27:J59)</f>
        <v>0</v>
      </c>
      <c r="K60" s="11"/>
    </row>
    <row r="61" spans="1:11" ht="12" customHeight="1" thickBot="1">
      <c r="A61" s="21" t="s">
        <v>43</v>
      </c>
      <c r="B61" s="405"/>
      <c r="C61" s="15"/>
      <c r="D61" s="15"/>
      <c r="E61" s="15"/>
      <c r="F61" s="452"/>
      <c r="G61" s="453"/>
      <c r="H61" s="453"/>
      <c r="I61" s="454"/>
      <c r="J61" s="101">
        <f>App_Brut-J60+SUM(H53:H54)</f>
        <v>0</v>
      </c>
      <c r="K61" s="11"/>
    </row>
    <row r="62" spans="1:11" ht="10.5" hidden="1" customHeight="1">
      <c r="A62" s="3" t="s">
        <v>207</v>
      </c>
      <c r="B62" s="428"/>
      <c r="F62" s="34"/>
      <c r="G62" s="455"/>
      <c r="H62" s="456"/>
      <c r="I62" s="57">
        <f>Cotisations!C6</f>
        <v>2.4E-2</v>
      </c>
      <c r="J62" s="30">
        <f>F62*I62</f>
        <v>0</v>
      </c>
      <c r="K62" s="11"/>
    </row>
    <row r="63" spans="1:11" ht="10.5" hidden="1" customHeight="1" thickBot="1">
      <c r="A63" s="3" t="s">
        <v>208</v>
      </c>
      <c r="B63" s="428"/>
      <c r="F63" s="86"/>
      <c r="G63" s="455"/>
      <c r="H63" s="456"/>
      <c r="I63" s="57">
        <f>Cotisations!C7</f>
        <v>5.0000000000000001E-3</v>
      </c>
      <c r="J63" s="30">
        <f>F63*I63</f>
        <v>0</v>
      </c>
      <c r="K63" s="11"/>
    </row>
    <row r="64" spans="1:11" ht="10.5" hidden="1" customHeight="1" thickBot="1">
      <c r="A64" s="21" t="s">
        <v>44</v>
      </c>
      <c r="B64" s="405"/>
      <c r="C64" s="15"/>
      <c r="D64" s="15"/>
      <c r="E64" s="433"/>
      <c r="F64" s="457"/>
      <c r="G64" s="453"/>
      <c r="H64" s="453"/>
      <c r="I64" s="458"/>
      <c r="J64" s="101">
        <f>App_Brut-J60-J62-J63</f>
        <v>0</v>
      </c>
      <c r="K64" s="11"/>
    </row>
    <row r="65" spans="1:11" ht="10.5" customHeight="1">
      <c r="E65" s="428"/>
      <c r="F65" s="19" t="s">
        <v>45</v>
      </c>
      <c r="G65" s="11"/>
      <c r="H65" s="11"/>
      <c r="I65" s="11"/>
      <c r="J65" s="30"/>
      <c r="K65" s="11"/>
    </row>
    <row r="66" spans="1:11" ht="10.5" customHeight="1" thickBot="1">
      <c r="E66" s="428"/>
      <c r="F66" s="3"/>
      <c r="G66" s="724"/>
      <c r="H66" s="724"/>
      <c r="I66" s="724"/>
      <c r="J66" s="87"/>
      <c r="K66" s="11"/>
    </row>
    <row r="67" spans="1:11" ht="10.5" customHeight="1">
      <c r="A67" s="988" t="s">
        <v>230</v>
      </c>
      <c r="B67" s="989"/>
      <c r="C67" s="27" t="s">
        <v>420</v>
      </c>
      <c r="D67" s="28" t="s">
        <v>421</v>
      </c>
      <c r="E67" s="428"/>
      <c r="F67" s="3"/>
      <c r="G67" s="724"/>
      <c r="H67" s="724"/>
      <c r="I67" s="724"/>
      <c r="J67" s="87"/>
      <c r="K67" s="11"/>
    </row>
    <row r="68" spans="1:11" ht="10.5" customHeight="1">
      <c r="A68" s="990" t="s">
        <v>48</v>
      </c>
      <c r="B68" s="991"/>
      <c r="C68" s="116"/>
      <c r="D68" s="117"/>
      <c r="F68" s="19" t="s">
        <v>46</v>
      </c>
      <c r="G68" s="11"/>
      <c r="H68" s="11"/>
      <c r="I68" s="11"/>
      <c r="J68" s="30"/>
      <c r="K68" s="11"/>
    </row>
    <row r="69" spans="1:11" ht="10.5" customHeight="1">
      <c r="A69" s="990" t="s">
        <v>231</v>
      </c>
      <c r="B69" s="991"/>
      <c r="C69" s="116"/>
      <c r="D69" s="117"/>
      <c r="F69" s="3"/>
      <c r="G69" s="724"/>
      <c r="H69" s="724"/>
      <c r="I69" s="724"/>
      <c r="J69" s="87"/>
      <c r="K69" s="11"/>
    </row>
    <row r="70" spans="1:11" ht="10.5" customHeight="1" thickBot="1">
      <c r="A70" s="990" t="s">
        <v>49</v>
      </c>
      <c r="B70" s="991"/>
      <c r="C70" s="116"/>
      <c r="D70" s="117"/>
      <c r="F70" s="3"/>
      <c r="G70" s="724"/>
      <c r="H70" s="724"/>
      <c r="I70" s="724"/>
      <c r="J70" s="87"/>
      <c r="K70" s="11"/>
    </row>
    <row r="71" spans="1:11" ht="12" customHeight="1" thickBot="1">
      <c r="A71" s="992" t="s">
        <v>232</v>
      </c>
      <c r="B71" s="993"/>
      <c r="C71" s="118"/>
      <c r="D71" s="119"/>
      <c r="F71" s="26" t="s">
        <v>47</v>
      </c>
      <c r="G71" s="25"/>
      <c r="H71" s="25"/>
      <c r="I71" s="25"/>
      <c r="J71" s="101">
        <f>SUM(J64:J70)</f>
        <v>0</v>
      </c>
      <c r="K71" s="11"/>
    </row>
    <row r="91" spans="1:10" ht="10.5" customHeight="1" thickBot="1"/>
    <row r="92" spans="1:10" ht="10.5" customHeight="1" thickBot="1">
      <c r="A92" s="994"/>
      <c r="B92" s="995"/>
      <c r="C92" s="35" t="s">
        <v>54</v>
      </c>
      <c r="D92" s="981" t="s">
        <v>55</v>
      </c>
      <c r="E92" s="982"/>
      <c r="F92" s="27" t="s">
        <v>56</v>
      </c>
      <c r="G92" s="27" t="s">
        <v>57</v>
      </c>
      <c r="H92" s="27" t="s">
        <v>58</v>
      </c>
      <c r="I92" s="27" t="s">
        <v>59</v>
      </c>
      <c r="J92" s="28" t="s">
        <v>43</v>
      </c>
    </row>
    <row r="93" spans="1:10" ht="10.5" customHeight="1">
      <c r="A93" s="973" t="s">
        <v>52</v>
      </c>
      <c r="B93" s="974"/>
      <c r="C93" s="29">
        <f>F17</f>
        <v>151.66999999999999</v>
      </c>
      <c r="D93" s="971">
        <f>App_Brut</f>
        <v>0</v>
      </c>
      <c r="E93" s="972"/>
      <c r="F93" s="29">
        <f>App_TA</f>
        <v>0</v>
      </c>
      <c r="G93" s="29">
        <f>App_TB</f>
        <v>0</v>
      </c>
      <c r="H93" s="29">
        <v>0</v>
      </c>
      <c r="I93" s="29">
        <f>J71</f>
        <v>0</v>
      </c>
      <c r="J93" s="36">
        <f>J61</f>
        <v>0</v>
      </c>
    </row>
    <row r="94" spans="1:10" ht="10.5" customHeight="1" thickBot="1">
      <c r="A94" s="975" t="s">
        <v>53</v>
      </c>
      <c r="B94" s="976"/>
      <c r="C94" s="120"/>
      <c r="D94" s="969"/>
      <c r="E94" s="970"/>
      <c r="F94" s="120"/>
      <c r="G94" s="120"/>
      <c r="H94" s="120"/>
      <c r="I94" s="120"/>
      <c r="J94" s="121"/>
    </row>
    <row r="96" spans="1:10" ht="10.5" customHeight="1">
      <c r="A96" s="968" t="s">
        <v>82</v>
      </c>
      <c r="B96" s="968"/>
      <c r="C96" s="968"/>
      <c r="F96" s="966" t="s">
        <v>206</v>
      </c>
      <c r="G96" s="967"/>
      <c r="H96" s="18"/>
    </row>
    <row r="97" spans="1:8" ht="15">
      <c r="A97" s="1027" t="s">
        <v>83</v>
      </c>
      <c r="B97" s="1028"/>
      <c r="C97" s="29">
        <f>MIN(App_Brut,App_Plafond)</f>
        <v>0</v>
      </c>
    </row>
    <row r="98" spans="1:8" ht="15" hidden="1">
      <c r="A98" s="1027" t="s">
        <v>85</v>
      </c>
      <c r="B98" s="1028"/>
      <c r="C98" s="29">
        <f>IF(App_Brut&lt;App_Plafond,0,MIN(App_Brut-App_Plafond,2*App_Plafond))</f>
        <v>0</v>
      </c>
    </row>
    <row r="99" spans="1:8" ht="15" hidden="1">
      <c r="A99" s="1027" t="s">
        <v>84</v>
      </c>
      <c r="B99" s="1028"/>
      <c r="C99" s="29">
        <f>IF(App_Brut&lt;App_Plafond,0,MIN(App_Brut-App_Plafond,3*App_Plafond))</f>
        <v>0</v>
      </c>
    </row>
    <row r="100" spans="1:8" ht="15">
      <c r="A100" s="1027" t="s">
        <v>454</v>
      </c>
      <c r="B100" s="1028"/>
      <c r="C100" s="29">
        <f>MAX(0,SMIC_mens*(D17-11%))</f>
        <v>0</v>
      </c>
    </row>
    <row r="101" spans="1:8" ht="15" hidden="1">
      <c r="A101" s="1027" t="s">
        <v>86</v>
      </c>
      <c r="B101" s="1028"/>
      <c r="C101" s="29">
        <f>0.9825*MIN(App_Brut,4*App_Plafond)+IF(App_Brut&gt;4*App_Plafond,App_Brut-4*App_Plafond,0)+SUM('apprentis 11 sal et +'!H50:H56)</f>
        <v>0</v>
      </c>
    </row>
    <row r="102" spans="1:8" ht="15"/>
    <row r="103" spans="1:8" ht="15" hidden="1" customHeight="1">
      <c r="A103" s="968" t="s">
        <v>188</v>
      </c>
      <c r="B103" s="968"/>
      <c r="C103" s="968"/>
    </row>
    <row r="104" spans="1:8" ht="15" hidden="1" customHeight="1">
      <c r="A104" s="1027" t="s">
        <v>190</v>
      </c>
      <c r="B104" s="1028"/>
      <c r="C104" s="18">
        <v>1</v>
      </c>
    </row>
    <row r="105" spans="1:8" ht="15" hidden="1" customHeight="1">
      <c r="A105" s="1027" t="s">
        <v>191</v>
      </c>
      <c r="B105" s="1028"/>
      <c r="C105" s="18">
        <v>1</v>
      </c>
    </row>
    <row r="106" spans="1:8" ht="15" hidden="1" customHeight="1">
      <c r="A106" s="1029" t="s">
        <v>192</v>
      </c>
      <c r="B106" s="991"/>
      <c r="C106" s="29">
        <f>SUM('apprentis 11 sal et +'!F19:'apprentis 11 sal et +'!F20)</f>
        <v>0</v>
      </c>
    </row>
    <row r="107" spans="1:8" ht="15" hidden="1" customHeight="1">
      <c r="A107" s="1027" t="s">
        <v>188</v>
      </c>
      <c r="B107" s="1028"/>
      <c r="C107" s="29">
        <f>SMIC_mens*C104*C105+SMIC_hor*C106</f>
        <v>1480.2991999999999</v>
      </c>
      <c r="H107" s="83"/>
    </row>
    <row r="108" spans="1:8" ht="15" hidden="1" customHeight="1"/>
    <row r="109" spans="1:8" ht="15" hidden="1" customHeight="1">
      <c r="A109" s="1024" t="s">
        <v>205</v>
      </c>
      <c r="B109" s="1025"/>
      <c r="C109" s="84">
        <f>IF(App_Brut=0,0,Société!B13/0.6*(1.6*SMIC_Fillon/App_Brut-1))</f>
        <v>0</v>
      </c>
    </row>
    <row r="110" spans="1:8" ht="15" hidden="1" customHeight="1">
      <c r="A110" s="1024" t="s">
        <v>41</v>
      </c>
      <c r="B110" s="1025"/>
      <c r="C110" s="29">
        <f>IF(C109&gt;0,-App_Brut*C109,0)</f>
        <v>0</v>
      </c>
    </row>
    <row r="111" spans="1:8" ht="15" customHeight="1"/>
    <row r="112" spans="1:8" ht="15" customHeight="1"/>
    <row r="113" ht="15" customHeight="1"/>
    <row r="114" ht="15" customHeight="1"/>
    <row r="115" ht="15" customHeight="1"/>
    <row r="116" ht="15" customHeight="1"/>
    <row r="117" ht="15" customHeight="1"/>
    <row r="118" ht="15" customHeight="1"/>
    <row r="119" ht="15" customHeight="1"/>
    <row r="120" ht="15" customHeight="1"/>
    <row r="121" ht="15" customHeight="1"/>
    <row r="122" ht="15" customHeight="1"/>
    <row r="123" ht="15" customHeight="1"/>
    <row r="124" ht="15" customHeight="1"/>
    <row r="125" ht="15" customHeight="1"/>
    <row r="126" ht="15" customHeight="1"/>
    <row r="127" ht="15" customHeight="1"/>
    <row r="128" ht="15" customHeight="1"/>
    <row r="129" ht="15" customHeight="1"/>
    <row r="130" ht="15" customHeight="1"/>
    <row r="131" ht="15" customHeight="1"/>
    <row r="132" ht="15" customHeight="1"/>
    <row r="133" ht="15" customHeight="1"/>
    <row r="134" ht="15" customHeight="1"/>
    <row r="135" ht="15" customHeight="1"/>
    <row r="136" ht="15" customHeight="1"/>
    <row r="137" ht="15" customHeight="1"/>
    <row r="138" ht="15" customHeight="1"/>
    <row r="139" ht="15" customHeight="1"/>
    <row r="140" ht="15" customHeight="1"/>
    <row r="141" ht="15" customHeight="1"/>
    <row r="142" ht="15" customHeight="1"/>
    <row r="143" ht="15" customHeight="1"/>
    <row r="144" ht="15" customHeight="1"/>
    <row r="145" ht="15" customHeight="1"/>
    <row r="146" ht="15" customHeight="1"/>
    <row r="147" ht="15" customHeight="1"/>
    <row r="148" ht="15" customHeight="1"/>
    <row r="149" ht="15" customHeight="1"/>
    <row r="150" ht="15" customHeight="1"/>
    <row r="151" ht="15" customHeight="1"/>
    <row r="152" ht="15" customHeight="1"/>
    <row r="153" ht="15" customHeight="1"/>
    <row r="154" ht="15" customHeight="1"/>
    <row r="155" ht="15" customHeight="1"/>
    <row r="156" ht="15" customHeight="1"/>
    <row r="157" ht="15" customHeight="1"/>
    <row r="158" ht="15" customHeight="1"/>
    <row r="159" ht="15" customHeight="1"/>
    <row r="160" ht="15" customHeight="1"/>
    <row r="161" ht="15" customHeight="1"/>
    <row r="162" ht="15" customHeight="1"/>
    <row r="163" ht="15" customHeight="1"/>
    <row r="164" ht="15" customHeight="1"/>
    <row r="165" ht="15" customHeight="1"/>
    <row r="166" ht="15" customHeight="1"/>
    <row r="167" ht="15" customHeight="1"/>
    <row r="168" ht="15" customHeight="1"/>
    <row r="169" ht="15" customHeight="1"/>
    <row r="170" ht="15" customHeight="1"/>
    <row r="171" ht="15" customHeight="1"/>
    <row r="172" ht="15" customHeight="1"/>
    <row r="173" ht="15" customHeight="1"/>
    <row r="174" ht="15" customHeight="1"/>
    <row r="175" ht="15" customHeight="1"/>
    <row r="176" ht="15" customHeight="1"/>
    <row r="177" ht="15" customHeight="1"/>
    <row r="178" ht="15" customHeight="1"/>
    <row r="179" ht="15" customHeight="1"/>
    <row r="180" ht="15" customHeight="1"/>
    <row r="181" ht="15" customHeight="1"/>
    <row r="182" ht="15" customHeight="1"/>
    <row r="183" ht="15" customHeight="1"/>
    <row r="184" ht="15" customHeight="1"/>
    <row r="185" ht="15" customHeight="1"/>
    <row r="186" ht="15" customHeight="1"/>
    <row r="187" ht="15" customHeight="1"/>
    <row r="188" ht="15" customHeight="1"/>
    <row r="189" ht="15" customHeight="1"/>
    <row r="190" ht="15" customHeight="1"/>
    <row r="191" ht="15" customHeight="1"/>
    <row r="192" ht="15" customHeight="1"/>
    <row r="193" ht="15" customHeight="1"/>
    <row r="194" ht="15" customHeight="1"/>
    <row r="195" ht="15" customHeight="1"/>
    <row r="196" ht="15" customHeight="1"/>
    <row r="197" ht="15" customHeight="1"/>
    <row r="198" ht="15" customHeight="1"/>
    <row r="199" ht="15" customHeight="1"/>
    <row r="200" ht="15" customHeight="1"/>
    <row r="201" ht="15" customHeight="1"/>
    <row r="202" ht="15" customHeight="1"/>
    <row r="203" ht="15" customHeight="1"/>
    <row r="204" ht="15" customHeight="1"/>
    <row r="205" ht="15" customHeight="1"/>
    <row r="206" ht="15" customHeight="1"/>
    <row r="207" ht="15" customHeight="1"/>
    <row r="208" ht="15" customHeight="1"/>
    <row r="209" ht="15" customHeight="1"/>
    <row r="210" ht="15" customHeight="1"/>
    <row r="211" ht="15" customHeight="1"/>
    <row r="212" ht="15" customHeight="1"/>
    <row r="213" ht="15" customHeight="1"/>
    <row r="214" ht="15" customHeight="1"/>
    <row r="215" ht="15" customHeight="1"/>
  </sheetData>
  <mergeCells count="52">
    <mergeCell ref="C9:F9"/>
    <mergeCell ref="I9:J9"/>
    <mergeCell ref="A1:F2"/>
    <mergeCell ref="I2:J2"/>
    <mergeCell ref="I3:J3"/>
    <mergeCell ref="A4:F4"/>
    <mergeCell ref="I4:J4"/>
    <mergeCell ref="C5:F5"/>
    <mergeCell ref="I5:J5"/>
    <mergeCell ref="C6:F6"/>
    <mergeCell ref="C7:F7"/>
    <mergeCell ref="I7:J7"/>
    <mergeCell ref="C8:F8"/>
    <mergeCell ref="I8:J8"/>
    <mergeCell ref="A67:B67"/>
    <mergeCell ref="C10:F10"/>
    <mergeCell ref="I10:J10"/>
    <mergeCell ref="C11:F11"/>
    <mergeCell ref="H13:I13"/>
    <mergeCell ref="A15:E16"/>
    <mergeCell ref="G15:H15"/>
    <mergeCell ref="I15:I16"/>
    <mergeCell ref="J15:J16"/>
    <mergeCell ref="B18:C18"/>
    <mergeCell ref="B19:C19"/>
    <mergeCell ref="B20:C20"/>
    <mergeCell ref="G25:H25"/>
    <mergeCell ref="I25:J25"/>
    <mergeCell ref="F96:G96"/>
    <mergeCell ref="A68:B68"/>
    <mergeCell ref="A69:B69"/>
    <mergeCell ref="A70:B70"/>
    <mergeCell ref="A71:B71"/>
    <mergeCell ref="A92:B92"/>
    <mergeCell ref="D92:E92"/>
    <mergeCell ref="A103:C103"/>
    <mergeCell ref="A104:B104"/>
    <mergeCell ref="A93:B93"/>
    <mergeCell ref="D93:E93"/>
    <mergeCell ref="A94:B94"/>
    <mergeCell ref="D94:E94"/>
    <mergeCell ref="A96:C96"/>
    <mergeCell ref="A100:B100"/>
    <mergeCell ref="A97:B97"/>
    <mergeCell ref="A98:B98"/>
    <mergeCell ref="A99:B99"/>
    <mergeCell ref="A101:B101"/>
    <mergeCell ref="A105:B105"/>
    <mergeCell ref="A106:B106"/>
    <mergeCell ref="A107:B107"/>
    <mergeCell ref="A109:B109"/>
    <mergeCell ref="A110:B110"/>
  </mergeCells>
  <conditionalFormatting sqref="I18">
    <cfRule type="cellIs" dxfId="5" priority="1" operator="equal">
      <formula>"Heures réelles"</formula>
    </cfRule>
  </conditionalFormatting>
  <dataValidations count="5">
    <dataValidation type="list" allowBlank="1" showInputMessage="1" showErrorMessage="1" sqref="B19:B20">
      <formula1>INDIRECT(A19)</formula1>
    </dataValidation>
    <dataValidation type="list" allowBlank="1" showInputMessage="1" showErrorMessage="1" sqref="A32:B32">
      <formula1>Liste_AF</formula1>
    </dataValidation>
    <dataValidation type="list" allowBlank="1" showInputMessage="1" showErrorMessage="1" sqref="A19:A20">
      <formula1>HS.HC</formula1>
    </dataValidation>
    <dataValidation type="list" allowBlank="1" showInputMessage="1" showErrorMessage="1" sqref="A59:B59">
      <formula1>liste_Fillon</formula1>
    </dataValidation>
    <dataValidation type="list" allowBlank="1" showInputMessage="1" showErrorMessage="1" sqref="B18">
      <formula1>absences</formula1>
    </dataValidation>
  </dataValidations>
  <pageMargins left="0.19685039370078741" right="0.19685039370078741" top="0.39370078740157483" bottom="0.19685039370078741" header="0.19685039370078741" footer="0.19685039370078741"/>
  <pageSetup paperSize="9" orientation="portrait" r:id="rId1"/>
  <headerFooter differentFirst="1">
    <oddHeader>&amp;LEmmanuel ESNAULT</oddHeader>
    <firstHeader>&amp;LEmmanuel ESNAULT</firstHeader>
    <firstFooter>&amp;C&amp;7DANS VOTRE INTERET ET POUR FAIRE VALOIR VOS DROITS, NOUS VOUS CONSEILLONS DE CONSERVER CE BULLETIN SANS LIMITATION DE DUREE</firstFooter>
  </headerFooter>
  <rowBreaks count="1" manualBreakCount="1">
    <brk id="94" max="16383" man="1"/>
  </rowBreak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>
    <tabColor rgb="FFFF0000"/>
  </sheetPr>
  <dimension ref="A1:L206"/>
  <sheetViews>
    <sheetView showZeros="0" zoomScale="130" zoomScaleNormal="130" workbookViewId="0">
      <selection activeCell="B5" sqref="B5:D5"/>
    </sheetView>
  </sheetViews>
  <sheetFormatPr baseColWidth="10" defaultRowHeight="10.5" customHeight="1"/>
  <cols>
    <col min="1" max="1" width="7.42578125" style="8" customWidth="1"/>
    <col min="2" max="2" width="4" style="8" customWidth="1"/>
    <col min="3" max="4" width="12.5703125" style="8" customWidth="1"/>
    <col min="5" max="5" width="0.85546875" style="8" customWidth="1"/>
    <col min="6" max="10" width="12.5703125" style="8" customWidth="1"/>
    <col min="11" max="11" width="1.7109375" style="8" customWidth="1"/>
    <col min="12" max="16384" width="11.42578125" style="8"/>
  </cols>
  <sheetData>
    <row r="1" spans="1:12" ht="10.5" customHeight="1">
      <c r="A1" s="996" t="s">
        <v>60</v>
      </c>
      <c r="B1" s="997"/>
      <c r="C1" s="997"/>
      <c r="D1" s="997"/>
      <c r="E1" s="997"/>
      <c r="F1" s="998"/>
      <c r="G1" s="1"/>
      <c r="H1" s="22"/>
      <c r="I1" s="440" t="s">
        <v>62</v>
      </c>
      <c r="J1" s="23"/>
    </row>
    <row r="2" spans="1:12" ht="10.5" customHeight="1" thickBot="1">
      <c r="A2" s="999"/>
      <c r="B2" s="1000"/>
      <c r="C2" s="1000"/>
      <c r="D2" s="1000"/>
      <c r="E2" s="1000"/>
      <c r="F2" s="1001"/>
      <c r="G2" s="1"/>
      <c r="H2" s="110" t="s">
        <v>63</v>
      </c>
      <c r="I2" s="977"/>
      <c r="J2" s="978"/>
      <c r="L2" s="8" t="s">
        <v>473</v>
      </c>
    </row>
    <row r="3" spans="1:12" ht="10.5" customHeight="1" thickBot="1">
      <c r="A3" s="2"/>
      <c r="B3" s="2"/>
      <c r="C3" s="2"/>
      <c r="D3" s="2"/>
      <c r="E3" s="2"/>
      <c r="F3" s="2"/>
      <c r="G3" s="1"/>
      <c r="H3" s="111" t="s">
        <v>64</v>
      </c>
      <c r="I3" s="979"/>
      <c r="J3" s="980"/>
      <c r="L3" s="8" t="s">
        <v>474</v>
      </c>
    </row>
    <row r="4" spans="1:12" ht="10.5" customHeight="1">
      <c r="A4" s="1006" t="s">
        <v>61</v>
      </c>
      <c r="B4" s="1007"/>
      <c r="C4" s="1007"/>
      <c r="D4" s="1007"/>
      <c r="E4" s="1007"/>
      <c r="F4" s="1008"/>
      <c r="G4" s="1"/>
      <c r="H4" s="111" t="s">
        <v>65</v>
      </c>
      <c r="I4" s="979"/>
      <c r="J4" s="980"/>
      <c r="L4" s="8" t="s">
        <v>475</v>
      </c>
    </row>
    <row r="5" spans="1:12" ht="10.5" customHeight="1">
      <c r="A5" s="3" t="s">
        <v>88</v>
      </c>
      <c r="B5" s="439"/>
      <c r="C5" s="1020">
        <f>Société!B3</f>
        <v>0</v>
      </c>
      <c r="D5" s="1020"/>
      <c r="E5" s="1020"/>
      <c r="F5" s="1021"/>
      <c r="G5" s="1"/>
      <c r="H5" s="111" t="s">
        <v>66</v>
      </c>
      <c r="I5" s="979" t="s">
        <v>458</v>
      </c>
      <c r="J5" s="980"/>
    </row>
    <row r="6" spans="1:12" ht="10.5" customHeight="1">
      <c r="A6" s="3" t="s">
        <v>69</v>
      </c>
      <c r="B6" s="439"/>
      <c r="C6" s="983">
        <f>Société!B4</f>
        <v>0</v>
      </c>
      <c r="D6" s="983"/>
      <c r="E6" s="983"/>
      <c r="F6" s="984"/>
      <c r="G6" s="1"/>
      <c r="H6" s="111" t="s">
        <v>71</v>
      </c>
      <c r="I6" s="437" t="s">
        <v>72</v>
      </c>
      <c r="J6" s="438" t="s">
        <v>73</v>
      </c>
    </row>
    <row r="7" spans="1:12" ht="10.5" customHeight="1">
      <c r="A7" s="3"/>
      <c r="B7" s="439"/>
      <c r="C7" s="983">
        <f>Société!B5</f>
        <v>0</v>
      </c>
      <c r="D7" s="983"/>
      <c r="E7" s="983"/>
      <c r="F7" s="984"/>
      <c r="G7" s="1"/>
      <c r="H7" s="111" t="s">
        <v>67</v>
      </c>
      <c r="I7" s="979"/>
      <c r="J7" s="980"/>
    </row>
    <row r="8" spans="1:12" ht="10.5" customHeight="1">
      <c r="A8" s="3" t="s">
        <v>74</v>
      </c>
      <c r="B8" s="439"/>
      <c r="C8" s="983">
        <f>Société!B6</f>
        <v>0</v>
      </c>
      <c r="D8" s="983"/>
      <c r="E8" s="983"/>
      <c r="F8" s="984"/>
      <c r="G8" s="1"/>
      <c r="H8" s="111" t="s">
        <v>68</v>
      </c>
      <c r="I8" s="1022"/>
      <c r="J8" s="1023"/>
    </row>
    <row r="9" spans="1:12" ht="10.5" customHeight="1">
      <c r="A9" s="3" t="s">
        <v>75</v>
      </c>
      <c r="B9" s="439"/>
      <c r="C9" s="983">
        <f>Société!B7</f>
        <v>0</v>
      </c>
      <c r="D9" s="983"/>
      <c r="E9" s="983"/>
      <c r="F9" s="984"/>
      <c r="G9" s="1"/>
      <c r="H9" s="111" t="s">
        <v>69</v>
      </c>
      <c r="I9" s="979"/>
      <c r="J9" s="980"/>
    </row>
    <row r="10" spans="1:12" ht="10.5" customHeight="1">
      <c r="A10" s="3" t="s">
        <v>76</v>
      </c>
      <c r="B10" s="439"/>
      <c r="C10" s="983">
        <f>Société!B8</f>
        <v>0</v>
      </c>
      <c r="D10" s="983"/>
      <c r="E10" s="983"/>
      <c r="F10" s="984"/>
      <c r="G10" s="1"/>
      <c r="H10" s="111"/>
      <c r="I10" s="979"/>
      <c r="J10" s="980"/>
    </row>
    <row r="11" spans="1:12" ht="10.5" customHeight="1" thickBot="1">
      <c r="A11" s="4" t="s">
        <v>77</v>
      </c>
      <c r="B11" s="446"/>
      <c r="C11" s="985">
        <f>Société!B9</f>
        <v>0</v>
      </c>
      <c r="D11" s="985"/>
      <c r="E11" s="985"/>
      <c r="F11" s="986"/>
      <c r="G11" s="1"/>
      <c r="H11" s="112" t="s">
        <v>70</v>
      </c>
      <c r="I11" s="1018"/>
      <c r="J11" s="1019"/>
    </row>
    <row r="12" spans="1:12" ht="10.5" customHeight="1" thickBot="1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2" ht="10.5" customHeight="1" thickBot="1">
      <c r="A13" s="94" t="s">
        <v>79</v>
      </c>
      <c r="B13" s="96"/>
      <c r="C13" s="95">
        <f>Société!B19</f>
        <v>0</v>
      </c>
      <c r="D13" s="443" t="s">
        <v>80</v>
      </c>
      <c r="E13" s="96"/>
      <c r="F13" s="97">
        <f>IF(C13=0,0,EOMONTH(C13,0))</f>
        <v>0</v>
      </c>
      <c r="G13" s="1"/>
      <c r="H13" s="1016" t="s">
        <v>81</v>
      </c>
      <c r="I13" s="1017"/>
      <c r="J13" s="99">
        <f>PMSS</f>
        <v>3269</v>
      </c>
    </row>
    <row r="14" spans="1:12" ht="10.5" customHeight="1" thickBot="1">
      <c r="A14" s="1"/>
      <c r="B14" s="1"/>
      <c r="C14" s="1"/>
      <c r="D14" s="1"/>
      <c r="E14" s="1"/>
      <c r="F14" s="1"/>
      <c r="G14" s="1"/>
      <c r="H14" s="1"/>
      <c r="I14" s="1"/>
      <c r="J14" s="1"/>
    </row>
    <row r="15" spans="1:12" ht="10.5" customHeight="1">
      <c r="A15" s="1002" t="s">
        <v>0</v>
      </c>
      <c r="B15" s="1003"/>
      <c r="C15" s="1003"/>
      <c r="D15" s="1003"/>
      <c r="E15" s="1003"/>
      <c r="F15" s="441" t="s">
        <v>50</v>
      </c>
      <c r="G15" s="1011"/>
      <c r="H15" s="1011"/>
      <c r="I15" s="1012" t="s">
        <v>1</v>
      </c>
      <c r="J15" s="1014" t="s">
        <v>3</v>
      </c>
      <c r="K15" s="11"/>
    </row>
    <row r="16" spans="1:12" ht="10.5" customHeight="1">
      <c r="A16" s="1004"/>
      <c r="B16" s="1005"/>
      <c r="C16" s="1005"/>
      <c r="D16" s="1005"/>
      <c r="E16" s="1005"/>
      <c r="F16" s="442" t="s">
        <v>51</v>
      </c>
      <c r="G16" s="447"/>
      <c r="H16" s="448"/>
      <c r="I16" s="1013"/>
      <c r="J16" s="1015"/>
      <c r="K16" s="11"/>
    </row>
    <row r="17" spans="1:11" ht="10.5" customHeight="1">
      <c r="A17" s="3" t="s">
        <v>455</v>
      </c>
      <c r="B17" s="439"/>
      <c r="C17" s="439"/>
      <c r="D17" s="439"/>
      <c r="E17" s="439"/>
      <c r="F17" s="9"/>
      <c r="G17" s="449"/>
      <c r="H17" s="449"/>
      <c r="I17" s="9"/>
      <c r="J17" s="87"/>
      <c r="K17" s="11"/>
    </row>
    <row r="18" spans="1:11" ht="10.5" customHeight="1">
      <c r="A18" s="3" t="s">
        <v>456</v>
      </c>
      <c r="B18" s="439"/>
      <c r="C18" s="439"/>
      <c r="D18" s="439"/>
      <c r="E18" s="439"/>
      <c r="F18" s="9"/>
      <c r="G18" s="449"/>
      <c r="H18" s="449"/>
      <c r="I18" s="463"/>
      <c r="J18" s="87">
        <f>F18*I18</f>
        <v>0</v>
      </c>
      <c r="K18" s="11"/>
    </row>
    <row r="19" spans="1:11" ht="10.5" customHeight="1">
      <c r="A19" s="3" t="s">
        <v>138</v>
      </c>
      <c r="B19" s="439"/>
      <c r="C19" s="439"/>
      <c r="D19" s="439"/>
      <c r="E19" s="439"/>
      <c r="F19" s="9"/>
      <c r="G19" s="449"/>
      <c r="H19" s="449"/>
      <c r="I19" s="9"/>
      <c r="J19" s="87"/>
      <c r="K19" s="11"/>
    </row>
    <row r="20" spans="1:11" ht="10.5" customHeight="1" thickBot="1">
      <c r="A20" s="3"/>
      <c r="B20" s="439"/>
      <c r="C20" s="439"/>
      <c r="D20" s="439"/>
      <c r="E20" s="439"/>
      <c r="F20" s="9"/>
      <c r="G20" s="449"/>
      <c r="H20" s="449"/>
      <c r="I20" s="9"/>
      <c r="J20" s="87"/>
      <c r="K20" s="11"/>
    </row>
    <row r="21" spans="1:11" ht="10.5" hidden="1" customHeight="1">
      <c r="A21" s="3" t="str">
        <f>IF(B21=0,"","Absences")</f>
        <v>Absences</v>
      </c>
      <c r="B21" s="987" t="s">
        <v>8</v>
      </c>
      <c r="C21" s="987"/>
      <c r="D21" s="439"/>
      <c r="E21" s="439"/>
      <c r="F21" s="9"/>
      <c r="G21" s="449"/>
      <c r="H21" s="449"/>
      <c r="I21" s="100">
        <f>IF(B21="en heures réelles",IF(H88=0,"Heures réelles",J17/H88),IF(B21="au 30ème",J17/30,J17/26))</f>
        <v>0</v>
      </c>
      <c r="J21" s="87">
        <f>IF(I21="Heures réelles",0,-F21*I21)</f>
        <v>0</v>
      </c>
      <c r="K21" s="11"/>
    </row>
    <row r="22" spans="1:11" ht="10.5" hidden="1" customHeight="1">
      <c r="A22" s="3" t="s">
        <v>10</v>
      </c>
      <c r="B22" s="1026">
        <v>1.25</v>
      </c>
      <c r="C22" s="1026"/>
      <c r="D22" s="439"/>
      <c r="E22" s="439"/>
      <c r="F22" s="9"/>
      <c r="G22" s="449"/>
      <c r="H22" s="449"/>
      <c r="I22" s="9">
        <f>IF(B22=0,$I$17,$I$17*B22)</f>
        <v>0</v>
      </c>
      <c r="J22" s="87">
        <f>F22*I22</f>
        <v>0</v>
      </c>
      <c r="K22" s="11"/>
    </row>
    <row r="23" spans="1:11" ht="10.5" hidden="1" customHeight="1">
      <c r="A23" s="3" t="s">
        <v>10</v>
      </c>
      <c r="B23" s="1026">
        <v>1.5</v>
      </c>
      <c r="C23" s="1026"/>
      <c r="D23" s="439"/>
      <c r="E23" s="439"/>
      <c r="F23" s="9"/>
      <c r="G23" s="449"/>
      <c r="H23" s="449"/>
      <c r="I23" s="9">
        <f>IF(B23=0,$I$17,$I$17*B23)</f>
        <v>0</v>
      </c>
      <c r="J23" s="87">
        <f>F23*I23</f>
        <v>0</v>
      </c>
      <c r="K23" s="11"/>
    </row>
    <row r="24" spans="1:11" ht="10.5" hidden="1" customHeight="1">
      <c r="A24" s="3" t="s">
        <v>14</v>
      </c>
      <c r="B24" s="439"/>
      <c r="C24" s="439"/>
      <c r="D24" s="439"/>
      <c r="E24" s="439"/>
      <c r="F24" s="9"/>
      <c r="G24" s="449"/>
      <c r="H24" s="449"/>
      <c r="I24" s="5"/>
      <c r="J24" s="87"/>
      <c r="K24" s="11"/>
    </row>
    <row r="25" spans="1:11" ht="10.5" hidden="1" customHeight="1">
      <c r="A25" s="3" t="s">
        <v>15</v>
      </c>
      <c r="B25" s="439"/>
      <c r="C25" s="439"/>
      <c r="D25" s="439"/>
      <c r="E25" s="439"/>
      <c r="F25" s="9"/>
      <c r="G25" s="449"/>
      <c r="H25" s="449"/>
      <c r="I25" s="5"/>
      <c r="J25" s="87"/>
      <c r="K25" s="11"/>
    </row>
    <row r="26" spans="1:11" ht="10.5" hidden="1" customHeight="1" thickBot="1">
      <c r="A26" s="3" t="s">
        <v>16</v>
      </c>
      <c r="B26" s="439"/>
      <c r="C26" s="439"/>
      <c r="D26" s="439"/>
      <c r="E26" s="439"/>
      <c r="F26" s="9"/>
      <c r="G26" s="449"/>
      <c r="H26" s="449"/>
      <c r="I26" s="5"/>
      <c r="J26" s="87"/>
      <c r="K26" s="11"/>
    </row>
    <row r="27" spans="1:11" ht="10.5" customHeight="1" thickBot="1">
      <c r="A27" s="10" t="s">
        <v>17</v>
      </c>
      <c r="B27" s="403"/>
      <c r="C27" s="11"/>
      <c r="D27" s="11"/>
      <c r="E27" s="11"/>
      <c r="F27" s="34"/>
      <c r="G27" s="450"/>
      <c r="H27" s="450"/>
      <c r="I27" s="481"/>
      <c r="J27" s="32">
        <f>SUM(J17:J26)</f>
        <v>0</v>
      </c>
      <c r="K27" s="11"/>
    </row>
    <row r="28" spans="1:11" ht="10.5" customHeight="1" thickBot="1">
      <c r="A28" s="489" t="s">
        <v>461</v>
      </c>
      <c r="B28" s="382"/>
      <c r="F28" s="475"/>
      <c r="G28" s="476"/>
      <c r="H28" s="477"/>
      <c r="I28" s="478"/>
      <c r="J28" s="480">
        <f>VRP_Brut*0.7</f>
        <v>0</v>
      </c>
    </row>
    <row r="29" spans="1:11" ht="10.5" customHeight="1">
      <c r="A29" s="13"/>
      <c r="B29" s="11"/>
      <c r="C29" s="11"/>
      <c r="D29" s="11"/>
      <c r="E29" s="11"/>
      <c r="F29" s="34"/>
      <c r="G29" s="1009" t="s">
        <v>2</v>
      </c>
      <c r="H29" s="1009"/>
      <c r="I29" s="1009" t="s">
        <v>4</v>
      </c>
      <c r="J29" s="1010"/>
      <c r="K29" s="11"/>
    </row>
    <row r="30" spans="1:11" ht="10.5" customHeight="1">
      <c r="A30" s="13"/>
      <c r="B30" s="11"/>
      <c r="C30" s="11"/>
      <c r="D30" s="11"/>
      <c r="E30" s="11"/>
      <c r="F30" s="34"/>
      <c r="G30" s="6" t="s">
        <v>1</v>
      </c>
      <c r="H30" s="6" t="s">
        <v>3</v>
      </c>
      <c r="I30" s="6" t="s">
        <v>1</v>
      </c>
      <c r="J30" s="7" t="s">
        <v>3</v>
      </c>
      <c r="K30" s="11"/>
    </row>
    <row r="31" spans="1:11" ht="12" customHeight="1">
      <c r="A31" s="14" t="s">
        <v>18</v>
      </c>
      <c r="B31" s="404"/>
      <c r="C31" s="11"/>
      <c r="D31" s="11"/>
      <c r="E31" s="11"/>
      <c r="F31" s="34"/>
      <c r="G31" s="46"/>
      <c r="H31" s="33"/>
      <c r="I31" s="61"/>
      <c r="J31" s="30"/>
      <c r="K31" s="11"/>
    </row>
    <row r="32" spans="1:11" ht="10.5" customHeight="1">
      <c r="A32" s="3" t="s">
        <v>98</v>
      </c>
      <c r="B32" s="439"/>
      <c r="C32" s="11"/>
      <c r="D32" s="11"/>
      <c r="E32" s="11"/>
      <c r="F32" s="34">
        <f>VRP_CSGRDS</f>
        <v>0</v>
      </c>
      <c r="G32" s="46"/>
      <c r="H32" s="34">
        <f t="shared" ref="H32:H61" si="0">ROUNDUP(F32*G32,2)</f>
        <v>0</v>
      </c>
      <c r="I32" s="60">
        <f>Cotisations!C5</f>
        <v>5.0999999999999997E-2</v>
      </c>
      <c r="J32" s="30">
        <f t="shared" ref="J32:J62" si="1">ROUNDUP(F32*I32,2)</f>
        <v>0</v>
      </c>
      <c r="K32" s="11"/>
    </row>
    <row r="33" spans="1:11" ht="10.5" customHeight="1">
      <c r="A33" s="3" t="s">
        <v>19</v>
      </c>
      <c r="B33" s="439"/>
      <c r="C33" s="11"/>
      <c r="D33" s="11"/>
      <c r="E33" s="11"/>
      <c r="F33" s="34">
        <f t="shared" ref="F33:F38" si="2">VRP_BRUTABAT</f>
        <v>0</v>
      </c>
      <c r="G33" s="46">
        <f>Cotisations!B8</f>
        <v>0.12889999999999999</v>
      </c>
      <c r="H33" s="34">
        <f t="shared" si="0"/>
        <v>0</v>
      </c>
      <c r="I33" s="60">
        <f>Cotisations!C8</f>
        <v>7.4999999999999997E-3</v>
      </c>
      <c r="J33" s="30">
        <f t="shared" si="1"/>
        <v>0</v>
      </c>
      <c r="K33" s="11"/>
    </row>
    <row r="34" spans="1:11" ht="10.5" customHeight="1">
      <c r="A34" s="3" t="s">
        <v>20</v>
      </c>
      <c r="B34" s="439"/>
      <c r="C34" s="11"/>
      <c r="D34" s="11"/>
      <c r="E34" s="11"/>
      <c r="F34" s="34">
        <f t="shared" si="2"/>
        <v>0</v>
      </c>
      <c r="G34" s="46">
        <f>Cotisations!B9</f>
        <v>3.0000000000000001E-3</v>
      </c>
      <c r="H34" s="34">
        <f t="shared" si="0"/>
        <v>0</v>
      </c>
      <c r="I34" s="60"/>
      <c r="J34" s="30">
        <f t="shared" si="1"/>
        <v>0</v>
      </c>
      <c r="K34" s="11"/>
    </row>
    <row r="35" spans="1:11" ht="10.5" customHeight="1">
      <c r="A35" s="3" t="s">
        <v>21</v>
      </c>
      <c r="B35" s="439"/>
      <c r="C35" s="11"/>
      <c r="D35" s="11"/>
      <c r="E35" s="11"/>
      <c r="F35" s="34">
        <f t="shared" si="2"/>
        <v>0</v>
      </c>
      <c r="G35" s="46">
        <f>Société!B16</f>
        <v>0</v>
      </c>
      <c r="H35" s="34">
        <f t="shared" si="0"/>
        <v>0</v>
      </c>
      <c r="I35" s="60"/>
      <c r="J35" s="30">
        <f t="shared" si="1"/>
        <v>0</v>
      </c>
      <c r="K35" s="11"/>
    </row>
    <row r="36" spans="1:11" ht="10.5" customHeight="1">
      <c r="A36" s="3" t="s">
        <v>274</v>
      </c>
      <c r="B36" s="439"/>
      <c r="C36" s="11"/>
      <c r="D36" s="11"/>
      <c r="E36" s="11"/>
      <c r="F36" s="34">
        <f t="shared" si="2"/>
        <v>0</v>
      </c>
      <c r="G36" s="46">
        <f>Cotisations!B10+IF(VRP_BRUTABAT&lt;3.5*SMIC_Fillon,0,Cotisations!B11)</f>
        <v>3.4500000000000003E-2</v>
      </c>
      <c r="H36" s="34">
        <f t="shared" si="0"/>
        <v>0</v>
      </c>
      <c r="I36" s="60"/>
      <c r="J36" s="30">
        <f t="shared" si="1"/>
        <v>0</v>
      </c>
      <c r="K36" s="11"/>
    </row>
    <row r="37" spans="1:11" ht="10.5" customHeight="1">
      <c r="A37" s="3" t="s">
        <v>23</v>
      </c>
      <c r="B37" s="439"/>
      <c r="C37" s="11"/>
      <c r="D37" s="11"/>
      <c r="E37" s="11"/>
      <c r="F37" s="34">
        <f t="shared" si="2"/>
        <v>0</v>
      </c>
      <c r="G37" s="46">
        <f>Société!B17</f>
        <v>0</v>
      </c>
      <c r="H37" s="34">
        <f t="shared" si="0"/>
        <v>0</v>
      </c>
      <c r="I37" s="60"/>
      <c r="J37" s="30">
        <f t="shared" si="1"/>
        <v>0</v>
      </c>
      <c r="K37" s="11"/>
    </row>
    <row r="38" spans="1:11" ht="10.5" customHeight="1">
      <c r="A38" s="3" t="s">
        <v>24</v>
      </c>
      <c r="B38" s="439"/>
      <c r="C38" s="11"/>
      <c r="D38" s="11"/>
      <c r="E38" s="11"/>
      <c r="F38" s="34">
        <f t="shared" si="2"/>
        <v>0</v>
      </c>
      <c r="G38" s="46">
        <f>Cotisations!B12</f>
        <v>1.9E-2</v>
      </c>
      <c r="H38" s="34">
        <f t="shared" si="0"/>
        <v>0</v>
      </c>
      <c r="I38" s="60">
        <f>Cotisations!C12</f>
        <v>4.0000000000000001E-3</v>
      </c>
      <c r="J38" s="30">
        <f t="shared" si="1"/>
        <v>0</v>
      </c>
      <c r="K38" s="11"/>
    </row>
    <row r="39" spans="1:11" ht="10.5" customHeight="1">
      <c r="A39" s="3" t="s">
        <v>25</v>
      </c>
      <c r="B39" s="439"/>
      <c r="C39" s="11"/>
      <c r="D39" s="11"/>
      <c r="E39" s="11"/>
      <c r="F39" s="34">
        <f>MIN(VRP_BRUTABAT,VRP_Plafond)</f>
        <v>0</v>
      </c>
      <c r="G39" s="46">
        <f>Cotisations!B13</f>
        <v>8.5500000000000007E-2</v>
      </c>
      <c r="H39" s="34">
        <f t="shared" si="0"/>
        <v>0</v>
      </c>
      <c r="I39" s="60">
        <f>Cotisations!C13</f>
        <v>6.9000000000000006E-2</v>
      </c>
      <c r="J39" s="30">
        <f t="shared" si="1"/>
        <v>0</v>
      </c>
      <c r="K39" s="11"/>
    </row>
    <row r="40" spans="1:11" ht="10.5" customHeight="1">
      <c r="A40" s="3" t="s">
        <v>26</v>
      </c>
      <c r="B40" s="439"/>
      <c r="C40" s="11"/>
      <c r="D40" s="11"/>
      <c r="E40" s="11"/>
      <c r="F40" s="45">
        <f>IF(effectif&lt;20,VRP_TA,VRP_BRUTABAT)</f>
        <v>0</v>
      </c>
      <c r="G40" s="46">
        <f>IF(effectif&lt;20,Cotisations!B14,Cotisations!B15)</f>
        <v>1E-3</v>
      </c>
      <c r="H40" s="34">
        <f t="shared" si="0"/>
        <v>0</v>
      </c>
      <c r="I40" s="60"/>
      <c r="J40" s="30">
        <f t="shared" si="1"/>
        <v>0</v>
      </c>
      <c r="K40" s="11"/>
    </row>
    <row r="41" spans="1:11" ht="10.5" customHeight="1">
      <c r="A41" s="3" t="s">
        <v>27</v>
      </c>
      <c r="B41" s="439"/>
      <c r="C41" s="11"/>
      <c r="D41" s="11"/>
      <c r="E41" s="11"/>
      <c r="F41" s="45">
        <f>IF(effectif&lt;11,0,SUM(H57:H60))</f>
        <v>0</v>
      </c>
      <c r="G41" s="46">
        <f>Cotisations!B16</f>
        <v>0.08</v>
      </c>
      <c r="H41" s="34">
        <f t="shared" si="0"/>
        <v>0</v>
      </c>
      <c r="I41" s="60"/>
      <c r="J41" s="30">
        <f t="shared" si="1"/>
        <v>0</v>
      </c>
      <c r="K41" s="11"/>
    </row>
    <row r="42" spans="1:11" ht="10.5" hidden="1" customHeight="1">
      <c r="A42" s="3" t="s">
        <v>211</v>
      </c>
      <c r="B42" s="439"/>
      <c r="C42" s="11"/>
      <c r="D42" s="11"/>
      <c r="E42" s="11"/>
      <c r="F42" s="45">
        <f>SUM(H54:H55)</f>
        <v>0</v>
      </c>
      <c r="G42" s="46">
        <f>Cotisations!B17</f>
        <v>0.2</v>
      </c>
      <c r="H42" s="34">
        <f t="shared" si="0"/>
        <v>0</v>
      </c>
      <c r="I42" s="60"/>
      <c r="J42" s="30"/>
      <c r="K42" s="11"/>
    </row>
    <row r="43" spans="1:11" ht="10.5" customHeight="1">
      <c r="A43" s="3" t="s">
        <v>28</v>
      </c>
      <c r="B43" s="439"/>
      <c r="C43" s="11"/>
      <c r="D43" s="11"/>
      <c r="E43" s="11"/>
      <c r="F43" s="34">
        <f>VRP_BRUTABAT</f>
        <v>0</v>
      </c>
      <c r="G43" s="46">
        <f>Cotisations!B18</f>
        <v>1.6000000000000001E-4</v>
      </c>
      <c r="H43" s="34">
        <f t="shared" si="0"/>
        <v>0</v>
      </c>
      <c r="I43" s="60"/>
      <c r="J43" s="30">
        <f t="shared" si="1"/>
        <v>0</v>
      </c>
      <c r="K43" s="11"/>
    </row>
    <row r="44" spans="1:11" ht="10.5" customHeight="1">
      <c r="A44" s="3" t="s">
        <v>29</v>
      </c>
      <c r="B44" s="439"/>
      <c r="C44" s="11"/>
      <c r="D44" s="11"/>
      <c r="E44" s="11"/>
      <c r="F44" s="34">
        <f>VRP_BRUTABAT</f>
        <v>0</v>
      </c>
      <c r="G44" s="46">
        <f>Cotisations!B19</f>
        <v>1E-4</v>
      </c>
      <c r="H44" s="34">
        <f t="shared" si="0"/>
        <v>0</v>
      </c>
      <c r="I44" s="60"/>
      <c r="J44" s="30">
        <f t="shared" si="1"/>
        <v>0</v>
      </c>
      <c r="K44" s="11"/>
    </row>
    <row r="45" spans="1:11" ht="12" customHeight="1">
      <c r="A45" s="14" t="s">
        <v>30</v>
      </c>
      <c r="B45" s="404"/>
      <c r="C45" s="11"/>
      <c r="D45" s="11"/>
      <c r="E45" s="11"/>
      <c r="F45" s="34"/>
      <c r="G45" s="46"/>
      <c r="H45" s="34">
        <f t="shared" si="0"/>
        <v>0</v>
      </c>
      <c r="I45" s="60"/>
      <c r="J45" s="30">
        <f t="shared" si="1"/>
        <v>0</v>
      </c>
      <c r="K45" s="11"/>
    </row>
    <row r="46" spans="1:11" ht="10.5" customHeight="1">
      <c r="A46" s="3" t="s">
        <v>31</v>
      </c>
      <c r="B46" s="439"/>
      <c r="C46" s="11"/>
      <c r="D46" s="11"/>
      <c r="E46" s="11"/>
      <c r="F46" s="34">
        <f>VRP_TA+VRP_TB</f>
        <v>0</v>
      </c>
      <c r="G46" s="46">
        <f>Cotisations!B22</f>
        <v>4.0500000000000001E-2</v>
      </c>
      <c r="H46" s="34">
        <f t="shared" si="0"/>
        <v>0</v>
      </c>
      <c r="I46" s="60">
        <f>Cotisations!C22</f>
        <v>2.4E-2</v>
      </c>
      <c r="J46" s="30">
        <f t="shared" si="1"/>
        <v>0</v>
      </c>
      <c r="K46" s="11"/>
    </row>
    <row r="47" spans="1:11" ht="10.5" customHeight="1">
      <c r="A47" s="3" t="s">
        <v>32</v>
      </c>
      <c r="B47" s="439"/>
      <c r="C47" s="11"/>
      <c r="D47" s="11"/>
      <c r="E47" s="11"/>
      <c r="F47" s="34">
        <f>VRP_TA+VRP_TB</f>
        <v>0</v>
      </c>
      <c r="G47" s="46">
        <f>Cotisations!B23</f>
        <v>1.5E-3</v>
      </c>
      <c r="H47" s="34">
        <f t="shared" si="0"/>
        <v>0</v>
      </c>
      <c r="I47" s="60"/>
      <c r="J47" s="30">
        <f t="shared" si="1"/>
        <v>0</v>
      </c>
      <c r="K47" s="11"/>
    </row>
    <row r="48" spans="1:11" ht="10.5" hidden="1" customHeight="1">
      <c r="A48" s="3" t="s">
        <v>33</v>
      </c>
      <c r="B48" s="439"/>
      <c r="C48" s="11"/>
      <c r="D48" s="11"/>
      <c r="E48" s="11"/>
      <c r="F48" s="34"/>
      <c r="G48" s="46"/>
      <c r="H48" s="34">
        <f t="shared" si="0"/>
        <v>0</v>
      </c>
      <c r="I48" s="60"/>
      <c r="J48" s="30">
        <f t="shared" si="1"/>
        <v>0</v>
      </c>
      <c r="K48" s="11"/>
    </row>
    <row r="49" spans="1:12" ht="12" customHeight="1">
      <c r="A49" s="14" t="s">
        <v>215</v>
      </c>
      <c r="B49" s="404"/>
      <c r="C49" s="11"/>
      <c r="D49" s="11"/>
      <c r="E49" s="11"/>
      <c r="F49" s="34"/>
      <c r="G49" s="46"/>
      <c r="H49" s="34">
        <f t="shared" si="0"/>
        <v>0</v>
      </c>
      <c r="I49" s="60"/>
      <c r="J49" s="30">
        <f t="shared" si="1"/>
        <v>0</v>
      </c>
      <c r="K49" s="11"/>
    </row>
    <row r="50" spans="1:12" ht="10.5" customHeight="1">
      <c r="A50" s="3" t="s">
        <v>122</v>
      </c>
      <c r="B50" s="439"/>
      <c r="C50" s="11"/>
      <c r="D50" s="11"/>
      <c r="E50" s="11"/>
      <c r="F50" s="34">
        <f>VRP_TA</f>
        <v>0</v>
      </c>
      <c r="G50" s="46">
        <f>Cotisations!B28</f>
        <v>4.65E-2</v>
      </c>
      <c r="H50" s="34">
        <f t="shared" si="0"/>
        <v>0</v>
      </c>
      <c r="I50" s="60">
        <f>Cotisations!C28</f>
        <v>3.1E-2</v>
      </c>
      <c r="J50" s="30">
        <f t="shared" si="1"/>
        <v>0</v>
      </c>
      <c r="K50" s="11"/>
    </row>
    <row r="51" spans="1:12" ht="10.5" customHeight="1">
      <c r="A51" s="3" t="s">
        <v>123</v>
      </c>
      <c r="B51" s="439"/>
      <c r="C51" s="11"/>
      <c r="D51" s="11"/>
      <c r="E51" s="11"/>
      <c r="F51" s="34">
        <f>VRP_T2</f>
        <v>0</v>
      </c>
      <c r="G51" s="46">
        <f>Cotisations!B29</f>
        <v>0.1215</v>
      </c>
      <c r="H51" s="34">
        <f t="shared" si="0"/>
        <v>0</v>
      </c>
      <c r="I51" s="60">
        <f>Cotisations!C29</f>
        <v>8.1000000000000003E-2</v>
      </c>
      <c r="J51" s="30">
        <f t="shared" si="1"/>
        <v>0</v>
      </c>
      <c r="K51" s="11"/>
    </row>
    <row r="52" spans="1:12" ht="10.5" customHeight="1">
      <c r="A52" s="3" t="s">
        <v>34</v>
      </c>
      <c r="B52" s="439"/>
      <c r="C52" s="11"/>
      <c r="D52" s="11"/>
      <c r="E52" s="11"/>
      <c r="F52" s="34">
        <f>VRP_TA</f>
        <v>0</v>
      </c>
      <c r="G52" s="46">
        <f>Cotisations!B30</f>
        <v>1.2E-2</v>
      </c>
      <c r="H52" s="34">
        <f t="shared" si="0"/>
        <v>0</v>
      </c>
      <c r="I52" s="60">
        <f>Cotisations!C30</f>
        <v>8.0000000000000002E-3</v>
      </c>
      <c r="J52" s="30">
        <f t="shared" si="1"/>
        <v>0</v>
      </c>
      <c r="K52" s="11"/>
    </row>
    <row r="53" spans="1:12" ht="10.5" customHeight="1">
      <c r="A53" s="3" t="s">
        <v>35</v>
      </c>
      <c r="B53" s="439"/>
      <c r="C53" s="11"/>
      <c r="D53" s="11"/>
      <c r="E53" s="11"/>
      <c r="F53" s="34">
        <f>VRP_T2</f>
        <v>0</v>
      </c>
      <c r="G53" s="46">
        <f>Cotisations!B31</f>
        <v>1.2999999999999999E-2</v>
      </c>
      <c r="H53" s="34">
        <f t="shared" si="0"/>
        <v>0</v>
      </c>
      <c r="I53" s="60">
        <f>Cotisations!C31</f>
        <v>8.9999999999999993E-3</v>
      </c>
      <c r="J53" s="30">
        <f t="shared" si="1"/>
        <v>0</v>
      </c>
      <c r="K53" s="11"/>
    </row>
    <row r="54" spans="1:12" ht="10.5" hidden="1" customHeight="1">
      <c r="A54" s="3" t="s">
        <v>213</v>
      </c>
      <c r="B54" s="439"/>
      <c r="C54" s="11"/>
      <c r="D54" s="11"/>
      <c r="E54" s="11"/>
      <c r="F54" s="34">
        <f>VRP_TA</f>
        <v>0</v>
      </c>
      <c r="G54" s="46"/>
      <c r="H54" s="34">
        <f t="shared" si="0"/>
        <v>0</v>
      </c>
      <c r="I54" s="60"/>
      <c r="J54" s="30">
        <f t="shared" si="1"/>
        <v>0</v>
      </c>
      <c r="K54" s="11"/>
    </row>
    <row r="55" spans="1:12" ht="10.5" hidden="1" customHeight="1">
      <c r="A55" s="3" t="s">
        <v>214</v>
      </c>
      <c r="B55" s="439"/>
      <c r="C55" s="11"/>
      <c r="D55" s="11"/>
      <c r="E55" s="11"/>
      <c r="F55" s="34">
        <f>VRP_TB</f>
        <v>0</v>
      </c>
      <c r="G55" s="46"/>
      <c r="H55" s="34">
        <f t="shared" si="0"/>
        <v>0</v>
      </c>
      <c r="I55" s="60"/>
      <c r="J55" s="30">
        <f t="shared" si="1"/>
        <v>0</v>
      </c>
      <c r="K55" s="11"/>
    </row>
    <row r="56" spans="1:12" ht="12" customHeight="1">
      <c r="A56" s="14" t="s">
        <v>36</v>
      </c>
      <c r="B56" s="404"/>
      <c r="C56" s="11"/>
      <c r="D56" s="11"/>
      <c r="E56" s="11"/>
      <c r="F56" s="34"/>
      <c r="G56" s="46"/>
      <c r="H56" s="34">
        <f t="shared" si="0"/>
        <v>0</v>
      </c>
      <c r="I56" s="60"/>
      <c r="J56" s="30">
        <f t="shared" si="1"/>
        <v>0</v>
      </c>
      <c r="K56" s="11"/>
    </row>
    <row r="57" spans="1:12" ht="10.5" customHeight="1">
      <c r="A57" s="3" t="s">
        <v>37</v>
      </c>
      <c r="B57" s="439"/>
      <c r="C57" s="11"/>
      <c r="D57" s="11"/>
      <c r="E57" s="11"/>
      <c r="F57" s="34">
        <f>VRP_TA</f>
        <v>0</v>
      </c>
      <c r="G57" s="46"/>
      <c r="H57" s="34">
        <f t="shared" si="0"/>
        <v>0</v>
      </c>
      <c r="I57" s="60"/>
      <c r="J57" s="30">
        <f t="shared" si="1"/>
        <v>0</v>
      </c>
      <c r="K57" s="11"/>
    </row>
    <row r="58" spans="1:12" ht="10.5" customHeight="1">
      <c r="A58" s="3" t="s">
        <v>38</v>
      </c>
      <c r="B58" s="439"/>
      <c r="C58" s="11"/>
      <c r="D58" s="11"/>
      <c r="E58" s="11"/>
      <c r="F58" s="34">
        <f>VRP_TB</f>
        <v>0</v>
      </c>
      <c r="G58" s="46"/>
      <c r="H58" s="34">
        <f t="shared" si="0"/>
        <v>0</v>
      </c>
      <c r="I58" s="60"/>
      <c r="J58" s="30">
        <f t="shared" si="1"/>
        <v>0</v>
      </c>
      <c r="K58" s="11"/>
    </row>
    <row r="59" spans="1:12" ht="10.5" customHeight="1">
      <c r="A59" s="3" t="s">
        <v>39</v>
      </c>
      <c r="B59" s="439"/>
      <c r="C59" s="11"/>
      <c r="D59" s="11"/>
      <c r="E59" s="11"/>
      <c r="F59" s="34">
        <f>VRP_TA</f>
        <v>0</v>
      </c>
      <c r="G59" s="46"/>
      <c r="H59" s="34">
        <f t="shared" si="0"/>
        <v>0</v>
      </c>
      <c r="I59" s="60"/>
      <c r="J59" s="30">
        <f t="shared" si="1"/>
        <v>0</v>
      </c>
      <c r="K59" s="11"/>
      <c r="L59" s="1" t="s">
        <v>610</v>
      </c>
    </row>
    <row r="60" spans="1:12" ht="10.5" customHeight="1">
      <c r="A60" s="3" t="s">
        <v>40</v>
      </c>
      <c r="B60" s="439"/>
      <c r="C60" s="11"/>
      <c r="D60" s="11"/>
      <c r="E60" s="11"/>
      <c r="F60" s="34">
        <f>VRP_T2</f>
        <v>0</v>
      </c>
      <c r="G60" s="46"/>
      <c r="H60" s="34">
        <f t="shared" si="0"/>
        <v>0</v>
      </c>
      <c r="I60" s="60"/>
      <c r="J60" s="30">
        <f t="shared" si="1"/>
        <v>0</v>
      </c>
      <c r="K60" s="11"/>
      <c r="L60" s="1" t="s">
        <v>611</v>
      </c>
    </row>
    <row r="61" spans="1:12" ht="10.5" customHeight="1">
      <c r="A61" s="3"/>
      <c r="B61" s="439"/>
      <c r="C61" s="11"/>
      <c r="D61" s="11"/>
      <c r="E61" s="11"/>
      <c r="F61" s="34"/>
      <c r="G61" s="11"/>
      <c r="H61" s="34">
        <f t="shared" si="0"/>
        <v>0</v>
      </c>
      <c r="I61" s="12"/>
      <c r="J61" s="30">
        <f t="shared" si="1"/>
        <v>0</v>
      </c>
      <c r="K61" s="11"/>
    </row>
    <row r="62" spans="1:12" ht="10.5" customHeight="1">
      <c r="A62" s="3" t="s">
        <v>42</v>
      </c>
      <c r="B62" s="439"/>
      <c r="C62" s="11"/>
      <c r="D62" s="11"/>
      <c r="E62" s="11"/>
      <c r="F62" s="45">
        <f>SUM(F23:F23)</f>
        <v>0</v>
      </c>
      <c r="G62" s="44">
        <f>Société!B14</f>
        <v>1.5</v>
      </c>
      <c r="H62" s="34">
        <f>-ROUNDUP(F62*G62,2)</f>
        <v>0</v>
      </c>
      <c r="I62" s="12"/>
      <c r="J62" s="30">
        <f t="shared" si="1"/>
        <v>0</v>
      </c>
      <c r="K62" s="11"/>
    </row>
    <row r="63" spans="1:12" ht="10.5" customHeight="1" thickBot="1">
      <c r="A63" s="3" t="s">
        <v>41</v>
      </c>
      <c r="B63" s="439"/>
      <c r="C63" s="11"/>
      <c r="D63" s="11"/>
      <c r="E63" s="11"/>
      <c r="F63" s="86">
        <f>VRP_Brut</f>
        <v>0</v>
      </c>
      <c r="G63" s="85">
        <f>MAX(C100,0)</f>
        <v>0</v>
      </c>
      <c r="H63" s="34">
        <f>-ROUNDUP(F63*G63,2)</f>
        <v>0</v>
      </c>
      <c r="I63" s="16"/>
      <c r="J63" s="31"/>
      <c r="K63" s="11"/>
    </row>
    <row r="64" spans="1:12" ht="12" customHeight="1" thickBot="1">
      <c r="A64" s="10" t="s">
        <v>78</v>
      </c>
      <c r="B64" s="403"/>
      <c r="C64" s="11"/>
      <c r="D64" s="11"/>
      <c r="E64" s="11"/>
      <c r="F64" s="451"/>
      <c r="G64" s="450"/>
      <c r="H64" s="101">
        <f>SUM(H31:H63)</f>
        <v>0</v>
      </c>
      <c r="I64" s="450"/>
      <c r="J64" s="101">
        <f>SUM(J31:J63)</f>
        <v>0</v>
      </c>
      <c r="K64" s="11"/>
    </row>
    <row r="65" spans="1:11" ht="12" customHeight="1" thickBot="1">
      <c r="A65" s="10" t="s">
        <v>43</v>
      </c>
      <c r="B65" s="403"/>
      <c r="F65" s="459"/>
      <c r="G65" s="450"/>
      <c r="H65" s="450"/>
      <c r="I65" s="460"/>
      <c r="J65" s="101">
        <f>VRP_Brut-J64+SUM(H57:H58)</f>
        <v>0</v>
      </c>
      <c r="K65" s="11"/>
    </row>
    <row r="66" spans="1:11" ht="10.5" customHeight="1">
      <c r="A66" s="3" t="s">
        <v>207</v>
      </c>
      <c r="B66" s="439"/>
      <c r="F66" s="33">
        <f>VRP_CSGRDS</f>
        <v>0</v>
      </c>
      <c r="G66" s="455"/>
      <c r="H66" s="456"/>
      <c r="I66" s="56">
        <f>Cotisations!C6</f>
        <v>2.4E-2</v>
      </c>
      <c r="J66" s="30">
        <f>F66*I66</f>
        <v>0</v>
      </c>
      <c r="K66" s="11"/>
    </row>
    <row r="67" spans="1:11" ht="10.5" customHeight="1" thickBot="1">
      <c r="A67" s="3" t="s">
        <v>208</v>
      </c>
      <c r="B67" s="439"/>
      <c r="F67" s="86">
        <f>VRP_CSGRDS</f>
        <v>0</v>
      </c>
      <c r="G67" s="455"/>
      <c r="H67" s="456"/>
      <c r="I67" s="57">
        <f>Cotisations!C7</f>
        <v>5.0000000000000001E-3</v>
      </c>
      <c r="J67" s="30">
        <f>F67*I67</f>
        <v>0</v>
      </c>
      <c r="K67" s="11"/>
    </row>
    <row r="68" spans="1:11" ht="10.5" customHeight="1" thickBot="1">
      <c r="A68" s="21" t="s">
        <v>44</v>
      </c>
      <c r="B68" s="405"/>
      <c r="C68" s="15"/>
      <c r="D68" s="15"/>
      <c r="E68" s="446"/>
      <c r="F68" s="457"/>
      <c r="G68" s="453"/>
      <c r="H68" s="453"/>
      <c r="I68" s="458"/>
      <c r="J68" s="101">
        <f>VRP_Brut-J64-J66-J67</f>
        <v>0</v>
      </c>
      <c r="K68" s="11"/>
    </row>
    <row r="69" spans="1:11" ht="10.5" customHeight="1">
      <c r="E69" s="439"/>
      <c r="F69" s="19" t="s">
        <v>45</v>
      </c>
      <c r="G69" s="11"/>
      <c r="H69" s="11"/>
      <c r="I69" s="11"/>
      <c r="J69" s="30"/>
      <c r="K69" s="11"/>
    </row>
    <row r="70" spans="1:11" ht="10.5" customHeight="1" thickBot="1">
      <c r="E70" s="439"/>
      <c r="F70" s="3"/>
      <c r="G70" s="724"/>
      <c r="H70" s="724"/>
      <c r="I70" s="724"/>
      <c r="J70" s="87"/>
      <c r="K70" s="11"/>
    </row>
    <row r="71" spans="1:11" ht="10.5" customHeight="1">
      <c r="A71" s="988" t="s">
        <v>230</v>
      </c>
      <c r="B71" s="989"/>
      <c r="C71" s="27" t="s">
        <v>420</v>
      </c>
      <c r="D71" s="28" t="s">
        <v>421</v>
      </c>
      <c r="E71" s="439"/>
      <c r="F71" s="3"/>
      <c r="G71" s="724"/>
      <c r="H71" s="724"/>
      <c r="I71" s="724"/>
      <c r="J71" s="87"/>
      <c r="K71" s="11"/>
    </row>
    <row r="72" spans="1:11" ht="10.5" customHeight="1">
      <c r="A72" s="990" t="s">
        <v>48</v>
      </c>
      <c r="B72" s="991"/>
      <c r="C72" s="116"/>
      <c r="D72" s="117"/>
      <c r="F72" s="19" t="s">
        <v>46</v>
      </c>
      <c r="G72" s="11"/>
      <c r="H72" s="11"/>
      <c r="I72" s="11"/>
      <c r="J72" s="30"/>
      <c r="K72" s="11"/>
    </row>
    <row r="73" spans="1:11" ht="10.5" customHeight="1">
      <c r="A73" s="990" t="s">
        <v>231</v>
      </c>
      <c r="B73" s="991"/>
      <c r="C73" s="116"/>
      <c r="D73" s="117"/>
      <c r="F73" s="3"/>
      <c r="G73" s="724"/>
      <c r="H73" s="724"/>
      <c r="I73" s="724"/>
      <c r="J73" s="87"/>
      <c r="K73" s="11"/>
    </row>
    <row r="74" spans="1:11" ht="10.5" customHeight="1" thickBot="1">
      <c r="A74" s="990" t="s">
        <v>49</v>
      </c>
      <c r="B74" s="991"/>
      <c r="C74" s="116"/>
      <c r="D74" s="117"/>
      <c r="F74" s="3"/>
      <c r="G74" s="724"/>
      <c r="H74" s="724"/>
      <c r="I74" s="724"/>
      <c r="J74" s="87"/>
      <c r="K74" s="11"/>
    </row>
    <row r="75" spans="1:11" ht="12" customHeight="1" thickBot="1">
      <c r="A75" s="992" t="s">
        <v>232</v>
      </c>
      <c r="B75" s="993"/>
      <c r="C75" s="118"/>
      <c r="D75" s="119"/>
      <c r="F75" s="26" t="s">
        <v>47</v>
      </c>
      <c r="G75" s="25"/>
      <c r="H75" s="25"/>
      <c r="I75" s="25"/>
      <c r="J75" s="101">
        <f>SUM(J68:J74)</f>
        <v>0</v>
      </c>
      <c r="K75" s="11"/>
    </row>
    <row r="83" spans="1:10" ht="10.5" customHeight="1" thickBot="1"/>
    <row r="84" spans="1:10" ht="10.5" customHeight="1" thickBot="1">
      <c r="A84" s="994"/>
      <c r="B84" s="995"/>
      <c r="C84" s="35" t="s">
        <v>54</v>
      </c>
      <c r="D84" s="981" t="s">
        <v>55</v>
      </c>
      <c r="E84" s="982"/>
      <c r="F84" s="27" t="s">
        <v>56</v>
      </c>
      <c r="G84" s="27" t="s">
        <v>57</v>
      </c>
      <c r="H84" s="27" t="s">
        <v>58</v>
      </c>
      <c r="I84" s="27" t="s">
        <v>59</v>
      </c>
      <c r="J84" s="28" t="s">
        <v>43</v>
      </c>
    </row>
    <row r="85" spans="1:10" ht="10.5" customHeight="1">
      <c r="A85" s="973" t="s">
        <v>52</v>
      </c>
      <c r="B85" s="974"/>
      <c r="C85" s="29">
        <f>F17</f>
        <v>0</v>
      </c>
      <c r="D85" s="971">
        <f>VRP_Brut</f>
        <v>0</v>
      </c>
      <c r="E85" s="972"/>
      <c r="F85" s="29">
        <f>VRP_TA</f>
        <v>0</v>
      </c>
      <c r="G85" s="29">
        <f>VRP_TB</f>
        <v>0</v>
      </c>
      <c r="H85" s="29">
        <v>0</v>
      </c>
      <c r="I85" s="29">
        <f>J75</f>
        <v>0</v>
      </c>
      <c r="J85" s="36">
        <f>J65</f>
        <v>0</v>
      </c>
    </row>
    <row r="86" spans="1:10" ht="10.5" customHeight="1" thickBot="1">
      <c r="A86" s="975" t="s">
        <v>53</v>
      </c>
      <c r="B86" s="976"/>
      <c r="C86" s="120"/>
      <c r="D86" s="969"/>
      <c r="E86" s="970"/>
      <c r="F86" s="120"/>
      <c r="G86" s="120"/>
      <c r="H86" s="120"/>
      <c r="I86" s="120"/>
      <c r="J86" s="121"/>
    </row>
    <row r="88" spans="1:10" ht="10.5" customHeight="1">
      <c r="A88" s="968" t="s">
        <v>82</v>
      </c>
      <c r="B88" s="968"/>
      <c r="C88" s="968"/>
      <c r="F88" s="966" t="s">
        <v>206</v>
      </c>
      <c r="G88" s="967"/>
      <c r="H88" s="18"/>
    </row>
    <row r="89" spans="1:10" ht="15">
      <c r="A89" s="1027" t="s">
        <v>83</v>
      </c>
      <c r="B89" s="1028"/>
      <c r="C89" s="29">
        <f>MIN(VRP_BRUTABAT,VRP_Plafond)</f>
        <v>0</v>
      </c>
    </row>
    <row r="90" spans="1:10" ht="15">
      <c r="A90" s="1027" t="s">
        <v>85</v>
      </c>
      <c r="B90" s="1028"/>
      <c r="C90" s="29">
        <f>IF(VRP_BRUTABAT&lt;VRP_Plafond,0,MIN(VRP_BRUTABAT-VRP_Plafond,2*VRP_Plafond))</f>
        <v>0</v>
      </c>
    </row>
    <row r="91" spans="1:10" ht="15">
      <c r="A91" s="1027" t="s">
        <v>84</v>
      </c>
      <c r="B91" s="1028"/>
      <c r="C91" s="29">
        <f>IF(VRP_BRUTABAT&lt;VRP_Plafond,0,MIN(VRP_BRUTABAT-VRP_Plafond,3*VRP_Plafond))</f>
        <v>0</v>
      </c>
    </row>
    <row r="92" spans="1:10" ht="15">
      <c r="A92" s="1027" t="s">
        <v>86</v>
      </c>
      <c r="B92" s="1028"/>
      <c r="C92" s="29">
        <f>0.9825*MIN(VRP_Brut-J19,4*VRP_Plafond)+MAX(VRP_Brut-J19-4*VRP_Plafond,0)+SUM(H54:H60)</f>
        <v>0</v>
      </c>
    </row>
    <row r="93" spans="1:10" ht="15"/>
    <row r="94" spans="1:10" ht="15" customHeight="1">
      <c r="A94" s="968" t="s">
        <v>188</v>
      </c>
      <c r="B94" s="968"/>
      <c r="C94" s="968"/>
    </row>
    <row r="95" spans="1:10" ht="15" customHeight="1">
      <c r="A95" s="1027" t="s">
        <v>190</v>
      </c>
      <c r="B95" s="1028"/>
      <c r="C95" s="18">
        <v>1</v>
      </c>
    </row>
    <row r="96" spans="1:10" ht="15" customHeight="1">
      <c r="A96" s="1027" t="s">
        <v>191</v>
      </c>
      <c r="B96" s="1028"/>
      <c r="C96" s="18">
        <v>1</v>
      </c>
    </row>
    <row r="97" spans="1:8" ht="15" customHeight="1">
      <c r="A97" s="1029" t="s">
        <v>192</v>
      </c>
      <c r="B97" s="991"/>
      <c r="C97" s="29">
        <f>SUM('VRP exclusif NC'!F22:'VRP exclusif NC'!F23)</f>
        <v>0</v>
      </c>
    </row>
    <row r="98" spans="1:8" ht="15" customHeight="1">
      <c r="A98" s="1027" t="s">
        <v>188</v>
      </c>
      <c r="B98" s="1028"/>
      <c r="C98" s="29">
        <f>SMIC_mens*C95*C96+SMIC_hor*C97</f>
        <v>1480.2991999999999</v>
      </c>
      <c r="H98" s="83"/>
    </row>
    <row r="99" spans="1:8" ht="15" customHeight="1"/>
    <row r="100" spans="1:8" ht="15" customHeight="1">
      <c r="A100" s="1024" t="s">
        <v>205</v>
      </c>
      <c r="B100" s="1025"/>
      <c r="C100" s="84">
        <f>IF(VRP_Brut=0,0,Société!B13/0.6*(1.6*SMIC_Fillon/VRP_Brut-1))</f>
        <v>0</v>
      </c>
    </row>
    <row r="101" spans="1:8" ht="15" customHeight="1">
      <c r="A101" s="1024" t="s">
        <v>41</v>
      </c>
      <c r="B101" s="1025"/>
      <c r="C101" s="29">
        <f>IF(C100&gt;0,-VRP_Brut*C100,0)</f>
        <v>0</v>
      </c>
    </row>
    <row r="102" spans="1:8" ht="15" customHeight="1"/>
    <row r="103" spans="1:8" ht="15" customHeight="1"/>
    <row r="104" spans="1:8" ht="15" customHeight="1"/>
    <row r="105" spans="1:8" ht="15" customHeight="1"/>
    <row r="106" spans="1:8" ht="15" customHeight="1"/>
    <row r="107" spans="1:8" ht="15" customHeight="1"/>
    <row r="108" spans="1:8" ht="15" customHeight="1"/>
    <row r="109" spans="1:8" ht="15" customHeight="1"/>
    <row r="110" spans="1:8" ht="15" customHeight="1"/>
    <row r="111" spans="1:8" ht="15" customHeight="1"/>
    <row r="112" spans="1:8" ht="15" customHeight="1"/>
    <row r="113" ht="15" customHeight="1"/>
    <row r="114" ht="15" customHeight="1"/>
    <row r="115" ht="15" customHeight="1"/>
    <row r="116" ht="15" customHeight="1"/>
    <row r="117" ht="15" customHeight="1"/>
    <row r="118" ht="15" customHeight="1"/>
    <row r="119" ht="15" customHeight="1"/>
    <row r="120" ht="15" customHeight="1"/>
    <row r="121" ht="15" customHeight="1"/>
    <row r="122" ht="15" customHeight="1"/>
    <row r="123" ht="15" customHeight="1"/>
    <row r="124" ht="15" customHeight="1"/>
    <row r="125" ht="15" customHeight="1"/>
    <row r="126" ht="15" customHeight="1"/>
    <row r="127" ht="15" customHeight="1"/>
    <row r="128" ht="15" customHeight="1"/>
    <row r="129" ht="15" customHeight="1"/>
    <row r="130" ht="15" customHeight="1"/>
    <row r="131" ht="15" customHeight="1"/>
    <row r="132" ht="15" customHeight="1"/>
    <row r="133" ht="15" customHeight="1"/>
    <row r="134" ht="15" customHeight="1"/>
    <row r="135" ht="15" customHeight="1"/>
    <row r="136" ht="15" customHeight="1"/>
    <row r="137" ht="15" customHeight="1"/>
    <row r="138" ht="15" customHeight="1"/>
    <row r="139" ht="15" customHeight="1"/>
    <row r="140" ht="15" customHeight="1"/>
    <row r="141" ht="15" customHeight="1"/>
    <row r="142" ht="15" customHeight="1"/>
    <row r="143" ht="15" customHeight="1"/>
    <row r="144" ht="15" customHeight="1"/>
    <row r="145" ht="15" customHeight="1"/>
    <row r="146" ht="15" customHeight="1"/>
    <row r="147" ht="15" customHeight="1"/>
    <row r="148" ht="15" customHeight="1"/>
    <row r="149" ht="15" customHeight="1"/>
    <row r="150" ht="15" customHeight="1"/>
    <row r="151" ht="15" customHeight="1"/>
    <row r="152" ht="15" customHeight="1"/>
    <row r="153" ht="15" customHeight="1"/>
    <row r="154" ht="15" customHeight="1"/>
    <row r="155" ht="15" customHeight="1"/>
    <row r="156" ht="15" customHeight="1"/>
    <row r="157" ht="15" customHeight="1"/>
    <row r="158" ht="15" customHeight="1"/>
    <row r="159" ht="15" customHeight="1"/>
    <row r="160" ht="15" customHeight="1"/>
    <row r="161" ht="15" customHeight="1"/>
    <row r="162" ht="15" customHeight="1"/>
    <row r="163" ht="15" customHeight="1"/>
    <row r="164" ht="15" customHeight="1"/>
    <row r="165" ht="15" customHeight="1"/>
    <row r="166" ht="15" customHeight="1"/>
    <row r="167" ht="15" customHeight="1"/>
    <row r="168" ht="15" customHeight="1"/>
    <row r="169" ht="15" customHeight="1"/>
    <row r="170" ht="15" customHeight="1"/>
    <row r="171" ht="15" customHeight="1"/>
    <row r="172" ht="15" customHeight="1"/>
    <row r="173" ht="15" customHeight="1"/>
    <row r="174" ht="15" customHeight="1"/>
    <row r="175" ht="15" customHeight="1"/>
    <row r="176" ht="15" customHeight="1"/>
    <row r="177" ht="15" customHeight="1"/>
    <row r="178" ht="15" customHeight="1"/>
    <row r="179" ht="15" customHeight="1"/>
    <row r="180" ht="15" customHeight="1"/>
    <row r="181" ht="15" customHeight="1"/>
    <row r="182" ht="15" customHeight="1"/>
    <row r="183" ht="15" customHeight="1"/>
    <row r="184" ht="15" customHeight="1"/>
    <row r="185" ht="15" customHeight="1"/>
    <row r="186" ht="15" customHeight="1"/>
    <row r="187" ht="15" customHeight="1"/>
    <row r="188" ht="15" customHeight="1"/>
    <row r="189" ht="15" customHeight="1"/>
    <row r="190" ht="15" customHeight="1"/>
    <row r="191" ht="15" customHeight="1"/>
    <row r="192" ht="15" customHeight="1"/>
    <row r="193" ht="15" customHeight="1"/>
    <row r="194" ht="15" customHeight="1"/>
    <row r="195" ht="15" customHeight="1"/>
    <row r="196" ht="15" customHeight="1"/>
    <row r="197" ht="15" customHeight="1"/>
    <row r="198" ht="15" customHeight="1"/>
    <row r="199" ht="15" customHeight="1"/>
    <row r="200" ht="15" customHeight="1"/>
    <row r="201" ht="15" customHeight="1"/>
    <row r="202" ht="15" customHeight="1"/>
    <row r="203" ht="15" customHeight="1"/>
    <row r="204" ht="15" customHeight="1"/>
    <row r="205" ht="15" customHeight="1"/>
    <row r="206" ht="15" customHeight="1"/>
  </sheetData>
  <mergeCells count="52">
    <mergeCell ref="C9:F9"/>
    <mergeCell ref="I9:J9"/>
    <mergeCell ref="A1:F2"/>
    <mergeCell ref="I2:J2"/>
    <mergeCell ref="I3:J3"/>
    <mergeCell ref="A4:F4"/>
    <mergeCell ref="I4:J4"/>
    <mergeCell ref="C5:F5"/>
    <mergeCell ref="I5:J5"/>
    <mergeCell ref="C6:F6"/>
    <mergeCell ref="C7:F7"/>
    <mergeCell ref="I7:J7"/>
    <mergeCell ref="C8:F8"/>
    <mergeCell ref="I8:J8"/>
    <mergeCell ref="A71:B71"/>
    <mergeCell ref="C10:F10"/>
    <mergeCell ref="I10:J10"/>
    <mergeCell ref="C11:F11"/>
    <mergeCell ref="I11:J11"/>
    <mergeCell ref="H13:I13"/>
    <mergeCell ref="A15:E16"/>
    <mergeCell ref="G15:H15"/>
    <mergeCell ref="I15:I16"/>
    <mergeCell ref="J15:J16"/>
    <mergeCell ref="B21:C21"/>
    <mergeCell ref="B22:C22"/>
    <mergeCell ref="B23:C23"/>
    <mergeCell ref="G29:H29"/>
    <mergeCell ref="I29:J29"/>
    <mergeCell ref="F88:G88"/>
    <mergeCell ref="A72:B72"/>
    <mergeCell ref="A73:B73"/>
    <mergeCell ref="A74:B74"/>
    <mergeCell ref="A75:B75"/>
    <mergeCell ref="A84:B84"/>
    <mergeCell ref="D84:E84"/>
    <mergeCell ref="A95:B95"/>
    <mergeCell ref="A85:B85"/>
    <mergeCell ref="D85:E85"/>
    <mergeCell ref="A86:B86"/>
    <mergeCell ref="D86:E86"/>
    <mergeCell ref="A88:C88"/>
    <mergeCell ref="A89:B89"/>
    <mergeCell ref="A90:B90"/>
    <mergeCell ref="A91:B91"/>
    <mergeCell ref="A92:B92"/>
    <mergeCell ref="A94:C94"/>
    <mergeCell ref="A96:B96"/>
    <mergeCell ref="A97:B97"/>
    <mergeCell ref="A98:B98"/>
    <mergeCell ref="A100:B100"/>
    <mergeCell ref="A101:B101"/>
  </mergeCells>
  <conditionalFormatting sqref="I21">
    <cfRule type="cellIs" dxfId="4" priority="1" operator="equal">
      <formula>"Heures réelles"</formula>
    </cfRule>
  </conditionalFormatting>
  <dataValidations count="5">
    <dataValidation type="list" allowBlank="1" showInputMessage="1" showErrorMessage="1" sqref="B22:B23">
      <formula1>INDIRECT(A22)</formula1>
    </dataValidation>
    <dataValidation type="list" allowBlank="1" showInputMessage="1" showErrorMessage="1" sqref="A36:B36">
      <formula1>Liste_AF</formula1>
    </dataValidation>
    <dataValidation type="list" allowBlank="1" showInputMessage="1" showErrorMessage="1" sqref="A22:A23">
      <formula1>HS.HC</formula1>
    </dataValidation>
    <dataValidation type="list" allowBlank="1" showInputMessage="1" showErrorMessage="1" sqref="A63:B63">
      <formula1>liste_Fillon</formula1>
    </dataValidation>
    <dataValidation type="list" allowBlank="1" showInputMessage="1" showErrorMessage="1" sqref="B21">
      <formula1>absences</formula1>
    </dataValidation>
  </dataValidations>
  <pageMargins left="0.19685039370078741" right="0.19685039370078741" top="0.39370078740157483" bottom="0.19685039370078741" header="0.19685039370078741" footer="0.19685039370078741"/>
  <pageSetup paperSize="9" orientation="portrait" r:id="rId1"/>
  <headerFooter differentFirst="1">
    <oddHeader>&amp;LEmmanuel ESNAULT</oddHeader>
    <firstHeader>&amp;LEmmanuel ESNAULT</firstHeader>
    <firstFooter>&amp;C&amp;7DANS VOTRE INTERET ET POUR FAIRE VALOIR VOS DROITS, NOUS VOUS CONSEILLONS DE CONSERVER CE BULLETIN SANS LIMITATION DE DUREE</firstFooter>
  </headerFooter>
  <rowBreaks count="1" manualBreakCount="1">
    <brk id="86" max="16383" man="1"/>
  </rowBreak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9">
    <tabColor rgb="FFFFFF00"/>
  </sheetPr>
  <dimension ref="A1:L207"/>
  <sheetViews>
    <sheetView showZeros="0" zoomScale="130" zoomScaleNormal="130" workbookViewId="0">
      <selection activeCell="B5" sqref="B5:D5"/>
    </sheetView>
  </sheetViews>
  <sheetFormatPr baseColWidth="10" defaultRowHeight="10.5" customHeight="1"/>
  <cols>
    <col min="1" max="1" width="7.42578125" style="8" customWidth="1"/>
    <col min="2" max="2" width="4" style="8" customWidth="1"/>
    <col min="3" max="4" width="12.5703125" style="8" customWidth="1"/>
    <col min="5" max="5" width="0.85546875" style="8" customWidth="1"/>
    <col min="6" max="10" width="12.5703125" style="8" customWidth="1"/>
    <col min="11" max="11" width="1.7109375" style="8" customWidth="1"/>
    <col min="12" max="16384" width="11.42578125" style="8"/>
  </cols>
  <sheetData>
    <row r="1" spans="1:11" ht="10.5" customHeight="1">
      <c r="A1" s="996" t="s">
        <v>60</v>
      </c>
      <c r="B1" s="997"/>
      <c r="C1" s="997"/>
      <c r="D1" s="997"/>
      <c r="E1" s="997"/>
      <c r="F1" s="998"/>
      <c r="G1" s="1"/>
      <c r="H1" s="22"/>
      <c r="I1" s="440" t="s">
        <v>62</v>
      </c>
      <c r="J1" s="23"/>
    </row>
    <row r="2" spans="1:11" ht="10.5" customHeight="1" thickBot="1">
      <c r="A2" s="999"/>
      <c r="B2" s="1000"/>
      <c r="C2" s="1000"/>
      <c r="D2" s="1000"/>
      <c r="E2" s="1000"/>
      <c r="F2" s="1001"/>
      <c r="G2" s="1"/>
      <c r="H2" s="110" t="s">
        <v>63</v>
      </c>
      <c r="I2" s="977"/>
      <c r="J2" s="978"/>
    </row>
    <row r="3" spans="1:11" ht="10.5" customHeight="1" thickBot="1">
      <c r="A3" s="2"/>
      <c r="B3" s="2"/>
      <c r="C3" s="2"/>
      <c r="D3" s="2"/>
      <c r="E3" s="2"/>
      <c r="F3" s="2"/>
      <c r="G3" s="1"/>
      <c r="H3" s="111" t="s">
        <v>64</v>
      </c>
      <c r="I3" s="979"/>
      <c r="J3" s="980"/>
    </row>
    <row r="4" spans="1:11" ht="10.5" customHeight="1">
      <c r="A4" s="1006" t="s">
        <v>61</v>
      </c>
      <c r="B4" s="1007"/>
      <c r="C4" s="1007"/>
      <c r="D4" s="1007"/>
      <c r="E4" s="1007"/>
      <c r="F4" s="1008"/>
      <c r="G4" s="1"/>
      <c r="H4" s="111" t="s">
        <v>65</v>
      </c>
      <c r="I4" s="979"/>
      <c r="J4" s="980"/>
    </row>
    <row r="5" spans="1:11" ht="10.5" customHeight="1">
      <c r="A5" s="3" t="s">
        <v>88</v>
      </c>
      <c r="B5" s="439"/>
      <c r="C5" s="1020">
        <f>Société!B3</f>
        <v>0</v>
      </c>
      <c r="D5" s="1020"/>
      <c r="E5" s="1020"/>
      <c r="F5" s="1021"/>
      <c r="G5" s="1"/>
      <c r="H5" s="111" t="s">
        <v>66</v>
      </c>
      <c r="I5" s="979" t="s">
        <v>459</v>
      </c>
      <c r="J5" s="980"/>
    </row>
    <row r="6" spans="1:11" ht="10.5" customHeight="1">
      <c r="A6" s="3" t="s">
        <v>69</v>
      </c>
      <c r="B6" s="439"/>
      <c r="C6" s="983">
        <f>Société!B4</f>
        <v>0</v>
      </c>
      <c r="D6" s="983"/>
      <c r="E6" s="983"/>
      <c r="F6" s="984"/>
      <c r="G6" s="1"/>
      <c r="H6" s="111" t="s">
        <v>71</v>
      </c>
      <c r="I6" s="437" t="s">
        <v>72</v>
      </c>
      <c r="J6" s="438" t="s">
        <v>73</v>
      </c>
    </row>
    <row r="7" spans="1:11" ht="10.5" customHeight="1">
      <c r="A7" s="3"/>
      <c r="B7" s="439"/>
      <c r="C7" s="983">
        <f>Société!B5</f>
        <v>0</v>
      </c>
      <c r="D7" s="983"/>
      <c r="E7" s="983"/>
      <c r="F7" s="984"/>
      <c r="G7" s="1"/>
      <c r="H7" s="111" t="s">
        <v>67</v>
      </c>
      <c r="I7" s="979"/>
      <c r="J7" s="980"/>
    </row>
    <row r="8" spans="1:11" ht="10.5" customHeight="1">
      <c r="A8" s="3" t="s">
        <v>74</v>
      </c>
      <c r="B8" s="439"/>
      <c r="C8" s="983">
        <f>Société!B6</f>
        <v>0</v>
      </c>
      <c r="D8" s="983"/>
      <c r="E8" s="983"/>
      <c r="F8" s="984"/>
      <c r="G8" s="1"/>
      <c r="H8" s="111" t="s">
        <v>68</v>
      </c>
      <c r="I8" s="1022"/>
      <c r="J8" s="1023"/>
    </row>
    <row r="9" spans="1:11" ht="10.5" customHeight="1">
      <c r="A9" s="3" t="s">
        <v>75</v>
      </c>
      <c r="B9" s="439"/>
      <c r="C9" s="983">
        <f>Société!B7</f>
        <v>0</v>
      </c>
      <c r="D9" s="983"/>
      <c r="E9" s="983"/>
      <c r="F9" s="984"/>
      <c r="G9" s="1"/>
      <c r="H9" s="111" t="s">
        <v>69</v>
      </c>
      <c r="I9" s="979"/>
      <c r="J9" s="980"/>
    </row>
    <row r="10" spans="1:11" ht="10.5" customHeight="1">
      <c r="A10" s="3" t="s">
        <v>76</v>
      </c>
      <c r="B10" s="439"/>
      <c r="C10" s="983">
        <f>Société!B8</f>
        <v>0</v>
      </c>
      <c r="D10" s="983"/>
      <c r="E10" s="983"/>
      <c r="F10" s="984"/>
      <c r="G10" s="1"/>
      <c r="H10" s="111"/>
      <c r="I10" s="979"/>
      <c r="J10" s="980"/>
    </row>
    <row r="11" spans="1:11" ht="10.5" customHeight="1" thickBot="1">
      <c r="A11" s="4" t="s">
        <v>77</v>
      </c>
      <c r="B11" s="446"/>
      <c r="C11" s="985">
        <f>Société!B9</f>
        <v>0</v>
      </c>
      <c r="D11" s="985"/>
      <c r="E11" s="985"/>
      <c r="F11" s="986"/>
      <c r="G11" s="1"/>
      <c r="H11" s="112" t="s">
        <v>70</v>
      </c>
      <c r="I11" s="1018"/>
      <c r="J11" s="1019"/>
    </row>
    <row r="12" spans="1:11" ht="10.5" customHeight="1" thickBot="1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1" ht="10.5" customHeight="1" thickBot="1">
      <c r="A13" s="94" t="s">
        <v>79</v>
      </c>
      <c r="B13" s="96"/>
      <c r="C13" s="95">
        <f>Société!B19</f>
        <v>0</v>
      </c>
      <c r="D13" s="443" t="s">
        <v>80</v>
      </c>
      <c r="E13" s="96"/>
      <c r="F13" s="97">
        <f>IF(C13=0,0,EOMONTH(C13,0))</f>
        <v>0</v>
      </c>
      <c r="G13" s="1"/>
      <c r="H13" s="1016" t="s">
        <v>81</v>
      </c>
      <c r="I13" s="1017"/>
      <c r="J13" s="99">
        <f>PMSS</f>
        <v>3269</v>
      </c>
    </row>
    <row r="14" spans="1:11" ht="10.5" customHeight="1" thickBot="1">
      <c r="A14" s="1"/>
      <c r="B14" s="1"/>
      <c r="C14" s="1"/>
      <c r="D14" s="1"/>
      <c r="E14" s="1"/>
      <c r="F14" s="1"/>
      <c r="G14" s="1"/>
      <c r="H14" s="1"/>
      <c r="I14" s="1"/>
      <c r="J14" s="1"/>
    </row>
    <row r="15" spans="1:11" ht="10.5" customHeight="1">
      <c r="A15" s="1002" t="s">
        <v>0</v>
      </c>
      <c r="B15" s="1003"/>
      <c r="C15" s="1003"/>
      <c r="D15" s="1003"/>
      <c r="E15" s="1003"/>
      <c r="F15" s="441" t="s">
        <v>50</v>
      </c>
      <c r="G15" s="1011"/>
      <c r="H15" s="1011"/>
      <c r="I15" s="1012" t="s">
        <v>1</v>
      </c>
      <c r="J15" s="1014" t="s">
        <v>3</v>
      </c>
      <c r="K15" s="11"/>
    </row>
    <row r="16" spans="1:11" ht="10.5" customHeight="1">
      <c r="A16" s="1004"/>
      <c r="B16" s="1005"/>
      <c r="C16" s="1005"/>
      <c r="D16" s="1005"/>
      <c r="E16" s="1005"/>
      <c r="F16" s="442" t="s">
        <v>51</v>
      </c>
      <c r="G16" s="447"/>
      <c r="H16" s="448"/>
      <c r="I16" s="1013"/>
      <c r="J16" s="1015"/>
      <c r="K16" s="11"/>
    </row>
    <row r="17" spans="1:11" ht="10.5" customHeight="1">
      <c r="A17" s="3" t="s">
        <v>455</v>
      </c>
      <c r="B17" s="439"/>
      <c r="C17" s="439"/>
      <c r="D17" s="439"/>
      <c r="E17" s="439"/>
      <c r="F17" s="9"/>
      <c r="G17" s="449"/>
      <c r="H17" s="449"/>
      <c r="I17" s="9"/>
      <c r="J17" s="87"/>
      <c r="K17" s="11"/>
    </row>
    <row r="18" spans="1:11" ht="10.5" customHeight="1">
      <c r="A18" s="3" t="s">
        <v>456</v>
      </c>
      <c r="B18" s="439"/>
      <c r="C18" s="439"/>
      <c r="D18" s="439"/>
      <c r="E18" s="439"/>
      <c r="F18" s="9"/>
      <c r="G18" s="449"/>
      <c r="H18" s="449"/>
      <c r="I18" s="463"/>
      <c r="J18" s="87">
        <f>F18*I18</f>
        <v>0</v>
      </c>
      <c r="K18" s="11"/>
    </row>
    <row r="19" spans="1:11" ht="10.5" customHeight="1">
      <c r="A19" s="3" t="s">
        <v>138</v>
      </c>
      <c r="B19" s="439"/>
      <c r="C19" s="439"/>
      <c r="D19" s="439"/>
      <c r="E19" s="439"/>
      <c r="F19" s="9"/>
      <c r="G19" s="449"/>
      <c r="H19" s="449"/>
      <c r="I19" s="9"/>
      <c r="J19" s="87"/>
      <c r="K19" s="11"/>
    </row>
    <row r="20" spans="1:11" ht="10.5" customHeight="1" thickBot="1">
      <c r="A20" s="3"/>
      <c r="B20" s="439"/>
      <c r="C20" s="439"/>
      <c r="D20" s="439"/>
      <c r="E20" s="439"/>
      <c r="F20" s="9"/>
      <c r="G20" s="449"/>
      <c r="H20" s="449"/>
      <c r="I20" s="9"/>
      <c r="J20" s="87"/>
      <c r="K20" s="11"/>
    </row>
    <row r="21" spans="1:11" ht="10.5" hidden="1" customHeight="1">
      <c r="A21" s="3" t="str">
        <f>IF(B21=0,"","Absences")</f>
        <v>Absences</v>
      </c>
      <c r="B21" s="987" t="s">
        <v>8</v>
      </c>
      <c r="C21" s="987"/>
      <c r="D21" s="439"/>
      <c r="E21" s="439"/>
      <c r="F21" s="9"/>
      <c r="G21" s="449"/>
      <c r="H21" s="449"/>
      <c r="I21" s="100">
        <f>IF(B21="en heures réelles",IF(H88=0,"Heures réelles",J17/H88),IF(B21="au 30ème",J17/30,J17/26))</f>
        <v>0</v>
      </c>
      <c r="J21" s="87">
        <f>IF(I21="Heures réelles",0,-F21*I21)</f>
        <v>0</v>
      </c>
      <c r="K21" s="11"/>
    </row>
    <row r="22" spans="1:11" ht="10.5" hidden="1" customHeight="1">
      <c r="A22" s="3" t="s">
        <v>10</v>
      </c>
      <c r="B22" s="1026">
        <v>1.25</v>
      </c>
      <c r="C22" s="1026"/>
      <c r="D22" s="439"/>
      <c r="E22" s="439"/>
      <c r="F22" s="9"/>
      <c r="G22" s="449"/>
      <c r="H22" s="449"/>
      <c r="I22" s="9">
        <f>IF(B22=0,$I$17,$I$17*B22)</f>
        <v>0</v>
      </c>
      <c r="J22" s="87">
        <f>F22*I22</f>
        <v>0</v>
      </c>
      <c r="K22" s="11"/>
    </row>
    <row r="23" spans="1:11" ht="10.5" hidden="1" customHeight="1">
      <c r="A23" s="3" t="s">
        <v>10</v>
      </c>
      <c r="B23" s="1026">
        <v>1.5</v>
      </c>
      <c r="C23" s="1026"/>
      <c r="D23" s="439"/>
      <c r="E23" s="439"/>
      <c r="F23" s="9"/>
      <c r="G23" s="449"/>
      <c r="H23" s="449"/>
      <c r="I23" s="9">
        <f>IF(B23=0,$I$17,$I$17*B23)</f>
        <v>0</v>
      </c>
      <c r="J23" s="87">
        <f>F23*I23</f>
        <v>0</v>
      </c>
      <c r="K23" s="11"/>
    </row>
    <row r="24" spans="1:11" ht="10.5" hidden="1" customHeight="1">
      <c r="A24" s="3" t="s">
        <v>14</v>
      </c>
      <c r="B24" s="439"/>
      <c r="C24" s="439"/>
      <c r="D24" s="439"/>
      <c r="E24" s="439"/>
      <c r="F24" s="9"/>
      <c r="G24" s="449"/>
      <c r="H24" s="449"/>
      <c r="I24" s="5"/>
      <c r="J24" s="87"/>
      <c r="K24" s="11"/>
    </row>
    <row r="25" spans="1:11" ht="10.5" hidden="1" customHeight="1">
      <c r="A25" s="3" t="s">
        <v>15</v>
      </c>
      <c r="B25" s="439"/>
      <c r="C25" s="439"/>
      <c r="D25" s="439"/>
      <c r="E25" s="439"/>
      <c r="F25" s="9"/>
      <c r="G25" s="449"/>
      <c r="H25" s="449"/>
      <c r="I25" s="5"/>
      <c r="J25" s="87"/>
      <c r="K25" s="11"/>
    </row>
    <row r="26" spans="1:11" ht="10.5" hidden="1" customHeight="1" thickBot="1">
      <c r="A26" s="3" t="s">
        <v>16</v>
      </c>
      <c r="B26" s="439"/>
      <c r="C26" s="439"/>
      <c r="D26" s="439"/>
      <c r="E26" s="439"/>
      <c r="F26" s="9"/>
      <c r="G26" s="449"/>
      <c r="H26" s="449"/>
      <c r="I26" s="5"/>
      <c r="J26" s="87"/>
      <c r="K26" s="11"/>
    </row>
    <row r="27" spans="1:11" ht="10.5" customHeight="1" thickBot="1">
      <c r="A27" s="10" t="s">
        <v>17</v>
      </c>
      <c r="B27" s="403"/>
      <c r="C27" s="11"/>
      <c r="D27" s="11"/>
      <c r="E27" s="11"/>
      <c r="F27" s="34"/>
      <c r="G27" s="450"/>
      <c r="H27" s="450"/>
      <c r="I27" s="481"/>
      <c r="J27" s="32">
        <f>SUM(J17:J26)</f>
        <v>0</v>
      </c>
      <c r="K27" s="11"/>
    </row>
    <row r="28" spans="1:11" ht="10.5" customHeight="1" thickBot="1">
      <c r="A28" s="489" t="s">
        <v>461</v>
      </c>
      <c r="B28" s="482"/>
      <c r="F28" s="475"/>
      <c r="G28" s="483"/>
      <c r="H28" s="477"/>
      <c r="J28" s="479">
        <f>VRP_Brut*0.7</f>
        <v>0</v>
      </c>
    </row>
    <row r="29" spans="1:11" ht="10.5" customHeight="1">
      <c r="A29" s="13"/>
      <c r="B29" s="11"/>
      <c r="C29" s="11"/>
      <c r="D29" s="11"/>
      <c r="E29" s="11"/>
      <c r="F29" s="34"/>
      <c r="G29" s="1009" t="s">
        <v>2</v>
      </c>
      <c r="H29" s="1009"/>
      <c r="I29" s="1009" t="s">
        <v>4</v>
      </c>
      <c r="J29" s="1010"/>
      <c r="K29" s="11"/>
    </row>
    <row r="30" spans="1:11" ht="10.5" customHeight="1">
      <c r="A30" s="13"/>
      <c r="B30" s="11"/>
      <c r="C30" s="11"/>
      <c r="D30" s="11"/>
      <c r="E30" s="11"/>
      <c r="F30" s="34"/>
      <c r="G30" s="6" t="s">
        <v>1</v>
      </c>
      <c r="H30" s="6" t="s">
        <v>3</v>
      </c>
      <c r="I30" s="6" t="s">
        <v>1</v>
      </c>
      <c r="J30" s="7" t="s">
        <v>3</v>
      </c>
      <c r="K30" s="11"/>
    </row>
    <row r="31" spans="1:11" ht="12" customHeight="1">
      <c r="A31" s="14" t="s">
        <v>18</v>
      </c>
      <c r="B31" s="404"/>
      <c r="C31" s="11"/>
      <c r="D31" s="11"/>
      <c r="E31" s="11"/>
      <c r="F31" s="34"/>
      <c r="G31" s="46"/>
      <c r="H31" s="33"/>
      <c r="I31" s="61"/>
      <c r="J31" s="30"/>
      <c r="K31" s="11"/>
    </row>
    <row r="32" spans="1:11" ht="10.5" customHeight="1">
      <c r="A32" s="3" t="s">
        <v>98</v>
      </c>
      <c r="B32" s="439"/>
      <c r="C32" s="11"/>
      <c r="D32" s="11"/>
      <c r="E32" s="11"/>
      <c r="F32" s="34" t="e">
        <f>VRP_CSGRDS</f>
        <v>#REF!</v>
      </c>
      <c r="G32" s="46"/>
      <c r="H32" s="34" t="e">
        <f t="shared" ref="H32:H67" si="0">ROUNDUP(F32*G32,2)</f>
        <v>#REF!</v>
      </c>
      <c r="I32" s="60">
        <f>Cotisations!C5</f>
        <v>5.0999999999999997E-2</v>
      </c>
      <c r="J32" s="30" t="e">
        <f t="shared" ref="J32:J67" si="1">ROUNDUP(F32*I32,2)</f>
        <v>#REF!</v>
      </c>
      <c r="K32" s="11"/>
    </row>
    <row r="33" spans="1:11" ht="10.5" customHeight="1">
      <c r="A33" s="3" t="s">
        <v>19</v>
      </c>
      <c r="B33" s="439"/>
      <c r="C33" s="11"/>
      <c r="D33" s="11"/>
      <c r="E33" s="11"/>
      <c r="F33" s="34">
        <f t="shared" ref="F33:F38" si="2">VRP_BRUTABAT</f>
        <v>0</v>
      </c>
      <c r="G33" s="46">
        <f>Cotisations!B8</f>
        <v>0.12889999999999999</v>
      </c>
      <c r="H33" s="34">
        <f t="shared" si="0"/>
        <v>0</v>
      </c>
      <c r="I33" s="60">
        <f>Cotisations!C8</f>
        <v>7.4999999999999997E-3</v>
      </c>
      <c r="J33" s="30">
        <f t="shared" si="1"/>
        <v>0</v>
      </c>
      <c r="K33" s="11"/>
    </row>
    <row r="34" spans="1:11" ht="10.5" customHeight="1">
      <c r="A34" s="3" t="s">
        <v>20</v>
      </c>
      <c r="B34" s="439"/>
      <c r="C34" s="11"/>
      <c r="D34" s="11"/>
      <c r="E34" s="11"/>
      <c r="F34" s="34">
        <f t="shared" si="2"/>
        <v>0</v>
      </c>
      <c r="G34" s="46">
        <f>Cotisations!B9</f>
        <v>3.0000000000000001E-3</v>
      </c>
      <c r="H34" s="34">
        <f t="shared" si="0"/>
        <v>0</v>
      </c>
      <c r="I34" s="60"/>
      <c r="J34" s="30">
        <f t="shared" si="1"/>
        <v>0</v>
      </c>
      <c r="K34" s="11"/>
    </row>
    <row r="35" spans="1:11" ht="10.5" customHeight="1">
      <c r="A35" s="3" t="s">
        <v>21</v>
      </c>
      <c r="B35" s="439"/>
      <c r="C35" s="11"/>
      <c r="D35" s="11"/>
      <c r="E35" s="11"/>
      <c r="F35" s="34">
        <f t="shared" si="2"/>
        <v>0</v>
      </c>
      <c r="G35" s="46">
        <f>Société!B16</f>
        <v>0</v>
      </c>
      <c r="H35" s="34">
        <f t="shared" si="0"/>
        <v>0</v>
      </c>
      <c r="I35" s="60"/>
      <c r="J35" s="30">
        <f t="shared" si="1"/>
        <v>0</v>
      </c>
      <c r="K35" s="11"/>
    </row>
    <row r="36" spans="1:11" ht="10.5" customHeight="1">
      <c r="A36" s="3" t="s">
        <v>274</v>
      </c>
      <c r="B36" s="439"/>
      <c r="C36" s="11"/>
      <c r="D36" s="11"/>
      <c r="E36" s="11"/>
      <c r="F36" s="34">
        <f t="shared" si="2"/>
        <v>0</v>
      </c>
      <c r="G36" s="46">
        <f>Cotisations!B10+IF(VRP_BRUTABAT&lt;3.5*SMIC_Fillon,0,Cotisations!B11)</f>
        <v>3.4500000000000003E-2</v>
      </c>
      <c r="H36" s="34">
        <f t="shared" si="0"/>
        <v>0</v>
      </c>
      <c r="I36" s="60"/>
      <c r="J36" s="30">
        <f t="shared" si="1"/>
        <v>0</v>
      </c>
      <c r="K36" s="11"/>
    </row>
    <row r="37" spans="1:11" ht="10.5" customHeight="1">
      <c r="A37" s="3" t="s">
        <v>23</v>
      </c>
      <c r="B37" s="439"/>
      <c r="C37" s="11"/>
      <c r="D37" s="11"/>
      <c r="E37" s="11"/>
      <c r="F37" s="34">
        <f t="shared" si="2"/>
        <v>0</v>
      </c>
      <c r="G37" s="46">
        <f>Société!B17</f>
        <v>0</v>
      </c>
      <c r="H37" s="34">
        <f t="shared" si="0"/>
        <v>0</v>
      </c>
      <c r="I37" s="60"/>
      <c r="J37" s="30">
        <f t="shared" si="1"/>
        <v>0</v>
      </c>
      <c r="K37" s="11"/>
    </row>
    <row r="38" spans="1:11" ht="10.5" customHeight="1">
      <c r="A38" s="3" t="s">
        <v>24</v>
      </c>
      <c r="B38" s="439"/>
      <c r="C38" s="11"/>
      <c r="D38" s="11"/>
      <c r="E38" s="11"/>
      <c r="F38" s="34">
        <f t="shared" si="2"/>
        <v>0</v>
      </c>
      <c r="G38" s="46">
        <f>Cotisations!B12</f>
        <v>1.9E-2</v>
      </c>
      <c r="H38" s="34">
        <f t="shared" si="0"/>
        <v>0</v>
      </c>
      <c r="I38" s="60">
        <f>Cotisations!C12</f>
        <v>4.0000000000000001E-3</v>
      </c>
      <c r="J38" s="30">
        <f t="shared" si="1"/>
        <v>0</v>
      </c>
      <c r="K38" s="11"/>
    </row>
    <row r="39" spans="1:11" ht="10.5" customHeight="1">
      <c r="A39" s="3" t="s">
        <v>25</v>
      </c>
      <c r="B39" s="439"/>
      <c r="C39" s="11"/>
      <c r="D39" s="11"/>
      <c r="E39" s="11"/>
      <c r="F39" s="34">
        <f>MIN(VRP_BRUTABAT,VRP_Plafond)</f>
        <v>0</v>
      </c>
      <c r="G39" s="46">
        <f>Cotisations!B13</f>
        <v>8.5500000000000007E-2</v>
      </c>
      <c r="H39" s="34">
        <f t="shared" si="0"/>
        <v>0</v>
      </c>
      <c r="I39" s="60">
        <f>Cotisations!C13</f>
        <v>6.9000000000000006E-2</v>
      </c>
      <c r="J39" s="30">
        <f t="shared" si="1"/>
        <v>0</v>
      </c>
      <c r="K39" s="11"/>
    </row>
    <row r="40" spans="1:11" ht="10.5" customHeight="1">
      <c r="A40" s="3" t="s">
        <v>26</v>
      </c>
      <c r="B40" s="439"/>
      <c r="C40" s="11"/>
      <c r="D40" s="11"/>
      <c r="E40" s="11"/>
      <c r="F40" s="45">
        <f>IF(effectif&lt;20,VRP_TA,VRP_BRUTABAT)</f>
        <v>0</v>
      </c>
      <c r="G40" s="46">
        <f>IF(effectif&lt;20,Cotisations!B14,Cotisations!B15)</f>
        <v>1E-3</v>
      </c>
      <c r="H40" s="34">
        <f t="shared" si="0"/>
        <v>0</v>
      </c>
      <c r="I40" s="60"/>
      <c r="J40" s="30">
        <f t="shared" si="1"/>
        <v>0</v>
      </c>
      <c r="K40" s="11"/>
    </row>
    <row r="41" spans="1:11" ht="10.5" customHeight="1">
      <c r="A41" s="3" t="s">
        <v>27</v>
      </c>
      <c r="B41" s="439"/>
      <c r="C41" s="11"/>
      <c r="D41" s="11"/>
      <c r="E41" s="11"/>
      <c r="F41" s="45">
        <f>IF(effectif&lt;11,0,SUM(H61:H65))</f>
        <v>0</v>
      </c>
      <c r="G41" s="46">
        <f>Cotisations!B16</f>
        <v>0.08</v>
      </c>
      <c r="H41" s="34">
        <f t="shared" si="0"/>
        <v>0</v>
      </c>
      <c r="I41" s="60"/>
      <c r="J41" s="30">
        <f t="shared" si="1"/>
        <v>0</v>
      </c>
      <c r="K41" s="11"/>
    </row>
    <row r="42" spans="1:11" ht="10.5" hidden="1" customHeight="1">
      <c r="A42" s="3" t="s">
        <v>211</v>
      </c>
      <c r="B42" s="439"/>
      <c r="C42" s="11"/>
      <c r="D42" s="11"/>
      <c r="E42" s="11"/>
      <c r="F42" s="45" t="e">
        <f>SUM(H58:H59)</f>
        <v>#REF!</v>
      </c>
      <c r="G42" s="46">
        <f>Cotisations!B17</f>
        <v>0.2</v>
      </c>
      <c r="H42" s="34" t="e">
        <f t="shared" si="0"/>
        <v>#REF!</v>
      </c>
      <c r="I42" s="60"/>
      <c r="J42" s="30"/>
      <c r="K42" s="11"/>
    </row>
    <row r="43" spans="1:11" ht="10.5" customHeight="1">
      <c r="A43" s="3" t="s">
        <v>28</v>
      </c>
      <c r="B43" s="439"/>
      <c r="C43" s="11"/>
      <c r="D43" s="11"/>
      <c r="E43" s="11"/>
      <c r="F43" s="34">
        <f>VRP_BRUTABAT</f>
        <v>0</v>
      </c>
      <c r="G43" s="46">
        <f>Cotisations!B18</f>
        <v>1.6000000000000001E-4</v>
      </c>
      <c r="H43" s="34">
        <f t="shared" si="0"/>
        <v>0</v>
      </c>
      <c r="I43" s="60"/>
      <c r="J43" s="30">
        <f t="shared" si="1"/>
        <v>0</v>
      </c>
      <c r="K43" s="11"/>
    </row>
    <row r="44" spans="1:11" ht="10.5" customHeight="1">
      <c r="A44" s="3" t="s">
        <v>29</v>
      </c>
      <c r="B44" s="439"/>
      <c r="C44" s="11"/>
      <c r="D44" s="11"/>
      <c r="E44" s="11"/>
      <c r="F44" s="34">
        <f>VRP_BRUTABAT</f>
        <v>0</v>
      </c>
      <c r="G44" s="46">
        <f>Cotisations!B19</f>
        <v>1E-4</v>
      </c>
      <c r="H44" s="34">
        <f t="shared" si="0"/>
        <v>0</v>
      </c>
      <c r="I44" s="60"/>
      <c r="J44" s="30">
        <f t="shared" si="1"/>
        <v>0</v>
      </c>
      <c r="K44" s="11"/>
    </row>
    <row r="45" spans="1:11" ht="12" customHeight="1">
      <c r="A45" s="14" t="s">
        <v>30</v>
      </c>
      <c r="B45" s="404"/>
      <c r="C45" s="11"/>
      <c r="D45" s="11"/>
      <c r="E45" s="11"/>
      <c r="F45" s="34"/>
      <c r="G45" s="46"/>
      <c r="H45" s="34">
        <f t="shared" si="0"/>
        <v>0</v>
      </c>
      <c r="I45" s="60"/>
      <c r="J45" s="30">
        <f t="shared" si="1"/>
        <v>0</v>
      </c>
      <c r="K45" s="11"/>
    </row>
    <row r="46" spans="1:11" ht="10.5" customHeight="1">
      <c r="A46" s="3" t="s">
        <v>31</v>
      </c>
      <c r="B46" s="439"/>
      <c r="C46" s="11"/>
      <c r="D46" s="11"/>
      <c r="E46" s="11"/>
      <c r="F46" s="34">
        <f>VRP_TA+VRP_TB</f>
        <v>0</v>
      </c>
      <c r="G46" s="46">
        <f>Cotisations!B22</f>
        <v>4.0500000000000001E-2</v>
      </c>
      <c r="H46" s="34">
        <f t="shared" si="0"/>
        <v>0</v>
      </c>
      <c r="I46" s="60">
        <f>Cotisations!C22</f>
        <v>2.4E-2</v>
      </c>
      <c r="J46" s="30">
        <f t="shared" si="1"/>
        <v>0</v>
      </c>
      <c r="K46" s="11"/>
    </row>
    <row r="47" spans="1:11" ht="10.5" customHeight="1">
      <c r="A47" s="3" t="s">
        <v>32</v>
      </c>
      <c r="B47" s="439"/>
      <c r="C47" s="11"/>
      <c r="D47" s="11"/>
      <c r="E47" s="11"/>
      <c r="F47" s="34">
        <f>VRP_TA+VRP_TB</f>
        <v>0</v>
      </c>
      <c r="G47" s="46">
        <f>Cotisations!B23</f>
        <v>1.5E-3</v>
      </c>
      <c r="H47" s="34">
        <f t="shared" si="0"/>
        <v>0</v>
      </c>
      <c r="I47" s="60"/>
      <c r="J47" s="30">
        <f t="shared" si="1"/>
        <v>0</v>
      </c>
      <c r="K47" s="11"/>
    </row>
    <row r="48" spans="1:11" ht="10.5" hidden="1" customHeight="1">
      <c r="A48" s="3" t="s">
        <v>33</v>
      </c>
      <c r="B48" s="439"/>
      <c r="C48" s="11"/>
      <c r="D48" s="11"/>
      <c r="E48" s="11"/>
      <c r="F48" s="34"/>
      <c r="G48" s="46"/>
      <c r="H48" s="34">
        <f t="shared" si="0"/>
        <v>0</v>
      </c>
      <c r="I48" s="60"/>
      <c r="J48" s="30">
        <f t="shared" si="1"/>
        <v>0</v>
      </c>
      <c r="K48" s="11"/>
    </row>
    <row r="49" spans="1:12" ht="12" customHeight="1">
      <c r="A49" s="14" t="s">
        <v>215</v>
      </c>
      <c r="B49" s="404"/>
      <c r="C49" s="11"/>
      <c r="D49" s="11"/>
      <c r="E49" s="11"/>
      <c r="F49" s="34"/>
      <c r="G49" s="46"/>
      <c r="H49" s="34">
        <f t="shared" si="0"/>
        <v>0</v>
      </c>
      <c r="I49" s="60"/>
      <c r="J49" s="30">
        <f t="shared" si="1"/>
        <v>0</v>
      </c>
      <c r="K49" s="11"/>
    </row>
    <row r="50" spans="1:12" ht="10.5" customHeight="1">
      <c r="A50" s="3" t="s">
        <v>216</v>
      </c>
      <c r="B50" s="439"/>
      <c r="C50" s="11"/>
      <c r="D50" s="11"/>
      <c r="E50" s="11"/>
      <c r="F50" s="34">
        <f>VRP_TA</f>
        <v>0</v>
      </c>
      <c r="G50" s="46">
        <f>Cotisations!B28</f>
        <v>4.65E-2</v>
      </c>
      <c r="H50" s="34">
        <f t="shared" si="0"/>
        <v>0</v>
      </c>
      <c r="I50" s="60">
        <f>Cotisations!C28</f>
        <v>3.1E-2</v>
      </c>
      <c r="J50" s="30">
        <f t="shared" si="1"/>
        <v>0</v>
      </c>
      <c r="K50" s="11"/>
    </row>
    <row r="51" spans="1:12" ht="10.5" customHeight="1">
      <c r="A51" s="3" t="s">
        <v>227</v>
      </c>
      <c r="B51" s="439"/>
      <c r="C51" s="11"/>
      <c r="D51" s="11"/>
      <c r="E51" s="11"/>
      <c r="F51" s="34">
        <f>VRP_TB</f>
        <v>0</v>
      </c>
      <c r="G51" s="46">
        <f>Cotisations!B29</f>
        <v>0.1215</v>
      </c>
      <c r="H51" s="34">
        <f t="shared" si="0"/>
        <v>0</v>
      </c>
      <c r="I51" s="60">
        <f>Cotisations!C29</f>
        <v>8.1000000000000003E-2</v>
      </c>
      <c r="J51" s="30">
        <f t="shared" si="1"/>
        <v>0</v>
      </c>
      <c r="K51" s="11"/>
    </row>
    <row r="52" spans="1:12" ht="10.5" customHeight="1">
      <c r="A52" s="3" t="s">
        <v>228</v>
      </c>
      <c r="B52" s="439"/>
      <c r="C52" s="11"/>
      <c r="D52" s="11"/>
      <c r="E52" s="11"/>
      <c r="F52" s="34">
        <f>VRP_TC</f>
        <v>0</v>
      </c>
      <c r="G52" s="46">
        <f>Cotisations!B40</f>
        <v>3.6000000000000002E-4</v>
      </c>
      <c r="H52" s="34">
        <f t="shared" si="0"/>
        <v>0</v>
      </c>
      <c r="I52" s="60">
        <f>Cotisations!C40</f>
        <v>2.4000000000000001E-4</v>
      </c>
      <c r="J52" s="30">
        <f t="shared" si="1"/>
        <v>0</v>
      </c>
      <c r="K52" s="11"/>
    </row>
    <row r="53" spans="1:12" ht="10.5" customHeight="1">
      <c r="A53" s="3" t="s">
        <v>217</v>
      </c>
      <c r="B53" s="439"/>
      <c r="C53" s="11"/>
      <c r="D53" s="11"/>
      <c r="E53" s="11"/>
      <c r="F53" s="34">
        <f>VRP_TA</f>
        <v>0</v>
      </c>
      <c r="G53" s="46">
        <f>Cotisations!B30</f>
        <v>1.2E-2</v>
      </c>
      <c r="H53" s="34">
        <f t="shared" si="0"/>
        <v>0</v>
      </c>
      <c r="I53" s="60">
        <f>Cotisations!C30</f>
        <v>8.0000000000000002E-3</v>
      </c>
      <c r="J53" s="30">
        <f t="shared" si="1"/>
        <v>0</v>
      </c>
      <c r="K53" s="11"/>
    </row>
    <row r="54" spans="1:12" ht="10.5" customHeight="1">
      <c r="A54" s="3" t="s">
        <v>229</v>
      </c>
      <c r="B54" s="439"/>
      <c r="C54" s="11"/>
      <c r="D54" s="11"/>
      <c r="E54" s="11"/>
      <c r="F54" s="34">
        <f>VRP_TB+VRP_TC</f>
        <v>0</v>
      </c>
      <c r="G54" s="46">
        <f>Cotisations!B31</f>
        <v>1.2999999999999999E-2</v>
      </c>
      <c r="H54" s="34">
        <f t="shared" si="0"/>
        <v>0</v>
      </c>
      <c r="I54" s="60">
        <f>Cotisations!C31</f>
        <v>8.9999999999999993E-3</v>
      </c>
      <c r="J54" s="30">
        <f t="shared" si="1"/>
        <v>0</v>
      </c>
      <c r="K54" s="11"/>
    </row>
    <row r="55" spans="1:12" ht="10.5" customHeight="1">
      <c r="A55" s="3" t="s">
        <v>108</v>
      </c>
      <c r="B55" s="439"/>
      <c r="C55" s="11"/>
      <c r="D55" s="11"/>
      <c r="E55" s="11"/>
      <c r="F55" s="34">
        <f>VRP_GMP</f>
        <v>0</v>
      </c>
      <c r="G55" s="46">
        <v>0.1275</v>
      </c>
      <c r="H55" s="34">
        <f t="shared" si="0"/>
        <v>0</v>
      </c>
      <c r="I55" s="60">
        <f>Cotisations!C36</f>
        <v>7.8E-2</v>
      </c>
      <c r="J55" s="30">
        <f t="shared" si="1"/>
        <v>0</v>
      </c>
      <c r="K55" s="11"/>
    </row>
    <row r="56" spans="1:12" ht="10.5" customHeight="1">
      <c r="A56" s="3" t="s">
        <v>109</v>
      </c>
      <c r="B56" s="439"/>
      <c r="C56" s="11"/>
      <c r="D56" s="11"/>
      <c r="E56" s="11"/>
      <c r="F56" s="34">
        <f>VRP_TA+VRP_TB+VRP_TC</f>
        <v>0</v>
      </c>
      <c r="G56" s="46">
        <v>2.2000000000000001E-3</v>
      </c>
      <c r="H56" s="34">
        <f t="shared" si="0"/>
        <v>0</v>
      </c>
      <c r="I56" s="60">
        <f>Cotisations!C39</f>
        <v>1.2999999999999999E-3</v>
      </c>
      <c r="J56" s="30">
        <f t="shared" si="1"/>
        <v>0</v>
      </c>
      <c r="K56" s="11"/>
    </row>
    <row r="57" spans="1:12" ht="10.5" customHeight="1">
      <c r="A57" s="3" t="s">
        <v>110</v>
      </c>
      <c r="B57" s="439"/>
      <c r="C57" s="11"/>
      <c r="D57" s="11"/>
      <c r="E57" s="11"/>
      <c r="F57" s="34">
        <f>VRP_TA+VRP_TB</f>
        <v>0</v>
      </c>
      <c r="G57" s="46">
        <v>3.6000000000000002E-4</v>
      </c>
      <c r="H57" s="34">
        <f t="shared" si="0"/>
        <v>0</v>
      </c>
      <c r="I57" s="60">
        <f>Cotisations!C40</f>
        <v>2.4000000000000001E-4</v>
      </c>
      <c r="J57" s="30">
        <f t="shared" si="1"/>
        <v>0</v>
      </c>
      <c r="K57" s="11"/>
    </row>
    <row r="58" spans="1:12" ht="10.5" hidden="1" customHeight="1">
      <c r="A58" s="3" t="s">
        <v>213</v>
      </c>
      <c r="B58" s="439"/>
      <c r="C58" s="11"/>
      <c r="D58" s="11"/>
      <c r="E58" s="11"/>
      <c r="F58" s="34" t="e">
        <f>NC_TA</f>
        <v>#REF!</v>
      </c>
      <c r="G58" s="46"/>
      <c r="H58" s="34" t="e">
        <f t="shared" si="0"/>
        <v>#REF!</v>
      </c>
      <c r="I58" s="60"/>
      <c r="J58" s="30" t="e">
        <f t="shared" si="1"/>
        <v>#REF!</v>
      </c>
      <c r="K58" s="11"/>
    </row>
    <row r="59" spans="1:12" ht="10.5" hidden="1" customHeight="1">
      <c r="A59" s="3" t="s">
        <v>214</v>
      </c>
      <c r="B59" s="439"/>
      <c r="C59" s="11"/>
      <c r="D59" s="11"/>
      <c r="E59" s="11"/>
      <c r="F59" s="34">
        <f>VRP_TB</f>
        <v>0</v>
      </c>
      <c r="G59" s="46"/>
      <c r="H59" s="34">
        <f t="shared" si="0"/>
        <v>0</v>
      </c>
      <c r="I59" s="60"/>
      <c r="J59" s="30">
        <f t="shared" si="1"/>
        <v>0</v>
      </c>
      <c r="K59" s="11"/>
    </row>
    <row r="60" spans="1:12" ht="12" customHeight="1">
      <c r="A60" s="14" t="s">
        <v>36</v>
      </c>
      <c r="B60" s="404"/>
      <c r="C60" s="11"/>
      <c r="D60" s="11"/>
      <c r="E60" s="11"/>
      <c r="F60" s="34"/>
      <c r="G60" s="46"/>
      <c r="H60" s="34">
        <f t="shared" si="0"/>
        <v>0</v>
      </c>
      <c r="I60" s="60"/>
      <c r="J60" s="30">
        <f t="shared" si="1"/>
        <v>0</v>
      </c>
      <c r="K60" s="11"/>
    </row>
    <row r="61" spans="1:12" ht="12" customHeight="1">
      <c r="A61" s="3" t="s">
        <v>219</v>
      </c>
      <c r="B61" s="404"/>
      <c r="C61" s="11"/>
      <c r="D61" s="11"/>
      <c r="E61" s="11"/>
      <c r="F61" s="34">
        <f>VRP_TA</f>
        <v>0</v>
      </c>
      <c r="G61" s="46">
        <v>1.4999999999999999E-2</v>
      </c>
      <c r="H61" s="34">
        <f t="shared" si="0"/>
        <v>0</v>
      </c>
      <c r="I61" s="60"/>
      <c r="J61" s="30"/>
      <c r="K61" s="11"/>
    </row>
    <row r="62" spans="1:12" ht="10.5" customHeight="1">
      <c r="A62" s="3" t="s">
        <v>37</v>
      </c>
      <c r="B62" s="439"/>
      <c r="C62" s="11"/>
      <c r="D62" s="11"/>
      <c r="E62" s="11"/>
      <c r="F62" s="34">
        <f>VRP_TA</f>
        <v>0</v>
      </c>
      <c r="G62" s="46"/>
      <c r="H62" s="34">
        <f t="shared" si="0"/>
        <v>0</v>
      </c>
      <c r="I62" s="60"/>
      <c r="J62" s="30">
        <f t="shared" si="1"/>
        <v>0</v>
      </c>
      <c r="K62" s="11"/>
    </row>
    <row r="63" spans="1:12" ht="10.5" customHeight="1">
      <c r="A63" s="3" t="s">
        <v>38</v>
      </c>
      <c r="B63" s="439"/>
      <c r="C63" s="11"/>
      <c r="D63" s="11"/>
      <c r="E63" s="11"/>
      <c r="F63" s="34">
        <f>VRP_TB</f>
        <v>0</v>
      </c>
      <c r="G63" s="46"/>
      <c r="H63" s="34">
        <f t="shared" si="0"/>
        <v>0</v>
      </c>
      <c r="I63" s="60"/>
      <c r="J63" s="30">
        <f t="shared" si="1"/>
        <v>0</v>
      </c>
      <c r="K63" s="11"/>
    </row>
    <row r="64" spans="1:12" ht="10.5" customHeight="1">
      <c r="A64" s="3" t="s">
        <v>225</v>
      </c>
      <c r="B64" s="439"/>
      <c r="C64" s="11"/>
      <c r="D64" s="11"/>
      <c r="E64" s="11"/>
      <c r="F64" s="34">
        <f>VRP_TA</f>
        <v>0</v>
      </c>
      <c r="G64" s="46"/>
      <c r="H64" s="34">
        <f t="shared" si="0"/>
        <v>0</v>
      </c>
      <c r="I64" s="60"/>
      <c r="J64" s="30">
        <f t="shared" si="1"/>
        <v>0</v>
      </c>
      <c r="K64" s="11"/>
      <c r="L64" s="1" t="s">
        <v>610</v>
      </c>
    </row>
    <row r="65" spans="1:12" ht="10.5" customHeight="1">
      <c r="A65" s="3" t="s">
        <v>226</v>
      </c>
      <c r="B65" s="439"/>
      <c r="C65" s="11"/>
      <c r="D65" s="11"/>
      <c r="E65" s="11"/>
      <c r="F65" s="34">
        <f>VRP_TB</f>
        <v>0</v>
      </c>
      <c r="G65" s="46"/>
      <c r="H65" s="34">
        <f t="shared" si="0"/>
        <v>0</v>
      </c>
      <c r="I65" s="60"/>
      <c r="J65" s="30">
        <f t="shared" si="1"/>
        <v>0</v>
      </c>
      <c r="K65" s="11"/>
      <c r="L65" s="1" t="s">
        <v>611</v>
      </c>
    </row>
    <row r="66" spans="1:12" ht="10.5" customHeight="1">
      <c r="A66" s="3"/>
      <c r="B66" s="439"/>
      <c r="C66" s="11"/>
      <c r="D66" s="11"/>
      <c r="E66" s="11"/>
      <c r="F66" s="34"/>
      <c r="G66" s="11"/>
      <c r="H66" s="34">
        <f t="shared" si="0"/>
        <v>0</v>
      </c>
      <c r="I66" s="464"/>
      <c r="J66" s="30">
        <f t="shared" si="1"/>
        <v>0</v>
      </c>
      <c r="K66" s="11"/>
    </row>
    <row r="67" spans="1:12" ht="10.5" customHeight="1">
      <c r="A67" s="3" t="s">
        <v>42</v>
      </c>
      <c r="B67" s="439"/>
      <c r="C67" s="11"/>
      <c r="D67" s="11"/>
      <c r="E67" s="11"/>
      <c r="F67" s="45">
        <f>SUM(F23:F23)</f>
        <v>0</v>
      </c>
      <c r="G67" s="44">
        <f>Société!B14</f>
        <v>1.5</v>
      </c>
      <c r="H67" s="34">
        <f t="shared" si="0"/>
        <v>0</v>
      </c>
      <c r="I67" s="464"/>
      <c r="J67" s="30">
        <f t="shared" si="1"/>
        <v>0</v>
      </c>
      <c r="K67" s="11"/>
    </row>
    <row r="68" spans="1:12" ht="10.5" customHeight="1" thickBot="1">
      <c r="A68" s="3" t="s">
        <v>41</v>
      </c>
      <c r="B68" s="439"/>
      <c r="C68" s="11"/>
      <c r="D68" s="11"/>
      <c r="E68" s="11"/>
      <c r="F68" s="86">
        <f>VRP_Brut</f>
        <v>0</v>
      </c>
      <c r="G68" s="85">
        <f>MAX(C101,0)</f>
        <v>0</v>
      </c>
      <c r="H68" s="34">
        <f>-ROUNDUP(F68*G68,2)</f>
        <v>0</v>
      </c>
      <c r="I68" s="16"/>
      <c r="J68" s="31"/>
      <c r="K68" s="11"/>
    </row>
    <row r="69" spans="1:12" ht="12" customHeight="1" thickBot="1">
      <c r="A69" s="10" t="s">
        <v>78</v>
      </c>
      <c r="B69" s="403"/>
      <c r="C69" s="11"/>
      <c r="D69" s="11"/>
      <c r="E69" s="11"/>
      <c r="F69" s="451"/>
      <c r="G69" s="450"/>
      <c r="H69" s="101" t="e">
        <f>SUM(H31:H68)</f>
        <v>#REF!</v>
      </c>
      <c r="I69" s="450"/>
      <c r="J69" s="101" t="e">
        <f>SUM(J31:J68)</f>
        <v>#REF!</v>
      </c>
      <c r="K69" s="11"/>
    </row>
    <row r="70" spans="1:12" ht="12" customHeight="1" thickBot="1">
      <c r="A70" s="10" t="s">
        <v>43</v>
      </c>
      <c r="B70" s="403"/>
      <c r="F70" s="459"/>
      <c r="G70" s="450"/>
      <c r="H70" s="450"/>
      <c r="I70" s="460"/>
      <c r="J70" s="101" t="e">
        <f>VRP_Brut-J69+SUM(H62:H63)</f>
        <v>#REF!</v>
      </c>
      <c r="K70" s="11"/>
    </row>
    <row r="71" spans="1:12" ht="10.5" customHeight="1">
      <c r="A71" s="3" t="s">
        <v>207</v>
      </c>
      <c r="B71" s="439"/>
      <c r="F71" s="33" t="e">
        <f>VRP_CSGRDS</f>
        <v>#REF!</v>
      </c>
      <c r="G71" s="455"/>
      <c r="H71" s="456"/>
      <c r="I71" s="56">
        <f>Cotisations!C6</f>
        <v>2.4E-2</v>
      </c>
      <c r="J71" s="30" t="e">
        <f>F71*I71</f>
        <v>#REF!</v>
      </c>
      <c r="K71" s="11"/>
    </row>
    <row r="72" spans="1:12" ht="10.5" customHeight="1" thickBot="1">
      <c r="A72" s="3" t="s">
        <v>208</v>
      </c>
      <c r="B72" s="439"/>
      <c r="F72" s="86" t="e">
        <f>VRP_CSGRDS</f>
        <v>#REF!</v>
      </c>
      <c r="G72" s="455"/>
      <c r="H72" s="456"/>
      <c r="I72" s="57">
        <f>Cotisations!C7</f>
        <v>5.0000000000000001E-3</v>
      </c>
      <c r="J72" s="30" t="e">
        <f>F72*I72</f>
        <v>#REF!</v>
      </c>
      <c r="K72" s="11"/>
    </row>
    <row r="73" spans="1:12" ht="10.5" customHeight="1" thickBot="1">
      <c r="A73" s="21" t="s">
        <v>44</v>
      </c>
      <c r="B73" s="405"/>
      <c r="C73" s="15"/>
      <c r="D73" s="15"/>
      <c r="E73" s="446"/>
      <c r="F73" s="457"/>
      <c r="G73" s="453"/>
      <c r="H73" s="453"/>
      <c r="I73" s="458"/>
      <c r="J73" s="101" t="e">
        <f>VRP_Brut-J69-J71-J72</f>
        <v>#REF!</v>
      </c>
      <c r="K73" s="11"/>
    </row>
    <row r="74" spans="1:12" ht="10.5" customHeight="1">
      <c r="E74" s="439"/>
      <c r="F74" s="19" t="s">
        <v>45</v>
      </c>
      <c r="G74" s="11"/>
      <c r="H74" s="11"/>
      <c r="I74" s="11"/>
      <c r="J74" s="30"/>
      <c r="K74" s="11"/>
    </row>
    <row r="75" spans="1:12" ht="10.5" customHeight="1" thickBot="1">
      <c r="E75" s="439"/>
      <c r="F75" s="3"/>
      <c r="G75" s="724"/>
      <c r="H75" s="724"/>
      <c r="I75" s="724"/>
      <c r="J75" s="87"/>
      <c r="K75" s="11"/>
    </row>
    <row r="76" spans="1:12" ht="10.5" customHeight="1">
      <c r="A76" s="988" t="s">
        <v>230</v>
      </c>
      <c r="B76" s="989"/>
      <c r="C76" s="27" t="s">
        <v>420</v>
      </c>
      <c r="D76" s="28" t="s">
        <v>421</v>
      </c>
      <c r="E76" s="439"/>
      <c r="F76" s="3"/>
      <c r="G76" s="724"/>
      <c r="H76" s="724"/>
      <c r="I76" s="724"/>
      <c r="J76" s="87"/>
      <c r="K76" s="11"/>
    </row>
    <row r="77" spans="1:12" ht="10.5" customHeight="1">
      <c r="A77" s="990" t="s">
        <v>48</v>
      </c>
      <c r="B77" s="991"/>
      <c r="C77" s="116"/>
      <c r="D77" s="117"/>
      <c r="F77" s="19" t="s">
        <v>46</v>
      </c>
      <c r="G77" s="11"/>
      <c r="H77" s="11"/>
      <c r="I77" s="11"/>
      <c r="J77" s="30"/>
      <c r="K77" s="11"/>
    </row>
    <row r="78" spans="1:12" ht="10.5" customHeight="1">
      <c r="A78" s="990" t="s">
        <v>231</v>
      </c>
      <c r="B78" s="991"/>
      <c r="C78" s="116"/>
      <c r="D78" s="117"/>
      <c r="F78" s="3"/>
      <c r="G78" s="724"/>
      <c r="H78" s="724"/>
      <c r="I78" s="724"/>
      <c r="J78" s="87"/>
      <c r="K78" s="11"/>
    </row>
    <row r="79" spans="1:12" ht="10.5" customHeight="1" thickBot="1">
      <c r="A79" s="990" t="s">
        <v>49</v>
      </c>
      <c r="B79" s="991"/>
      <c r="C79" s="116"/>
      <c r="D79" s="117"/>
      <c r="F79" s="3"/>
      <c r="G79" s="724"/>
      <c r="H79" s="724"/>
      <c r="I79" s="724"/>
      <c r="J79" s="87"/>
      <c r="K79" s="11"/>
    </row>
    <row r="80" spans="1:12" ht="12" customHeight="1" thickBot="1">
      <c r="A80" s="992" t="s">
        <v>232</v>
      </c>
      <c r="B80" s="993"/>
      <c r="C80" s="118"/>
      <c r="D80" s="119"/>
      <c r="F80" s="26" t="s">
        <v>47</v>
      </c>
      <c r="G80" s="25"/>
      <c r="H80" s="25"/>
      <c r="I80" s="25"/>
      <c r="J80" s="101" t="e">
        <f>SUM(J73:J79)</f>
        <v>#REF!</v>
      </c>
      <c r="K80" s="11"/>
    </row>
    <row r="83" spans="1:10" ht="10.5" customHeight="1" thickBot="1"/>
    <row r="84" spans="1:10" ht="10.5" customHeight="1" thickBot="1">
      <c r="A84" s="994"/>
      <c r="B84" s="995"/>
      <c r="C84" s="35" t="s">
        <v>54</v>
      </c>
      <c r="D84" s="981" t="s">
        <v>55</v>
      </c>
      <c r="E84" s="982"/>
      <c r="F84" s="27" t="s">
        <v>56</v>
      </c>
      <c r="G84" s="27" t="s">
        <v>57</v>
      </c>
      <c r="H84" s="27" t="s">
        <v>58</v>
      </c>
      <c r="I84" s="27" t="s">
        <v>59</v>
      </c>
      <c r="J84" s="28" t="s">
        <v>43</v>
      </c>
    </row>
    <row r="85" spans="1:10" ht="10.5" customHeight="1">
      <c r="A85" s="973" t="s">
        <v>52</v>
      </c>
      <c r="B85" s="974"/>
      <c r="C85" s="29">
        <f>F17</f>
        <v>0</v>
      </c>
      <c r="D85" s="971">
        <f>VRP_Brut</f>
        <v>0</v>
      </c>
      <c r="E85" s="972"/>
      <c r="F85" s="29" t="e">
        <f>NC_TA</f>
        <v>#REF!</v>
      </c>
      <c r="G85" s="29">
        <f>VRP_TB</f>
        <v>0</v>
      </c>
      <c r="H85" s="29">
        <v>0</v>
      </c>
      <c r="I85" s="29" t="e">
        <f>J80</f>
        <v>#REF!</v>
      </c>
      <c r="J85" s="36" t="e">
        <f>J70</f>
        <v>#REF!</v>
      </c>
    </row>
    <row r="86" spans="1:10" ht="10.5" customHeight="1" thickBot="1">
      <c r="A86" s="975" t="s">
        <v>53</v>
      </c>
      <c r="B86" s="976"/>
      <c r="C86" s="120"/>
      <c r="D86" s="969"/>
      <c r="E86" s="970"/>
      <c r="F86" s="120"/>
      <c r="G86" s="120"/>
      <c r="H86" s="120"/>
      <c r="I86" s="120"/>
      <c r="J86" s="121"/>
    </row>
    <row r="88" spans="1:10" ht="10.5" customHeight="1">
      <c r="A88" s="968" t="s">
        <v>82</v>
      </c>
      <c r="B88" s="968"/>
      <c r="C88" s="968"/>
      <c r="F88" s="966" t="s">
        <v>206</v>
      </c>
      <c r="G88" s="967"/>
      <c r="H88" s="18"/>
    </row>
    <row r="89" spans="1:10" ht="15">
      <c r="A89" s="1027" t="s">
        <v>222</v>
      </c>
      <c r="B89" s="1028"/>
      <c r="C89" s="29">
        <f>MIN(VRP_BRUTABAT,VRP_Plafond)</f>
        <v>0</v>
      </c>
    </row>
    <row r="90" spans="1:10" ht="15">
      <c r="A90" s="1027" t="s">
        <v>84</v>
      </c>
      <c r="B90" s="1028"/>
      <c r="C90" s="29">
        <f>IF(VRP_BRUTABAT&lt;VRP_Plafond,0,MIN(VRP_BRUTABAT-VRP_Plafond,3*VRP_Plafond))</f>
        <v>0</v>
      </c>
    </row>
    <row r="91" spans="1:10" ht="15">
      <c r="A91" s="444" t="s">
        <v>220</v>
      </c>
      <c r="B91" s="445"/>
      <c r="C91" s="29">
        <f>IF(VRP_BRUTABAT&lt;4*VRP_Plafond,0,MIN(VRP_BRUTABAT-4*VRP_Plafond,4*VRP_Plafond))</f>
        <v>0</v>
      </c>
    </row>
    <row r="92" spans="1:10" ht="15">
      <c r="A92" s="444" t="s">
        <v>223</v>
      </c>
      <c r="B92" s="445"/>
      <c r="C92" s="29">
        <f>IF(VRP_BRUTABAT=0,0,MAX(GMP-VRP_TB,0))</f>
        <v>0</v>
      </c>
    </row>
    <row r="93" spans="1:10" ht="15">
      <c r="A93" s="1027" t="s">
        <v>86</v>
      </c>
      <c r="B93" s="1028"/>
      <c r="C93" s="29" t="e">
        <f>0.9825*MIN(VRP_Brut-J19,4*VRP_Plafond)+MAX(VRP_Brut-J19-4*VRP_Plafond,0)+SUM(H58:H65)</f>
        <v>#REF!</v>
      </c>
    </row>
    <row r="94" spans="1:10" ht="15"/>
    <row r="95" spans="1:10" ht="15" customHeight="1">
      <c r="A95" s="968" t="s">
        <v>188</v>
      </c>
      <c r="B95" s="968"/>
      <c r="C95" s="968"/>
    </row>
    <row r="96" spans="1:10" ht="15" customHeight="1">
      <c r="A96" s="1027" t="s">
        <v>190</v>
      </c>
      <c r="B96" s="1028"/>
      <c r="C96" s="18">
        <v>1</v>
      </c>
    </row>
    <row r="97" spans="1:8" ht="15" customHeight="1">
      <c r="A97" s="1027" t="s">
        <v>191</v>
      </c>
      <c r="B97" s="1028"/>
      <c r="C97" s="18">
        <v>1</v>
      </c>
    </row>
    <row r="98" spans="1:8" ht="15" customHeight="1">
      <c r="A98" s="1029" t="s">
        <v>192</v>
      </c>
      <c r="B98" s="991"/>
      <c r="C98" s="29">
        <f>SUM('VRP exclusif C'!F22:'VRP exclusif C'!F23)</f>
        <v>0</v>
      </c>
    </row>
    <row r="99" spans="1:8" ht="15" customHeight="1">
      <c r="A99" s="1027" t="s">
        <v>188</v>
      </c>
      <c r="B99" s="1028"/>
      <c r="C99" s="29">
        <f>SMIC_mens*C96*C97+SMIC_hor*C98</f>
        <v>1480.2991999999999</v>
      </c>
      <c r="H99" s="83"/>
    </row>
    <row r="100" spans="1:8" ht="15" customHeight="1"/>
    <row r="101" spans="1:8" ht="15" customHeight="1">
      <c r="A101" s="1024" t="s">
        <v>205</v>
      </c>
      <c r="B101" s="1025"/>
      <c r="C101" s="84">
        <f>IF(VRP_Brut=0,0,Société!B13/0.6*(1.6*SMIC_Fillon/VRP_Brut-1))</f>
        <v>0</v>
      </c>
    </row>
    <row r="102" spans="1:8" ht="15" customHeight="1">
      <c r="A102" s="1024" t="s">
        <v>41</v>
      </c>
      <c r="B102" s="1025"/>
      <c r="C102" s="29">
        <f>IF(C101&gt;0,-VRP_Brut*C101,0)</f>
        <v>0</v>
      </c>
    </row>
    <row r="103" spans="1:8" ht="15" customHeight="1"/>
    <row r="104" spans="1:8" ht="15" customHeight="1"/>
    <row r="105" spans="1:8" ht="15" customHeight="1"/>
    <row r="106" spans="1:8" ht="15" customHeight="1"/>
    <row r="107" spans="1:8" ht="15" customHeight="1"/>
    <row r="108" spans="1:8" ht="15" customHeight="1"/>
    <row r="109" spans="1:8" ht="15" customHeight="1"/>
    <row r="110" spans="1:8" ht="15" customHeight="1"/>
    <row r="111" spans="1:8" ht="15" customHeight="1"/>
    <row r="112" spans="1:8" ht="15" customHeight="1"/>
    <row r="113" ht="15" customHeight="1"/>
    <row r="114" ht="15" customHeight="1"/>
    <row r="115" ht="15" customHeight="1"/>
    <row r="116" ht="15" customHeight="1"/>
    <row r="117" ht="15" customHeight="1"/>
    <row r="118" ht="15" customHeight="1"/>
    <row r="119" ht="15" customHeight="1"/>
    <row r="120" ht="15" customHeight="1"/>
    <row r="121" ht="15" customHeight="1"/>
    <row r="122" ht="15" customHeight="1"/>
    <row r="123" ht="15" customHeight="1"/>
    <row r="124" ht="15" customHeight="1"/>
    <row r="125" ht="15" customHeight="1"/>
    <row r="126" ht="15" customHeight="1"/>
    <row r="127" ht="15" customHeight="1"/>
    <row r="128" ht="15" customHeight="1"/>
    <row r="129" ht="15" customHeight="1"/>
    <row r="130" ht="15" customHeight="1"/>
    <row r="131" ht="15" customHeight="1"/>
    <row r="132" ht="15" customHeight="1"/>
    <row r="133" ht="15" customHeight="1"/>
    <row r="134" ht="15" customHeight="1"/>
    <row r="135" ht="15" customHeight="1"/>
    <row r="136" ht="15" customHeight="1"/>
    <row r="137" ht="15" customHeight="1"/>
    <row r="138" ht="15" customHeight="1"/>
    <row r="139" ht="15" customHeight="1"/>
    <row r="140" ht="15" customHeight="1"/>
    <row r="141" ht="15" customHeight="1"/>
    <row r="142" ht="15" customHeight="1"/>
    <row r="143" ht="15" customHeight="1"/>
    <row r="144" ht="15" customHeight="1"/>
    <row r="145" ht="15" customHeight="1"/>
    <row r="146" ht="15" customHeight="1"/>
    <row r="147" ht="15" customHeight="1"/>
    <row r="148" ht="15" customHeight="1"/>
    <row r="149" ht="15" customHeight="1"/>
    <row r="150" ht="15" customHeight="1"/>
    <row r="151" ht="15" customHeight="1"/>
    <row r="152" ht="15" customHeight="1"/>
    <row r="153" ht="15" customHeight="1"/>
    <row r="154" ht="15" customHeight="1"/>
    <row r="155" ht="15" customHeight="1"/>
    <row r="156" ht="15" customHeight="1"/>
    <row r="157" ht="15" customHeight="1"/>
    <row r="158" ht="15" customHeight="1"/>
    <row r="159" ht="15" customHeight="1"/>
    <row r="160" ht="15" customHeight="1"/>
    <row r="161" ht="15" customHeight="1"/>
    <row r="162" ht="15" customHeight="1"/>
    <row r="163" ht="15" customHeight="1"/>
    <row r="164" ht="15" customHeight="1"/>
    <row r="165" ht="15" customHeight="1"/>
    <row r="166" ht="15" customHeight="1"/>
    <row r="167" ht="15" customHeight="1"/>
    <row r="168" ht="15" customHeight="1"/>
    <row r="169" ht="15" customHeight="1"/>
    <row r="170" ht="15" customHeight="1"/>
    <row r="171" ht="15" customHeight="1"/>
    <row r="172" ht="15" customHeight="1"/>
    <row r="173" ht="15" customHeight="1"/>
    <row r="174" ht="15" customHeight="1"/>
    <row r="175" ht="15" customHeight="1"/>
    <row r="176" ht="15" customHeight="1"/>
    <row r="177" ht="15" customHeight="1"/>
    <row r="178" ht="15" customHeight="1"/>
    <row r="179" ht="15" customHeight="1"/>
    <row r="180" ht="15" customHeight="1"/>
    <row r="181" ht="15" customHeight="1"/>
    <row r="182" ht="15" customHeight="1"/>
    <row r="183" ht="15" customHeight="1"/>
    <row r="184" ht="15" customHeight="1"/>
    <row r="185" ht="15" customHeight="1"/>
    <row r="186" ht="15" customHeight="1"/>
    <row r="187" ht="15" customHeight="1"/>
    <row r="188" ht="15" customHeight="1"/>
    <row r="189" ht="15" customHeight="1"/>
    <row r="190" ht="15" customHeight="1"/>
    <row r="191" ht="15" customHeight="1"/>
    <row r="192" ht="15" customHeight="1"/>
    <row r="193" ht="15" customHeight="1"/>
    <row r="194" ht="15" customHeight="1"/>
    <row r="195" ht="15" customHeight="1"/>
    <row r="196" ht="15" customHeight="1"/>
    <row r="197" ht="15" customHeight="1"/>
    <row r="198" ht="15" customHeight="1"/>
    <row r="199" ht="15" customHeight="1"/>
    <row r="200" ht="15" customHeight="1"/>
    <row r="201" ht="15" customHeight="1"/>
    <row r="202" ht="15" customHeight="1"/>
    <row r="203" ht="15" customHeight="1"/>
    <row r="204" ht="15" customHeight="1"/>
    <row r="205" ht="15" customHeight="1"/>
    <row r="206" ht="15" customHeight="1"/>
    <row r="207" ht="15" customHeight="1"/>
  </sheetData>
  <mergeCells count="51">
    <mergeCell ref="C9:F9"/>
    <mergeCell ref="I9:J9"/>
    <mergeCell ref="A1:F2"/>
    <mergeCell ref="I2:J2"/>
    <mergeCell ref="I3:J3"/>
    <mergeCell ref="A4:F4"/>
    <mergeCell ref="I4:J4"/>
    <mergeCell ref="C5:F5"/>
    <mergeCell ref="I5:J5"/>
    <mergeCell ref="C6:F6"/>
    <mergeCell ref="C7:F7"/>
    <mergeCell ref="I7:J7"/>
    <mergeCell ref="C8:F8"/>
    <mergeCell ref="I8:J8"/>
    <mergeCell ref="A76:B76"/>
    <mergeCell ref="C10:F10"/>
    <mergeCell ref="I10:J10"/>
    <mergeCell ref="C11:F11"/>
    <mergeCell ref="I11:J11"/>
    <mergeCell ref="H13:I13"/>
    <mergeCell ref="A15:E16"/>
    <mergeCell ref="G15:H15"/>
    <mergeCell ref="I15:I16"/>
    <mergeCell ref="J15:J16"/>
    <mergeCell ref="B21:C21"/>
    <mergeCell ref="B22:C22"/>
    <mergeCell ref="B23:C23"/>
    <mergeCell ref="G29:H29"/>
    <mergeCell ref="I29:J29"/>
    <mergeCell ref="F88:G88"/>
    <mergeCell ref="A77:B77"/>
    <mergeCell ref="A78:B78"/>
    <mergeCell ref="A79:B79"/>
    <mergeCell ref="A80:B80"/>
    <mergeCell ref="A84:B84"/>
    <mergeCell ref="D84:E84"/>
    <mergeCell ref="A85:B85"/>
    <mergeCell ref="D85:E85"/>
    <mergeCell ref="A86:B86"/>
    <mergeCell ref="D86:E86"/>
    <mergeCell ref="A88:C88"/>
    <mergeCell ref="A98:B98"/>
    <mergeCell ref="A99:B99"/>
    <mergeCell ref="A101:B101"/>
    <mergeCell ref="A102:B102"/>
    <mergeCell ref="A89:B89"/>
    <mergeCell ref="A90:B90"/>
    <mergeCell ref="A93:B93"/>
    <mergeCell ref="A95:C95"/>
    <mergeCell ref="A96:B96"/>
    <mergeCell ref="A97:B97"/>
  </mergeCells>
  <conditionalFormatting sqref="I21">
    <cfRule type="cellIs" dxfId="3" priority="1" operator="equal">
      <formula>"Heures réelles"</formula>
    </cfRule>
  </conditionalFormatting>
  <dataValidations count="5">
    <dataValidation type="list" allowBlank="1" showInputMessage="1" showErrorMessage="1" sqref="B22:B23">
      <formula1>INDIRECT(A22)</formula1>
    </dataValidation>
    <dataValidation type="list" allowBlank="1" showInputMessage="1" showErrorMessage="1" sqref="A68:B68">
      <formula1>liste_Fillon</formula1>
    </dataValidation>
    <dataValidation type="list" allowBlank="1" showInputMessage="1" showErrorMessage="1" sqref="A36:B36">
      <formula1>Liste_AF</formula1>
    </dataValidation>
    <dataValidation type="list" allowBlank="1" showInputMessage="1" showErrorMessage="1" sqref="A22:A23">
      <formula1>HS.HC</formula1>
    </dataValidation>
    <dataValidation type="list" allowBlank="1" showInputMessage="1" showErrorMessage="1" sqref="B21">
      <formula1>absences</formula1>
    </dataValidation>
  </dataValidations>
  <pageMargins left="0.19685039370078741" right="0.19685039370078741" top="0.39370078740157483" bottom="0.19685039370078741" header="0.19685039370078741" footer="0.19685039370078741"/>
  <pageSetup paperSize="9" orientation="portrait" r:id="rId1"/>
  <headerFooter differentFirst="1">
    <oddHeader>&amp;LEmmanuel ESNAULT</oddHeader>
    <firstHeader>&amp;LEmmanuel ESNAULT</firstHeader>
    <firstFooter>&amp;C&amp;7DANS VOTRE INTERET ET POUR FAIRE VALOIR VOS DROITS, NOUS VOUS CONSEILLONS DE CONSERVER CE BULLETIN SANS LIMITATION DE DUREE</firstFooter>
  </headerFooter>
  <rowBreaks count="1" manualBreakCount="1">
    <brk id="86" max="16383" man="1"/>
  </rowBreaks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0">
    <tabColor theme="9" tint="-0.249977111117893"/>
  </sheetPr>
  <dimension ref="A1:L209"/>
  <sheetViews>
    <sheetView showZeros="0" zoomScale="130" zoomScaleNormal="130" workbookViewId="0">
      <selection activeCell="B5" sqref="B5:D5"/>
    </sheetView>
  </sheetViews>
  <sheetFormatPr baseColWidth="10" defaultRowHeight="10.5" customHeight="1"/>
  <cols>
    <col min="1" max="1" width="7.42578125" style="8" customWidth="1"/>
    <col min="2" max="2" width="4" style="8" customWidth="1"/>
    <col min="3" max="4" width="12.5703125" style="8" customWidth="1"/>
    <col min="5" max="5" width="0.85546875" style="8" customWidth="1"/>
    <col min="6" max="10" width="12.5703125" style="8" customWidth="1"/>
    <col min="11" max="11" width="1.7109375" style="8" customWidth="1"/>
    <col min="12" max="16384" width="11.42578125" style="8"/>
  </cols>
  <sheetData>
    <row r="1" spans="1:11" ht="10.5" customHeight="1">
      <c r="A1" s="996" t="s">
        <v>60</v>
      </c>
      <c r="B1" s="997"/>
      <c r="C1" s="997"/>
      <c r="D1" s="997"/>
      <c r="E1" s="997"/>
      <c r="F1" s="998"/>
      <c r="G1" s="1"/>
      <c r="H1" s="22"/>
      <c r="I1" s="440" t="s">
        <v>62</v>
      </c>
      <c r="J1" s="23"/>
    </row>
    <row r="2" spans="1:11" ht="10.5" customHeight="1" thickBot="1">
      <c r="A2" s="999"/>
      <c r="B2" s="1000"/>
      <c r="C2" s="1000"/>
      <c r="D2" s="1000"/>
      <c r="E2" s="1000"/>
      <c r="F2" s="1001"/>
      <c r="G2" s="1"/>
      <c r="H2" s="110" t="s">
        <v>63</v>
      </c>
      <c r="I2" s="977"/>
      <c r="J2" s="978"/>
    </row>
    <row r="3" spans="1:11" ht="10.5" customHeight="1" thickBot="1">
      <c r="A3" s="2"/>
      <c r="B3" s="2"/>
      <c r="C3" s="2"/>
      <c r="D3" s="2"/>
      <c r="E3" s="2"/>
      <c r="F3" s="2"/>
      <c r="G3" s="1"/>
      <c r="H3" s="111" t="s">
        <v>64</v>
      </c>
      <c r="I3" s="979"/>
      <c r="J3" s="980"/>
    </row>
    <row r="4" spans="1:11" ht="10.5" customHeight="1">
      <c r="A4" s="1006" t="s">
        <v>61</v>
      </c>
      <c r="B4" s="1007"/>
      <c r="C4" s="1007"/>
      <c r="D4" s="1007"/>
      <c r="E4" s="1007"/>
      <c r="F4" s="1008"/>
      <c r="G4" s="1"/>
      <c r="H4" s="111" t="s">
        <v>65</v>
      </c>
      <c r="I4" s="979"/>
      <c r="J4" s="980"/>
    </row>
    <row r="5" spans="1:11" ht="10.5" customHeight="1">
      <c r="A5" s="3" t="s">
        <v>88</v>
      </c>
      <c r="B5" s="439"/>
      <c r="C5" s="1020">
        <f>Société!B3</f>
        <v>0</v>
      </c>
      <c r="D5" s="1020"/>
      <c r="E5" s="1020"/>
      <c r="F5" s="1021"/>
      <c r="G5" s="1"/>
      <c r="H5" s="111" t="s">
        <v>66</v>
      </c>
      <c r="I5" s="979" t="s">
        <v>460</v>
      </c>
      <c r="J5" s="980"/>
    </row>
    <row r="6" spans="1:11" ht="10.5" customHeight="1">
      <c r="A6" s="3" t="s">
        <v>69</v>
      </c>
      <c r="B6" s="439"/>
      <c r="C6" s="983">
        <f>Société!B4</f>
        <v>0</v>
      </c>
      <c r="D6" s="983"/>
      <c r="E6" s="983"/>
      <c r="F6" s="984"/>
      <c r="G6" s="1"/>
      <c r="H6" s="111" t="s">
        <v>71</v>
      </c>
      <c r="I6" s="437" t="s">
        <v>72</v>
      </c>
      <c r="J6" s="438" t="s">
        <v>73</v>
      </c>
    </row>
    <row r="7" spans="1:11" ht="10.5" customHeight="1">
      <c r="A7" s="3"/>
      <c r="B7" s="439"/>
      <c r="C7" s="983">
        <f>Société!B5</f>
        <v>0</v>
      </c>
      <c r="D7" s="983"/>
      <c r="E7" s="983"/>
      <c r="F7" s="984"/>
      <c r="G7" s="1"/>
      <c r="H7" s="111" t="s">
        <v>67</v>
      </c>
      <c r="I7" s="979"/>
      <c r="J7" s="980"/>
    </row>
    <row r="8" spans="1:11" ht="10.5" customHeight="1">
      <c r="A8" s="3" t="s">
        <v>74</v>
      </c>
      <c r="B8" s="439"/>
      <c r="C8" s="983">
        <f>Société!B6</f>
        <v>0</v>
      </c>
      <c r="D8" s="983"/>
      <c r="E8" s="983"/>
      <c r="F8" s="984"/>
      <c r="G8" s="1"/>
      <c r="H8" s="111" t="s">
        <v>68</v>
      </c>
      <c r="I8" s="1022"/>
      <c r="J8" s="1023"/>
    </row>
    <row r="9" spans="1:11" ht="10.5" customHeight="1">
      <c r="A9" s="3" t="s">
        <v>75</v>
      </c>
      <c r="B9" s="439"/>
      <c r="C9" s="983">
        <f>Société!B7</f>
        <v>0</v>
      </c>
      <c r="D9" s="983"/>
      <c r="E9" s="983"/>
      <c r="F9" s="984"/>
      <c r="G9" s="1"/>
      <c r="H9" s="111" t="s">
        <v>69</v>
      </c>
      <c r="I9" s="979"/>
      <c r="J9" s="980"/>
    </row>
    <row r="10" spans="1:11" ht="10.5" customHeight="1">
      <c r="A10" s="3" t="s">
        <v>76</v>
      </c>
      <c r="B10" s="439"/>
      <c r="C10" s="983">
        <f>Société!B8</f>
        <v>0</v>
      </c>
      <c r="D10" s="983"/>
      <c r="E10" s="983"/>
      <c r="F10" s="984"/>
      <c r="G10" s="1"/>
      <c r="H10" s="111"/>
      <c r="I10" s="979"/>
      <c r="J10" s="980"/>
    </row>
    <row r="11" spans="1:11" ht="10.5" customHeight="1" thickBot="1">
      <c r="A11" s="4" t="s">
        <v>77</v>
      </c>
      <c r="B11" s="446"/>
      <c r="C11" s="985">
        <f>Société!B9</f>
        <v>0</v>
      </c>
      <c r="D11" s="985"/>
      <c r="E11" s="985"/>
      <c r="F11" s="986"/>
      <c r="G11" s="1"/>
      <c r="H11" s="112" t="s">
        <v>70</v>
      </c>
      <c r="I11" s="1018"/>
      <c r="J11" s="1019"/>
    </row>
    <row r="12" spans="1:11" ht="10.5" customHeight="1" thickBot="1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1" ht="10.5" customHeight="1" thickBot="1">
      <c r="A13" s="94" t="s">
        <v>79</v>
      </c>
      <c r="B13" s="96"/>
      <c r="C13" s="95">
        <f>Société!B19</f>
        <v>0</v>
      </c>
      <c r="D13" s="443" t="s">
        <v>80</v>
      </c>
      <c r="E13" s="96"/>
      <c r="F13" s="97">
        <f>IF(C13=0,0,EOMONTH(C13,0))</f>
        <v>0</v>
      </c>
      <c r="G13" s="1"/>
      <c r="H13" s="1016" t="s">
        <v>81</v>
      </c>
      <c r="I13" s="1017"/>
      <c r="J13" s="99">
        <f>PMSS</f>
        <v>3269</v>
      </c>
    </row>
    <row r="14" spans="1:11" ht="10.5" customHeight="1" thickBot="1">
      <c r="A14" s="1"/>
      <c r="B14" s="1"/>
      <c r="C14" s="1"/>
      <c r="D14" s="1"/>
      <c r="E14" s="1"/>
      <c r="F14" s="1"/>
      <c r="G14" s="1"/>
      <c r="H14" s="1"/>
      <c r="I14" s="1"/>
      <c r="J14" s="1"/>
    </row>
    <row r="15" spans="1:11" ht="10.5" customHeight="1">
      <c r="A15" s="1002" t="s">
        <v>0</v>
      </c>
      <c r="B15" s="1003"/>
      <c r="C15" s="1003"/>
      <c r="D15" s="1003"/>
      <c r="E15" s="1003"/>
      <c r="F15" s="441" t="s">
        <v>50</v>
      </c>
      <c r="G15" s="1011"/>
      <c r="H15" s="1011"/>
      <c r="I15" s="1012" t="s">
        <v>1</v>
      </c>
      <c r="J15" s="1014" t="s">
        <v>3</v>
      </c>
      <c r="K15" s="11"/>
    </row>
    <row r="16" spans="1:11" ht="10.5" customHeight="1">
      <c r="A16" s="1004"/>
      <c r="B16" s="1005"/>
      <c r="C16" s="1005"/>
      <c r="D16" s="1005"/>
      <c r="E16" s="1005"/>
      <c r="F16" s="442" t="s">
        <v>51</v>
      </c>
      <c r="G16" s="447"/>
      <c r="H16" s="448"/>
      <c r="I16" s="1013"/>
      <c r="J16" s="1015"/>
      <c r="K16" s="11"/>
    </row>
    <row r="17" spans="1:11" ht="10.5" customHeight="1">
      <c r="A17" s="3" t="s">
        <v>455</v>
      </c>
      <c r="B17" s="439"/>
      <c r="C17" s="439"/>
      <c r="D17" s="439"/>
      <c r="E17" s="439"/>
      <c r="F17" s="9"/>
      <c r="G17" s="449"/>
      <c r="H17" s="449"/>
      <c r="I17" s="9"/>
      <c r="J17" s="87"/>
      <c r="K17" s="11"/>
    </row>
    <row r="18" spans="1:11" ht="10.5" customHeight="1">
      <c r="A18" s="3" t="s">
        <v>456</v>
      </c>
      <c r="B18" s="439"/>
      <c r="C18" s="439"/>
      <c r="D18" s="439"/>
      <c r="E18" s="439"/>
      <c r="F18" s="9"/>
      <c r="G18" s="449"/>
      <c r="H18" s="449"/>
      <c r="I18" s="463"/>
      <c r="J18" s="87">
        <f>F18*I18</f>
        <v>0</v>
      </c>
      <c r="K18" s="11"/>
    </row>
    <row r="19" spans="1:11" ht="10.5" customHeight="1">
      <c r="A19" s="3" t="s">
        <v>138</v>
      </c>
      <c r="B19" s="439"/>
      <c r="C19" s="439"/>
      <c r="D19" s="439"/>
      <c r="E19" s="439"/>
      <c r="F19" s="9"/>
      <c r="G19" s="449"/>
      <c r="H19" s="449"/>
      <c r="I19" s="9"/>
      <c r="J19" s="87"/>
      <c r="K19" s="11"/>
    </row>
    <row r="20" spans="1:11" ht="10.5" customHeight="1" thickBot="1">
      <c r="A20" s="3"/>
      <c r="B20" s="439"/>
      <c r="C20" s="439"/>
      <c r="D20" s="439"/>
      <c r="E20" s="439"/>
      <c r="F20" s="9"/>
      <c r="G20" s="449"/>
      <c r="H20" s="449"/>
      <c r="I20" s="9"/>
      <c r="J20" s="87"/>
      <c r="K20" s="11"/>
    </row>
    <row r="21" spans="1:11" ht="10.5" hidden="1" customHeight="1">
      <c r="A21" s="3" t="str">
        <f>IF(B21=0,"","Absences")</f>
        <v>Absences</v>
      </c>
      <c r="B21" s="987" t="s">
        <v>8</v>
      </c>
      <c r="C21" s="987"/>
      <c r="D21" s="439"/>
      <c r="E21" s="439"/>
      <c r="F21" s="9"/>
      <c r="G21" s="449"/>
      <c r="H21" s="449"/>
      <c r="I21" s="100">
        <f>IF(B21="en heures réelles",IF(H90=0,"Heures réelles",J17/H90),IF(B21="au 30ème",J17/30,J17/26))</f>
        <v>0</v>
      </c>
      <c r="J21" s="87">
        <f>IF(I21="Heures réelles",0,-F21*I21)</f>
        <v>0</v>
      </c>
      <c r="K21" s="11"/>
    </row>
    <row r="22" spans="1:11" ht="10.5" hidden="1" customHeight="1">
      <c r="A22" s="3" t="s">
        <v>10</v>
      </c>
      <c r="B22" s="1026">
        <v>1.25</v>
      </c>
      <c r="C22" s="1026"/>
      <c r="D22" s="439"/>
      <c r="E22" s="439"/>
      <c r="F22" s="9"/>
      <c r="G22" s="449"/>
      <c r="H22" s="449"/>
      <c r="I22" s="9">
        <f>IF(B22=0,$I$17,$I$17*B22)</f>
        <v>0</v>
      </c>
      <c r="J22" s="87">
        <f>F22*I22</f>
        <v>0</v>
      </c>
      <c r="K22" s="11"/>
    </row>
    <row r="23" spans="1:11" ht="10.5" hidden="1" customHeight="1">
      <c r="A23" s="3" t="s">
        <v>10</v>
      </c>
      <c r="B23" s="1026">
        <v>1.5</v>
      </c>
      <c r="C23" s="1026"/>
      <c r="D23" s="439"/>
      <c r="E23" s="439"/>
      <c r="F23" s="9"/>
      <c r="G23" s="449"/>
      <c r="H23" s="449"/>
      <c r="I23" s="9">
        <f>IF(B23=0,$I$17,$I$17*B23)</f>
        <v>0</v>
      </c>
      <c r="J23" s="87">
        <f>F23*I23</f>
        <v>0</v>
      </c>
      <c r="K23" s="11"/>
    </row>
    <row r="24" spans="1:11" ht="10.5" hidden="1" customHeight="1">
      <c r="A24" s="3" t="s">
        <v>14</v>
      </c>
      <c r="B24" s="439"/>
      <c r="C24" s="439"/>
      <c r="D24" s="439"/>
      <c r="E24" s="439"/>
      <c r="F24" s="9"/>
      <c r="G24" s="449"/>
      <c r="H24" s="449"/>
      <c r="I24" s="5"/>
      <c r="J24" s="87"/>
      <c r="K24" s="11"/>
    </row>
    <row r="25" spans="1:11" ht="10.5" hidden="1" customHeight="1">
      <c r="A25" s="3" t="s">
        <v>15</v>
      </c>
      <c r="B25" s="439"/>
      <c r="C25" s="439"/>
      <c r="D25" s="439"/>
      <c r="E25" s="439"/>
      <c r="F25" s="9"/>
      <c r="G25" s="449"/>
      <c r="H25" s="449"/>
      <c r="I25" s="5"/>
      <c r="J25" s="87"/>
      <c r="K25" s="11"/>
    </row>
    <row r="26" spans="1:11" ht="10.5" hidden="1" customHeight="1" thickBot="1">
      <c r="A26" s="3" t="s">
        <v>16</v>
      </c>
      <c r="B26" s="439"/>
      <c r="C26" s="439"/>
      <c r="D26" s="439"/>
      <c r="E26" s="439"/>
      <c r="F26" s="9"/>
      <c r="G26" s="449"/>
      <c r="H26" s="449"/>
      <c r="I26" s="5"/>
      <c r="J26" s="87"/>
      <c r="K26" s="11"/>
    </row>
    <row r="27" spans="1:11" ht="10.5" customHeight="1" thickBot="1">
      <c r="A27" s="10" t="s">
        <v>17</v>
      </c>
      <c r="B27" s="403"/>
      <c r="C27" s="11"/>
      <c r="D27" s="11"/>
      <c r="E27" s="11"/>
      <c r="F27" s="34"/>
      <c r="G27" s="450"/>
      <c r="H27" s="450"/>
      <c r="I27" s="481"/>
      <c r="J27" s="32">
        <f>SUM(J17:J26)</f>
        <v>0</v>
      </c>
      <c r="K27" s="11"/>
    </row>
    <row r="28" spans="1:11" ht="10.5" customHeight="1" thickBot="1">
      <c r="A28" s="490" t="s">
        <v>461</v>
      </c>
      <c r="B28" s="382"/>
      <c r="F28" s="475"/>
      <c r="G28" s="483"/>
      <c r="H28" s="477"/>
      <c r="J28" s="479">
        <f>VRP_Brut*0.7</f>
        <v>0</v>
      </c>
    </row>
    <row r="29" spans="1:11" ht="10.5" customHeight="1">
      <c r="A29" s="13"/>
      <c r="B29" s="11"/>
      <c r="C29" s="11"/>
      <c r="D29" s="11"/>
      <c r="E29" s="11"/>
      <c r="F29" s="34"/>
      <c r="G29" s="1009" t="s">
        <v>2</v>
      </c>
      <c r="H29" s="1009"/>
      <c r="I29" s="1009" t="s">
        <v>4</v>
      </c>
      <c r="J29" s="1010"/>
      <c r="K29" s="11"/>
    </row>
    <row r="30" spans="1:11" ht="10.5" customHeight="1">
      <c r="A30" s="13"/>
      <c r="B30" s="11"/>
      <c r="C30" s="11"/>
      <c r="D30" s="11"/>
      <c r="E30" s="11"/>
      <c r="F30" s="34"/>
      <c r="G30" s="6" t="s">
        <v>1</v>
      </c>
      <c r="H30" s="6" t="s">
        <v>3</v>
      </c>
      <c r="I30" s="6" t="s">
        <v>1</v>
      </c>
      <c r="J30" s="7" t="s">
        <v>3</v>
      </c>
      <c r="K30" s="11"/>
    </row>
    <row r="31" spans="1:11" ht="12" customHeight="1">
      <c r="A31" s="14" t="s">
        <v>18</v>
      </c>
      <c r="B31" s="404"/>
      <c r="C31" s="11"/>
      <c r="D31" s="11"/>
      <c r="E31" s="11"/>
      <c r="F31" s="34"/>
      <c r="G31" s="46"/>
      <c r="H31" s="33"/>
      <c r="I31" s="61"/>
      <c r="J31" s="30"/>
      <c r="K31" s="11"/>
    </row>
    <row r="32" spans="1:11" ht="10.5" customHeight="1">
      <c r="A32" s="3" t="s">
        <v>98</v>
      </c>
      <c r="B32" s="439"/>
      <c r="C32" s="11"/>
      <c r="D32" s="11"/>
      <c r="E32" s="11"/>
      <c r="F32" s="34" t="e">
        <f>VRP_CSGRDS</f>
        <v>#REF!</v>
      </c>
      <c r="G32" s="46"/>
      <c r="H32" s="34" t="e">
        <f t="shared" ref="H32:H68" si="0">ROUNDUP(F32*G32,2)</f>
        <v>#REF!</v>
      </c>
      <c r="I32" s="60">
        <f>Cotisations!C5</f>
        <v>5.0999999999999997E-2</v>
      </c>
      <c r="J32" s="30" t="e">
        <f t="shared" ref="J32:J68" si="1">ROUNDUP(F32*I32,2)</f>
        <v>#REF!</v>
      </c>
      <c r="K32" s="11"/>
    </row>
    <row r="33" spans="1:11" ht="10.5" customHeight="1">
      <c r="A33" s="3" t="s">
        <v>19</v>
      </c>
      <c r="B33" s="439"/>
      <c r="C33" s="11"/>
      <c r="D33" s="11"/>
      <c r="E33" s="11"/>
      <c r="F33" s="34">
        <f t="shared" ref="F33:F38" si="2">VRP_BRUTABAT</f>
        <v>0</v>
      </c>
      <c r="G33" s="46">
        <f>Cotisations!B8</f>
        <v>0.12889999999999999</v>
      </c>
      <c r="H33" s="34">
        <f t="shared" si="0"/>
        <v>0</v>
      </c>
      <c r="I33" s="60">
        <f>Cotisations!C8</f>
        <v>7.4999999999999997E-3</v>
      </c>
      <c r="J33" s="30">
        <f t="shared" si="1"/>
        <v>0</v>
      </c>
      <c r="K33" s="11"/>
    </row>
    <row r="34" spans="1:11" ht="10.5" customHeight="1">
      <c r="A34" s="3" t="s">
        <v>20</v>
      </c>
      <c r="B34" s="439"/>
      <c r="C34" s="11"/>
      <c r="D34" s="11"/>
      <c r="E34" s="11"/>
      <c r="F34" s="34">
        <f t="shared" si="2"/>
        <v>0</v>
      </c>
      <c r="G34" s="46">
        <f>Cotisations!B9</f>
        <v>3.0000000000000001E-3</v>
      </c>
      <c r="H34" s="34">
        <f t="shared" si="0"/>
        <v>0</v>
      </c>
      <c r="I34" s="60"/>
      <c r="J34" s="30">
        <f t="shared" si="1"/>
        <v>0</v>
      </c>
      <c r="K34" s="11"/>
    </row>
    <row r="35" spans="1:11" ht="10.5" customHeight="1">
      <c r="A35" s="3" t="s">
        <v>21</v>
      </c>
      <c r="B35" s="439"/>
      <c r="C35" s="11"/>
      <c r="D35" s="11"/>
      <c r="E35" s="11"/>
      <c r="F35" s="34">
        <f t="shared" si="2"/>
        <v>0</v>
      </c>
      <c r="G35" s="46">
        <v>1.2999999999999999E-2</v>
      </c>
      <c r="H35" s="34">
        <f t="shared" si="0"/>
        <v>0</v>
      </c>
      <c r="I35" s="60"/>
      <c r="J35" s="30">
        <f t="shared" si="1"/>
        <v>0</v>
      </c>
      <c r="K35" s="11"/>
    </row>
    <row r="36" spans="1:11" ht="10.5" customHeight="1">
      <c r="A36" s="3" t="s">
        <v>274</v>
      </c>
      <c r="B36" s="439"/>
      <c r="C36" s="11"/>
      <c r="D36" s="11"/>
      <c r="E36" s="11"/>
      <c r="F36" s="34">
        <f t="shared" si="2"/>
        <v>0</v>
      </c>
      <c r="G36" s="46">
        <f>Cotisations!B10+IF(VRP_BRUTABAT&lt;3.5*SMIC_Fillon,0,Cotisations!B11)</f>
        <v>3.4500000000000003E-2</v>
      </c>
      <c r="H36" s="34">
        <f t="shared" si="0"/>
        <v>0</v>
      </c>
      <c r="I36" s="60"/>
      <c r="J36" s="30">
        <f t="shared" si="1"/>
        <v>0</v>
      </c>
      <c r="K36" s="11"/>
    </row>
    <row r="37" spans="1:11" ht="10.5" hidden="1" customHeight="1">
      <c r="A37" s="3" t="s">
        <v>23</v>
      </c>
      <c r="B37" s="439"/>
      <c r="C37" s="11"/>
      <c r="D37" s="11"/>
      <c r="E37" s="11"/>
      <c r="F37" s="34">
        <f t="shared" si="2"/>
        <v>0</v>
      </c>
      <c r="G37" s="46"/>
      <c r="H37" s="34">
        <f t="shared" si="0"/>
        <v>0</v>
      </c>
      <c r="I37" s="60"/>
      <c r="J37" s="30">
        <f t="shared" si="1"/>
        <v>0</v>
      </c>
      <c r="K37" s="11"/>
    </row>
    <row r="38" spans="1:11" ht="10.5" customHeight="1">
      <c r="A38" s="3" t="s">
        <v>24</v>
      </c>
      <c r="B38" s="439"/>
      <c r="C38" s="11"/>
      <c r="D38" s="11"/>
      <c r="E38" s="11"/>
      <c r="F38" s="34">
        <f t="shared" si="2"/>
        <v>0</v>
      </c>
      <c r="G38" s="46">
        <f>Cotisations!B12</f>
        <v>1.9E-2</v>
      </c>
      <c r="H38" s="34">
        <f t="shared" si="0"/>
        <v>0</v>
      </c>
      <c r="I38" s="60">
        <f>Cotisations!C12</f>
        <v>4.0000000000000001E-3</v>
      </c>
      <c r="J38" s="30">
        <f t="shared" si="1"/>
        <v>0</v>
      </c>
      <c r="K38" s="11"/>
    </row>
    <row r="39" spans="1:11" ht="10.5" customHeight="1">
      <c r="A39" s="3" t="s">
        <v>25</v>
      </c>
      <c r="B39" s="439"/>
      <c r="C39" s="11"/>
      <c r="D39" s="11"/>
      <c r="E39" s="11"/>
      <c r="F39" s="34">
        <f>MIN(VRP_BRUTABAT,VRP_Plafond)</f>
        <v>0</v>
      </c>
      <c r="G39" s="46">
        <v>6.7500000000000004E-2</v>
      </c>
      <c r="H39" s="34">
        <f t="shared" si="0"/>
        <v>0</v>
      </c>
      <c r="I39" s="60">
        <f>Cotisations!C13</f>
        <v>6.9000000000000006E-2</v>
      </c>
      <c r="J39" s="30">
        <f t="shared" si="1"/>
        <v>0</v>
      </c>
      <c r="K39" s="11"/>
    </row>
    <row r="40" spans="1:11" ht="10.5" customHeight="1">
      <c r="A40" s="3" t="s">
        <v>26</v>
      </c>
      <c r="B40" s="439"/>
      <c r="C40" s="11"/>
      <c r="D40" s="11"/>
      <c r="E40" s="11"/>
      <c r="F40" s="45">
        <f>IF(effectif&lt;20,VRP_TA,VRP_BRUTABAT)</f>
        <v>0</v>
      </c>
      <c r="G40" s="46">
        <f>IF(effectif&lt;20,Cotisations!B14,Cotisations!B15)</f>
        <v>1E-3</v>
      </c>
      <c r="H40" s="34">
        <f t="shared" si="0"/>
        <v>0</v>
      </c>
      <c r="I40" s="60"/>
      <c r="J40" s="30">
        <f t="shared" si="1"/>
        <v>0</v>
      </c>
      <c r="K40" s="11"/>
    </row>
    <row r="41" spans="1:11" ht="10.5" customHeight="1">
      <c r="A41" s="3" t="s">
        <v>27</v>
      </c>
      <c r="B41" s="439"/>
      <c r="C41" s="11"/>
      <c r="D41" s="11"/>
      <c r="E41" s="11"/>
      <c r="F41" s="45">
        <f>IF(effectif&lt;11,0,SUM(H62:H66))</f>
        <v>0</v>
      </c>
      <c r="G41" s="46">
        <f>Cotisations!B16</f>
        <v>0.08</v>
      </c>
      <c r="H41" s="34">
        <f t="shared" si="0"/>
        <v>0</v>
      </c>
      <c r="I41" s="60"/>
      <c r="J41" s="30">
        <f t="shared" si="1"/>
        <v>0</v>
      </c>
      <c r="K41" s="11"/>
    </row>
    <row r="42" spans="1:11" ht="10.5" hidden="1" customHeight="1">
      <c r="A42" s="3" t="s">
        <v>211</v>
      </c>
      <c r="B42" s="439"/>
      <c r="C42" s="11"/>
      <c r="D42" s="11"/>
      <c r="E42" s="11"/>
      <c r="F42" s="45" t="e">
        <f>SUM(H59:H60)</f>
        <v>#REF!</v>
      </c>
      <c r="G42" s="46">
        <f>Cotisations!B17</f>
        <v>0.2</v>
      </c>
      <c r="H42" s="34" t="e">
        <f t="shared" si="0"/>
        <v>#REF!</v>
      </c>
      <c r="I42" s="60"/>
      <c r="J42" s="30"/>
      <c r="K42" s="11"/>
    </row>
    <row r="43" spans="1:11" ht="10.5" customHeight="1">
      <c r="A43" s="3" t="s">
        <v>28</v>
      </c>
      <c r="B43" s="439"/>
      <c r="C43" s="11"/>
      <c r="D43" s="11"/>
      <c r="E43" s="11"/>
      <c r="F43" s="34">
        <f>VRP_BRUTABAT</f>
        <v>0</v>
      </c>
      <c r="G43" s="46">
        <f>Cotisations!B18</f>
        <v>1.6000000000000001E-4</v>
      </c>
      <c r="H43" s="34">
        <f t="shared" si="0"/>
        <v>0</v>
      </c>
      <c r="I43" s="60"/>
      <c r="J43" s="30">
        <f t="shared" si="1"/>
        <v>0</v>
      </c>
      <c r="K43" s="11"/>
    </row>
    <row r="44" spans="1:11" ht="10.5" customHeight="1">
      <c r="A44" s="3" t="s">
        <v>29</v>
      </c>
      <c r="B44" s="439"/>
      <c r="C44" s="11"/>
      <c r="D44" s="11"/>
      <c r="E44" s="11"/>
      <c r="F44" s="34">
        <f>VRP_BRUTABAT</f>
        <v>0</v>
      </c>
      <c r="G44" s="46">
        <f>Cotisations!B19</f>
        <v>1E-4</v>
      </c>
      <c r="H44" s="34">
        <f t="shared" si="0"/>
        <v>0</v>
      </c>
      <c r="I44" s="60"/>
      <c r="J44" s="30">
        <f t="shared" si="1"/>
        <v>0</v>
      </c>
      <c r="K44" s="11"/>
    </row>
    <row r="45" spans="1:11" ht="10.5" customHeight="1">
      <c r="A45" s="3" t="s">
        <v>457</v>
      </c>
      <c r="B45" s="439"/>
      <c r="C45" s="11"/>
      <c r="D45" s="11"/>
      <c r="E45" s="11"/>
      <c r="F45" s="34">
        <f>VRP_BRUTABAT</f>
        <v>0</v>
      </c>
      <c r="G45" s="46">
        <v>6.7000000000000002E-3</v>
      </c>
      <c r="H45" s="34">
        <f t="shared" si="0"/>
        <v>0</v>
      </c>
      <c r="I45" s="60"/>
      <c r="J45" s="30"/>
      <c r="K45" s="11"/>
    </row>
    <row r="46" spans="1:11" ht="12" customHeight="1">
      <c r="A46" s="14" t="s">
        <v>30</v>
      </c>
      <c r="B46" s="404"/>
      <c r="C46" s="11"/>
      <c r="D46" s="11"/>
      <c r="E46" s="11"/>
      <c r="F46" s="34"/>
      <c r="G46" s="46"/>
      <c r="H46" s="34">
        <f t="shared" si="0"/>
        <v>0</v>
      </c>
      <c r="I46" s="60"/>
      <c r="J46" s="30">
        <f t="shared" si="1"/>
        <v>0</v>
      </c>
      <c r="K46" s="11"/>
    </row>
    <row r="47" spans="1:11" ht="10.5" customHeight="1">
      <c r="A47" s="3" t="s">
        <v>31</v>
      </c>
      <c r="B47" s="439"/>
      <c r="C47" s="11"/>
      <c r="D47" s="11"/>
      <c r="E47" s="11"/>
      <c r="F47" s="34">
        <f>VRP_TA+VRP_TB</f>
        <v>0</v>
      </c>
      <c r="G47" s="46">
        <f>Cotisations!B22</f>
        <v>4.0500000000000001E-2</v>
      </c>
      <c r="H47" s="34">
        <f t="shared" si="0"/>
        <v>0</v>
      </c>
      <c r="I47" s="60">
        <f>Cotisations!C22</f>
        <v>2.4E-2</v>
      </c>
      <c r="J47" s="30">
        <f t="shared" si="1"/>
        <v>0</v>
      </c>
      <c r="K47" s="11"/>
    </row>
    <row r="48" spans="1:11" ht="10.5" customHeight="1">
      <c r="A48" s="3" t="s">
        <v>32</v>
      </c>
      <c r="B48" s="439"/>
      <c r="C48" s="11"/>
      <c r="D48" s="11"/>
      <c r="E48" s="11"/>
      <c r="F48" s="34">
        <f>VRP_TA+VRP_TB</f>
        <v>0</v>
      </c>
      <c r="G48" s="46">
        <f>Cotisations!B23</f>
        <v>1.5E-3</v>
      </c>
      <c r="H48" s="34">
        <f t="shared" si="0"/>
        <v>0</v>
      </c>
      <c r="I48" s="60"/>
      <c r="J48" s="30">
        <f t="shared" si="1"/>
        <v>0</v>
      </c>
      <c r="K48" s="11"/>
    </row>
    <row r="49" spans="1:11" ht="10.5" hidden="1" customHeight="1">
      <c r="A49" s="3" t="s">
        <v>33</v>
      </c>
      <c r="B49" s="439"/>
      <c r="C49" s="11"/>
      <c r="D49" s="11"/>
      <c r="E49" s="11"/>
      <c r="F49" s="34"/>
      <c r="G49" s="46"/>
      <c r="H49" s="34">
        <f t="shared" si="0"/>
        <v>0</v>
      </c>
      <c r="I49" s="60"/>
      <c r="J49" s="30">
        <f t="shared" si="1"/>
        <v>0</v>
      </c>
      <c r="K49" s="11"/>
    </row>
    <row r="50" spans="1:11" ht="12" customHeight="1">
      <c r="A50" s="14" t="s">
        <v>215</v>
      </c>
      <c r="B50" s="404"/>
      <c r="C50" s="11"/>
      <c r="D50" s="11"/>
      <c r="E50" s="11"/>
      <c r="F50" s="34"/>
      <c r="G50" s="46"/>
      <c r="H50" s="34">
        <f t="shared" si="0"/>
        <v>0</v>
      </c>
      <c r="I50" s="60"/>
      <c r="J50" s="30">
        <f t="shared" si="1"/>
        <v>0</v>
      </c>
      <c r="K50" s="11"/>
    </row>
    <row r="51" spans="1:11" ht="10.5" customHeight="1">
      <c r="A51" s="3" t="s">
        <v>216</v>
      </c>
      <c r="B51" s="439"/>
      <c r="C51" s="11"/>
      <c r="D51" s="11"/>
      <c r="E51" s="11"/>
      <c r="F51" s="34">
        <f>VRP_TA</f>
        <v>0</v>
      </c>
      <c r="G51" s="46">
        <f>Cotisations!B28</f>
        <v>4.65E-2</v>
      </c>
      <c r="H51" s="34">
        <f t="shared" si="0"/>
        <v>0</v>
      </c>
      <c r="I51" s="60">
        <f>Cotisations!C28</f>
        <v>3.1E-2</v>
      </c>
      <c r="J51" s="30">
        <f t="shared" si="1"/>
        <v>0</v>
      </c>
      <c r="K51" s="11"/>
    </row>
    <row r="52" spans="1:11" ht="10.5" customHeight="1">
      <c r="A52" s="3" t="s">
        <v>227</v>
      </c>
      <c r="B52" s="439"/>
      <c r="C52" s="11"/>
      <c r="D52" s="11"/>
      <c r="E52" s="11"/>
      <c r="F52" s="34">
        <f>VRP_TB</f>
        <v>0</v>
      </c>
      <c r="G52" s="46">
        <f>Cotisations!B29</f>
        <v>0.1215</v>
      </c>
      <c r="H52" s="34">
        <f t="shared" si="0"/>
        <v>0</v>
      </c>
      <c r="I52" s="60">
        <f>Cotisations!C29</f>
        <v>8.1000000000000003E-2</v>
      </c>
      <c r="J52" s="30">
        <f t="shared" si="1"/>
        <v>0</v>
      </c>
      <c r="K52" s="11"/>
    </row>
    <row r="53" spans="1:11" ht="10.5" customHeight="1">
      <c r="A53" s="3" t="s">
        <v>228</v>
      </c>
      <c r="B53" s="439"/>
      <c r="C53" s="11"/>
      <c r="D53" s="11"/>
      <c r="E53" s="11"/>
      <c r="F53" s="34">
        <f>VRP_TC</f>
        <v>0</v>
      </c>
      <c r="G53" s="46">
        <f>Cotisations!B40</f>
        <v>3.6000000000000002E-4</v>
      </c>
      <c r="H53" s="34">
        <f t="shared" si="0"/>
        <v>0</v>
      </c>
      <c r="I53" s="60">
        <f>Cotisations!C40</f>
        <v>2.4000000000000001E-4</v>
      </c>
      <c r="J53" s="30">
        <f t="shared" si="1"/>
        <v>0</v>
      </c>
      <c r="K53" s="11"/>
    </row>
    <row r="54" spans="1:11" ht="10.5" customHeight="1">
      <c r="A54" s="3" t="s">
        <v>217</v>
      </c>
      <c r="B54" s="439"/>
      <c r="C54" s="11"/>
      <c r="D54" s="11"/>
      <c r="E54" s="11"/>
      <c r="F54" s="34">
        <f>VRP_TA</f>
        <v>0</v>
      </c>
      <c r="G54" s="46">
        <f>Cotisations!B30</f>
        <v>1.2E-2</v>
      </c>
      <c r="H54" s="34">
        <f t="shared" si="0"/>
        <v>0</v>
      </c>
      <c r="I54" s="60">
        <f>Cotisations!C30</f>
        <v>8.0000000000000002E-3</v>
      </c>
      <c r="J54" s="30">
        <f t="shared" si="1"/>
        <v>0</v>
      </c>
      <c r="K54" s="11"/>
    </row>
    <row r="55" spans="1:11" ht="10.5" customHeight="1">
      <c r="A55" s="3" t="s">
        <v>229</v>
      </c>
      <c r="B55" s="439"/>
      <c r="C55" s="11"/>
      <c r="D55" s="11"/>
      <c r="E55" s="11"/>
      <c r="F55" s="34">
        <f>VRP_TB+VRP_TC</f>
        <v>0</v>
      </c>
      <c r="G55" s="46">
        <f>Cotisations!B31</f>
        <v>1.2999999999999999E-2</v>
      </c>
      <c r="H55" s="34">
        <f t="shared" si="0"/>
        <v>0</v>
      </c>
      <c r="I55" s="60">
        <f>Cotisations!C31</f>
        <v>8.9999999999999993E-3</v>
      </c>
      <c r="J55" s="30">
        <f t="shared" si="1"/>
        <v>0</v>
      </c>
      <c r="K55" s="11"/>
    </row>
    <row r="56" spans="1:11" ht="10.5" customHeight="1">
      <c r="A56" s="3" t="s">
        <v>108</v>
      </c>
      <c r="B56" s="439"/>
      <c r="C56" s="11"/>
      <c r="D56" s="11"/>
      <c r="E56" s="11"/>
      <c r="F56" s="34">
        <f>VRP_GMP</f>
        <v>0</v>
      </c>
      <c r="G56" s="46">
        <v>0.1275</v>
      </c>
      <c r="H56" s="34">
        <f t="shared" si="0"/>
        <v>0</v>
      </c>
      <c r="I56" s="60">
        <f>Cotisations!C36</f>
        <v>7.8E-2</v>
      </c>
      <c r="J56" s="30">
        <f t="shared" si="1"/>
        <v>0</v>
      </c>
      <c r="K56" s="11"/>
    </row>
    <row r="57" spans="1:11" ht="10.5" customHeight="1">
      <c r="A57" s="3" t="s">
        <v>109</v>
      </c>
      <c r="B57" s="439"/>
      <c r="C57" s="11"/>
      <c r="D57" s="11"/>
      <c r="E57" s="11"/>
      <c r="F57" s="34">
        <f>VRP_TA+VRP_TB+VRP_TC</f>
        <v>0</v>
      </c>
      <c r="G57" s="46">
        <v>2.2000000000000001E-3</v>
      </c>
      <c r="H57" s="34">
        <f t="shared" si="0"/>
        <v>0</v>
      </c>
      <c r="I57" s="60">
        <f>Cotisations!C39</f>
        <v>1.2999999999999999E-3</v>
      </c>
      <c r="J57" s="30">
        <f t="shared" si="1"/>
        <v>0</v>
      </c>
      <c r="K57" s="11"/>
    </row>
    <row r="58" spans="1:11" ht="10.5" customHeight="1">
      <c r="A58" s="3" t="s">
        <v>110</v>
      </c>
      <c r="B58" s="439"/>
      <c r="C58" s="11"/>
      <c r="D58" s="11"/>
      <c r="E58" s="11"/>
      <c r="F58" s="34">
        <f>VRP_TA+VRP_TB</f>
        <v>0</v>
      </c>
      <c r="G58" s="46">
        <v>3.6000000000000002E-4</v>
      </c>
      <c r="H58" s="34">
        <f t="shared" si="0"/>
        <v>0</v>
      </c>
      <c r="I58" s="60">
        <f>Cotisations!C40</f>
        <v>2.4000000000000001E-4</v>
      </c>
      <c r="J58" s="30">
        <f t="shared" si="1"/>
        <v>0</v>
      </c>
      <c r="K58" s="11"/>
    </row>
    <row r="59" spans="1:11" ht="10.5" hidden="1" customHeight="1">
      <c r="A59" s="3" t="s">
        <v>213</v>
      </c>
      <c r="B59" s="439"/>
      <c r="C59" s="11"/>
      <c r="D59" s="11"/>
      <c r="E59" s="11"/>
      <c r="F59" s="34" t="e">
        <f>NC_TA</f>
        <v>#REF!</v>
      </c>
      <c r="G59" s="46"/>
      <c r="H59" s="34" t="e">
        <f t="shared" si="0"/>
        <v>#REF!</v>
      </c>
      <c r="I59" s="60"/>
      <c r="J59" s="30" t="e">
        <f t="shared" si="1"/>
        <v>#REF!</v>
      </c>
      <c r="K59" s="11"/>
    </row>
    <row r="60" spans="1:11" ht="10.5" hidden="1" customHeight="1">
      <c r="A60" s="3" t="s">
        <v>214</v>
      </c>
      <c r="B60" s="439"/>
      <c r="C60" s="11"/>
      <c r="D60" s="11"/>
      <c r="E60" s="11"/>
      <c r="F60" s="34">
        <f>VRP_TB</f>
        <v>0</v>
      </c>
      <c r="G60" s="46"/>
      <c r="H60" s="34">
        <f t="shared" si="0"/>
        <v>0</v>
      </c>
      <c r="I60" s="60"/>
      <c r="J60" s="30">
        <f t="shared" si="1"/>
        <v>0</v>
      </c>
      <c r="K60" s="11"/>
    </row>
    <row r="61" spans="1:11" ht="12" customHeight="1">
      <c r="A61" s="14" t="s">
        <v>36</v>
      </c>
      <c r="B61" s="404"/>
      <c r="C61" s="11"/>
      <c r="D61" s="11"/>
      <c r="E61" s="11"/>
      <c r="F61" s="34"/>
      <c r="G61" s="46"/>
      <c r="H61" s="34">
        <f t="shared" si="0"/>
        <v>0</v>
      </c>
      <c r="I61" s="60"/>
      <c r="J61" s="30">
        <f t="shared" si="1"/>
        <v>0</v>
      </c>
      <c r="K61" s="11"/>
    </row>
    <row r="62" spans="1:11" ht="12" customHeight="1">
      <c r="A62" s="3" t="s">
        <v>219</v>
      </c>
      <c r="B62" s="404"/>
      <c r="C62" s="11"/>
      <c r="D62" s="11"/>
      <c r="E62" s="11"/>
      <c r="F62" s="34">
        <f>VRP_TA</f>
        <v>0</v>
      </c>
      <c r="G62" s="46">
        <v>1.4999999999999999E-2</v>
      </c>
      <c r="H62" s="34">
        <f t="shared" si="0"/>
        <v>0</v>
      </c>
      <c r="I62" s="60"/>
      <c r="J62" s="30"/>
      <c r="K62" s="11"/>
    </row>
    <row r="63" spans="1:11" ht="10.5" customHeight="1">
      <c r="A63" s="3" t="s">
        <v>37</v>
      </c>
      <c r="B63" s="439"/>
      <c r="C63" s="11"/>
      <c r="D63" s="11"/>
      <c r="E63" s="11"/>
      <c r="F63" s="34">
        <f>VRP_TA</f>
        <v>0</v>
      </c>
      <c r="G63" s="46"/>
      <c r="H63" s="34">
        <f t="shared" si="0"/>
        <v>0</v>
      </c>
      <c r="I63" s="60"/>
      <c r="J63" s="30">
        <f t="shared" si="1"/>
        <v>0</v>
      </c>
      <c r="K63" s="11"/>
    </row>
    <row r="64" spans="1:11" ht="10.5" customHeight="1">
      <c r="A64" s="3" t="s">
        <v>38</v>
      </c>
      <c r="B64" s="439"/>
      <c r="C64" s="11"/>
      <c r="D64" s="11"/>
      <c r="E64" s="11"/>
      <c r="F64" s="34">
        <f>VRP_TB</f>
        <v>0</v>
      </c>
      <c r="G64" s="46"/>
      <c r="H64" s="34">
        <f t="shared" si="0"/>
        <v>0</v>
      </c>
      <c r="I64" s="60"/>
      <c r="J64" s="30">
        <f t="shared" si="1"/>
        <v>0</v>
      </c>
      <c r="K64" s="11"/>
    </row>
    <row r="65" spans="1:12" ht="10.5" customHeight="1">
      <c r="A65" s="3" t="s">
        <v>225</v>
      </c>
      <c r="B65" s="439"/>
      <c r="C65" s="11"/>
      <c r="D65" s="11"/>
      <c r="E65" s="11"/>
      <c r="F65" s="34">
        <f>VRP_TA</f>
        <v>0</v>
      </c>
      <c r="G65" s="46"/>
      <c r="H65" s="34">
        <f t="shared" si="0"/>
        <v>0</v>
      </c>
      <c r="I65" s="60"/>
      <c r="J65" s="30">
        <f t="shared" si="1"/>
        <v>0</v>
      </c>
      <c r="K65" s="11"/>
      <c r="L65" s="1" t="s">
        <v>610</v>
      </c>
    </row>
    <row r="66" spans="1:12" ht="10.5" customHeight="1">
      <c r="A66" s="3" t="s">
        <v>226</v>
      </c>
      <c r="B66" s="439"/>
      <c r="C66" s="11"/>
      <c r="D66" s="11"/>
      <c r="E66" s="11"/>
      <c r="F66" s="34">
        <f>VRP_TB</f>
        <v>0</v>
      </c>
      <c r="G66" s="46"/>
      <c r="H66" s="34">
        <f t="shared" si="0"/>
        <v>0</v>
      </c>
      <c r="I66" s="60"/>
      <c r="J66" s="30">
        <f t="shared" si="1"/>
        <v>0</v>
      </c>
      <c r="K66" s="11"/>
      <c r="L66" s="1" t="s">
        <v>611</v>
      </c>
    </row>
    <row r="67" spans="1:12" ht="10.5" customHeight="1">
      <c r="A67" s="3"/>
      <c r="B67" s="439"/>
      <c r="C67" s="11"/>
      <c r="D67" s="11"/>
      <c r="E67" s="11"/>
      <c r="F67" s="34"/>
      <c r="G67" s="11"/>
      <c r="H67" s="34">
        <f t="shared" si="0"/>
        <v>0</v>
      </c>
      <c r="I67" s="464"/>
      <c r="J67" s="30">
        <f t="shared" si="1"/>
        <v>0</v>
      </c>
      <c r="K67" s="11"/>
    </row>
    <row r="68" spans="1:12" ht="10.5" customHeight="1" thickBot="1">
      <c r="A68" s="3" t="s">
        <v>42</v>
      </c>
      <c r="B68" s="439"/>
      <c r="C68" s="11"/>
      <c r="D68" s="11"/>
      <c r="E68" s="11"/>
      <c r="F68" s="45">
        <f>SUM(F23:F23)</f>
        <v>0</v>
      </c>
      <c r="G68" s="436">
        <f>Société!B14</f>
        <v>1.5</v>
      </c>
      <c r="H68" s="34">
        <f t="shared" si="0"/>
        <v>0</v>
      </c>
      <c r="I68" s="486"/>
      <c r="J68" s="30">
        <f t="shared" si="1"/>
        <v>0</v>
      </c>
      <c r="K68" s="11"/>
    </row>
    <row r="69" spans="1:12" ht="10.5" hidden="1" customHeight="1" thickBot="1">
      <c r="A69" s="3" t="s">
        <v>41</v>
      </c>
      <c r="B69" s="439"/>
      <c r="C69" s="11"/>
      <c r="D69" s="11"/>
      <c r="E69" s="11"/>
      <c r="F69" s="86">
        <f>VRP_Brut</f>
        <v>0</v>
      </c>
      <c r="G69" s="85">
        <f>MAX(C103,0)</f>
        <v>0</v>
      </c>
      <c r="H69" s="34">
        <f>-ROUNDUP(F69*G69,2)</f>
        <v>0</v>
      </c>
      <c r="I69" s="16"/>
      <c r="J69" s="31"/>
      <c r="K69" s="11"/>
    </row>
    <row r="70" spans="1:12" ht="12" customHeight="1" thickBot="1">
      <c r="A70" s="10" t="s">
        <v>78</v>
      </c>
      <c r="B70" s="403"/>
      <c r="C70" s="11"/>
      <c r="D70" s="11"/>
      <c r="E70" s="11"/>
      <c r="F70" s="451"/>
      <c r="G70" s="450"/>
      <c r="H70" s="101" t="e">
        <f>SUM(H31:H69)</f>
        <v>#REF!</v>
      </c>
      <c r="I70" s="450"/>
      <c r="J70" s="101" t="e">
        <f>SUM(J31:J69)</f>
        <v>#REF!</v>
      </c>
      <c r="K70" s="11"/>
    </row>
    <row r="71" spans="1:12" ht="12" customHeight="1" thickBot="1">
      <c r="A71" s="10" t="s">
        <v>43</v>
      </c>
      <c r="B71" s="403"/>
      <c r="F71" s="459"/>
      <c r="G71" s="450"/>
      <c r="H71" s="450"/>
      <c r="I71" s="460"/>
      <c r="J71" s="101" t="e">
        <f>VRP_Brut-J70+SUM(H63:H64)</f>
        <v>#REF!</v>
      </c>
      <c r="K71" s="11"/>
    </row>
    <row r="72" spans="1:12" ht="10.5" customHeight="1">
      <c r="A72" s="3" t="s">
        <v>207</v>
      </c>
      <c r="B72" s="439"/>
      <c r="F72" s="33" t="e">
        <f>VRP_CSGRDS</f>
        <v>#REF!</v>
      </c>
      <c r="G72" s="455"/>
      <c r="H72" s="456"/>
      <c r="I72" s="56">
        <f>Cotisations!C6</f>
        <v>2.4E-2</v>
      </c>
      <c r="J72" s="30" t="e">
        <f>F72*I72</f>
        <v>#REF!</v>
      </c>
      <c r="K72" s="11"/>
    </row>
    <row r="73" spans="1:12" ht="10.5" customHeight="1" thickBot="1">
      <c r="A73" s="3" t="s">
        <v>208</v>
      </c>
      <c r="B73" s="439"/>
      <c r="F73" s="86" t="e">
        <f>VRP_CSGRDS</f>
        <v>#REF!</v>
      </c>
      <c r="G73" s="455"/>
      <c r="H73" s="456"/>
      <c r="I73" s="57">
        <f>Cotisations!C7</f>
        <v>5.0000000000000001E-3</v>
      </c>
      <c r="J73" s="30" t="e">
        <f>F73*I73</f>
        <v>#REF!</v>
      </c>
      <c r="K73" s="11"/>
    </row>
    <row r="74" spans="1:12" ht="10.5" customHeight="1" thickBot="1">
      <c r="A74" s="21" t="s">
        <v>44</v>
      </c>
      <c r="B74" s="405"/>
      <c r="C74" s="15"/>
      <c r="D74" s="15"/>
      <c r="E74" s="446"/>
      <c r="F74" s="457"/>
      <c r="G74" s="453"/>
      <c r="H74" s="453"/>
      <c r="I74" s="458"/>
      <c r="J74" s="101" t="e">
        <f>VRP_Brut-J70-J72-J73</f>
        <v>#REF!</v>
      </c>
      <c r="K74" s="11"/>
    </row>
    <row r="75" spans="1:12" ht="10.5" customHeight="1">
      <c r="E75" s="439"/>
      <c r="F75" s="19" t="s">
        <v>45</v>
      </c>
      <c r="G75" s="11"/>
      <c r="H75" s="11"/>
      <c r="I75" s="11"/>
      <c r="J75" s="30"/>
      <c r="K75" s="11"/>
    </row>
    <row r="76" spans="1:12" ht="10.5" customHeight="1" thickBot="1">
      <c r="E76" s="439"/>
      <c r="F76" s="3"/>
      <c r="G76" s="724"/>
      <c r="H76" s="724"/>
      <c r="I76" s="724"/>
      <c r="J76" s="87"/>
      <c r="K76" s="11"/>
    </row>
    <row r="77" spans="1:12" ht="10.5" customHeight="1">
      <c r="A77" s="988" t="s">
        <v>230</v>
      </c>
      <c r="B77" s="989"/>
      <c r="C77" s="27" t="s">
        <v>420</v>
      </c>
      <c r="D77" s="28" t="s">
        <v>421</v>
      </c>
      <c r="E77" s="439"/>
      <c r="F77" s="3"/>
      <c r="G77" s="724"/>
      <c r="H77" s="724"/>
      <c r="I77" s="724"/>
      <c r="J77" s="87"/>
      <c r="K77" s="11"/>
    </row>
    <row r="78" spans="1:12" ht="10.5" customHeight="1">
      <c r="A78" s="990" t="s">
        <v>48</v>
      </c>
      <c r="B78" s="991"/>
      <c r="C78" s="116"/>
      <c r="D78" s="117"/>
      <c r="F78" s="19" t="s">
        <v>46</v>
      </c>
      <c r="G78" s="11"/>
      <c r="H78" s="11"/>
      <c r="I78" s="11"/>
      <c r="J78" s="30"/>
      <c r="K78" s="11"/>
    </row>
    <row r="79" spans="1:12" ht="10.5" customHeight="1">
      <c r="A79" s="990" t="s">
        <v>231</v>
      </c>
      <c r="B79" s="991"/>
      <c r="C79" s="116"/>
      <c r="D79" s="117"/>
      <c r="F79" s="3"/>
      <c r="G79" s="724"/>
      <c r="H79" s="724"/>
      <c r="I79" s="724"/>
      <c r="J79" s="87"/>
      <c r="K79" s="11"/>
    </row>
    <row r="80" spans="1:12" ht="10.5" customHeight="1" thickBot="1">
      <c r="A80" s="990" t="s">
        <v>49</v>
      </c>
      <c r="B80" s="991"/>
      <c r="C80" s="116"/>
      <c r="D80" s="117"/>
      <c r="F80" s="3"/>
      <c r="G80" s="724"/>
      <c r="H80" s="724"/>
      <c r="I80" s="724"/>
      <c r="J80" s="87"/>
      <c r="K80" s="11"/>
    </row>
    <row r="81" spans="1:11" ht="12" customHeight="1" thickBot="1">
      <c r="A81" s="992" t="s">
        <v>232</v>
      </c>
      <c r="B81" s="993"/>
      <c r="C81" s="118"/>
      <c r="D81" s="119"/>
      <c r="F81" s="26" t="s">
        <v>47</v>
      </c>
      <c r="G81" s="25"/>
      <c r="H81" s="25"/>
      <c r="I81" s="25"/>
      <c r="J81" s="101" t="e">
        <f>SUM(J74:J80)</f>
        <v>#REF!</v>
      </c>
      <c r="K81" s="11"/>
    </row>
    <row r="85" spans="1:11" ht="10.5" customHeight="1" thickBot="1"/>
    <row r="86" spans="1:11" ht="10.5" customHeight="1" thickBot="1">
      <c r="A86" s="994"/>
      <c r="B86" s="995"/>
      <c r="C86" s="35" t="s">
        <v>54</v>
      </c>
      <c r="D86" s="981" t="s">
        <v>55</v>
      </c>
      <c r="E86" s="982"/>
      <c r="F86" s="27" t="s">
        <v>56</v>
      </c>
      <c r="G86" s="27" t="s">
        <v>57</v>
      </c>
      <c r="H86" s="27" t="s">
        <v>58</v>
      </c>
      <c r="I86" s="27" t="s">
        <v>59</v>
      </c>
      <c r="J86" s="28" t="s">
        <v>43</v>
      </c>
    </row>
    <row r="87" spans="1:11" ht="10.5" customHeight="1">
      <c r="A87" s="973" t="s">
        <v>52</v>
      </c>
      <c r="B87" s="974"/>
      <c r="C87" s="29">
        <f>F17</f>
        <v>0</v>
      </c>
      <c r="D87" s="971">
        <f>VRP_Brut</f>
        <v>0</v>
      </c>
      <c r="E87" s="972"/>
      <c r="F87" s="29" t="e">
        <f>NC_TA</f>
        <v>#REF!</v>
      </c>
      <c r="G87" s="29">
        <f>VRP_TB</f>
        <v>0</v>
      </c>
      <c r="H87" s="29">
        <v>0</v>
      </c>
      <c r="I87" s="29" t="e">
        <f>J81</f>
        <v>#REF!</v>
      </c>
      <c r="J87" s="36" t="e">
        <f>J71</f>
        <v>#REF!</v>
      </c>
    </row>
    <row r="88" spans="1:11" ht="10.5" customHeight="1" thickBot="1">
      <c r="A88" s="975" t="s">
        <v>53</v>
      </c>
      <c r="B88" s="976"/>
      <c r="C88" s="120"/>
      <c r="D88" s="969"/>
      <c r="E88" s="970"/>
      <c r="F88" s="120"/>
      <c r="G88" s="120"/>
      <c r="H88" s="120"/>
      <c r="I88" s="120"/>
      <c r="J88" s="121"/>
    </row>
    <row r="90" spans="1:11" ht="10.5" customHeight="1">
      <c r="A90" s="968" t="s">
        <v>82</v>
      </c>
      <c r="B90" s="968"/>
      <c r="C90" s="968"/>
      <c r="F90" s="966" t="s">
        <v>206</v>
      </c>
      <c r="G90" s="967"/>
      <c r="H90" s="18"/>
    </row>
    <row r="91" spans="1:11" ht="15">
      <c r="A91" s="1027" t="s">
        <v>222</v>
      </c>
      <c r="B91" s="1028"/>
      <c r="C91" s="29">
        <f>MIN(VRP_BRUTABAT,VRP_Plafond)</f>
        <v>0</v>
      </c>
    </row>
    <row r="92" spans="1:11" ht="15">
      <c r="A92" s="1027" t="s">
        <v>84</v>
      </c>
      <c r="B92" s="1028"/>
      <c r="C92" s="29">
        <f>IF(VRP_BRUTABAT&lt;VRP_Plafond,0,MIN(VRP_BRUTABAT-VRP_Plafond,3*VRP_Plafond))</f>
        <v>0</v>
      </c>
    </row>
    <row r="93" spans="1:11" ht="15">
      <c r="A93" s="444" t="s">
        <v>220</v>
      </c>
      <c r="B93" s="445"/>
      <c r="C93" s="29">
        <f>IF(VRP_BRUTABAT&lt;4*VRP_Plafond,0,MIN(VRP_BRUTABAT-4*VRP_Plafond,4*VRP_Plafond))</f>
        <v>0</v>
      </c>
    </row>
    <row r="94" spans="1:11" ht="15">
      <c r="A94" s="444" t="s">
        <v>223</v>
      </c>
      <c r="B94" s="445"/>
      <c r="C94" s="29">
        <f>IF(VRP_BRUTABAT=0,0,MAX(GMP-VRP_TB,0))</f>
        <v>0</v>
      </c>
    </row>
    <row r="95" spans="1:11" ht="15">
      <c r="A95" s="1027" t="s">
        <v>86</v>
      </c>
      <c r="B95" s="1028"/>
      <c r="C95" s="29" t="e">
        <f>0.9825*MIN(VRP_Brut-J19,4*VRP_Plafond)+MAX(VRP_Brut-J19-4*VRP_Plafond,0)+SUM(H59:H66)</f>
        <v>#REF!</v>
      </c>
    </row>
    <row r="96" spans="1:11" ht="15"/>
    <row r="97" spans="1:8" ht="15" customHeight="1">
      <c r="A97" s="968" t="s">
        <v>188</v>
      </c>
      <c r="B97" s="968"/>
      <c r="C97" s="968"/>
    </row>
    <row r="98" spans="1:8" ht="15" customHeight="1">
      <c r="A98" s="1027" t="s">
        <v>190</v>
      </c>
      <c r="B98" s="1028"/>
      <c r="C98" s="18">
        <v>1</v>
      </c>
    </row>
    <row r="99" spans="1:8" ht="15" customHeight="1">
      <c r="A99" s="1027" t="s">
        <v>191</v>
      </c>
      <c r="B99" s="1028"/>
      <c r="C99" s="18">
        <v>1</v>
      </c>
    </row>
    <row r="100" spans="1:8" ht="15" customHeight="1">
      <c r="A100" s="1029" t="s">
        <v>192</v>
      </c>
      <c r="B100" s="991"/>
      <c r="C100" s="29">
        <f>SUM('VRP multicarte'!F22:'VRP multicarte'!F23)</f>
        <v>0</v>
      </c>
    </row>
    <row r="101" spans="1:8" ht="15" customHeight="1">
      <c r="A101" s="1027" t="s">
        <v>188</v>
      </c>
      <c r="B101" s="1028"/>
      <c r="C101" s="29">
        <f>SMIC_mens*C98*C99+SMIC_hor*C100</f>
        <v>1480.2991999999999</v>
      </c>
      <c r="H101" s="83"/>
    </row>
    <row r="102" spans="1:8" ht="15" customHeight="1"/>
    <row r="103" spans="1:8" ht="15" customHeight="1">
      <c r="A103" s="1024" t="s">
        <v>205</v>
      </c>
      <c r="B103" s="1025"/>
      <c r="C103" s="84">
        <f>IF(VRP_Brut=0,0,Société!B13/0.6*(1.6*SMIC_Fillon/VRP_Brut-1))</f>
        <v>0</v>
      </c>
    </row>
    <row r="104" spans="1:8" ht="15" customHeight="1">
      <c r="A104" s="1024" t="s">
        <v>41</v>
      </c>
      <c r="B104" s="1025"/>
      <c r="C104" s="29">
        <f>IF(C103&gt;0,-VRP_Brut*C103,0)</f>
        <v>0</v>
      </c>
    </row>
    <row r="105" spans="1:8" ht="15" customHeight="1"/>
    <row r="106" spans="1:8" ht="15" customHeight="1"/>
    <row r="107" spans="1:8" ht="15" customHeight="1"/>
    <row r="108" spans="1:8" ht="15" customHeight="1"/>
    <row r="109" spans="1:8" ht="15" customHeight="1"/>
    <row r="110" spans="1:8" ht="15" customHeight="1"/>
    <row r="111" spans="1:8" ht="15" customHeight="1"/>
    <row r="112" spans="1:8" ht="15" customHeight="1"/>
    <row r="113" ht="15" customHeight="1"/>
    <row r="114" ht="15" customHeight="1"/>
    <row r="115" ht="15" customHeight="1"/>
    <row r="116" ht="15" customHeight="1"/>
    <row r="117" ht="15" customHeight="1"/>
    <row r="118" ht="15" customHeight="1"/>
    <row r="119" ht="15" customHeight="1"/>
    <row r="120" ht="15" customHeight="1"/>
    <row r="121" ht="15" customHeight="1"/>
    <row r="122" ht="15" customHeight="1"/>
    <row r="123" ht="15" customHeight="1"/>
    <row r="124" ht="15" customHeight="1"/>
    <row r="125" ht="15" customHeight="1"/>
    <row r="126" ht="15" customHeight="1"/>
    <row r="127" ht="15" customHeight="1"/>
    <row r="128" ht="15" customHeight="1"/>
    <row r="129" ht="15" customHeight="1"/>
    <row r="130" ht="15" customHeight="1"/>
    <row r="131" ht="15" customHeight="1"/>
    <row r="132" ht="15" customHeight="1"/>
    <row r="133" ht="15" customHeight="1"/>
    <row r="134" ht="15" customHeight="1"/>
    <row r="135" ht="15" customHeight="1"/>
    <row r="136" ht="15" customHeight="1"/>
    <row r="137" ht="15" customHeight="1"/>
    <row r="138" ht="15" customHeight="1"/>
    <row r="139" ht="15" customHeight="1"/>
    <row r="140" ht="15" customHeight="1"/>
    <row r="141" ht="15" customHeight="1"/>
    <row r="142" ht="15" customHeight="1"/>
    <row r="143" ht="15" customHeight="1"/>
    <row r="144" ht="15" customHeight="1"/>
    <row r="145" ht="15" customHeight="1"/>
    <row r="146" ht="15" customHeight="1"/>
    <row r="147" ht="15" customHeight="1"/>
    <row r="148" ht="15" customHeight="1"/>
    <row r="149" ht="15" customHeight="1"/>
    <row r="150" ht="15" customHeight="1"/>
    <row r="151" ht="15" customHeight="1"/>
    <row r="152" ht="15" customHeight="1"/>
    <row r="153" ht="15" customHeight="1"/>
    <row r="154" ht="15" customHeight="1"/>
    <row r="155" ht="15" customHeight="1"/>
    <row r="156" ht="15" customHeight="1"/>
    <row r="157" ht="15" customHeight="1"/>
    <row r="158" ht="15" customHeight="1"/>
    <row r="159" ht="15" customHeight="1"/>
    <row r="160" ht="15" customHeight="1"/>
    <row r="161" ht="15" customHeight="1"/>
    <row r="162" ht="15" customHeight="1"/>
    <row r="163" ht="15" customHeight="1"/>
    <row r="164" ht="15" customHeight="1"/>
    <row r="165" ht="15" customHeight="1"/>
    <row r="166" ht="15" customHeight="1"/>
    <row r="167" ht="15" customHeight="1"/>
    <row r="168" ht="15" customHeight="1"/>
    <row r="169" ht="15" customHeight="1"/>
    <row r="170" ht="15" customHeight="1"/>
    <row r="171" ht="15" customHeight="1"/>
    <row r="172" ht="15" customHeight="1"/>
    <row r="173" ht="15" customHeight="1"/>
    <row r="174" ht="15" customHeight="1"/>
    <row r="175" ht="15" customHeight="1"/>
    <row r="176" ht="15" customHeight="1"/>
    <row r="177" ht="15" customHeight="1"/>
    <row r="178" ht="15" customHeight="1"/>
    <row r="179" ht="15" customHeight="1"/>
    <row r="180" ht="15" customHeight="1"/>
    <row r="181" ht="15" customHeight="1"/>
    <row r="182" ht="15" customHeight="1"/>
    <row r="183" ht="15" customHeight="1"/>
    <row r="184" ht="15" customHeight="1"/>
    <row r="185" ht="15" customHeight="1"/>
    <row r="186" ht="15" customHeight="1"/>
    <row r="187" ht="15" customHeight="1"/>
    <row r="188" ht="15" customHeight="1"/>
    <row r="189" ht="15" customHeight="1"/>
    <row r="190" ht="15" customHeight="1"/>
    <row r="191" ht="15" customHeight="1"/>
    <row r="192" ht="15" customHeight="1"/>
    <row r="193" ht="15" customHeight="1"/>
    <row r="194" ht="15" customHeight="1"/>
    <row r="195" ht="15" customHeight="1"/>
    <row r="196" ht="15" customHeight="1"/>
    <row r="197" ht="15" customHeight="1"/>
    <row r="198" ht="15" customHeight="1"/>
    <row r="199" ht="15" customHeight="1"/>
    <row r="200" ht="15" customHeight="1"/>
    <row r="201" ht="15" customHeight="1"/>
    <row r="202" ht="15" customHeight="1"/>
    <row r="203" ht="15" customHeight="1"/>
    <row r="204" ht="15" customHeight="1"/>
    <row r="205" ht="15" customHeight="1"/>
    <row r="206" ht="15" customHeight="1"/>
    <row r="207" ht="15" customHeight="1"/>
    <row r="208" ht="15" customHeight="1"/>
    <row r="209" ht="15" customHeight="1"/>
  </sheetData>
  <mergeCells count="51">
    <mergeCell ref="C9:F9"/>
    <mergeCell ref="I9:J9"/>
    <mergeCell ref="A1:F2"/>
    <mergeCell ref="I2:J2"/>
    <mergeCell ref="I3:J3"/>
    <mergeCell ref="A4:F4"/>
    <mergeCell ref="I4:J4"/>
    <mergeCell ref="C5:F5"/>
    <mergeCell ref="I5:J5"/>
    <mergeCell ref="C6:F6"/>
    <mergeCell ref="C7:F7"/>
    <mergeCell ref="I7:J7"/>
    <mergeCell ref="C8:F8"/>
    <mergeCell ref="I8:J8"/>
    <mergeCell ref="A77:B77"/>
    <mergeCell ref="C10:F10"/>
    <mergeCell ref="I10:J10"/>
    <mergeCell ref="C11:F11"/>
    <mergeCell ref="I11:J11"/>
    <mergeCell ref="H13:I13"/>
    <mergeCell ref="A15:E16"/>
    <mergeCell ref="G15:H15"/>
    <mergeCell ref="I15:I16"/>
    <mergeCell ref="J15:J16"/>
    <mergeCell ref="B21:C21"/>
    <mergeCell ref="B22:C22"/>
    <mergeCell ref="B23:C23"/>
    <mergeCell ref="G29:H29"/>
    <mergeCell ref="I29:J29"/>
    <mergeCell ref="F90:G90"/>
    <mergeCell ref="A78:B78"/>
    <mergeCell ref="A79:B79"/>
    <mergeCell ref="A80:B80"/>
    <mergeCell ref="A81:B81"/>
    <mergeCell ref="A86:B86"/>
    <mergeCell ref="D86:E86"/>
    <mergeCell ref="A87:B87"/>
    <mergeCell ref="D87:E87"/>
    <mergeCell ref="A88:B88"/>
    <mergeCell ref="D88:E88"/>
    <mergeCell ref="A90:C90"/>
    <mergeCell ref="A91:B91"/>
    <mergeCell ref="A92:B92"/>
    <mergeCell ref="A95:B95"/>
    <mergeCell ref="A97:C97"/>
    <mergeCell ref="A98:B98"/>
    <mergeCell ref="A99:B99"/>
    <mergeCell ref="A100:B100"/>
    <mergeCell ref="A101:B101"/>
    <mergeCell ref="A103:B103"/>
    <mergeCell ref="A104:B104"/>
  </mergeCells>
  <conditionalFormatting sqref="I21">
    <cfRule type="cellIs" dxfId="2" priority="1" operator="equal">
      <formula>"Heures réelles"</formula>
    </cfRule>
  </conditionalFormatting>
  <dataValidations count="5">
    <dataValidation type="list" allowBlank="1" showInputMessage="1" showErrorMessage="1" sqref="B22:B23">
      <formula1>INDIRECT(A22)</formula1>
    </dataValidation>
    <dataValidation type="list" allowBlank="1" showInputMessage="1" showErrorMessage="1" sqref="B21">
      <formula1>absences</formula1>
    </dataValidation>
    <dataValidation type="list" allowBlank="1" showInputMessage="1" showErrorMessage="1" sqref="A69:B69">
      <formula1>liste_Fillon</formula1>
    </dataValidation>
    <dataValidation type="list" allowBlank="1" showInputMessage="1" showErrorMessage="1" sqref="A22:A23">
      <formula1>HS.HC</formula1>
    </dataValidation>
    <dataValidation type="list" allowBlank="1" showInputMessage="1" showErrorMessage="1" sqref="A36:B36">
      <formula1>Liste_AF</formula1>
    </dataValidation>
  </dataValidations>
  <pageMargins left="0.19685039370078741" right="0.19685039370078741" top="0.39370078740157483" bottom="0.19685039370078741" header="0.19685039370078741" footer="0.19685039370078741"/>
  <pageSetup paperSize="9" orientation="portrait" r:id="rId1"/>
  <headerFooter differentFirst="1">
    <oddHeader>&amp;LEmmanuel ESNAULT</oddHeader>
    <firstHeader>&amp;LEmmanuel ESNAULT</firstHeader>
    <firstFooter>&amp;C&amp;7DANS VOTRE INTERET ET POUR FAIRE VALOIR VOS DROITS, NOUS VOUS CONSEILLONS DE CONSERVER CE BULLETIN SANS LIMITATION DE DUREE</firstFooter>
  </headerFooter>
  <rowBreaks count="1" manualBreakCount="1">
    <brk id="88" max="16383" man="1"/>
  </rowBreaks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1">
    <tabColor rgb="FFFF0000"/>
  </sheetPr>
  <dimension ref="A1:L206"/>
  <sheetViews>
    <sheetView showZeros="0" zoomScale="130" zoomScaleNormal="130" workbookViewId="0">
      <selection activeCell="B5" sqref="B5:D5"/>
    </sheetView>
  </sheetViews>
  <sheetFormatPr baseColWidth="10" defaultRowHeight="10.5" customHeight="1"/>
  <cols>
    <col min="1" max="1" width="7.42578125" style="8" customWidth="1"/>
    <col min="2" max="2" width="4" style="8" customWidth="1"/>
    <col min="3" max="4" width="12.5703125" style="8" customWidth="1"/>
    <col min="5" max="5" width="0.85546875" style="8" customWidth="1"/>
    <col min="6" max="10" width="12.5703125" style="8" customWidth="1"/>
    <col min="11" max="11" width="1.7109375" style="8" customWidth="1"/>
    <col min="12" max="16384" width="11.42578125" style="8"/>
  </cols>
  <sheetData>
    <row r="1" spans="1:11" ht="10.5" customHeight="1">
      <c r="A1" s="996" t="s">
        <v>60</v>
      </c>
      <c r="B1" s="997"/>
      <c r="C1" s="997"/>
      <c r="D1" s="997"/>
      <c r="E1" s="997"/>
      <c r="F1" s="998"/>
      <c r="G1" s="1"/>
      <c r="H1" s="22"/>
      <c r="I1" s="467" t="s">
        <v>62</v>
      </c>
      <c r="J1" s="23"/>
    </row>
    <row r="2" spans="1:11" ht="10.5" customHeight="1" thickBot="1">
      <c r="A2" s="999"/>
      <c r="B2" s="1000"/>
      <c r="C2" s="1000"/>
      <c r="D2" s="1000"/>
      <c r="E2" s="1000"/>
      <c r="F2" s="1001"/>
      <c r="G2" s="1"/>
      <c r="H2" s="110" t="s">
        <v>63</v>
      </c>
      <c r="I2" s="977"/>
      <c r="J2" s="978"/>
    </row>
    <row r="3" spans="1:11" ht="10.5" customHeight="1" thickBot="1">
      <c r="A3" s="2"/>
      <c r="B3" s="2"/>
      <c r="C3" s="2"/>
      <c r="D3" s="2"/>
      <c r="E3" s="2"/>
      <c r="F3" s="2"/>
      <c r="G3" s="1"/>
      <c r="H3" s="111" t="s">
        <v>64</v>
      </c>
      <c r="I3" s="979"/>
      <c r="J3" s="980"/>
    </row>
    <row r="4" spans="1:11" ht="10.5" customHeight="1">
      <c r="A4" s="1006" t="s">
        <v>61</v>
      </c>
      <c r="B4" s="1007"/>
      <c r="C4" s="1007"/>
      <c r="D4" s="1007"/>
      <c r="E4" s="1007"/>
      <c r="F4" s="1008"/>
      <c r="G4" s="1"/>
      <c r="H4" s="111" t="s">
        <v>65</v>
      </c>
      <c r="I4" s="979"/>
      <c r="J4" s="980"/>
    </row>
    <row r="5" spans="1:11" ht="10.5" customHeight="1">
      <c r="A5" s="3" t="s">
        <v>88</v>
      </c>
      <c r="B5" s="473"/>
      <c r="C5" s="1020">
        <f>Société!B3</f>
        <v>0</v>
      </c>
      <c r="D5" s="1020"/>
      <c r="E5" s="1020"/>
      <c r="F5" s="1021"/>
      <c r="G5" s="1"/>
      <c r="H5" s="111" t="s">
        <v>66</v>
      </c>
      <c r="I5" s="979" t="s">
        <v>87</v>
      </c>
      <c r="J5" s="980"/>
    </row>
    <row r="6" spans="1:11" ht="10.5" customHeight="1">
      <c r="A6" s="3" t="s">
        <v>69</v>
      </c>
      <c r="B6" s="473"/>
      <c r="C6" s="983">
        <f>Société!B4</f>
        <v>0</v>
      </c>
      <c r="D6" s="983"/>
      <c r="E6" s="983"/>
      <c r="F6" s="984"/>
      <c r="G6" s="1"/>
      <c r="H6" s="111" t="s">
        <v>71</v>
      </c>
      <c r="I6" s="471" t="s">
        <v>72</v>
      </c>
      <c r="J6" s="472" t="s">
        <v>73</v>
      </c>
    </row>
    <row r="7" spans="1:11" ht="10.5" customHeight="1">
      <c r="A7" s="3"/>
      <c r="B7" s="473"/>
      <c r="C7" s="983">
        <f>Société!B5</f>
        <v>0</v>
      </c>
      <c r="D7" s="983"/>
      <c r="E7" s="983"/>
      <c r="F7" s="984"/>
      <c r="G7" s="1"/>
      <c r="H7" s="111" t="s">
        <v>67</v>
      </c>
      <c r="I7" s="979"/>
      <c r="J7" s="980"/>
    </row>
    <row r="8" spans="1:11" ht="10.5" customHeight="1">
      <c r="A8" s="3" t="s">
        <v>74</v>
      </c>
      <c r="B8" s="473"/>
      <c r="C8" s="983">
        <f>Société!B6</f>
        <v>0</v>
      </c>
      <c r="D8" s="983"/>
      <c r="E8" s="983"/>
      <c r="F8" s="984"/>
      <c r="G8" s="1"/>
      <c r="H8" s="111" t="s">
        <v>68</v>
      </c>
      <c r="I8" s="1022"/>
      <c r="J8" s="1023"/>
    </row>
    <row r="9" spans="1:11" ht="10.5" customHeight="1">
      <c r="A9" s="3" t="s">
        <v>75</v>
      </c>
      <c r="B9" s="473"/>
      <c r="C9" s="983">
        <f>Société!B7</f>
        <v>0</v>
      </c>
      <c r="D9" s="983"/>
      <c r="E9" s="983"/>
      <c r="F9" s="984"/>
      <c r="G9" s="1"/>
      <c r="H9" s="111" t="s">
        <v>69</v>
      </c>
      <c r="I9" s="979"/>
      <c r="J9" s="980"/>
    </row>
    <row r="10" spans="1:11" ht="10.5" customHeight="1">
      <c r="A10" s="3" t="s">
        <v>76</v>
      </c>
      <c r="B10" s="473"/>
      <c r="C10" s="983">
        <f>Société!B8</f>
        <v>0</v>
      </c>
      <c r="D10" s="983"/>
      <c r="E10" s="983"/>
      <c r="F10" s="984"/>
      <c r="G10" s="1"/>
      <c r="H10" s="111"/>
      <c r="I10" s="979"/>
      <c r="J10" s="980"/>
    </row>
    <row r="11" spans="1:11" ht="10.5" customHeight="1" thickBot="1">
      <c r="A11" s="4" t="s">
        <v>77</v>
      </c>
      <c r="B11" s="474"/>
      <c r="C11" s="985">
        <f>Société!B9</f>
        <v>0</v>
      </c>
      <c r="D11" s="985"/>
      <c r="E11" s="985"/>
      <c r="F11" s="986"/>
      <c r="G11" s="1"/>
      <c r="H11" s="112" t="s">
        <v>70</v>
      </c>
      <c r="I11" s="1018"/>
      <c r="J11" s="1019"/>
    </row>
    <row r="12" spans="1:11" ht="10.5" customHeight="1" thickBot="1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1" ht="10.5" customHeight="1" thickBot="1">
      <c r="A13" s="94" t="s">
        <v>79</v>
      </c>
      <c r="B13" s="96"/>
      <c r="C13" s="95">
        <f>Société!B19</f>
        <v>0</v>
      </c>
      <c r="D13" s="470" t="s">
        <v>80</v>
      </c>
      <c r="E13" s="96"/>
      <c r="F13" s="97">
        <f>IF(C13=0,0,EOMONTH(C13,0))</f>
        <v>0</v>
      </c>
      <c r="G13" s="1"/>
      <c r="H13" s="1016" t="s">
        <v>81</v>
      </c>
      <c r="I13" s="1017"/>
      <c r="J13" s="99">
        <f>PMSS</f>
        <v>3269</v>
      </c>
    </row>
    <row r="14" spans="1:11" ht="10.5" customHeight="1" thickBot="1">
      <c r="A14" s="1"/>
      <c r="B14" s="1"/>
      <c r="C14" s="1"/>
      <c r="D14" s="1"/>
      <c r="E14" s="1"/>
      <c r="F14" s="1"/>
      <c r="G14" s="1"/>
      <c r="H14" s="1"/>
      <c r="I14" s="1"/>
      <c r="J14" s="1"/>
    </row>
    <row r="15" spans="1:11" ht="10.5" customHeight="1">
      <c r="A15" s="1002" t="s">
        <v>0</v>
      </c>
      <c r="B15" s="1003"/>
      <c r="C15" s="1003"/>
      <c r="D15" s="1003"/>
      <c r="E15" s="1003"/>
      <c r="F15" s="468" t="s">
        <v>50</v>
      </c>
      <c r="G15" s="1011"/>
      <c r="H15" s="1011"/>
      <c r="I15" s="1012" t="s">
        <v>1</v>
      </c>
      <c r="J15" s="1014" t="s">
        <v>3</v>
      </c>
      <c r="K15" s="11"/>
    </row>
    <row r="16" spans="1:11" ht="10.5" customHeight="1">
      <c r="A16" s="1004"/>
      <c r="B16" s="1005"/>
      <c r="C16" s="1005"/>
      <c r="D16" s="1005"/>
      <c r="E16" s="1005"/>
      <c r="F16" s="469" t="s">
        <v>51</v>
      </c>
      <c r="G16" s="447"/>
      <c r="H16" s="448"/>
      <c r="I16" s="1013"/>
      <c r="J16" s="1015"/>
      <c r="K16" s="11"/>
    </row>
    <row r="17" spans="1:11" ht="10.5" customHeight="1">
      <c r="A17" s="3" t="s">
        <v>455</v>
      </c>
      <c r="B17" s="473"/>
      <c r="C17" s="473"/>
      <c r="D17" s="473"/>
      <c r="E17" s="473"/>
      <c r="F17" s="9">
        <v>151.66999999999999</v>
      </c>
      <c r="G17" s="449"/>
      <c r="H17" s="449"/>
      <c r="I17" s="9">
        <f>J17/F17</f>
        <v>0</v>
      </c>
      <c r="J17" s="87"/>
      <c r="K17" s="11"/>
    </row>
    <row r="18" spans="1:11" ht="10.5" customHeight="1">
      <c r="A18" s="3" t="s">
        <v>462</v>
      </c>
      <c r="B18" s="473"/>
      <c r="C18" s="473"/>
      <c r="D18" s="473"/>
      <c r="E18" s="473"/>
      <c r="F18" s="9"/>
      <c r="G18" s="449"/>
      <c r="H18" s="449"/>
      <c r="I18" s="485"/>
      <c r="J18" s="87">
        <f>F18*I18</f>
        <v>0</v>
      </c>
      <c r="K18" s="11"/>
    </row>
    <row r="19" spans="1:11" ht="10.5" customHeight="1">
      <c r="A19" s="3" t="s">
        <v>463</v>
      </c>
      <c r="B19" s="473"/>
      <c r="C19" s="473"/>
      <c r="D19" s="473"/>
      <c r="E19" s="473"/>
      <c r="F19" s="9"/>
      <c r="G19" s="449"/>
      <c r="H19" s="449"/>
      <c r="I19" s="9"/>
      <c r="J19" s="87">
        <f>F19*I19</f>
        <v>0</v>
      </c>
      <c r="K19" s="11"/>
    </row>
    <row r="20" spans="1:11" ht="10.5" customHeight="1" thickBot="1">
      <c r="A20" s="3"/>
      <c r="B20" s="473"/>
      <c r="C20" s="473"/>
      <c r="D20" s="473"/>
      <c r="E20" s="473"/>
      <c r="F20" s="9"/>
      <c r="G20" s="449"/>
      <c r="H20" s="449"/>
      <c r="I20" s="9"/>
      <c r="J20" s="87"/>
      <c r="K20" s="11"/>
    </row>
    <row r="21" spans="1:11" ht="10.5" hidden="1" customHeight="1">
      <c r="A21" s="3" t="str">
        <f>IF(B21=0,"","Absences")</f>
        <v>Absences</v>
      </c>
      <c r="B21" s="987" t="s">
        <v>8</v>
      </c>
      <c r="C21" s="987"/>
      <c r="D21" s="473"/>
      <c r="E21" s="473"/>
      <c r="F21" s="9"/>
      <c r="G21" s="449"/>
      <c r="H21" s="449"/>
      <c r="I21" s="100">
        <f>IF(B21="en heures réelles",IF(H88=0,"Heures réelles",J17/H88),IF(B21="au 30ème",J17/30,J17/26))</f>
        <v>0</v>
      </c>
      <c r="J21" s="87">
        <f>IF(I21="Heures réelles",0,-F21*I21)</f>
        <v>0</v>
      </c>
      <c r="K21" s="11"/>
    </row>
    <row r="22" spans="1:11" ht="10.5" hidden="1" customHeight="1">
      <c r="A22" s="3" t="s">
        <v>10</v>
      </c>
      <c r="B22" s="1026">
        <v>1.25</v>
      </c>
      <c r="C22" s="1026"/>
      <c r="D22" s="473"/>
      <c r="E22" s="473"/>
      <c r="F22" s="9"/>
      <c r="G22" s="449"/>
      <c r="H22" s="449"/>
      <c r="I22" s="9">
        <f>IF(B22=0,$I$17,$I$17*B22)</f>
        <v>0</v>
      </c>
      <c r="J22" s="87">
        <f>F22*I22</f>
        <v>0</v>
      </c>
      <c r="K22" s="11"/>
    </row>
    <row r="23" spans="1:11" ht="10.5" hidden="1" customHeight="1">
      <c r="A23" s="3" t="s">
        <v>10</v>
      </c>
      <c r="B23" s="1026">
        <v>1.5</v>
      </c>
      <c r="C23" s="1026"/>
      <c r="D23" s="473"/>
      <c r="E23" s="473"/>
      <c r="F23" s="9"/>
      <c r="G23" s="449"/>
      <c r="H23" s="449"/>
      <c r="I23" s="9">
        <f>IF(B23=0,$I$17,$I$17*B23)</f>
        <v>0</v>
      </c>
      <c r="J23" s="87">
        <f>F23*I23</f>
        <v>0</v>
      </c>
      <c r="K23" s="11"/>
    </row>
    <row r="24" spans="1:11" ht="10.5" hidden="1" customHeight="1">
      <c r="A24" s="3" t="s">
        <v>14</v>
      </c>
      <c r="B24" s="473"/>
      <c r="C24" s="473"/>
      <c r="D24" s="473"/>
      <c r="E24" s="473"/>
      <c r="F24" s="9"/>
      <c r="G24" s="449"/>
      <c r="H24" s="449"/>
      <c r="I24" s="5"/>
      <c r="J24" s="87"/>
      <c r="K24" s="11"/>
    </row>
    <row r="25" spans="1:11" ht="10.5" hidden="1" customHeight="1">
      <c r="A25" s="3" t="s">
        <v>15</v>
      </c>
      <c r="B25" s="473"/>
      <c r="C25" s="473"/>
      <c r="D25" s="473"/>
      <c r="E25" s="473"/>
      <c r="F25" s="9"/>
      <c r="G25" s="449"/>
      <c r="H25" s="449"/>
      <c r="I25" s="5"/>
      <c r="J25" s="87"/>
      <c r="K25" s="11"/>
    </row>
    <row r="26" spans="1:11" ht="10.5" hidden="1" customHeight="1" thickBot="1">
      <c r="A26" s="3" t="s">
        <v>16</v>
      </c>
      <c r="B26" s="473"/>
      <c r="C26" s="473"/>
      <c r="D26" s="473"/>
      <c r="E26" s="473"/>
      <c r="F26" s="9"/>
      <c r="G26" s="449"/>
      <c r="H26" s="449"/>
      <c r="I26" s="5"/>
      <c r="J26" s="87"/>
      <c r="K26" s="11"/>
    </row>
    <row r="27" spans="1:11" ht="10.5" customHeight="1" thickBot="1">
      <c r="A27" s="10" t="s">
        <v>17</v>
      </c>
      <c r="B27" s="403"/>
      <c r="C27" s="11"/>
      <c r="D27" s="11"/>
      <c r="E27" s="11"/>
      <c r="F27" s="34"/>
      <c r="G27" s="450"/>
      <c r="H27" s="450"/>
      <c r="I27" s="481"/>
      <c r="J27" s="32">
        <f>SUM(J17:J26)</f>
        <v>0</v>
      </c>
      <c r="K27" s="11"/>
    </row>
    <row r="28" spans="1:11" ht="10.5" customHeight="1" thickBot="1">
      <c r="A28" s="489" t="s">
        <v>461</v>
      </c>
      <c r="B28" s="382"/>
      <c r="F28" s="475"/>
      <c r="G28" s="476"/>
      <c r="H28" s="477"/>
      <c r="I28" s="478"/>
      <c r="J28" s="480">
        <f>NCBTP_Brut*0.9</f>
        <v>0</v>
      </c>
    </row>
    <row r="29" spans="1:11" ht="10.5" customHeight="1">
      <c r="A29" s="13"/>
      <c r="B29" s="11"/>
      <c r="C29" s="11"/>
      <c r="D29" s="11"/>
      <c r="E29" s="11"/>
      <c r="F29" s="34"/>
      <c r="G29" s="1009" t="s">
        <v>2</v>
      </c>
      <c r="H29" s="1009"/>
      <c r="I29" s="1009" t="s">
        <v>4</v>
      </c>
      <c r="J29" s="1010"/>
      <c r="K29" s="11"/>
    </row>
    <row r="30" spans="1:11" ht="10.5" customHeight="1">
      <c r="A30" s="13"/>
      <c r="B30" s="11"/>
      <c r="C30" s="11"/>
      <c r="D30" s="11"/>
      <c r="E30" s="11"/>
      <c r="F30" s="34"/>
      <c r="G30" s="6" t="s">
        <v>1</v>
      </c>
      <c r="H30" s="6" t="s">
        <v>3</v>
      </c>
      <c r="I30" s="6" t="s">
        <v>1</v>
      </c>
      <c r="J30" s="7" t="s">
        <v>3</v>
      </c>
      <c r="K30" s="11"/>
    </row>
    <row r="31" spans="1:11" ht="12" customHeight="1">
      <c r="A31" s="14" t="s">
        <v>18</v>
      </c>
      <c r="B31" s="404"/>
      <c r="C31" s="11"/>
      <c r="D31" s="11"/>
      <c r="E31" s="11"/>
      <c r="F31" s="34"/>
      <c r="G31" s="46"/>
      <c r="H31" s="33"/>
      <c r="I31" s="61"/>
      <c r="J31" s="30"/>
      <c r="K31" s="11"/>
    </row>
    <row r="32" spans="1:11" ht="10.5" customHeight="1">
      <c r="A32" s="3" t="s">
        <v>98</v>
      </c>
      <c r="B32" s="473"/>
      <c r="C32" s="11"/>
      <c r="D32" s="11"/>
      <c r="E32" s="11"/>
      <c r="F32" s="34">
        <f>NCBTP_CSGRDS</f>
        <v>0</v>
      </c>
      <c r="G32" s="46"/>
      <c r="H32" s="34">
        <f t="shared" ref="H32:H67" si="0">ROUNDUP(F32*G32,2)</f>
        <v>0</v>
      </c>
      <c r="I32" s="60">
        <f>Cotisations!C5</f>
        <v>5.0999999999999997E-2</v>
      </c>
      <c r="J32" s="30">
        <f t="shared" ref="J32:J67" si="1">ROUNDUP(F32*I32,2)</f>
        <v>0</v>
      </c>
      <c r="K32" s="11"/>
    </row>
    <row r="33" spans="1:11" ht="10.5" customHeight="1">
      <c r="A33" s="3" t="s">
        <v>19</v>
      </c>
      <c r="B33" s="473"/>
      <c r="C33" s="11"/>
      <c r="D33" s="11"/>
      <c r="E33" s="11"/>
      <c r="F33" s="34">
        <f t="shared" ref="F33:F38" si="2">NCBTP_BRUTABAT</f>
        <v>0</v>
      </c>
      <c r="G33" s="46">
        <f>Cotisations!B8</f>
        <v>0.12889999999999999</v>
      </c>
      <c r="H33" s="34">
        <f t="shared" si="0"/>
        <v>0</v>
      </c>
      <c r="I33" s="60">
        <f>Cotisations!C8</f>
        <v>7.4999999999999997E-3</v>
      </c>
      <c r="J33" s="30">
        <f t="shared" si="1"/>
        <v>0</v>
      </c>
      <c r="K33" s="11"/>
    </row>
    <row r="34" spans="1:11" ht="10.5" customHeight="1">
      <c r="A34" s="3" t="s">
        <v>20</v>
      </c>
      <c r="B34" s="473"/>
      <c r="C34" s="11"/>
      <c r="D34" s="11"/>
      <c r="E34" s="11"/>
      <c r="F34" s="34">
        <f t="shared" si="2"/>
        <v>0</v>
      </c>
      <c r="G34" s="46">
        <f>Cotisations!B9</f>
        <v>3.0000000000000001E-3</v>
      </c>
      <c r="H34" s="34">
        <f t="shared" si="0"/>
        <v>0</v>
      </c>
      <c r="I34" s="60"/>
      <c r="J34" s="30">
        <f t="shared" si="1"/>
        <v>0</v>
      </c>
      <c r="K34" s="11"/>
    </row>
    <row r="35" spans="1:11" ht="10.5" customHeight="1">
      <c r="A35" s="3" t="s">
        <v>21</v>
      </c>
      <c r="B35" s="473"/>
      <c r="C35" s="11"/>
      <c r="D35" s="11"/>
      <c r="E35" s="11"/>
      <c r="F35" s="34">
        <f t="shared" si="2"/>
        <v>0</v>
      </c>
      <c r="G35" s="46">
        <f>Société!B16</f>
        <v>0</v>
      </c>
      <c r="H35" s="34">
        <f t="shared" si="0"/>
        <v>0</v>
      </c>
      <c r="I35" s="60"/>
      <c r="J35" s="30">
        <f t="shared" si="1"/>
        <v>0</v>
      </c>
      <c r="K35" s="11"/>
    </row>
    <row r="36" spans="1:11" ht="10.5" customHeight="1">
      <c r="A36" s="3" t="s">
        <v>274</v>
      </c>
      <c r="B36" s="473"/>
      <c r="C36" s="11"/>
      <c r="D36" s="11"/>
      <c r="E36" s="11"/>
      <c r="F36" s="34">
        <f t="shared" si="2"/>
        <v>0</v>
      </c>
      <c r="G36" s="46">
        <f>Cotisations!B10+IF(NCBTP_BRUTABAT&lt;3.5*SMIC_Fillon,0,Cotisations!B11)</f>
        <v>3.4500000000000003E-2</v>
      </c>
      <c r="H36" s="34">
        <f t="shared" si="0"/>
        <v>0</v>
      </c>
      <c r="I36" s="60"/>
      <c r="J36" s="30">
        <f t="shared" si="1"/>
        <v>0</v>
      </c>
      <c r="K36" s="11"/>
    </row>
    <row r="37" spans="1:11" ht="10.5" customHeight="1">
      <c r="A37" s="3" t="s">
        <v>23</v>
      </c>
      <c r="B37" s="473"/>
      <c r="C37" s="11"/>
      <c r="D37" s="11"/>
      <c r="E37" s="11"/>
      <c r="F37" s="34">
        <f>NCBTP_BRUTABAT*1.115</f>
        <v>0</v>
      </c>
      <c r="G37" s="46">
        <f>Société!B17</f>
        <v>0</v>
      </c>
      <c r="H37" s="34">
        <f t="shared" si="0"/>
        <v>0</v>
      </c>
      <c r="I37" s="60"/>
      <c r="J37" s="30">
        <f t="shared" si="1"/>
        <v>0</v>
      </c>
      <c r="K37" s="11"/>
    </row>
    <row r="38" spans="1:11" ht="10.5" customHeight="1">
      <c r="A38" s="3" t="s">
        <v>24</v>
      </c>
      <c r="B38" s="473"/>
      <c r="C38" s="11"/>
      <c r="D38" s="11"/>
      <c r="E38" s="11"/>
      <c r="F38" s="34">
        <f t="shared" si="2"/>
        <v>0</v>
      </c>
      <c r="G38" s="46">
        <f>Cotisations!B12</f>
        <v>1.9E-2</v>
      </c>
      <c r="H38" s="34">
        <f t="shared" si="0"/>
        <v>0</v>
      </c>
      <c r="I38" s="60">
        <f>Cotisations!C12</f>
        <v>4.0000000000000001E-3</v>
      </c>
      <c r="J38" s="30">
        <f t="shared" si="1"/>
        <v>0</v>
      </c>
      <c r="K38" s="11"/>
    </row>
    <row r="39" spans="1:11" ht="10.5" customHeight="1">
      <c r="A39" s="3" t="s">
        <v>25</v>
      </c>
      <c r="B39" s="473"/>
      <c r="C39" s="11"/>
      <c r="D39" s="11"/>
      <c r="E39" s="11"/>
      <c r="F39" s="34">
        <f>MIN(NCBTP_BRUTABAT,NCBTP_Plafond)</f>
        <v>0</v>
      </c>
      <c r="G39" s="46">
        <f>Cotisations!B13</f>
        <v>8.5500000000000007E-2</v>
      </c>
      <c r="H39" s="34">
        <f t="shared" si="0"/>
        <v>0</v>
      </c>
      <c r="I39" s="60">
        <f>Cotisations!C13</f>
        <v>6.9000000000000006E-2</v>
      </c>
      <c r="J39" s="30">
        <f t="shared" si="1"/>
        <v>0</v>
      </c>
      <c r="K39" s="11"/>
    </row>
    <row r="40" spans="1:11" ht="10.5" customHeight="1">
      <c r="A40" s="3" t="s">
        <v>26</v>
      </c>
      <c r="B40" s="473"/>
      <c r="C40" s="11"/>
      <c r="D40" s="11"/>
      <c r="E40" s="11"/>
      <c r="F40" s="45">
        <f>IF(effectif&lt;20,NCBTP_TA,NCBTP_BRUTABAT)*1.115</f>
        <v>0</v>
      </c>
      <c r="G40" s="46">
        <f>IF(effectif&lt;20,Cotisations!B14,Cotisations!B15)</f>
        <v>1E-3</v>
      </c>
      <c r="H40" s="34">
        <f t="shared" si="0"/>
        <v>0</v>
      </c>
      <c r="I40" s="60"/>
      <c r="J40" s="30">
        <f t="shared" si="1"/>
        <v>0</v>
      </c>
      <c r="K40" s="11"/>
    </row>
    <row r="41" spans="1:11" ht="10.5" customHeight="1">
      <c r="A41" s="3" t="s">
        <v>27</v>
      </c>
      <c r="B41" s="473"/>
      <c r="C41" s="11"/>
      <c r="D41" s="11"/>
      <c r="E41" s="11"/>
      <c r="F41" s="45">
        <f>NCBTP_BRUTABAT*0.81%</f>
        <v>0</v>
      </c>
      <c r="G41" s="46">
        <f>Cotisations!B16</f>
        <v>0.08</v>
      </c>
      <c r="H41" s="34">
        <f t="shared" si="0"/>
        <v>0</v>
      </c>
      <c r="I41" s="60"/>
      <c r="J41" s="30">
        <f t="shared" si="1"/>
        <v>0</v>
      </c>
      <c r="K41" s="11"/>
    </row>
    <row r="42" spans="1:11" ht="10.5" hidden="1" customHeight="1">
      <c r="A42" s="3" t="s">
        <v>211</v>
      </c>
      <c r="B42" s="473"/>
      <c r="C42" s="11"/>
      <c r="D42" s="11"/>
      <c r="E42" s="11"/>
      <c r="F42" s="45">
        <f>SUM(H54:H55)</f>
        <v>0</v>
      </c>
      <c r="G42" s="46">
        <f>Cotisations!B17</f>
        <v>0.2</v>
      </c>
      <c r="H42" s="34">
        <f t="shared" si="0"/>
        <v>0</v>
      </c>
      <c r="I42" s="60"/>
      <c r="J42" s="30"/>
      <c r="K42" s="11"/>
    </row>
    <row r="43" spans="1:11" ht="10.5" customHeight="1">
      <c r="A43" s="3" t="s">
        <v>28</v>
      </c>
      <c r="B43" s="473"/>
      <c r="C43" s="11"/>
      <c r="D43" s="11"/>
      <c r="E43" s="11"/>
      <c r="F43" s="34">
        <f>NCBTP_BRUTABAT</f>
        <v>0</v>
      </c>
      <c r="G43" s="46">
        <f>Cotisations!B18</f>
        <v>1.6000000000000001E-4</v>
      </c>
      <c r="H43" s="34">
        <f t="shared" si="0"/>
        <v>0</v>
      </c>
      <c r="I43" s="60"/>
      <c r="J43" s="30">
        <f t="shared" si="1"/>
        <v>0</v>
      </c>
      <c r="K43" s="11"/>
    </row>
    <row r="44" spans="1:11" ht="10.5" customHeight="1">
      <c r="A44" s="3" t="s">
        <v>29</v>
      </c>
      <c r="B44" s="473"/>
      <c r="C44" s="11"/>
      <c r="D44" s="11"/>
      <c r="E44" s="11"/>
      <c r="F44" s="34">
        <f>NCBTP_BRUTABAT</f>
        <v>0</v>
      </c>
      <c r="G44" s="46">
        <f>Cotisations!B19</f>
        <v>1E-4</v>
      </c>
      <c r="H44" s="34">
        <f t="shared" si="0"/>
        <v>0</v>
      </c>
      <c r="I44" s="60"/>
      <c r="J44" s="30">
        <f t="shared" si="1"/>
        <v>0</v>
      </c>
      <c r="K44" s="11"/>
    </row>
    <row r="45" spans="1:11" ht="12" customHeight="1">
      <c r="A45" s="14" t="s">
        <v>30</v>
      </c>
      <c r="B45" s="404"/>
      <c r="C45" s="11"/>
      <c r="D45" s="11"/>
      <c r="E45" s="11"/>
      <c r="F45" s="34"/>
      <c r="G45" s="46"/>
      <c r="H45" s="34">
        <f t="shared" si="0"/>
        <v>0</v>
      </c>
      <c r="I45" s="60"/>
      <c r="J45" s="30">
        <f t="shared" si="1"/>
        <v>0</v>
      </c>
      <c r="K45" s="11"/>
    </row>
    <row r="46" spans="1:11" ht="10.5" customHeight="1">
      <c r="A46" s="3" t="s">
        <v>31</v>
      </c>
      <c r="B46" s="473"/>
      <c r="C46" s="11"/>
      <c r="D46" s="11"/>
      <c r="E46" s="11"/>
      <c r="F46" s="34">
        <f>NCBTP_TA+NCBTP_TB</f>
        <v>0</v>
      </c>
      <c r="G46" s="46">
        <f>Cotisations!B22</f>
        <v>4.0500000000000001E-2</v>
      </c>
      <c r="H46" s="34">
        <f t="shared" si="0"/>
        <v>0</v>
      </c>
      <c r="I46" s="60">
        <f>Cotisations!C22</f>
        <v>2.4E-2</v>
      </c>
      <c r="J46" s="30">
        <f t="shared" si="1"/>
        <v>0</v>
      </c>
      <c r="K46" s="11"/>
    </row>
    <row r="47" spans="1:11" ht="10.5" customHeight="1">
      <c r="A47" s="3" t="s">
        <v>32</v>
      </c>
      <c r="B47" s="473"/>
      <c r="C47" s="11"/>
      <c r="D47" s="11"/>
      <c r="E47" s="11"/>
      <c r="F47" s="34">
        <f>NCBTP_TA+NCBTP_TB</f>
        <v>0</v>
      </c>
      <c r="G47" s="46">
        <f>Cotisations!B23</f>
        <v>1.5E-3</v>
      </c>
      <c r="H47" s="34">
        <f t="shared" si="0"/>
        <v>0</v>
      </c>
      <c r="I47" s="60"/>
      <c r="J47" s="30">
        <f t="shared" si="1"/>
        <v>0</v>
      </c>
      <c r="K47" s="11"/>
    </row>
    <row r="48" spans="1:11" ht="10.5" hidden="1" customHeight="1">
      <c r="A48" s="3" t="s">
        <v>33</v>
      </c>
      <c r="B48" s="473"/>
      <c r="C48" s="11"/>
      <c r="D48" s="11"/>
      <c r="E48" s="11"/>
      <c r="F48" s="34"/>
      <c r="G48" s="46"/>
      <c r="H48" s="34">
        <f t="shared" si="0"/>
        <v>0</v>
      </c>
      <c r="I48" s="60"/>
      <c r="J48" s="30">
        <f t="shared" si="1"/>
        <v>0</v>
      </c>
      <c r="K48" s="11"/>
    </row>
    <row r="49" spans="1:11" ht="12" customHeight="1">
      <c r="A49" s="14" t="s">
        <v>215</v>
      </c>
      <c r="B49" s="404"/>
      <c r="C49" s="11"/>
      <c r="D49" s="11"/>
      <c r="E49" s="11"/>
      <c r="F49" s="34"/>
      <c r="G49" s="46"/>
      <c r="H49" s="34">
        <f t="shared" si="0"/>
        <v>0</v>
      </c>
      <c r="I49" s="60"/>
      <c r="J49" s="30">
        <f t="shared" si="1"/>
        <v>0</v>
      </c>
      <c r="K49" s="11"/>
    </row>
    <row r="50" spans="1:11" ht="10.5" customHeight="1">
      <c r="A50" s="3" t="s">
        <v>122</v>
      </c>
      <c r="B50" s="473"/>
      <c r="C50" s="11"/>
      <c r="D50" s="11"/>
      <c r="E50" s="11"/>
      <c r="F50" s="34">
        <f>NCBTP_TA</f>
        <v>0</v>
      </c>
      <c r="G50" s="46">
        <f>Cotisations!B28</f>
        <v>4.65E-2</v>
      </c>
      <c r="H50" s="34">
        <f t="shared" si="0"/>
        <v>0</v>
      </c>
      <c r="I50" s="60">
        <f>Cotisations!C28</f>
        <v>3.1E-2</v>
      </c>
      <c r="J50" s="30">
        <f t="shared" si="1"/>
        <v>0</v>
      </c>
      <c r="K50" s="11"/>
    </row>
    <row r="51" spans="1:11" ht="10.5" customHeight="1">
      <c r="A51" s="3" t="s">
        <v>123</v>
      </c>
      <c r="B51" s="473"/>
      <c r="C51" s="11"/>
      <c r="D51" s="11"/>
      <c r="E51" s="11"/>
      <c r="F51" s="34">
        <f>NCBTP_T2</f>
        <v>0</v>
      </c>
      <c r="G51" s="46">
        <f>Cotisations!B29</f>
        <v>0.1215</v>
      </c>
      <c r="H51" s="34">
        <f t="shared" si="0"/>
        <v>0</v>
      </c>
      <c r="I51" s="60">
        <f>Cotisations!C29</f>
        <v>8.1000000000000003E-2</v>
      </c>
      <c r="J51" s="30">
        <f t="shared" si="1"/>
        <v>0</v>
      </c>
      <c r="K51" s="11"/>
    </row>
    <row r="52" spans="1:11" ht="10.5" customHeight="1">
      <c r="A52" s="3" t="s">
        <v>34</v>
      </c>
      <c r="B52" s="473"/>
      <c r="C52" s="11"/>
      <c r="D52" s="11"/>
      <c r="E52" s="11"/>
      <c r="F52" s="34">
        <f>NCBTP_TA</f>
        <v>0</v>
      </c>
      <c r="G52" s="46">
        <f>Cotisations!B30</f>
        <v>1.2E-2</v>
      </c>
      <c r="H52" s="34">
        <f t="shared" si="0"/>
        <v>0</v>
      </c>
      <c r="I52" s="60">
        <f>Cotisations!C30</f>
        <v>8.0000000000000002E-3</v>
      </c>
      <c r="J52" s="30">
        <f t="shared" si="1"/>
        <v>0</v>
      </c>
      <c r="K52" s="11"/>
    </row>
    <row r="53" spans="1:11" ht="10.5" customHeight="1">
      <c r="A53" s="3" t="s">
        <v>35</v>
      </c>
      <c r="B53" s="473"/>
      <c r="C53" s="11"/>
      <c r="D53" s="11"/>
      <c r="E53" s="11"/>
      <c r="F53" s="34">
        <f>NCBTP_T2</f>
        <v>0</v>
      </c>
      <c r="G53" s="46">
        <f>Cotisations!B31</f>
        <v>1.2999999999999999E-2</v>
      </c>
      <c r="H53" s="34">
        <f t="shared" si="0"/>
        <v>0</v>
      </c>
      <c r="I53" s="60">
        <f>Cotisations!C31</f>
        <v>8.9999999999999993E-3</v>
      </c>
      <c r="J53" s="30">
        <f t="shared" si="1"/>
        <v>0</v>
      </c>
      <c r="K53" s="11"/>
    </row>
    <row r="54" spans="1:11" ht="10.5" hidden="1" customHeight="1">
      <c r="A54" s="3" t="s">
        <v>213</v>
      </c>
      <c r="B54" s="473"/>
      <c r="C54" s="11"/>
      <c r="D54" s="11"/>
      <c r="E54" s="11"/>
      <c r="F54" s="34">
        <f>NCBTP_TA</f>
        <v>0</v>
      </c>
      <c r="G54" s="46"/>
      <c r="H54" s="34">
        <f t="shared" si="0"/>
        <v>0</v>
      </c>
      <c r="I54" s="60"/>
      <c r="J54" s="30">
        <f t="shared" si="1"/>
        <v>0</v>
      </c>
      <c r="K54" s="11"/>
    </row>
    <row r="55" spans="1:11" ht="10.5" hidden="1" customHeight="1">
      <c r="A55" s="3" t="s">
        <v>214</v>
      </c>
      <c r="B55" s="473"/>
      <c r="C55" s="11"/>
      <c r="D55" s="11"/>
      <c r="E55" s="11"/>
      <c r="F55" s="34">
        <f>NCBTP_TB</f>
        <v>0</v>
      </c>
      <c r="G55" s="46"/>
      <c r="H55" s="34">
        <f t="shared" si="0"/>
        <v>0</v>
      </c>
      <c r="I55" s="60"/>
      <c r="J55" s="30">
        <f t="shared" si="1"/>
        <v>0</v>
      </c>
      <c r="K55" s="11"/>
    </row>
    <row r="56" spans="1:11" ht="12" customHeight="1">
      <c r="A56" s="14" t="s">
        <v>464</v>
      </c>
      <c r="B56" s="473"/>
      <c r="C56" s="11"/>
      <c r="D56" s="11"/>
      <c r="E56" s="11"/>
      <c r="F56" s="34"/>
      <c r="G56" s="46"/>
      <c r="H56" s="34">
        <f t="shared" si="0"/>
        <v>0</v>
      </c>
      <c r="I56" s="60"/>
      <c r="J56" s="30"/>
      <c r="K56" s="11"/>
    </row>
    <row r="57" spans="1:11" ht="10.5" customHeight="1">
      <c r="A57" s="3" t="s">
        <v>465</v>
      </c>
      <c r="B57" s="473"/>
      <c r="C57" s="11"/>
      <c r="D57" s="11"/>
      <c r="E57" s="11"/>
      <c r="F57" s="34">
        <f>J17</f>
        <v>0</v>
      </c>
      <c r="G57" s="46">
        <v>0.20799999999999999</v>
      </c>
      <c r="H57" s="34">
        <f t="shared" si="0"/>
        <v>0</v>
      </c>
      <c r="I57" s="60"/>
      <c r="J57" s="30"/>
      <c r="K57" s="11"/>
    </row>
    <row r="58" spans="1:11" ht="10.5" customHeight="1">
      <c r="A58" s="3" t="s">
        <v>466</v>
      </c>
      <c r="B58" s="473"/>
      <c r="C58" s="11"/>
      <c r="D58" s="11"/>
      <c r="E58" s="11"/>
      <c r="F58" s="34">
        <f>NCBTP_BRUTABAT</f>
        <v>0</v>
      </c>
      <c r="G58" s="46">
        <v>2.0999999999999999E-3</v>
      </c>
      <c r="H58" s="34">
        <f t="shared" si="0"/>
        <v>0</v>
      </c>
      <c r="I58" s="60"/>
      <c r="J58" s="30"/>
      <c r="K58" s="11"/>
    </row>
    <row r="59" spans="1:11" ht="10.5" customHeight="1">
      <c r="A59" s="3" t="s">
        <v>467</v>
      </c>
      <c r="B59" s="473"/>
      <c r="C59" s="11"/>
      <c r="D59" s="11"/>
      <c r="E59" s="11"/>
      <c r="F59" s="34">
        <f>J17*1.1314</f>
        <v>0</v>
      </c>
      <c r="G59" s="46">
        <v>1.1000000000000001E-3</v>
      </c>
      <c r="H59" s="34">
        <f t="shared" si="0"/>
        <v>0</v>
      </c>
      <c r="I59" s="60"/>
      <c r="J59" s="30"/>
      <c r="K59" s="11"/>
    </row>
    <row r="60" spans="1:11" ht="10.5" customHeight="1">
      <c r="A60" s="3" t="s">
        <v>468</v>
      </c>
      <c r="B60" s="473"/>
      <c r="C60" s="11"/>
      <c r="D60" s="11"/>
      <c r="E60" s="11"/>
      <c r="F60" s="34">
        <f>J17</f>
        <v>0</v>
      </c>
      <c r="G60" s="46">
        <v>7.4999999999999997E-3</v>
      </c>
      <c r="H60" s="34">
        <f t="shared" si="0"/>
        <v>0</v>
      </c>
      <c r="I60" s="60"/>
      <c r="J60" s="30"/>
      <c r="K60" s="11"/>
    </row>
    <row r="61" spans="1:11" ht="12" customHeight="1">
      <c r="A61" s="14" t="s">
        <v>36</v>
      </c>
      <c r="B61" s="404"/>
      <c r="C61" s="11"/>
      <c r="D61" s="11"/>
      <c r="E61" s="11"/>
      <c r="F61" s="34"/>
      <c r="G61" s="46"/>
      <c r="H61" s="34">
        <f t="shared" si="0"/>
        <v>0</v>
      </c>
      <c r="I61" s="60"/>
      <c r="J61" s="30">
        <f t="shared" si="1"/>
        <v>0</v>
      </c>
      <c r="K61" s="11"/>
    </row>
    <row r="62" spans="1:11" ht="10.5" customHeight="1">
      <c r="A62" s="3" t="s">
        <v>37</v>
      </c>
      <c r="B62" s="473"/>
      <c r="C62" s="11"/>
      <c r="D62" s="11"/>
      <c r="E62" s="11"/>
      <c r="F62" s="34">
        <f>NCBTP_TA</f>
        <v>0</v>
      </c>
      <c r="G62" s="46"/>
      <c r="H62" s="34">
        <f>ROUNDUP(F62*G62,2)</f>
        <v>0</v>
      </c>
      <c r="I62" s="60"/>
      <c r="J62" s="30">
        <f t="shared" si="1"/>
        <v>0</v>
      </c>
      <c r="K62" s="11"/>
    </row>
    <row r="63" spans="1:11" ht="10.5" customHeight="1">
      <c r="A63" s="3" t="s">
        <v>38</v>
      </c>
      <c r="B63" s="473"/>
      <c r="C63" s="11"/>
      <c r="D63" s="11"/>
      <c r="E63" s="11"/>
      <c r="F63" s="34">
        <f>NCBTP_TB</f>
        <v>0</v>
      </c>
      <c r="G63" s="46"/>
      <c r="H63" s="34">
        <f t="shared" si="0"/>
        <v>0</v>
      </c>
      <c r="I63" s="60"/>
      <c r="J63" s="30">
        <f t="shared" si="1"/>
        <v>0</v>
      </c>
      <c r="K63" s="11"/>
    </row>
    <row r="64" spans="1:11" ht="10.5" customHeight="1">
      <c r="A64" s="3" t="s">
        <v>39</v>
      </c>
      <c r="B64" s="473"/>
      <c r="C64" s="11"/>
      <c r="D64" s="11"/>
      <c r="E64" s="11"/>
      <c r="F64" s="34">
        <f>NCBTP_TA</f>
        <v>0</v>
      </c>
      <c r="G64" s="46">
        <v>1.72E-2</v>
      </c>
      <c r="H64" s="34">
        <f>ROUNDUP(F64*G64,2)</f>
        <v>0</v>
      </c>
      <c r="I64" s="60">
        <v>8.6999999999999994E-3</v>
      </c>
      <c r="J64" s="30">
        <f t="shared" si="1"/>
        <v>0</v>
      </c>
      <c r="K64" s="11"/>
    </row>
    <row r="65" spans="1:12" ht="10.5" customHeight="1">
      <c r="A65" s="3" t="s">
        <v>40</v>
      </c>
      <c r="B65" s="473"/>
      <c r="C65" s="11"/>
      <c r="D65" s="11"/>
      <c r="E65" s="11"/>
      <c r="F65" s="34">
        <f>NCBTP_T2</f>
        <v>0</v>
      </c>
      <c r="G65" s="46"/>
      <c r="H65" s="34">
        <f t="shared" si="0"/>
        <v>0</v>
      </c>
      <c r="I65" s="60"/>
      <c r="J65" s="30">
        <f t="shared" si="1"/>
        <v>0</v>
      </c>
      <c r="K65" s="11"/>
      <c r="L65" s="1" t="s">
        <v>610</v>
      </c>
    </row>
    <row r="66" spans="1:12" ht="10.5" customHeight="1">
      <c r="A66" s="3"/>
      <c r="B66" s="473"/>
      <c r="C66" s="11"/>
      <c r="D66" s="11"/>
      <c r="E66" s="11"/>
      <c r="F66" s="34"/>
      <c r="G66" s="11"/>
      <c r="H66" s="34">
        <f t="shared" si="0"/>
        <v>0</v>
      </c>
      <c r="I66" s="12"/>
      <c r="J66" s="30">
        <f t="shared" si="1"/>
        <v>0</v>
      </c>
      <c r="K66" s="11"/>
      <c r="L66" s="1" t="s">
        <v>611</v>
      </c>
    </row>
    <row r="67" spans="1:12" ht="10.5" customHeight="1">
      <c r="A67" s="3" t="s">
        <v>42</v>
      </c>
      <c r="B67" s="473"/>
      <c r="C67" s="11"/>
      <c r="D67" s="11"/>
      <c r="E67" s="11"/>
      <c r="F67" s="45">
        <f>SUM(F23:F23)</f>
        <v>0</v>
      </c>
      <c r="G67" s="44">
        <f>Société!B14</f>
        <v>1.5</v>
      </c>
      <c r="H67" s="34">
        <f t="shared" si="0"/>
        <v>0</v>
      </c>
      <c r="I67" s="12"/>
      <c r="J67" s="30">
        <f t="shared" si="1"/>
        <v>0</v>
      </c>
      <c r="K67" s="11"/>
    </row>
    <row r="68" spans="1:12" ht="10.5" customHeight="1" thickBot="1">
      <c r="A68" s="3" t="s">
        <v>41</v>
      </c>
      <c r="B68" s="473"/>
      <c r="C68" s="11"/>
      <c r="D68" s="11"/>
      <c r="E68" s="11"/>
      <c r="F68" s="86">
        <f>NCBTP_BRUTABAT</f>
        <v>0</v>
      </c>
      <c r="G68" s="85">
        <f>MAX(C100,0)</f>
        <v>0</v>
      </c>
      <c r="H68" s="34">
        <f>-ROUNDUP(F68*G68,2)</f>
        <v>0</v>
      </c>
      <c r="I68" s="16"/>
      <c r="J68" s="31"/>
      <c r="K68" s="11"/>
    </row>
    <row r="69" spans="1:12" ht="12" customHeight="1" thickBot="1">
      <c r="A69" s="10" t="s">
        <v>78</v>
      </c>
      <c r="B69" s="403"/>
      <c r="C69" s="11"/>
      <c r="D69" s="11"/>
      <c r="E69" s="11"/>
      <c r="F69" s="451"/>
      <c r="G69" s="450"/>
      <c r="H69" s="101">
        <f>SUM(H31:H68)</f>
        <v>0</v>
      </c>
      <c r="I69" s="450"/>
      <c r="J69" s="101">
        <f>SUM(J31:J68)</f>
        <v>0</v>
      </c>
      <c r="K69" s="11"/>
    </row>
    <row r="70" spans="1:12" ht="12" customHeight="1" thickBot="1">
      <c r="A70" s="10" t="s">
        <v>43</v>
      </c>
      <c r="B70" s="403"/>
      <c r="F70" s="459"/>
      <c r="G70" s="450"/>
      <c r="H70" s="450"/>
      <c r="I70" s="460"/>
      <c r="J70" s="101">
        <f>NCBTP_Brut-J69+SUM(H62:H63)</f>
        <v>0</v>
      </c>
      <c r="K70" s="11"/>
    </row>
    <row r="71" spans="1:12" ht="10.5" customHeight="1">
      <c r="A71" s="3" t="s">
        <v>207</v>
      </c>
      <c r="B71" s="473"/>
      <c r="F71" s="33">
        <f>NCBTP_CSGRDS</f>
        <v>0</v>
      </c>
      <c r="G71" s="455"/>
      <c r="H71" s="456"/>
      <c r="I71" s="56">
        <f>Cotisations!C6</f>
        <v>2.4E-2</v>
      </c>
      <c r="J71" s="30">
        <f>F71*I71</f>
        <v>0</v>
      </c>
      <c r="K71" s="11"/>
    </row>
    <row r="72" spans="1:12" ht="10.5" customHeight="1" thickBot="1">
      <c r="A72" s="3" t="s">
        <v>208</v>
      </c>
      <c r="B72" s="473"/>
      <c r="F72" s="86">
        <f>NCBTP_CSGRDS</f>
        <v>0</v>
      </c>
      <c r="G72" s="455"/>
      <c r="H72" s="456"/>
      <c r="I72" s="57">
        <f>Cotisations!C7</f>
        <v>5.0000000000000001E-3</v>
      </c>
      <c r="J72" s="30">
        <f>F72*I72</f>
        <v>0</v>
      </c>
      <c r="K72" s="11"/>
    </row>
    <row r="73" spans="1:12" ht="10.5" customHeight="1" thickBot="1">
      <c r="A73" s="21" t="s">
        <v>44</v>
      </c>
      <c r="B73" s="405"/>
      <c r="C73" s="15"/>
      <c r="D73" s="15"/>
      <c r="E73" s="474"/>
      <c r="F73" s="457"/>
      <c r="G73" s="453"/>
      <c r="H73" s="453"/>
      <c r="I73" s="458"/>
      <c r="J73" s="101">
        <f>NCBTP_Brut-J69-J71-J72</f>
        <v>0</v>
      </c>
      <c r="K73" s="11"/>
    </row>
    <row r="74" spans="1:12" ht="10.5" customHeight="1">
      <c r="E74" s="473"/>
      <c r="F74" s="19" t="s">
        <v>45</v>
      </c>
      <c r="G74" s="11"/>
      <c r="H74" s="11"/>
      <c r="I74" s="11"/>
      <c r="J74" s="30"/>
      <c r="K74" s="11"/>
    </row>
    <row r="75" spans="1:12" ht="10.5" customHeight="1">
      <c r="E75" s="473"/>
      <c r="F75" s="3"/>
      <c r="G75" s="724"/>
      <c r="H75" s="724"/>
      <c r="I75" s="724"/>
      <c r="J75" s="87"/>
      <c r="K75" s="11"/>
    </row>
    <row r="76" spans="1:12" ht="10.5" customHeight="1">
      <c r="A76" s="1047"/>
      <c r="B76" s="1047"/>
      <c r="C76" s="487"/>
      <c r="D76" s="487"/>
      <c r="E76" s="473"/>
      <c r="F76" s="3"/>
      <c r="G76" s="724"/>
      <c r="H76" s="724"/>
      <c r="I76" s="724"/>
      <c r="J76" s="87"/>
      <c r="K76" s="11"/>
    </row>
    <row r="77" spans="1:12" ht="10.5" customHeight="1">
      <c r="A77" s="979"/>
      <c r="B77" s="979"/>
      <c r="C77" s="487"/>
      <c r="D77" s="487"/>
      <c r="F77" s="19" t="s">
        <v>46</v>
      </c>
      <c r="G77" s="11"/>
      <c r="H77" s="11"/>
      <c r="I77" s="11"/>
      <c r="J77" s="30"/>
      <c r="K77" s="11"/>
    </row>
    <row r="78" spans="1:12" ht="10.5" customHeight="1">
      <c r="A78" s="979"/>
      <c r="B78" s="979"/>
      <c r="C78" s="487"/>
      <c r="D78" s="487"/>
      <c r="F78" s="3"/>
      <c r="G78" s="724"/>
      <c r="H78" s="724"/>
      <c r="I78" s="724"/>
      <c r="J78" s="87"/>
      <c r="K78" s="11"/>
    </row>
    <row r="79" spans="1:12" ht="10.5" customHeight="1" thickBot="1">
      <c r="A79" s="979"/>
      <c r="B79" s="979"/>
      <c r="C79" s="487"/>
      <c r="D79" s="487"/>
      <c r="F79" s="3"/>
      <c r="G79" s="724"/>
      <c r="H79" s="724"/>
      <c r="I79" s="724"/>
      <c r="J79" s="87"/>
      <c r="K79" s="11"/>
    </row>
    <row r="80" spans="1:12" ht="12" customHeight="1" thickBot="1">
      <c r="A80" s="979"/>
      <c r="B80" s="979"/>
      <c r="C80" s="487"/>
      <c r="D80" s="487"/>
      <c r="F80" s="26" t="s">
        <v>47</v>
      </c>
      <c r="G80" s="25"/>
      <c r="H80" s="25"/>
      <c r="I80" s="25"/>
      <c r="J80" s="101">
        <f>SUM(J73:J79)</f>
        <v>0</v>
      </c>
      <c r="K80" s="11"/>
    </row>
    <row r="83" spans="1:10" ht="10.5" customHeight="1" thickBot="1"/>
    <row r="84" spans="1:10" ht="10.5" customHeight="1" thickBot="1">
      <c r="A84" s="994"/>
      <c r="B84" s="995"/>
      <c r="C84" s="35" t="s">
        <v>54</v>
      </c>
      <c r="D84" s="981" t="s">
        <v>55</v>
      </c>
      <c r="E84" s="982"/>
      <c r="F84" s="27" t="s">
        <v>56</v>
      </c>
      <c r="G84" s="27" t="s">
        <v>57</v>
      </c>
      <c r="H84" s="27" t="s">
        <v>58</v>
      </c>
      <c r="I84" s="27" t="s">
        <v>59</v>
      </c>
      <c r="J84" s="28" t="s">
        <v>43</v>
      </c>
    </row>
    <row r="85" spans="1:10" ht="10.5" customHeight="1">
      <c r="A85" s="973" t="s">
        <v>52</v>
      </c>
      <c r="B85" s="974"/>
      <c r="C85" s="29">
        <f>F17</f>
        <v>151.66999999999999</v>
      </c>
      <c r="D85" s="971">
        <f>NCBTP_Brut</f>
        <v>0</v>
      </c>
      <c r="E85" s="972"/>
      <c r="F85" s="29">
        <f>NCBTP_TA</f>
        <v>0</v>
      </c>
      <c r="G85" s="29">
        <f>NCBTP_TB</f>
        <v>0</v>
      </c>
      <c r="H85" s="29">
        <v>0</v>
      </c>
      <c r="I85" s="29">
        <f>J80</f>
        <v>0</v>
      </c>
      <c r="J85" s="36">
        <f>J70</f>
        <v>0</v>
      </c>
    </row>
    <row r="86" spans="1:10" ht="10.5" customHeight="1" thickBot="1">
      <c r="A86" s="975" t="s">
        <v>53</v>
      </c>
      <c r="B86" s="976"/>
      <c r="C86" s="120"/>
      <c r="D86" s="969"/>
      <c r="E86" s="970"/>
      <c r="F86" s="120"/>
      <c r="G86" s="120"/>
      <c r="H86" s="120"/>
      <c r="I86" s="120"/>
      <c r="J86" s="121"/>
    </row>
    <row r="88" spans="1:10" ht="10.5" customHeight="1">
      <c r="A88" s="968" t="s">
        <v>82</v>
      </c>
      <c r="B88" s="968"/>
      <c r="C88" s="968"/>
      <c r="F88" s="966" t="s">
        <v>206</v>
      </c>
      <c r="G88" s="967"/>
      <c r="H88" s="18"/>
    </row>
    <row r="89" spans="1:10" ht="15">
      <c r="A89" s="1027" t="s">
        <v>83</v>
      </c>
      <c r="B89" s="1028"/>
      <c r="C89" s="29">
        <f>MIN(NCBTP_BRUTABAT,NCBTP_Plafond)</f>
        <v>0</v>
      </c>
    </row>
    <row r="90" spans="1:10" ht="15">
      <c r="A90" s="1027" t="s">
        <v>85</v>
      </c>
      <c r="B90" s="1028"/>
      <c r="C90" s="29">
        <f>IF(NCBTP_BRUTABAT&lt;NCBTP_Plafond,0,MIN(NCBTP_BRUTABAT-NCBTP_Plafond,2*NCBTP_Plafond))</f>
        <v>0</v>
      </c>
    </row>
    <row r="91" spans="1:10" ht="15">
      <c r="A91" s="1027" t="s">
        <v>84</v>
      </c>
      <c r="B91" s="1028"/>
      <c r="C91" s="29">
        <f>IF(NCBTP_BRUTABAT&lt;NCBTP_Plafond,0,MIN(NCBTP_BRUTABAT-NCBTP_Plafond,3*NCBTP_Plafond))</f>
        <v>0</v>
      </c>
    </row>
    <row r="92" spans="1:10" ht="15">
      <c r="A92" s="1027" t="s">
        <v>86</v>
      </c>
      <c r="B92" s="1028"/>
      <c r="C92" s="29">
        <f>0.9825*MIN(NCBTP_Brut-J18,4*NCBTP_Plafond)+MAX(NCBTP_Brut-J18-4*NCBTP_Plafond,0)+NCBTP_BRUTABAT/100</f>
        <v>0</v>
      </c>
    </row>
    <row r="93" spans="1:10" ht="15"/>
    <row r="94" spans="1:10" ht="15" customHeight="1">
      <c r="A94" s="968" t="s">
        <v>188</v>
      </c>
      <c r="B94" s="968"/>
      <c r="C94" s="968"/>
    </row>
    <row r="95" spans="1:10" ht="15" customHeight="1">
      <c r="A95" s="1027" t="s">
        <v>190</v>
      </c>
      <c r="B95" s="1028"/>
      <c r="C95" s="18">
        <v>1</v>
      </c>
    </row>
    <row r="96" spans="1:10" ht="15" customHeight="1">
      <c r="A96" s="1027" t="s">
        <v>191</v>
      </c>
      <c r="B96" s="1028"/>
      <c r="C96" s="18">
        <v>1</v>
      </c>
    </row>
    <row r="97" spans="1:8" ht="15" customHeight="1">
      <c r="A97" s="1029" t="s">
        <v>192</v>
      </c>
      <c r="B97" s="991"/>
      <c r="C97" s="29">
        <f>SUM('NC BTP'!F22:'NC BTP'!F23)</f>
        <v>0</v>
      </c>
    </row>
    <row r="98" spans="1:8" ht="15" customHeight="1">
      <c r="A98" s="1027" t="s">
        <v>188</v>
      </c>
      <c r="B98" s="1028"/>
      <c r="C98" s="29">
        <f>SMIC_mens*C95*C96+SMIC_hor*C97</f>
        <v>1480.2991999999999</v>
      </c>
      <c r="H98" s="83"/>
    </row>
    <row r="99" spans="1:8" ht="15" customHeight="1"/>
    <row r="100" spans="1:8" ht="15" customHeight="1">
      <c r="A100" s="1024" t="s">
        <v>205</v>
      </c>
      <c r="B100" s="1025"/>
      <c r="C100" s="84">
        <f>IF(NCBTP_Brut=0,0,Société!B13/0.6*(1.6*SMIC_Fillon/NCBTP_BRUTABAT-1)/0.9)</f>
        <v>0</v>
      </c>
    </row>
    <row r="101" spans="1:8" ht="15" customHeight="1">
      <c r="A101" s="1024" t="s">
        <v>41</v>
      </c>
      <c r="B101" s="1025"/>
      <c r="C101" s="29">
        <f>IF(C100&gt;0,-NCBTP_BRUTABAT*C100,0)</f>
        <v>0</v>
      </c>
    </row>
    <row r="102" spans="1:8" ht="15" customHeight="1"/>
    <row r="103" spans="1:8" ht="15" customHeight="1"/>
    <row r="104" spans="1:8" ht="15" customHeight="1"/>
    <row r="105" spans="1:8" ht="15" customHeight="1"/>
    <row r="106" spans="1:8" ht="15" customHeight="1"/>
    <row r="107" spans="1:8" ht="15" customHeight="1"/>
    <row r="108" spans="1:8" ht="15" customHeight="1"/>
    <row r="109" spans="1:8" ht="15" customHeight="1"/>
    <row r="110" spans="1:8" ht="15" customHeight="1"/>
    <row r="111" spans="1:8" ht="15" customHeight="1"/>
    <row r="112" spans="1:8" ht="15" customHeight="1"/>
    <row r="113" ht="15" customHeight="1"/>
    <row r="114" ht="15" customHeight="1"/>
    <row r="115" ht="15" customHeight="1"/>
    <row r="116" ht="15" customHeight="1"/>
    <row r="117" ht="15" customHeight="1"/>
    <row r="118" ht="15" customHeight="1"/>
    <row r="119" ht="15" customHeight="1"/>
    <row r="120" ht="15" customHeight="1"/>
    <row r="121" ht="15" customHeight="1"/>
    <row r="122" ht="15" customHeight="1"/>
    <row r="123" ht="15" customHeight="1"/>
    <row r="124" ht="15" customHeight="1"/>
    <row r="125" ht="15" customHeight="1"/>
    <row r="126" ht="15" customHeight="1"/>
    <row r="127" ht="15" customHeight="1"/>
    <row r="128" ht="15" customHeight="1"/>
    <row r="129" ht="15" customHeight="1"/>
    <row r="130" ht="15" customHeight="1"/>
    <row r="131" ht="15" customHeight="1"/>
    <row r="132" ht="15" customHeight="1"/>
    <row r="133" ht="15" customHeight="1"/>
    <row r="134" ht="15" customHeight="1"/>
    <row r="135" ht="15" customHeight="1"/>
    <row r="136" ht="15" customHeight="1"/>
    <row r="137" ht="15" customHeight="1"/>
    <row r="138" ht="15" customHeight="1"/>
    <row r="139" ht="15" customHeight="1"/>
    <row r="140" ht="15" customHeight="1"/>
    <row r="141" ht="15" customHeight="1"/>
    <row r="142" ht="15" customHeight="1"/>
    <row r="143" ht="15" customHeight="1"/>
    <row r="144" ht="15" customHeight="1"/>
    <row r="145" ht="15" customHeight="1"/>
    <row r="146" ht="15" customHeight="1"/>
    <row r="147" ht="15" customHeight="1"/>
    <row r="148" ht="15" customHeight="1"/>
    <row r="149" ht="15" customHeight="1"/>
    <row r="150" ht="15" customHeight="1"/>
    <row r="151" ht="15" customHeight="1"/>
    <row r="152" ht="15" customHeight="1"/>
    <row r="153" ht="15" customHeight="1"/>
    <row r="154" ht="15" customHeight="1"/>
    <row r="155" ht="15" customHeight="1"/>
    <row r="156" ht="15" customHeight="1"/>
    <row r="157" ht="15" customHeight="1"/>
    <row r="158" ht="15" customHeight="1"/>
    <row r="159" ht="15" customHeight="1"/>
    <row r="160" ht="15" customHeight="1"/>
    <row r="161" ht="15" customHeight="1"/>
    <row r="162" ht="15" customHeight="1"/>
    <row r="163" ht="15" customHeight="1"/>
    <row r="164" ht="15" customHeight="1"/>
    <row r="165" ht="15" customHeight="1"/>
    <row r="166" ht="15" customHeight="1"/>
    <row r="167" ht="15" customHeight="1"/>
    <row r="168" ht="15" customHeight="1"/>
    <row r="169" ht="15" customHeight="1"/>
    <row r="170" ht="15" customHeight="1"/>
    <row r="171" ht="15" customHeight="1"/>
    <row r="172" ht="15" customHeight="1"/>
    <row r="173" ht="15" customHeight="1"/>
    <row r="174" ht="15" customHeight="1"/>
    <row r="175" ht="15" customHeight="1"/>
    <row r="176" ht="15" customHeight="1"/>
    <row r="177" ht="15" customHeight="1"/>
    <row r="178" ht="15" customHeight="1"/>
    <row r="179" ht="15" customHeight="1"/>
    <row r="180" ht="15" customHeight="1"/>
    <row r="181" ht="15" customHeight="1"/>
    <row r="182" ht="15" customHeight="1"/>
    <row r="183" ht="15" customHeight="1"/>
    <row r="184" ht="15" customHeight="1"/>
    <row r="185" ht="15" customHeight="1"/>
    <row r="186" ht="15" customHeight="1"/>
    <row r="187" ht="15" customHeight="1"/>
    <row r="188" ht="15" customHeight="1"/>
    <row r="189" ht="15" customHeight="1"/>
    <row r="190" ht="15" customHeight="1"/>
    <row r="191" ht="15" customHeight="1"/>
    <row r="192" ht="15" customHeight="1"/>
    <row r="193" ht="15" customHeight="1"/>
    <row r="194" ht="15" customHeight="1"/>
    <row r="195" ht="15" customHeight="1"/>
    <row r="196" ht="15" customHeight="1"/>
    <row r="197" ht="15" customHeight="1"/>
    <row r="198" ht="15" customHeight="1"/>
    <row r="199" ht="15" customHeight="1"/>
    <row r="200" ht="15" customHeight="1"/>
    <row r="201" ht="15" customHeight="1"/>
    <row r="202" ht="15" customHeight="1"/>
    <row r="203" ht="15" customHeight="1"/>
    <row r="204" ht="15" customHeight="1"/>
    <row r="205" ht="15" customHeight="1"/>
    <row r="206" ht="15" customHeight="1"/>
  </sheetData>
  <mergeCells count="52">
    <mergeCell ref="A96:B96"/>
    <mergeCell ref="A97:B97"/>
    <mergeCell ref="A98:B98"/>
    <mergeCell ref="A100:B100"/>
    <mergeCell ref="A101:B101"/>
    <mergeCell ref="A95:B95"/>
    <mergeCell ref="A85:B85"/>
    <mergeCell ref="D85:E85"/>
    <mergeCell ref="A86:B86"/>
    <mergeCell ref="D86:E86"/>
    <mergeCell ref="A88:C88"/>
    <mergeCell ref="A89:B89"/>
    <mergeCell ref="A90:B90"/>
    <mergeCell ref="A91:B91"/>
    <mergeCell ref="A92:B92"/>
    <mergeCell ref="A94:C94"/>
    <mergeCell ref="F88:G88"/>
    <mergeCell ref="A77:B77"/>
    <mergeCell ref="A78:B78"/>
    <mergeCell ref="A79:B79"/>
    <mergeCell ref="A80:B80"/>
    <mergeCell ref="A84:B84"/>
    <mergeCell ref="D84:E84"/>
    <mergeCell ref="A76:B76"/>
    <mergeCell ref="C10:F10"/>
    <mergeCell ref="I10:J10"/>
    <mergeCell ref="C11:F11"/>
    <mergeCell ref="I11:J11"/>
    <mergeCell ref="H13:I13"/>
    <mergeCell ref="A15:E16"/>
    <mergeCell ref="G15:H15"/>
    <mergeCell ref="I15:I16"/>
    <mergeCell ref="J15:J16"/>
    <mergeCell ref="B21:C21"/>
    <mergeCell ref="B22:C22"/>
    <mergeCell ref="B23:C23"/>
    <mergeCell ref="G29:H29"/>
    <mergeCell ref="I29:J29"/>
    <mergeCell ref="C9:F9"/>
    <mergeCell ref="I9:J9"/>
    <mergeCell ref="A1:F2"/>
    <mergeCell ref="I2:J2"/>
    <mergeCell ref="I3:J3"/>
    <mergeCell ref="A4:F4"/>
    <mergeCell ref="I4:J4"/>
    <mergeCell ref="C5:F5"/>
    <mergeCell ref="I5:J5"/>
    <mergeCell ref="C6:F6"/>
    <mergeCell ref="C7:F7"/>
    <mergeCell ref="I7:J7"/>
    <mergeCell ref="C8:F8"/>
    <mergeCell ref="I8:J8"/>
  </mergeCells>
  <conditionalFormatting sqref="I21">
    <cfRule type="cellIs" dxfId="1" priority="1" operator="equal">
      <formula>"Heures réelles"</formula>
    </cfRule>
  </conditionalFormatting>
  <dataValidations count="5">
    <dataValidation type="list" allowBlank="1" showInputMessage="1" showErrorMessage="1" sqref="B22:B23">
      <formula1>INDIRECT(A22)</formula1>
    </dataValidation>
    <dataValidation type="list" allowBlank="1" showInputMessage="1" showErrorMessage="1" sqref="B21">
      <formula1>absences</formula1>
    </dataValidation>
    <dataValidation type="list" allowBlank="1" showInputMessage="1" showErrorMessage="1" sqref="A68:B68">
      <formula1>liste_Fillon</formula1>
    </dataValidation>
    <dataValidation type="list" allowBlank="1" showInputMessage="1" showErrorMessage="1" sqref="A22:A23">
      <formula1>HS.HC</formula1>
    </dataValidation>
    <dataValidation type="list" allowBlank="1" showInputMessage="1" showErrorMessage="1" sqref="A36:B36">
      <formula1>Liste_AF</formula1>
    </dataValidation>
  </dataValidations>
  <pageMargins left="0.19685039370078741" right="0.19685039370078741" top="0.39370078740157483" bottom="0.19685039370078741" header="0.19685039370078741" footer="0.19685039370078741"/>
  <pageSetup paperSize="9" orientation="portrait" r:id="rId1"/>
  <headerFooter differentFirst="1">
    <oddHeader>&amp;LEmmanuel ESNAULT</oddHeader>
    <firstHeader>&amp;LEmmanuel ESNAULT</firstHeader>
    <firstFooter>&amp;C&amp;7DANS VOTRE INTERET ET POUR FAIRE VALOIR VOS DROITS, NOUS VOUS CONSEILLONS DE CONSERVER CE BULLETIN SANS LIMITATION DE DUREE</firstFooter>
  </headerFooter>
  <rowBreaks count="1" manualBreakCount="1">
    <brk id="86" max="16383" man="1"/>
  </rowBreaks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2">
    <tabColor rgb="FFFFFF00"/>
  </sheetPr>
  <dimension ref="A1:L210"/>
  <sheetViews>
    <sheetView showZeros="0" zoomScale="130" zoomScaleNormal="130" workbookViewId="0">
      <selection activeCell="B5" sqref="B5:D5"/>
    </sheetView>
  </sheetViews>
  <sheetFormatPr baseColWidth="10" defaultRowHeight="10.5" customHeight="1"/>
  <cols>
    <col min="1" max="1" width="7.42578125" style="8" customWidth="1"/>
    <col min="2" max="2" width="4" style="8" customWidth="1"/>
    <col min="3" max="4" width="12.5703125" style="8" customWidth="1"/>
    <col min="5" max="5" width="0.85546875" style="8" customWidth="1"/>
    <col min="6" max="10" width="12.5703125" style="8" customWidth="1"/>
    <col min="11" max="11" width="1.7109375" style="8" customWidth="1"/>
    <col min="12" max="16384" width="11.42578125" style="8"/>
  </cols>
  <sheetData>
    <row r="1" spans="1:11" ht="10.5" customHeight="1">
      <c r="A1" s="996" t="s">
        <v>60</v>
      </c>
      <c r="B1" s="997"/>
      <c r="C1" s="997"/>
      <c r="D1" s="997"/>
      <c r="E1" s="997"/>
      <c r="F1" s="998"/>
      <c r="G1" s="1"/>
      <c r="H1" s="22"/>
      <c r="I1" s="467" t="s">
        <v>62</v>
      </c>
      <c r="J1" s="23"/>
    </row>
    <row r="2" spans="1:11" ht="10.5" customHeight="1" thickBot="1">
      <c r="A2" s="999"/>
      <c r="B2" s="1000"/>
      <c r="C2" s="1000"/>
      <c r="D2" s="1000"/>
      <c r="E2" s="1000"/>
      <c r="F2" s="1001"/>
      <c r="G2" s="1"/>
      <c r="H2" s="110" t="s">
        <v>63</v>
      </c>
      <c r="I2" s="977"/>
      <c r="J2" s="978"/>
    </row>
    <row r="3" spans="1:11" ht="10.5" customHeight="1" thickBot="1">
      <c r="A3" s="2"/>
      <c r="B3" s="2"/>
      <c r="C3" s="2"/>
      <c r="D3" s="2"/>
      <c r="E3" s="2"/>
      <c r="F3" s="2"/>
      <c r="G3" s="1"/>
      <c r="H3" s="111" t="s">
        <v>64</v>
      </c>
      <c r="I3" s="979"/>
      <c r="J3" s="980"/>
    </row>
    <row r="4" spans="1:11" ht="10.5" customHeight="1">
      <c r="A4" s="1006" t="s">
        <v>61</v>
      </c>
      <c r="B4" s="1007"/>
      <c r="C4" s="1007"/>
      <c r="D4" s="1007"/>
      <c r="E4" s="1007"/>
      <c r="F4" s="1008"/>
      <c r="G4" s="1"/>
      <c r="H4" s="111" t="s">
        <v>65</v>
      </c>
      <c r="I4" s="979"/>
      <c r="J4" s="980"/>
    </row>
    <row r="5" spans="1:11" ht="10.5" customHeight="1">
      <c r="A5" s="3" t="s">
        <v>88</v>
      </c>
      <c r="B5" s="473"/>
      <c r="C5" s="1020">
        <f>Société!B3</f>
        <v>0</v>
      </c>
      <c r="D5" s="1020"/>
      <c r="E5" s="1020"/>
      <c r="F5" s="1021"/>
      <c r="G5" s="1"/>
      <c r="H5" s="111" t="s">
        <v>66</v>
      </c>
      <c r="I5" s="979" t="s">
        <v>237</v>
      </c>
      <c r="J5" s="980"/>
    </row>
    <row r="6" spans="1:11" ht="10.5" customHeight="1">
      <c r="A6" s="3" t="s">
        <v>69</v>
      </c>
      <c r="B6" s="473"/>
      <c r="C6" s="983">
        <f>Société!B4</f>
        <v>0</v>
      </c>
      <c r="D6" s="983"/>
      <c r="E6" s="983"/>
      <c r="F6" s="984"/>
      <c r="G6" s="1"/>
      <c r="H6" s="111" t="s">
        <v>71</v>
      </c>
      <c r="I6" s="471" t="s">
        <v>72</v>
      </c>
      <c r="J6" s="472" t="s">
        <v>73</v>
      </c>
    </row>
    <row r="7" spans="1:11" ht="10.5" customHeight="1">
      <c r="A7" s="3"/>
      <c r="B7" s="473"/>
      <c r="C7" s="983">
        <f>Société!B5</f>
        <v>0</v>
      </c>
      <c r="D7" s="983"/>
      <c r="E7" s="983"/>
      <c r="F7" s="984"/>
      <c r="G7" s="1"/>
      <c r="H7" s="111" t="s">
        <v>67</v>
      </c>
      <c r="I7" s="979"/>
      <c r="J7" s="980"/>
    </row>
    <row r="8" spans="1:11" ht="10.5" customHeight="1">
      <c r="A8" s="3" t="s">
        <v>74</v>
      </c>
      <c r="B8" s="473"/>
      <c r="C8" s="983">
        <f>Société!B6</f>
        <v>0</v>
      </c>
      <c r="D8" s="983"/>
      <c r="E8" s="983"/>
      <c r="F8" s="984"/>
      <c r="G8" s="1"/>
      <c r="H8" s="111" t="s">
        <v>68</v>
      </c>
      <c r="I8" s="1022"/>
      <c r="J8" s="1023"/>
    </row>
    <row r="9" spans="1:11" ht="10.5" customHeight="1">
      <c r="A9" s="3" t="s">
        <v>75</v>
      </c>
      <c r="B9" s="473"/>
      <c r="C9" s="983">
        <f>Société!B7</f>
        <v>0</v>
      </c>
      <c r="D9" s="983"/>
      <c r="E9" s="983"/>
      <c r="F9" s="984"/>
      <c r="G9" s="1"/>
      <c r="H9" s="111" t="s">
        <v>69</v>
      </c>
      <c r="I9" s="979"/>
      <c r="J9" s="980"/>
    </row>
    <row r="10" spans="1:11" ht="10.5" customHeight="1">
      <c r="A10" s="3" t="s">
        <v>76</v>
      </c>
      <c r="B10" s="473"/>
      <c r="C10" s="983">
        <f>Société!B8</f>
        <v>0</v>
      </c>
      <c r="D10" s="983"/>
      <c r="E10" s="983"/>
      <c r="F10" s="984"/>
      <c r="G10" s="1"/>
      <c r="H10" s="111"/>
      <c r="I10" s="979"/>
      <c r="J10" s="980"/>
    </row>
    <row r="11" spans="1:11" ht="10.5" customHeight="1" thickBot="1">
      <c r="A11" s="4" t="s">
        <v>77</v>
      </c>
      <c r="B11" s="474"/>
      <c r="C11" s="985">
        <f>Société!B9</f>
        <v>0</v>
      </c>
      <c r="D11" s="985"/>
      <c r="E11" s="985"/>
      <c r="F11" s="986"/>
      <c r="G11" s="1"/>
      <c r="H11" s="112" t="s">
        <v>70</v>
      </c>
      <c r="I11" s="1018"/>
      <c r="J11" s="1019"/>
    </row>
    <row r="12" spans="1:11" ht="10.5" customHeight="1" thickBot="1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1" ht="10.5" customHeight="1" thickBot="1">
      <c r="A13" s="94" t="s">
        <v>79</v>
      </c>
      <c r="B13" s="96"/>
      <c r="C13" s="95">
        <f>Société!B19</f>
        <v>0</v>
      </c>
      <c r="D13" s="470" t="s">
        <v>80</v>
      </c>
      <c r="E13" s="96"/>
      <c r="F13" s="97">
        <f>IF(C13=0,0,EOMONTH(C13,0))</f>
        <v>0</v>
      </c>
      <c r="G13" s="1"/>
      <c r="H13" s="1016" t="s">
        <v>81</v>
      </c>
      <c r="I13" s="1017"/>
      <c r="J13" s="99">
        <f>PMSS</f>
        <v>3269</v>
      </c>
    </row>
    <row r="14" spans="1:11" ht="10.5" customHeight="1" thickBot="1">
      <c r="A14" s="1"/>
      <c r="B14" s="1"/>
      <c r="C14" s="1"/>
      <c r="D14" s="1"/>
      <c r="E14" s="1"/>
      <c r="F14" s="1"/>
      <c r="G14" s="1"/>
      <c r="H14" s="1"/>
      <c r="I14" s="1"/>
      <c r="J14" s="1"/>
    </row>
    <row r="15" spans="1:11" ht="10.5" customHeight="1">
      <c r="A15" s="1002" t="s">
        <v>0</v>
      </c>
      <c r="B15" s="1003"/>
      <c r="C15" s="1003"/>
      <c r="D15" s="1003"/>
      <c r="E15" s="1003"/>
      <c r="F15" s="468" t="s">
        <v>50</v>
      </c>
      <c r="G15" s="1011"/>
      <c r="H15" s="1011"/>
      <c r="I15" s="1012" t="s">
        <v>1</v>
      </c>
      <c r="J15" s="1014" t="s">
        <v>3</v>
      </c>
      <c r="K15" s="11"/>
    </row>
    <row r="16" spans="1:11" ht="10.5" customHeight="1">
      <c r="A16" s="1004"/>
      <c r="B16" s="1005"/>
      <c r="C16" s="1005"/>
      <c r="D16" s="1005"/>
      <c r="E16" s="1005"/>
      <c r="F16" s="469" t="s">
        <v>51</v>
      </c>
      <c r="G16" s="447"/>
      <c r="H16" s="448"/>
      <c r="I16" s="1013"/>
      <c r="J16" s="1015"/>
      <c r="K16" s="11"/>
    </row>
    <row r="17" spans="1:11" ht="10.5" customHeight="1">
      <c r="A17" s="3" t="s">
        <v>455</v>
      </c>
      <c r="B17" s="473"/>
      <c r="C17" s="473"/>
      <c r="D17" s="473"/>
      <c r="E17" s="473"/>
      <c r="F17" s="9">
        <v>151.66999999999999</v>
      </c>
      <c r="G17" s="449"/>
      <c r="H17" s="449"/>
      <c r="I17" s="9">
        <f>J17/F17</f>
        <v>0</v>
      </c>
      <c r="J17" s="87"/>
      <c r="K17" s="11"/>
    </row>
    <row r="18" spans="1:11" ht="10.5" customHeight="1">
      <c r="A18" s="3" t="s">
        <v>470</v>
      </c>
      <c r="B18" s="473"/>
      <c r="C18" s="473"/>
      <c r="D18" s="473"/>
      <c r="E18" s="473"/>
      <c r="F18" s="9"/>
      <c r="G18" s="449"/>
      <c r="H18" s="449"/>
      <c r="I18" s="485"/>
      <c r="J18" s="87">
        <f>F18*I18</f>
        <v>0</v>
      </c>
      <c r="K18" s="11"/>
    </row>
    <row r="19" spans="1:11" ht="10.5" customHeight="1">
      <c r="A19" s="3" t="s">
        <v>469</v>
      </c>
      <c r="B19" s="473"/>
      <c r="C19" s="473"/>
      <c r="D19" s="473"/>
      <c r="E19" s="473"/>
      <c r="F19" s="9"/>
      <c r="G19" s="449"/>
      <c r="H19" s="449"/>
      <c r="I19" s="9"/>
      <c r="J19" s="87">
        <f>F19*I19</f>
        <v>0</v>
      </c>
      <c r="K19" s="11"/>
    </row>
    <row r="20" spans="1:11" ht="10.5" customHeight="1" thickBot="1">
      <c r="A20" s="3"/>
      <c r="B20" s="473"/>
      <c r="C20" s="473"/>
      <c r="D20" s="473"/>
      <c r="E20" s="473"/>
      <c r="F20" s="9"/>
      <c r="G20" s="449"/>
      <c r="H20" s="449"/>
      <c r="I20" s="9"/>
      <c r="J20" s="87"/>
      <c r="K20" s="11"/>
    </row>
    <row r="21" spans="1:11" ht="10.5" hidden="1" customHeight="1">
      <c r="A21" s="3" t="str">
        <f>IF(B21=0,"","Absences")</f>
        <v>Absences</v>
      </c>
      <c r="B21" s="987" t="s">
        <v>8</v>
      </c>
      <c r="C21" s="987"/>
      <c r="D21" s="473"/>
      <c r="E21" s="473"/>
      <c r="F21" s="9"/>
      <c r="G21" s="449"/>
      <c r="H21" s="449"/>
      <c r="I21" s="100">
        <f>IF(B21="en heures réelles",IF(H91=0,"Heures réelles",J17/H91),IF(B21="au 30ème",J17/30,J17/26))</f>
        <v>0</v>
      </c>
      <c r="J21" s="87">
        <f>IF(I21="Heures réelles",0,-F21*I21)</f>
        <v>0</v>
      </c>
      <c r="K21" s="11"/>
    </row>
    <row r="22" spans="1:11" ht="10.5" hidden="1" customHeight="1">
      <c r="A22" s="3" t="s">
        <v>10</v>
      </c>
      <c r="B22" s="1026">
        <v>1.25</v>
      </c>
      <c r="C22" s="1026"/>
      <c r="D22" s="473"/>
      <c r="E22" s="473"/>
      <c r="F22" s="9"/>
      <c r="G22" s="449"/>
      <c r="H22" s="449"/>
      <c r="I22" s="9">
        <f>IF(B22=0,$I$17,$I$17*B22)</f>
        <v>0</v>
      </c>
      <c r="J22" s="87">
        <f>F22*I22</f>
        <v>0</v>
      </c>
      <c r="K22" s="11"/>
    </row>
    <row r="23" spans="1:11" ht="10.5" hidden="1" customHeight="1">
      <c r="A23" s="3" t="s">
        <v>10</v>
      </c>
      <c r="B23" s="1026">
        <v>1.5</v>
      </c>
      <c r="C23" s="1026"/>
      <c r="D23" s="473"/>
      <c r="E23" s="473"/>
      <c r="F23" s="9"/>
      <c r="G23" s="449"/>
      <c r="H23" s="449"/>
      <c r="I23" s="9">
        <f>IF(B23=0,$I$17,$I$17*B23)</f>
        <v>0</v>
      </c>
      <c r="J23" s="87">
        <f>F23*I23</f>
        <v>0</v>
      </c>
      <c r="K23" s="11"/>
    </row>
    <row r="24" spans="1:11" ht="10.5" hidden="1" customHeight="1">
      <c r="A24" s="3" t="s">
        <v>14</v>
      </c>
      <c r="B24" s="473"/>
      <c r="C24" s="473"/>
      <c r="D24" s="473"/>
      <c r="E24" s="473"/>
      <c r="F24" s="9"/>
      <c r="G24" s="449"/>
      <c r="H24" s="449"/>
      <c r="I24" s="5"/>
      <c r="J24" s="87"/>
      <c r="K24" s="11"/>
    </row>
    <row r="25" spans="1:11" ht="10.5" hidden="1" customHeight="1">
      <c r="A25" s="3" t="s">
        <v>15</v>
      </c>
      <c r="B25" s="473"/>
      <c r="C25" s="473"/>
      <c r="D25" s="473"/>
      <c r="E25" s="473"/>
      <c r="F25" s="9"/>
      <c r="G25" s="449"/>
      <c r="H25" s="449"/>
      <c r="I25" s="5"/>
      <c r="J25" s="87"/>
      <c r="K25" s="11"/>
    </row>
    <row r="26" spans="1:11" ht="10.5" hidden="1" customHeight="1" thickBot="1">
      <c r="A26" s="3" t="s">
        <v>16</v>
      </c>
      <c r="B26" s="473"/>
      <c r="C26" s="473"/>
      <c r="D26" s="473"/>
      <c r="E26" s="473"/>
      <c r="F26" s="9"/>
      <c r="G26" s="449"/>
      <c r="H26" s="449"/>
      <c r="I26" s="5"/>
      <c r="J26" s="87"/>
      <c r="K26" s="11"/>
    </row>
    <row r="27" spans="1:11" ht="10.5" customHeight="1" thickBot="1">
      <c r="A27" s="10" t="s">
        <v>17</v>
      </c>
      <c r="B27" s="403"/>
      <c r="C27" s="11"/>
      <c r="D27" s="11"/>
      <c r="E27" s="11"/>
      <c r="F27" s="34"/>
      <c r="G27" s="450"/>
      <c r="H27" s="450"/>
      <c r="I27" s="481"/>
      <c r="J27" s="32">
        <f>SUM(J17:J26)</f>
        <v>0</v>
      </c>
      <c r="K27" s="11"/>
    </row>
    <row r="28" spans="1:11" ht="10.5" customHeight="1" thickBot="1">
      <c r="A28" s="489" t="s">
        <v>461</v>
      </c>
      <c r="B28" s="482"/>
      <c r="F28" s="475"/>
      <c r="G28" s="483"/>
      <c r="H28" s="477"/>
      <c r="J28" s="479">
        <f>CBTP_Brut*0.9</f>
        <v>0</v>
      </c>
    </row>
    <row r="29" spans="1:11" ht="10.5" customHeight="1">
      <c r="A29" s="13"/>
      <c r="B29" s="11"/>
      <c r="C29" s="11"/>
      <c r="D29" s="11"/>
      <c r="E29" s="11"/>
      <c r="F29" s="34"/>
      <c r="G29" s="1009" t="s">
        <v>2</v>
      </c>
      <c r="H29" s="1009"/>
      <c r="I29" s="1009" t="s">
        <v>4</v>
      </c>
      <c r="J29" s="1010"/>
      <c r="K29" s="11"/>
    </row>
    <row r="30" spans="1:11" ht="10.5" customHeight="1">
      <c r="A30" s="13"/>
      <c r="B30" s="11"/>
      <c r="C30" s="11"/>
      <c r="D30" s="11"/>
      <c r="E30" s="11"/>
      <c r="F30" s="34"/>
      <c r="G30" s="6" t="s">
        <v>1</v>
      </c>
      <c r="H30" s="6" t="s">
        <v>3</v>
      </c>
      <c r="I30" s="6" t="s">
        <v>1</v>
      </c>
      <c r="J30" s="7" t="s">
        <v>3</v>
      </c>
      <c r="K30" s="11"/>
    </row>
    <row r="31" spans="1:11" ht="12" customHeight="1">
      <c r="A31" s="14" t="s">
        <v>18</v>
      </c>
      <c r="B31" s="404"/>
      <c r="C31" s="11"/>
      <c r="D31" s="11"/>
      <c r="E31" s="11"/>
      <c r="F31" s="34"/>
      <c r="G31" s="46"/>
      <c r="H31" s="33"/>
      <c r="I31" s="61"/>
      <c r="J31" s="30"/>
      <c r="K31" s="11"/>
    </row>
    <row r="32" spans="1:11" ht="10.5" customHeight="1">
      <c r="A32" s="3" t="s">
        <v>98</v>
      </c>
      <c r="B32" s="473"/>
      <c r="C32" s="11"/>
      <c r="D32" s="11"/>
      <c r="E32" s="11"/>
      <c r="F32" s="34">
        <f>CBTP_CSGRDS</f>
        <v>0</v>
      </c>
      <c r="G32" s="46"/>
      <c r="H32" s="34">
        <f t="shared" ref="H32:H72" si="0">ROUNDUP(F32*G32,2)</f>
        <v>0</v>
      </c>
      <c r="I32" s="60">
        <f>Cotisations!C5</f>
        <v>5.0999999999999997E-2</v>
      </c>
      <c r="J32" s="30">
        <f t="shared" ref="J32:J72" si="1">ROUNDUP(F32*I32,2)</f>
        <v>0</v>
      </c>
      <c r="K32" s="11"/>
    </row>
    <row r="33" spans="1:11" ht="10.5" customHeight="1">
      <c r="A33" s="3" t="s">
        <v>19</v>
      </c>
      <c r="B33" s="473"/>
      <c r="C33" s="11"/>
      <c r="D33" s="11"/>
      <c r="E33" s="11"/>
      <c r="F33" s="34">
        <f t="shared" ref="F33:F38" si="2">CBTP_BRUTABAT</f>
        <v>0</v>
      </c>
      <c r="G33" s="46">
        <f>Cotisations!B8</f>
        <v>0.12889999999999999</v>
      </c>
      <c r="H33" s="34">
        <f t="shared" si="0"/>
        <v>0</v>
      </c>
      <c r="I33" s="60">
        <f>Cotisations!C8</f>
        <v>7.4999999999999997E-3</v>
      </c>
      <c r="J33" s="30">
        <f t="shared" si="1"/>
        <v>0</v>
      </c>
      <c r="K33" s="11"/>
    </row>
    <row r="34" spans="1:11" ht="10.5" customHeight="1">
      <c r="A34" s="3" t="s">
        <v>20</v>
      </c>
      <c r="B34" s="473"/>
      <c r="C34" s="11"/>
      <c r="D34" s="11"/>
      <c r="E34" s="11"/>
      <c r="F34" s="34">
        <f t="shared" si="2"/>
        <v>0</v>
      </c>
      <c r="G34" s="46">
        <f>Cotisations!B9</f>
        <v>3.0000000000000001E-3</v>
      </c>
      <c r="H34" s="34">
        <f t="shared" si="0"/>
        <v>0</v>
      </c>
      <c r="I34" s="60"/>
      <c r="J34" s="30">
        <f t="shared" si="1"/>
        <v>0</v>
      </c>
      <c r="K34" s="11"/>
    </row>
    <row r="35" spans="1:11" ht="10.5" customHeight="1">
      <c r="A35" s="3" t="s">
        <v>21</v>
      </c>
      <c r="B35" s="473"/>
      <c r="C35" s="11"/>
      <c r="D35" s="11"/>
      <c r="E35" s="11"/>
      <c r="F35" s="34">
        <f t="shared" si="2"/>
        <v>0</v>
      </c>
      <c r="G35" s="46">
        <f>Société!B16</f>
        <v>0</v>
      </c>
      <c r="H35" s="34">
        <f t="shared" si="0"/>
        <v>0</v>
      </c>
      <c r="I35" s="60"/>
      <c r="J35" s="30">
        <f t="shared" si="1"/>
        <v>0</v>
      </c>
      <c r="K35" s="11"/>
    </row>
    <row r="36" spans="1:11" ht="10.5" customHeight="1">
      <c r="A36" s="3" t="s">
        <v>274</v>
      </c>
      <c r="B36" s="473"/>
      <c r="C36" s="11"/>
      <c r="D36" s="11"/>
      <c r="E36" s="11"/>
      <c r="F36" s="34">
        <f t="shared" si="2"/>
        <v>0</v>
      </c>
      <c r="G36" s="46">
        <f>Cotisations!B10+IF(CBTP_BRUTABAT&lt;3.5*SMIC_Fillon,0,Cotisations!B11)</f>
        <v>3.4500000000000003E-2</v>
      </c>
      <c r="H36" s="34">
        <f t="shared" si="0"/>
        <v>0</v>
      </c>
      <c r="I36" s="60"/>
      <c r="J36" s="30">
        <f t="shared" si="1"/>
        <v>0</v>
      </c>
      <c r="K36" s="11"/>
    </row>
    <row r="37" spans="1:11" ht="10.5" customHeight="1">
      <c r="A37" s="3" t="s">
        <v>23</v>
      </c>
      <c r="B37" s="473"/>
      <c r="C37" s="11"/>
      <c r="D37" s="11"/>
      <c r="E37" s="11"/>
      <c r="F37" s="34">
        <f t="shared" si="2"/>
        <v>0</v>
      </c>
      <c r="G37" s="46">
        <f>Société!B17</f>
        <v>0</v>
      </c>
      <c r="H37" s="34">
        <f t="shared" si="0"/>
        <v>0</v>
      </c>
      <c r="I37" s="60"/>
      <c r="J37" s="30">
        <f t="shared" si="1"/>
        <v>0</v>
      </c>
      <c r="K37" s="11"/>
    </row>
    <row r="38" spans="1:11" ht="10.5" customHeight="1">
      <c r="A38" s="3" t="s">
        <v>24</v>
      </c>
      <c r="B38" s="473"/>
      <c r="C38" s="11"/>
      <c r="D38" s="11"/>
      <c r="E38" s="11"/>
      <c r="F38" s="34">
        <f t="shared" si="2"/>
        <v>0</v>
      </c>
      <c r="G38" s="46">
        <f>Cotisations!B12</f>
        <v>1.9E-2</v>
      </c>
      <c r="H38" s="34">
        <f t="shared" si="0"/>
        <v>0</v>
      </c>
      <c r="I38" s="60">
        <f>Cotisations!C12</f>
        <v>4.0000000000000001E-3</v>
      </c>
      <c r="J38" s="30">
        <f t="shared" si="1"/>
        <v>0</v>
      </c>
      <c r="K38" s="11"/>
    </row>
    <row r="39" spans="1:11" ht="10.5" customHeight="1">
      <c r="A39" s="3" t="s">
        <v>25</v>
      </c>
      <c r="B39" s="473"/>
      <c r="C39" s="11"/>
      <c r="D39" s="11"/>
      <c r="E39" s="11"/>
      <c r="F39" s="34">
        <f>MIN(CBTP_BRUTABAT,CBTP_Plafond)</f>
        <v>0</v>
      </c>
      <c r="G39" s="46">
        <f>Cotisations!B13</f>
        <v>8.5500000000000007E-2</v>
      </c>
      <c r="H39" s="34">
        <f t="shared" si="0"/>
        <v>0</v>
      </c>
      <c r="I39" s="60">
        <f>Cotisations!C13</f>
        <v>6.9000000000000006E-2</v>
      </c>
      <c r="J39" s="30">
        <f t="shared" si="1"/>
        <v>0</v>
      </c>
      <c r="K39" s="11"/>
    </row>
    <row r="40" spans="1:11" ht="10.5" customHeight="1">
      <c r="A40" s="3" t="s">
        <v>26</v>
      </c>
      <c r="B40" s="473"/>
      <c r="C40" s="11"/>
      <c r="D40" s="11"/>
      <c r="E40" s="11"/>
      <c r="F40" s="45">
        <f>IF(effectif&lt;20,CBTP_TA,CBTP_BRUTABAT)</f>
        <v>0</v>
      </c>
      <c r="G40" s="46">
        <f>IF(effectif&lt;20,Cotisations!B14,Cotisations!B15)</f>
        <v>1E-3</v>
      </c>
      <c r="H40" s="34">
        <f t="shared" si="0"/>
        <v>0</v>
      </c>
      <c r="I40" s="60"/>
      <c r="J40" s="30">
        <f t="shared" si="1"/>
        <v>0</v>
      </c>
      <c r="K40" s="11"/>
    </row>
    <row r="41" spans="1:11" ht="10.5" customHeight="1">
      <c r="A41" s="3" t="s">
        <v>27</v>
      </c>
      <c r="B41" s="473"/>
      <c r="C41" s="11"/>
      <c r="D41" s="11"/>
      <c r="E41" s="11"/>
      <c r="F41" s="45">
        <f>IF(effectif&lt;11,0,SUM(H66:H70))</f>
        <v>0</v>
      </c>
      <c r="G41" s="46">
        <f>Cotisations!B16</f>
        <v>0.08</v>
      </c>
      <c r="H41" s="34">
        <f t="shared" si="0"/>
        <v>0</v>
      </c>
      <c r="I41" s="60"/>
      <c r="J41" s="30">
        <f t="shared" si="1"/>
        <v>0</v>
      </c>
      <c r="K41" s="11"/>
    </row>
    <row r="42" spans="1:11" ht="10.5" hidden="1" customHeight="1">
      <c r="A42" s="3" t="s">
        <v>211</v>
      </c>
      <c r="B42" s="473"/>
      <c r="C42" s="11"/>
      <c r="D42" s="11"/>
      <c r="E42" s="11"/>
      <c r="F42" s="45" t="e">
        <f>SUM(H58:H59)</f>
        <v>#REF!</v>
      </c>
      <c r="G42" s="46">
        <f>Cotisations!B17</f>
        <v>0.2</v>
      </c>
      <c r="H42" s="34" t="e">
        <f t="shared" si="0"/>
        <v>#REF!</v>
      </c>
      <c r="I42" s="60"/>
      <c r="J42" s="30"/>
      <c r="K42" s="11"/>
    </row>
    <row r="43" spans="1:11" ht="10.5" customHeight="1">
      <c r="A43" s="3" t="s">
        <v>28</v>
      </c>
      <c r="B43" s="473"/>
      <c r="C43" s="11"/>
      <c r="D43" s="11"/>
      <c r="E43" s="11"/>
      <c r="F43" s="34">
        <f>CBTP_BRUTABAT</f>
        <v>0</v>
      </c>
      <c r="G43" s="46">
        <f>Cotisations!B18</f>
        <v>1.6000000000000001E-4</v>
      </c>
      <c r="H43" s="34">
        <f t="shared" si="0"/>
        <v>0</v>
      </c>
      <c r="I43" s="60"/>
      <c r="J43" s="30">
        <f t="shared" si="1"/>
        <v>0</v>
      </c>
      <c r="K43" s="11"/>
    </row>
    <row r="44" spans="1:11" ht="10.5" customHeight="1">
      <c r="A44" s="3" t="s">
        <v>29</v>
      </c>
      <c r="B44" s="473"/>
      <c r="C44" s="11"/>
      <c r="D44" s="11"/>
      <c r="E44" s="11"/>
      <c r="F44" s="34">
        <f>CBTP_BRUTABAT</f>
        <v>0</v>
      </c>
      <c r="G44" s="46">
        <f>Cotisations!B19</f>
        <v>1E-4</v>
      </c>
      <c r="H44" s="34">
        <f t="shared" si="0"/>
        <v>0</v>
      </c>
      <c r="I44" s="60"/>
      <c r="J44" s="30">
        <f t="shared" si="1"/>
        <v>0</v>
      </c>
      <c r="K44" s="11"/>
    </row>
    <row r="45" spans="1:11" ht="12" customHeight="1">
      <c r="A45" s="14" t="s">
        <v>30</v>
      </c>
      <c r="B45" s="404"/>
      <c r="C45" s="11"/>
      <c r="D45" s="11"/>
      <c r="E45" s="11"/>
      <c r="F45" s="34"/>
      <c r="G45" s="46"/>
      <c r="H45" s="34">
        <f t="shared" si="0"/>
        <v>0</v>
      </c>
      <c r="I45" s="60"/>
      <c r="J45" s="30">
        <f t="shared" si="1"/>
        <v>0</v>
      </c>
      <c r="K45" s="11"/>
    </row>
    <row r="46" spans="1:11" ht="10.5" customHeight="1">
      <c r="A46" s="3" t="s">
        <v>31</v>
      </c>
      <c r="B46" s="473"/>
      <c r="C46" s="11"/>
      <c r="D46" s="11"/>
      <c r="E46" s="11"/>
      <c r="F46" s="34">
        <f>CBTP_TA+CBTP_TB</f>
        <v>0</v>
      </c>
      <c r="G46" s="46">
        <f>Cotisations!B22</f>
        <v>4.0500000000000001E-2</v>
      </c>
      <c r="H46" s="34">
        <f t="shared" si="0"/>
        <v>0</v>
      </c>
      <c r="I46" s="60">
        <f>Cotisations!C22</f>
        <v>2.4E-2</v>
      </c>
      <c r="J46" s="30">
        <f t="shared" si="1"/>
        <v>0</v>
      </c>
      <c r="K46" s="11"/>
    </row>
    <row r="47" spans="1:11" ht="10.5" customHeight="1">
      <c r="A47" s="3" t="s">
        <v>32</v>
      </c>
      <c r="B47" s="473"/>
      <c r="C47" s="11"/>
      <c r="D47" s="11"/>
      <c r="E47" s="11"/>
      <c r="F47" s="34">
        <f>CBTP_TA+CBTP_TB</f>
        <v>0</v>
      </c>
      <c r="G47" s="46">
        <f>Cotisations!B23</f>
        <v>1.5E-3</v>
      </c>
      <c r="H47" s="34">
        <f t="shared" si="0"/>
        <v>0</v>
      </c>
      <c r="I47" s="60"/>
      <c r="J47" s="30">
        <f t="shared" si="1"/>
        <v>0</v>
      </c>
      <c r="K47" s="11"/>
    </row>
    <row r="48" spans="1:11" ht="10.5" hidden="1" customHeight="1">
      <c r="A48" s="3" t="s">
        <v>33</v>
      </c>
      <c r="B48" s="473"/>
      <c r="C48" s="11"/>
      <c r="D48" s="11"/>
      <c r="E48" s="11"/>
      <c r="F48" s="34"/>
      <c r="G48" s="46"/>
      <c r="H48" s="34">
        <f t="shared" si="0"/>
        <v>0</v>
      </c>
      <c r="I48" s="60"/>
      <c r="J48" s="30">
        <f t="shared" si="1"/>
        <v>0</v>
      </c>
      <c r="K48" s="11"/>
    </row>
    <row r="49" spans="1:11" ht="12" customHeight="1">
      <c r="A49" s="14" t="s">
        <v>215</v>
      </c>
      <c r="B49" s="404"/>
      <c r="C49" s="11"/>
      <c r="D49" s="11"/>
      <c r="E49" s="11"/>
      <c r="F49" s="34"/>
      <c r="G49" s="46"/>
      <c r="H49" s="34">
        <f t="shared" si="0"/>
        <v>0</v>
      </c>
      <c r="I49" s="60"/>
      <c r="J49" s="30">
        <f t="shared" si="1"/>
        <v>0</v>
      </c>
      <c r="K49" s="11"/>
    </row>
    <row r="50" spans="1:11" ht="10.5" customHeight="1">
      <c r="A50" s="3" t="s">
        <v>216</v>
      </c>
      <c r="B50" s="473"/>
      <c r="C50" s="11"/>
      <c r="D50" s="11"/>
      <c r="E50" s="11"/>
      <c r="F50" s="34">
        <f>CBTP_TA</f>
        <v>0</v>
      </c>
      <c r="G50" s="46">
        <f>Cotisations!B28</f>
        <v>4.65E-2</v>
      </c>
      <c r="H50" s="34">
        <f t="shared" si="0"/>
        <v>0</v>
      </c>
      <c r="I50" s="60">
        <f>Cotisations!C28</f>
        <v>3.1E-2</v>
      </c>
      <c r="J50" s="30">
        <f t="shared" si="1"/>
        <v>0</v>
      </c>
      <c r="K50" s="11"/>
    </row>
    <row r="51" spans="1:11" ht="10.5" customHeight="1">
      <c r="A51" s="3" t="s">
        <v>227</v>
      </c>
      <c r="B51" s="473"/>
      <c r="C51" s="11"/>
      <c r="D51" s="11"/>
      <c r="E51" s="11"/>
      <c r="F51" s="34">
        <f>CBTP_TB</f>
        <v>0</v>
      </c>
      <c r="G51" s="46">
        <f>Cotisations!B29</f>
        <v>0.1215</v>
      </c>
      <c r="H51" s="34">
        <f t="shared" si="0"/>
        <v>0</v>
      </c>
      <c r="I51" s="60">
        <f>Cotisations!C29</f>
        <v>8.1000000000000003E-2</v>
      </c>
      <c r="J51" s="30">
        <f t="shared" si="1"/>
        <v>0</v>
      </c>
      <c r="K51" s="11"/>
    </row>
    <row r="52" spans="1:11" ht="10.5" hidden="1" customHeight="1">
      <c r="A52" s="3" t="s">
        <v>228</v>
      </c>
      <c r="B52" s="473"/>
      <c r="C52" s="11"/>
      <c r="D52" s="11"/>
      <c r="E52" s="11"/>
      <c r="F52" s="34">
        <f>CBTP_TC</f>
        <v>0</v>
      </c>
      <c r="G52" s="46">
        <f>Cotisations!B40</f>
        <v>3.6000000000000002E-4</v>
      </c>
      <c r="H52" s="34">
        <f t="shared" si="0"/>
        <v>0</v>
      </c>
      <c r="I52" s="60">
        <f>Cotisations!C40</f>
        <v>2.4000000000000001E-4</v>
      </c>
      <c r="J52" s="30">
        <f t="shared" si="1"/>
        <v>0</v>
      </c>
      <c r="K52" s="11"/>
    </row>
    <row r="53" spans="1:11" ht="10.5" customHeight="1">
      <c r="A53" s="3" t="s">
        <v>217</v>
      </c>
      <c r="B53" s="473"/>
      <c r="C53" s="11"/>
      <c r="D53" s="11"/>
      <c r="E53" s="11"/>
      <c r="F53" s="34">
        <f>CBTP_TA</f>
        <v>0</v>
      </c>
      <c r="G53" s="46">
        <f>Cotisations!B30</f>
        <v>1.2E-2</v>
      </c>
      <c r="H53" s="34">
        <f t="shared" si="0"/>
        <v>0</v>
      </c>
      <c r="I53" s="60">
        <f>Cotisations!C30</f>
        <v>8.0000000000000002E-3</v>
      </c>
      <c r="J53" s="30">
        <f t="shared" si="1"/>
        <v>0</v>
      </c>
      <c r="K53" s="11"/>
    </row>
    <row r="54" spans="1:11" ht="10.5" customHeight="1">
      <c r="A54" s="3" t="s">
        <v>229</v>
      </c>
      <c r="B54" s="473"/>
      <c r="C54" s="11"/>
      <c r="D54" s="11"/>
      <c r="E54" s="11"/>
      <c r="F54" s="34">
        <f>CBTP_TB+CBTP_TC</f>
        <v>0</v>
      </c>
      <c r="G54" s="46">
        <f>Cotisations!B31</f>
        <v>1.2999999999999999E-2</v>
      </c>
      <c r="H54" s="34">
        <f t="shared" si="0"/>
        <v>0</v>
      </c>
      <c r="I54" s="60">
        <f>Cotisations!C31</f>
        <v>8.9999999999999993E-3</v>
      </c>
      <c r="J54" s="30">
        <f t="shared" si="1"/>
        <v>0</v>
      </c>
      <c r="K54" s="11"/>
    </row>
    <row r="55" spans="1:11" ht="10.5" customHeight="1">
      <c r="A55" s="3" t="s">
        <v>108</v>
      </c>
      <c r="B55" s="473"/>
      <c r="C55" s="11"/>
      <c r="D55" s="11"/>
      <c r="E55" s="11"/>
      <c r="F55" s="34">
        <f>CBTP_GMP</f>
        <v>0</v>
      </c>
      <c r="G55" s="46">
        <v>0.1275</v>
      </c>
      <c r="H55" s="34">
        <f t="shared" si="0"/>
        <v>0</v>
      </c>
      <c r="I55" s="60">
        <f>Cotisations!C36</f>
        <v>7.8E-2</v>
      </c>
      <c r="J55" s="30">
        <f t="shared" si="1"/>
        <v>0</v>
      </c>
      <c r="K55" s="11"/>
    </row>
    <row r="56" spans="1:11" ht="10.5" customHeight="1">
      <c r="A56" s="3" t="s">
        <v>109</v>
      </c>
      <c r="B56" s="473"/>
      <c r="C56" s="11"/>
      <c r="D56" s="11"/>
      <c r="E56" s="11"/>
      <c r="F56" s="34">
        <f>CBTP_TA+CBTP_TB+CBTP_TC</f>
        <v>0</v>
      </c>
      <c r="G56" s="46">
        <v>2.2000000000000001E-3</v>
      </c>
      <c r="H56" s="34">
        <f t="shared" si="0"/>
        <v>0</v>
      </c>
      <c r="I56" s="60">
        <f>Cotisations!C39</f>
        <v>1.2999999999999999E-3</v>
      </c>
      <c r="J56" s="30">
        <f t="shared" si="1"/>
        <v>0</v>
      </c>
      <c r="K56" s="11"/>
    </row>
    <row r="57" spans="1:11" ht="10.5" customHeight="1">
      <c r="A57" s="3" t="s">
        <v>110</v>
      </c>
      <c r="B57" s="473"/>
      <c r="C57" s="11"/>
      <c r="D57" s="11"/>
      <c r="E57" s="11"/>
      <c r="F57" s="34">
        <f>CBTP_TA+CBTP_TB</f>
        <v>0</v>
      </c>
      <c r="G57" s="46">
        <v>3.6000000000000002E-4</v>
      </c>
      <c r="H57" s="34">
        <f t="shared" si="0"/>
        <v>0</v>
      </c>
      <c r="I57" s="60">
        <f>Cotisations!C40</f>
        <v>2.4000000000000001E-4</v>
      </c>
      <c r="J57" s="30">
        <f t="shared" si="1"/>
        <v>0</v>
      </c>
      <c r="K57" s="11"/>
    </row>
    <row r="58" spans="1:11" ht="10.5" hidden="1" customHeight="1">
      <c r="A58" s="3" t="s">
        <v>213</v>
      </c>
      <c r="B58" s="473"/>
      <c r="C58" s="11"/>
      <c r="D58" s="11"/>
      <c r="E58" s="11"/>
      <c r="F58" s="34" t="e">
        <f>NC_TA</f>
        <v>#REF!</v>
      </c>
      <c r="G58" s="46"/>
      <c r="H58" s="34" t="e">
        <f t="shared" si="0"/>
        <v>#REF!</v>
      </c>
      <c r="I58" s="60"/>
      <c r="J58" s="30" t="e">
        <f t="shared" si="1"/>
        <v>#REF!</v>
      </c>
      <c r="K58" s="11"/>
    </row>
    <row r="59" spans="1:11" ht="10.5" hidden="1" customHeight="1">
      <c r="A59" s="3" t="s">
        <v>214</v>
      </c>
      <c r="B59" s="473"/>
      <c r="C59" s="11"/>
      <c r="D59" s="11"/>
      <c r="E59" s="11"/>
      <c r="F59" s="34">
        <f>CBTP_TB</f>
        <v>0</v>
      </c>
      <c r="G59" s="46"/>
      <c r="H59" s="34">
        <f t="shared" si="0"/>
        <v>0</v>
      </c>
      <c r="I59" s="60"/>
      <c r="J59" s="30">
        <f t="shared" si="1"/>
        <v>0</v>
      </c>
      <c r="K59" s="11"/>
    </row>
    <row r="60" spans="1:11" ht="10.5" customHeight="1">
      <c r="A60" s="14" t="s">
        <v>464</v>
      </c>
      <c r="B60" s="473"/>
      <c r="C60" s="11"/>
      <c r="D60" s="11"/>
      <c r="E60" s="11"/>
      <c r="F60" s="34"/>
      <c r="G60" s="46"/>
      <c r="H60" s="34">
        <f t="shared" si="0"/>
        <v>0</v>
      </c>
      <c r="I60" s="60"/>
      <c r="J60" s="30"/>
      <c r="K60" s="11"/>
    </row>
    <row r="61" spans="1:11" ht="10.5" customHeight="1">
      <c r="A61" s="3" t="s">
        <v>465</v>
      </c>
      <c r="B61" s="473"/>
      <c r="C61" s="11"/>
      <c r="D61" s="11"/>
      <c r="E61" s="11"/>
      <c r="F61" s="34">
        <f>J17</f>
        <v>0</v>
      </c>
      <c r="G61" s="46">
        <v>0.20799999999999999</v>
      </c>
      <c r="H61" s="34">
        <f t="shared" si="0"/>
        <v>0</v>
      </c>
      <c r="I61" s="60"/>
      <c r="J61" s="30"/>
      <c r="K61" s="11"/>
    </row>
    <row r="62" spans="1:11" ht="10.5" customHeight="1">
      <c r="A62" s="3" t="s">
        <v>466</v>
      </c>
      <c r="B62" s="473"/>
      <c r="C62" s="11"/>
      <c r="D62" s="11"/>
      <c r="E62" s="11"/>
      <c r="F62" s="34">
        <f>CBTP_BRUTABAT</f>
        <v>0</v>
      </c>
      <c r="G62" s="46">
        <v>2.0999999999999999E-3</v>
      </c>
      <c r="H62" s="34">
        <f t="shared" si="0"/>
        <v>0</v>
      </c>
      <c r="I62" s="60"/>
      <c r="J62" s="30"/>
      <c r="K62" s="11"/>
    </row>
    <row r="63" spans="1:11" ht="10.5" customHeight="1">
      <c r="A63" s="3" t="s">
        <v>467</v>
      </c>
      <c r="B63" s="473"/>
      <c r="C63" s="11"/>
      <c r="D63" s="11"/>
      <c r="E63" s="11"/>
      <c r="F63" s="34">
        <f>J17*1.1314</f>
        <v>0</v>
      </c>
      <c r="G63" s="46">
        <v>1.1000000000000001E-3</v>
      </c>
      <c r="H63" s="34">
        <f t="shared" si="0"/>
        <v>0</v>
      </c>
      <c r="I63" s="60"/>
      <c r="J63" s="30"/>
      <c r="K63" s="11"/>
    </row>
    <row r="64" spans="1:11" ht="10.5" customHeight="1">
      <c r="A64" s="3" t="s">
        <v>468</v>
      </c>
      <c r="B64" s="473"/>
      <c r="C64" s="11"/>
      <c r="D64" s="11"/>
      <c r="E64" s="11"/>
      <c r="F64" s="34">
        <f>J17</f>
        <v>0</v>
      </c>
      <c r="G64" s="46">
        <v>7.4999999999999997E-3</v>
      </c>
      <c r="H64" s="34">
        <f t="shared" si="0"/>
        <v>0</v>
      </c>
      <c r="I64" s="60"/>
      <c r="J64" s="30"/>
      <c r="K64" s="11"/>
    </row>
    <row r="65" spans="1:12" ht="12" customHeight="1">
      <c r="A65" s="14" t="s">
        <v>36</v>
      </c>
      <c r="B65" s="404"/>
      <c r="C65" s="11"/>
      <c r="D65" s="11"/>
      <c r="E65" s="11"/>
      <c r="F65" s="34"/>
      <c r="G65" s="46"/>
      <c r="H65" s="34">
        <f t="shared" si="0"/>
        <v>0</v>
      </c>
      <c r="I65" s="60"/>
      <c r="J65" s="30">
        <f t="shared" si="1"/>
        <v>0</v>
      </c>
      <c r="K65" s="11"/>
    </row>
    <row r="66" spans="1:12" ht="12" customHeight="1">
      <c r="A66" s="3" t="s">
        <v>219</v>
      </c>
      <c r="B66" s="404"/>
      <c r="C66" s="11"/>
      <c r="D66" s="11"/>
      <c r="E66" s="11"/>
      <c r="F66" s="34">
        <f>CBTP_TA</f>
        <v>0</v>
      </c>
      <c r="G66" s="46">
        <v>1.4999999999999999E-2</v>
      </c>
      <c r="H66" s="34">
        <f t="shared" si="0"/>
        <v>0</v>
      </c>
      <c r="I66" s="60"/>
      <c r="J66" s="30"/>
      <c r="K66" s="11"/>
    </row>
    <row r="67" spans="1:12" ht="10.5" customHeight="1">
      <c r="A67" s="3" t="s">
        <v>37</v>
      </c>
      <c r="B67" s="473"/>
      <c r="C67" s="11"/>
      <c r="D67" s="11"/>
      <c r="E67" s="11"/>
      <c r="F67" s="34">
        <f>CBTP_TA</f>
        <v>0</v>
      </c>
      <c r="G67" s="46"/>
      <c r="H67" s="34">
        <f t="shared" si="0"/>
        <v>0</v>
      </c>
      <c r="I67" s="60"/>
      <c r="J67" s="30">
        <f t="shared" si="1"/>
        <v>0</v>
      </c>
      <c r="K67" s="11"/>
    </row>
    <row r="68" spans="1:12" ht="10.5" customHeight="1">
      <c r="A68" s="3" t="s">
        <v>38</v>
      </c>
      <c r="B68" s="473"/>
      <c r="C68" s="11"/>
      <c r="D68" s="11"/>
      <c r="E68" s="11"/>
      <c r="F68" s="34">
        <f>CBTP_TB</f>
        <v>0</v>
      </c>
      <c r="G68" s="46"/>
      <c r="H68" s="34">
        <f t="shared" si="0"/>
        <v>0</v>
      </c>
      <c r="I68" s="60"/>
      <c r="J68" s="30">
        <f t="shared" si="1"/>
        <v>0</v>
      </c>
      <c r="K68" s="11"/>
    </row>
    <row r="69" spans="1:12" ht="10.5" customHeight="1">
      <c r="A69" s="3" t="s">
        <v>225</v>
      </c>
      <c r="B69" s="473"/>
      <c r="C69" s="11"/>
      <c r="D69" s="11"/>
      <c r="E69" s="11"/>
      <c r="F69" s="34">
        <f>CBTP_TA</f>
        <v>0</v>
      </c>
      <c r="G69" s="46"/>
      <c r="H69" s="34">
        <f t="shared" si="0"/>
        <v>0</v>
      </c>
      <c r="I69" s="60"/>
      <c r="J69" s="30">
        <f t="shared" si="1"/>
        <v>0</v>
      </c>
      <c r="K69" s="11"/>
      <c r="L69" s="1" t="s">
        <v>610</v>
      </c>
    </row>
    <row r="70" spans="1:12" ht="10.5" customHeight="1">
      <c r="A70" s="3" t="s">
        <v>226</v>
      </c>
      <c r="B70" s="473"/>
      <c r="C70" s="11"/>
      <c r="D70" s="11"/>
      <c r="E70" s="11"/>
      <c r="F70" s="34">
        <f>CBTP_TB</f>
        <v>0</v>
      </c>
      <c r="G70" s="46"/>
      <c r="H70" s="34">
        <f t="shared" si="0"/>
        <v>0</v>
      </c>
      <c r="I70" s="60"/>
      <c r="J70" s="30">
        <f t="shared" si="1"/>
        <v>0</v>
      </c>
      <c r="K70" s="11"/>
      <c r="L70" s="1" t="s">
        <v>611</v>
      </c>
    </row>
    <row r="71" spans="1:12" ht="10.5" customHeight="1">
      <c r="A71" s="3"/>
      <c r="B71" s="473"/>
      <c r="C71" s="11"/>
      <c r="D71" s="11"/>
      <c r="E71" s="11"/>
      <c r="F71" s="34"/>
      <c r="G71" s="11"/>
      <c r="H71" s="34">
        <f t="shared" si="0"/>
        <v>0</v>
      </c>
      <c r="I71" s="464"/>
      <c r="J71" s="30">
        <f t="shared" si="1"/>
        <v>0</v>
      </c>
      <c r="K71" s="11"/>
    </row>
    <row r="72" spans="1:12" ht="10.5" customHeight="1" thickBot="1">
      <c r="A72" s="3" t="s">
        <v>42</v>
      </c>
      <c r="B72" s="473"/>
      <c r="C72" s="11"/>
      <c r="D72" s="11"/>
      <c r="E72" s="11"/>
      <c r="F72" s="45">
        <f>SUM(F23:F23)</f>
        <v>0</v>
      </c>
      <c r="G72" s="436">
        <f>Société!B14</f>
        <v>1.5</v>
      </c>
      <c r="H72" s="34">
        <f t="shared" si="0"/>
        <v>0</v>
      </c>
      <c r="I72" s="486"/>
      <c r="J72" s="30">
        <f t="shared" si="1"/>
        <v>0</v>
      </c>
      <c r="K72" s="11"/>
    </row>
    <row r="73" spans="1:12" ht="10.5" hidden="1" customHeight="1" thickBot="1">
      <c r="A73" s="3" t="s">
        <v>41</v>
      </c>
      <c r="B73" s="473"/>
      <c r="C73" s="11"/>
      <c r="D73" s="11"/>
      <c r="E73" s="11"/>
      <c r="F73" s="86">
        <f>CBTP_Brut</f>
        <v>0</v>
      </c>
      <c r="G73" s="85">
        <f>MAX(C104,0)</f>
        <v>0</v>
      </c>
      <c r="H73" s="34">
        <f>-ROUNDUP(F73*G73,2)</f>
        <v>0</v>
      </c>
      <c r="I73" s="16"/>
      <c r="J73" s="31"/>
      <c r="K73" s="11"/>
    </row>
    <row r="74" spans="1:12" ht="12" customHeight="1" thickBot="1">
      <c r="A74" s="10" t="s">
        <v>78</v>
      </c>
      <c r="B74" s="403"/>
      <c r="C74" s="11"/>
      <c r="D74" s="11"/>
      <c r="E74" s="11"/>
      <c r="F74" s="451"/>
      <c r="G74" s="450"/>
      <c r="H74" s="101" t="e">
        <f>SUM(H31:H73)</f>
        <v>#REF!</v>
      </c>
      <c r="I74" s="450"/>
      <c r="J74" s="101" t="e">
        <f>SUM(J31:J73)</f>
        <v>#REF!</v>
      </c>
      <c r="K74" s="11"/>
    </row>
    <row r="75" spans="1:12" ht="12" customHeight="1" thickBot="1">
      <c r="A75" s="10" t="s">
        <v>43</v>
      </c>
      <c r="B75" s="403"/>
      <c r="F75" s="459"/>
      <c r="G75" s="450"/>
      <c r="H75" s="450"/>
      <c r="I75" s="460"/>
      <c r="J75" s="101" t="e">
        <f>CBTP_Brut-J74+SUM(H67:H68)</f>
        <v>#REF!</v>
      </c>
      <c r="K75" s="11"/>
    </row>
    <row r="76" spans="1:12" ht="10.5" customHeight="1">
      <c r="A76" s="3" t="s">
        <v>207</v>
      </c>
      <c r="B76" s="473"/>
      <c r="F76" s="33">
        <f>CBTP_CSGRDS</f>
        <v>0</v>
      </c>
      <c r="G76" s="455"/>
      <c r="H76" s="456"/>
      <c r="I76" s="56">
        <f>Cotisations!C6</f>
        <v>2.4E-2</v>
      </c>
      <c r="J76" s="30">
        <f>F76*I76</f>
        <v>0</v>
      </c>
      <c r="K76" s="11"/>
    </row>
    <row r="77" spans="1:12" ht="10.5" customHeight="1" thickBot="1">
      <c r="A77" s="3" t="s">
        <v>208</v>
      </c>
      <c r="B77" s="473"/>
      <c r="F77" s="86">
        <f>CBTP_CSGRDS</f>
        <v>0</v>
      </c>
      <c r="G77" s="455"/>
      <c r="H77" s="456"/>
      <c r="I77" s="57">
        <f>Cotisations!C7</f>
        <v>5.0000000000000001E-3</v>
      </c>
      <c r="J77" s="30">
        <f>F77*I77</f>
        <v>0</v>
      </c>
      <c r="K77" s="11"/>
    </row>
    <row r="78" spans="1:12" ht="10.5" customHeight="1" thickBot="1">
      <c r="A78" s="21" t="s">
        <v>44</v>
      </c>
      <c r="B78" s="405"/>
      <c r="C78" s="15"/>
      <c r="D78" s="15"/>
      <c r="E78" s="474"/>
      <c r="F78" s="457"/>
      <c r="G78" s="453"/>
      <c r="H78" s="453"/>
      <c r="I78" s="458"/>
      <c r="J78" s="101" t="e">
        <f>CBTP_Brut-J74-J76-J77</f>
        <v>#REF!</v>
      </c>
      <c r="K78" s="11"/>
    </row>
    <row r="79" spans="1:12" ht="10.5" customHeight="1">
      <c r="E79" s="473"/>
      <c r="F79" s="19" t="s">
        <v>45</v>
      </c>
      <c r="G79" s="11"/>
      <c r="H79" s="11"/>
      <c r="I79" s="11"/>
      <c r="J79" s="30"/>
      <c r="K79" s="11"/>
    </row>
    <row r="80" spans="1:12" ht="10.5" customHeight="1">
      <c r="E80" s="473"/>
      <c r="F80" s="3" t="s">
        <v>471</v>
      </c>
      <c r="G80" s="724"/>
      <c r="H80" s="724"/>
      <c r="I80" s="725">
        <v>9</v>
      </c>
      <c r="J80" s="87">
        <f>H80*I80</f>
        <v>0</v>
      </c>
      <c r="K80" s="11"/>
    </row>
    <row r="81" spans="1:11" ht="10.5" customHeight="1">
      <c r="A81" s="1047"/>
      <c r="B81" s="1047"/>
      <c r="C81" s="487"/>
      <c r="D81" s="487"/>
      <c r="E81" s="473"/>
      <c r="F81" s="3" t="s">
        <v>472</v>
      </c>
      <c r="G81" s="724"/>
      <c r="H81" s="724"/>
      <c r="I81" s="725"/>
      <c r="J81" s="87">
        <f>H81*I81</f>
        <v>0</v>
      </c>
      <c r="K81" s="11"/>
    </row>
    <row r="82" spans="1:11" ht="10.5" customHeight="1">
      <c r="A82" s="979"/>
      <c r="B82" s="979"/>
      <c r="C82" s="487"/>
      <c r="D82" s="487"/>
      <c r="F82" s="19" t="s">
        <v>46</v>
      </c>
      <c r="G82" s="11"/>
      <c r="H82" s="11"/>
      <c r="I82" s="11"/>
      <c r="J82" s="30"/>
      <c r="K82" s="11"/>
    </row>
    <row r="83" spans="1:11" ht="10.5" customHeight="1">
      <c r="A83" s="979"/>
      <c r="B83" s="979"/>
      <c r="C83" s="487"/>
      <c r="D83" s="487"/>
      <c r="F83" s="3"/>
      <c r="G83" s="724"/>
      <c r="H83" s="724"/>
      <c r="I83" s="724"/>
      <c r="J83" s="87"/>
      <c r="K83" s="11"/>
    </row>
    <row r="84" spans="1:11" ht="10.5" customHeight="1" thickBot="1">
      <c r="A84" s="979"/>
      <c r="B84" s="979"/>
      <c r="C84" s="487"/>
      <c r="D84" s="487"/>
      <c r="F84" s="3"/>
      <c r="G84" s="724"/>
      <c r="H84" s="724"/>
      <c r="I84" s="724"/>
      <c r="J84" s="87"/>
      <c r="K84" s="11"/>
    </row>
    <row r="85" spans="1:11" ht="12" customHeight="1" thickBot="1">
      <c r="A85" s="979"/>
      <c r="B85" s="979"/>
      <c r="C85" s="487"/>
      <c r="D85" s="487"/>
      <c r="F85" s="26" t="s">
        <v>47</v>
      </c>
      <c r="G85" s="25"/>
      <c r="H85" s="25"/>
      <c r="I85" s="25"/>
      <c r="J85" s="101" t="e">
        <f>SUM(J78:J84)</f>
        <v>#REF!</v>
      </c>
      <c r="K85" s="11"/>
    </row>
    <row r="86" spans="1:11" ht="10.5" customHeight="1" thickBot="1"/>
    <row r="87" spans="1:11" ht="10.5" customHeight="1" thickBot="1">
      <c r="A87" s="994"/>
      <c r="B87" s="995"/>
      <c r="C87" s="35" t="s">
        <v>54</v>
      </c>
      <c r="D87" s="981" t="s">
        <v>55</v>
      </c>
      <c r="E87" s="982"/>
      <c r="F87" s="27" t="s">
        <v>56</v>
      </c>
      <c r="G87" s="27" t="s">
        <v>57</v>
      </c>
      <c r="H87" s="27" t="s">
        <v>58</v>
      </c>
      <c r="I87" s="27" t="s">
        <v>59</v>
      </c>
      <c r="J87" s="28" t="s">
        <v>43</v>
      </c>
    </row>
    <row r="88" spans="1:11" ht="10.5" customHeight="1">
      <c r="A88" s="973" t="s">
        <v>52</v>
      </c>
      <c r="B88" s="974"/>
      <c r="C88" s="29">
        <f>F17</f>
        <v>151.66999999999999</v>
      </c>
      <c r="D88" s="971">
        <f>CBTP_Brut</f>
        <v>0</v>
      </c>
      <c r="E88" s="972"/>
      <c r="F88" s="29" t="e">
        <f>NC_TA</f>
        <v>#REF!</v>
      </c>
      <c r="G88" s="29">
        <f>CBTP_TB</f>
        <v>0</v>
      </c>
      <c r="H88" s="29">
        <v>0</v>
      </c>
      <c r="I88" s="29" t="e">
        <f>J85</f>
        <v>#REF!</v>
      </c>
      <c r="J88" s="36" t="e">
        <f>J75</f>
        <v>#REF!</v>
      </c>
    </row>
    <row r="89" spans="1:11" ht="10.5" customHeight="1" thickBot="1">
      <c r="A89" s="975" t="s">
        <v>53</v>
      </c>
      <c r="B89" s="976"/>
      <c r="C89" s="120"/>
      <c r="D89" s="969"/>
      <c r="E89" s="970"/>
      <c r="F89" s="120"/>
      <c r="G89" s="120"/>
      <c r="H89" s="120"/>
      <c r="I89" s="120"/>
      <c r="J89" s="121"/>
    </row>
    <row r="91" spans="1:11" ht="10.5" customHeight="1">
      <c r="A91" s="968" t="s">
        <v>82</v>
      </c>
      <c r="B91" s="968"/>
      <c r="C91" s="968"/>
      <c r="F91" s="966" t="s">
        <v>206</v>
      </c>
      <c r="G91" s="967"/>
      <c r="H91" s="18"/>
    </row>
    <row r="92" spans="1:11" ht="15">
      <c r="A92" s="1027" t="s">
        <v>222</v>
      </c>
      <c r="B92" s="1028"/>
      <c r="C92" s="29">
        <f>MIN(CBTP_BRUTABAT,CBTP_Plafond)</f>
        <v>0</v>
      </c>
    </row>
    <row r="93" spans="1:11" ht="15">
      <c r="A93" s="1027" t="s">
        <v>84</v>
      </c>
      <c r="B93" s="1028"/>
      <c r="C93" s="29">
        <f>IF(CBTP_BRUTABAT&lt;CBTP_Plafond,0,MIN(CBTP_BRUTABAT-CBTP_Plafond,3*CBTP_Plafond))</f>
        <v>0</v>
      </c>
    </row>
    <row r="94" spans="1:11" ht="15">
      <c r="A94" s="465" t="s">
        <v>220</v>
      </c>
      <c r="B94" s="466"/>
      <c r="C94" s="29">
        <f>IF(CBTP_BRUTABAT&lt;4*CBTP_Plafond,0,MIN(CBTP_BRUTABAT-4*CBTP_Plafond,4*CBTP_Plafond))</f>
        <v>0</v>
      </c>
    </row>
    <row r="95" spans="1:11" ht="15">
      <c r="A95" s="465" t="s">
        <v>223</v>
      </c>
      <c r="B95" s="466"/>
      <c r="C95" s="29">
        <f>IF(CBTP_BRUTABAT=0,0,MAX(GMP-CBTP_TB))</f>
        <v>0</v>
      </c>
    </row>
    <row r="96" spans="1:11" ht="15">
      <c r="A96" s="1027" t="s">
        <v>86</v>
      </c>
      <c r="B96" s="1028"/>
      <c r="C96" s="29">
        <f>0.9825*MIN(CBTP_Brut-J18,4*CBTP_Plafond)+MAX(CBTP_Brut-J18-4*CBTP_Plafond,0)+CBTP_BRUTABAT/100</f>
        <v>0</v>
      </c>
    </row>
    <row r="97" spans="1:8" ht="15"/>
    <row r="98" spans="1:8" ht="15" customHeight="1">
      <c r="A98" s="968" t="s">
        <v>188</v>
      </c>
      <c r="B98" s="968"/>
      <c r="C98" s="968"/>
    </row>
    <row r="99" spans="1:8" ht="15" customHeight="1">
      <c r="A99" s="1027" t="s">
        <v>190</v>
      </c>
      <c r="B99" s="1028"/>
      <c r="C99" s="18">
        <v>1</v>
      </c>
    </row>
    <row r="100" spans="1:8" ht="15" customHeight="1">
      <c r="A100" s="1027" t="s">
        <v>191</v>
      </c>
      <c r="B100" s="1028"/>
      <c r="C100" s="18">
        <v>1</v>
      </c>
    </row>
    <row r="101" spans="1:8" ht="15" customHeight="1">
      <c r="A101" s="1029" t="s">
        <v>192</v>
      </c>
      <c r="B101" s="991"/>
      <c r="C101" s="29">
        <f>SUM('C BTP'!F22:'C BTP'!F23)</f>
        <v>0</v>
      </c>
    </row>
    <row r="102" spans="1:8" ht="15" customHeight="1">
      <c r="A102" s="1027" t="s">
        <v>188</v>
      </c>
      <c r="B102" s="1028"/>
      <c r="C102" s="29">
        <f>SMIC_mens*C99*C100+SMIC_hor*C101</f>
        <v>1480.2991999999999</v>
      </c>
      <c r="H102" s="83"/>
    </row>
    <row r="103" spans="1:8" ht="15" customHeight="1"/>
    <row r="104" spans="1:8" ht="15" customHeight="1">
      <c r="A104" s="1024" t="s">
        <v>205</v>
      </c>
      <c r="B104" s="1025"/>
      <c r="C104" s="84">
        <f>IF(CBTP_Brut=0,0,Société!B13/0.6*(1.6*SMIC_Fillon/CBTP_Brut-1))</f>
        <v>0</v>
      </c>
    </row>
    <row r="105" spans="1:8" ht="15" customHeight="1">
      <c r="A105" s="1024" t="s">
        <v>41</v>
      </c>
      <c r="B105" s="1025"/>
      <c r="C105" s="29">
        <f>IF(C104&gt;0,-CBTP_Brut*C104,0)</f>
        <v>0</v>
      </c>
    </row>
    <row r="106" spans="1:8" ht="15" customHeight="1"/>
    <row r="107" spans="1:8" ht="15" customHeight="1"/>
    <row r="108" spans="1:8" ht="15" customHeight="1"/>
    <row r="109" spans="1:8" ht="15" customHeight="1"/>
    <row r="110" spans="1:8" ht="15" customHeight="1"/>
    <row r="111" spans="1:8" ht="15" customHeight="1"/>
    <row r="112" spans="1:8" ht="15" customHeight="1"/>
    <row r="113" ht="15" customHeight="1"/>
    <row r="114" ht="15" customHeight="1"/>
    <row r="115" ht="15" customHeight="1"/>
    <row r="116" ht="15" customHeight="1"/>
    <row r="117" ht="15" customHeight="1"/>
    <row r="118" ht="15" customHeight="1"/>
    <row r="119" ht="15" customHeight="1"/>
    <row r="120" ht="15" customHeight="1"/>
    <row r="121" ht="15" customHeight="1"/>
    <row r="122" ht="15" customHeight="1"/>
    <row r="123" ht="15" customHeight="1"/>
    <row r="124" ht="15" customHeight="1"/>
    <row r="125" ht="15" customHeight="1"/>
    <row r="126" ht="15" customHeight="1"/>
    <row r="127" ht="15" customHeight="1"/>
    <row r="128" ht="15" customHeight="1"/>
    <row r="129" ht="15" customHeight="1"/>
    <row r="130" ht="15" customHeight="1"/>
    <row r="131" ht="15" customHeight="1"/>
    <row r="132" ht="15" customHeight="1"/>
    <row r="133" ht="15" customHeight="1"/>
    <row r="134" ht="15" customHeight="1"/>
    <row r="135" ht="15" customHeight="1"/>
    <row r="136" ht="15" customHeight="1"/>
    <row r="137" ht="15" customHeight="1"/>
    <row r="138" ht="15" customHeight="1"/>
    <row r="139" ht="15" customHeight="1"/>
    <row r="140" ht="15" customHeight="1"/>
    <row r="141" ht="15" customHeight="1"/>
    <row r="142" ht="15" customHeight="1"/>
    <row r="143" ht="15" customHeight="1"/>
    <row r="144" ht="15" customHeight="1"/>
    <row r="145" ht="15" customHeight="1"/>
    <row r="146" ht="15" customHeight="1"/>
    <row r="147" ht="15" customHeight="1"/>
    <row r="148" ht="15" customHeight="1"/>
    <row r="149" ht="15" customHeight="1"/>
    <row r="150" ht="15" customHeight="1"/>
    <row r="151" ht="15" customHeight="1"/>
    <row r="152" ht="15" customHeight="1"/>
    <row r="153" ht="15" customHeight="1"/>
    <row r="154" ht="15" customHeight="1"/>
    <row r="155" ht="15" customHeight="1"/>
    <row r="156" ht="15" customHeight="1"/>
    <row r="157" ht="15" customHeight="1"/>
    <row r="158" ht="15" customHeight="1"/>
    <row r="159" ht="15" customHeight="1"/>
    <row r="160" ht="15" customHeight="1"/>
    <row r="161" ht="15" customHeight="1"/>
    <row r="162" ht="15" customHeight="1"/>
    <row r="163" ht="15" customHeight="1"/>
    <row r="164" ht="15" customHeight="1"/>
    <row r="165" ht="15" customHeight="1"/>
    <row r="166" ht="15" customHeight="1"/>
    <row r="167" ht="15" customHeight="1"/>
    <row r="168" ht="15" customHeight="1"/>
    <row r="169" ht="15" customHeight="1"/>
    <row r="170" ht="15" customHeight="1"/>
    <row r="171" ht="15" customHeight="1"/>
    <row r="172" ht="15" customHeight="1"/>
    <row r="173" ht="15" customHeight="1"/>
    <row r="174" ht="15" customHeight="1"/>
    <row r="175" ht="15" customHeight="1"/>
    <row r="176" ht="15" customHeight="1"/>
    <row r="177" ht="15" customHeight="1"/>
    <row r="178" ht="15" customHeight="1"/>
    <row r="179" ht="15" customHeight="1"/>
    <row r="180" ht="15" customHeight="1"/>
    <row r="181" ht="15" customHeight="1"/>
    <row r="182" ht="15" customHeight="1"/>
    <row r="183" ht="15" customHeight="1"/>
    <row r="184" ht="15" customHeight="1"/>
    <row r="185" ht="15" customHeight="1"/>
    <row r="186" ht="15" customHeight="1"/>
    <row r="187" ht="15" customHeight="1"/>
    <row r="188" ht="15" customHeight="1"/>
    <row r="189" ht="15" customHeight="1"/>
    <row r="190" ht="15" customHeight="1"/>
    <row r="191" ht="15" customHeight="1"/>
    <row r="192" ht="15" customHeight="1"/>
    <row r="193" ht="15" customHeight="1"/>
    <row r="194" ht="15" customHeight="1"/>
    <row r="195" ht="15" customHeight="1"/>
    <row r="196" ht="15" customHeight="1"/>
    <row r="197" ht="15" customHeight="1"/>
    <row r="198" ht="15" customHeight="1"/>
    <row r="199" ht="15" customHeight="1"/>
    <row r="200" ht="15" customHeight="1"/>
    <row r="201" ht="15" customHeight="1"/>
    <row r="202" ht="15" customHeight="1"/>
    <row r="203" ht="15" customHeight="1"/>
    <row r="204" ht="15" customHeight="1"/>
    <row r="205" ht="15" customHeight="1"/>
    <row r="206" ht="15" customHeight="1"/>
    <row r="207" ht="15" customHeight="1"/>
    <row r="208" ht="15" customHeight="1"/>
    <row r="209" ht="15" customHeight="1"/>
    <row r="210" ht="15" customHeight="1"/>
  </sheetData>
  <mergeCells count="51">
    <mergeCell ref="A101:B101"/>
    <mergeCell ref="A102:B102"/>
    <mergeCell ref="A104:B104"/>
    <mergeCell ref="A105:B105"/>
    <mergeCell ref="A92:B92"/>
    <mergeCell ref="A93:B93"/>
    <mergeCell ref="A96:B96"/>
    <mergeCell ref="A98:C98"/>
    <mergeCell ref="A99:B99"/>
    <mergeCell ref="A100:B100"/>
    <mergeCell ref="F91:G91"/>
    <mergeCell ref="A82:B82"/>
    <mergeCell ref="A83:B83"/>
    <mergeCell ref="A84:B84"/>
    <mergeCell ref="A85:B85"/>
    <mergeCell ref="A87:B87"/>
    <mergeCell ref="D87:E87"/>
    <mergeCell ref="A88:B88"/>
    <mergeCell ref="D88:E88"/>
    <mergeCell ref="A89:B89"/>
    <mergeCell ref="D89:E89"/>
    <mergeCell ref="A91:C91"/>
    <mergeCell ref="A81:B81"/>
    <mergeCell ref="C10:F10"/>
    <mergeCell ref="I10:J10"/>
    <mergeCell ref="C11:F11"/>
    <mergeCell ref="I11:J11"/>
    <mergeCell ref="H13:I13"/>
    <mergeCell ref="A15:E16"/>
    <mergeCell ref="G15:H15"/>
    <mergeCell ref="I15:I16"/>
    <mergeCell ref="J15:J16"/>
    <mergeCell ref="B21:C21"/>
    <mergeCell ref="B22:C22"/>
    <mergeCell ref="B23:C23"/>
    <mergeCell ref="G29:H29"/>
    <mergeCell ref="I29:J29"/>
    <mergeCell ref="C9:F9"/>
    <mergeCell ref="I9:J9"/>
    <mergeCell ref="A1:F2"/>
    <mergeCell ref="I2:J2"/>
    <mergeCell ref="I3:J3"/>
    <mergeCell ref="A4:F4"/>
    <mergeCell ref="I4:J4"/>
    <mergeCell ref="C5:F5"/>
    <mergeCell ref="I5:J5"/>
    <mergeCell ref="C6:F6"/>
    <mergeCell ref="C7:F7"/>
    <mergeCell ref="I7:J7"/>
    <mergeCell ref="C8:F8"/>
    <mergeCell ref="I8:J8"/>
  </mergeCells>
  <conditionalFormatting sqref="I21">
    <cfRule type="cellIs" dxfId="0" priority="1" operator="equal">
      <formula>"Heures réelles"</formula>
    </cfRule>
  </conditionalFormatting>
  <dataValidations count="5">
    <dataValidation type="list" allowBlank="1" showInputMessage="1" showErrorMessage="1" sqref="B22:B23">
      <formula1>INDIRECT(A22)</formula1>
    </dataValidation>
    <dataValidation type="list" allowBlank="1" showInputMessage="1" showErrorMessage="1" sqref="B21">
      <formula1>absences</formula1>
    </dataValidation>
    <dataValidation type="list" allowBlank="1" showInputMessage="1" showErrorMessage="1" sqref="A22:A23">
      <formula1>HS.HC</formula1>
    </dataValidation>
    <dataValidation type="list" allowBlank="1" showInputMessage="1" showErrorMessage="1" sqref="A36:B36">
      <formula1>Liste_AF</formula1>
    </dataValidation>
    <dataValidation type="list" allowBlank="1" showInputMessage="1" showErrorMessage="1" sqref="A73:B73">
      <formula1>liste_Fillon</formula1>
    </dataValidation>
  </dataValidations>
  <pageMargins left="0.19685039370078741" right="0.19685039370078741" top="0.39370078740157483" bottom="0.19685039370078741" header="0.19685039370078741" footer="0.19685039370078741"/>
  <pageSetup paperSize="9" orientation="portrait" r:id="rId1"/>
  <headerFooter differentFirst="1">
    <oddHeader>&amp;LEmmanuel ESNAULT</oddHeader>
    <firstHeader>&amp;LEmmanuel ESNAULT</firstHeader>
    <firstFooter>&amp;C&amp;7DANS VOTRE INTERET ET POUR FAIRE VALOIR VOS DROITS, NOUS VOUS CONSEILLONS DE CONSERVER CE BULLETIN SANS LIMITATION DE DUREE</firstFooter>
  </headerFooter>
  <rowBreaks count="1" manualBreakCount="1">
    <brk id="89" max="16383" man="1"/>
  </rowBreaks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3">
    <tabColor theme="7" tint="-0.249977111117893"/>
    <pageSetUpPr fitToPage="1"/>
  </sheetPr>
  <dimension ref="A1:M25"/>
  <sheetViews>
    <sheetView showZeros="0" zoomScaleNormal="100" workbookViewId="0">
      <selection activeCell="I5" sqref="I5:J5"/>
    </sheetView>
  </sheetViews>
  <sheetFormatPr baseColWidth="10" defaultRowHeight="15"/>
  <cols>
    <col min="1" max="1" width="10.85546875" style="128" bestFit="1" customWidth="1"/>
    <col min="2" max="2" width="8.7109375" style="128" bestFit="1" customWidth="1"/>
    <col min="3" max="3" width="8" style="128" bestFit="1" customWidth="1"/>
    <col min="4" max="4" width="9.140625" style="128" customWidth="1"/>
    <col min="5" max="5" width="8.5703125" style="128" bestFit="1" customWidth="1"/>
    <col min="6" max="6" width="13.140625" style="128" bestFit="1" customWidth="1"/>
    <col min="7" max="7" width="9" style="128" bestFit="1" customWidth="1"/>
    <col min="8" max="9" width="9.5703125" style="128" bestFit="1" customWidth="1"/>
    <col min="10" max="10" width="8.28515625" style="128" customWidth="1"/>
    <col min="11" max="11" width="7.5703125" style="128" customWidth="1"/>
    <col min="12" max="12" width="1.7109375" style="128" customWidth="1"/>
    <col min="13" max="13" width="75.28515625" style="128" bestFit="1" customWidth="1"/>
    <col min="14" max="16384" width="11.42578125" style="128"/>
  </cols>
  <sheetData>
    <row r="1" spans="1:13" ht="26.25">
      <c r="A1" s="1048" t="s">
        <v>262</v>
      </c>
      <c r="B1" s="1048"/>
      <c r="C1" s="1048"/>
      <c r="D1" s="1048"/>
      <c r="E1" s="1048"/>
      <c r="F1" s="1048"/>
      <c r="G1" s="1048"/>
      <c r="H1" s="1048"/>
      <c r="I1" s="1048"/>
      <c r="J1" s="1048"/>
      <c r="K1" s="1048"/>
    </row>
    <row r="2" spans="1:13">
      <c r="M2" s="345" t="s">
        <v>400</v>
      </c>
    </row>
    <row r="3" spans="1:13">
      <c r="M3" s="345" t="s">
        <v>401</v>
      </c>
    </row>
    <row r="4" spans="1:13">
      <c r="A4" s="220" t="s">
        <v>62</v>
      </c>
      <c r="B4" s="126"/>
      <c r="C4" s="126"/>
      <c r="D4" s="126"/>
      <c r="M4" s="345" t="s">
        <v>402</v>
      </c>
    </row>
    <row r="5" spans="1:13">
      <c r="A5" s="242" t="s">
        <v>268</v>
      </c>
      <c r="B5" s="1049"/>
      <c r="C5" s="1049"/>
      <c r="D5" s="1050"/>
    </row>
    <row r="6" spans="1:13">
      <c r="A6" s="243" t="s">
        <v>147</v>
      </c>
      <c r="B6" s="1049"/>
      <c r="C6" s="1049"/>
      <c r="D6" s="1050"/>
      <c r="M6" s="347" t="s">
        <v>645</v>
      </c>
    </row>
    <row r="10" spans="1:13" ht="30" customHeight="1">
      <c r="A10" s="149"/>
      <c r="B10" s="150" t="s">
        <v>255</v>
      </c>
      <c r="C10" s="151" t="s">
        <v>134</v>
      </c>
      <c r="D10" s="151" t="s">
        <v>256</v>
      </c>
      <c r="E10" s="151" t="s">
        <v>257</v>
      </c>
      <c r="F10" s="151" t="s">
        <v>258</v>
      </c>
      <c r="G10" s="151" t="s">
        <v>291</v>
      </c>
      <c r="H10" s="151" t="s">
        <v>84</v>
      </c>
      <c r="I10" s="151" t="s">
        <v>259</v>
      </c>
      <c r="J10" s="151" t="s">
        <v>260</v>
      </c>
      <c r="K10" s="151" t="s">
        <v>261</v>
      </c>
      <c r="M10" s="914" t="s">
        <v>718</v>
      </c>
    </row>
    <row r="11" spans="1:13">
      <c r="A11" s="179" t="s">
        <v>193</v>
      </c>
      <c r="B11" s="349"/>
      <c r="C11" s="240">
        <f t="shared" ref="C11:C22" si="0">IF(B11=0,0,PMSS)</f>
        <v>0</v>
      </c>
      <c r="D11" s="152">
        <f>IF(B11=0,0,SUM($B$11:B11))</f>
        <v>0</v>
      </c>
      <c r="E11" s="152">
        <f>IF(C11=0,0,SUM($C$11:C11))</f>
        <v>0</v>
      </c>
      <c r="F11" s="152">
        <f t="shared" ref="F11:F22" si="1">MIN(D11,E11)</f>
        <v>0</v>
      </c>
      <c r="G11" s="918">
        <f>F11</f>
        <v>0</v>
      </c>
      <c r="H11" s="919">
        <f>B11-G11</f>
        <v>0</v>
      </c>
      <c r="I11" s="152">
        <f>IF(H11=0,0,SUM($H$11:H11))</f>
        <v>0</v>
      </c>
      <c r="J11" s="154">
        <f>IF(B11=0,0,IF(I11&lt;GMP,GMP-I11,0))</f>
        <v>0</v>
      </c>
      <c r="K11" s="180">
        <f>IF(B11=0,0,GMP*COUNT($B$11:B11))</f>
        <v>0</v>
      </c>
    </row>
    <row r="12" spans="1:13">
      <c r="A12" s="181" t="s">
        <v>194</v>
      </c>
      <c r="B12" s="349"/>
      <c r="C12" s="241">
        <f t="shared" si="0"/>
        <v>0</v>
      </c>
      <c r="D12" s="341">
        <f>IF(B12=0,0,SUM($B$11:B12))</f>
        <v>0</v>
      </c>
      <c r="E12" s="341">
        <f>IF(C12=0,0,SUM($C$11:C12))</f>
        <v>0</v>
      </c>
      <c r="F12" s="153">
        <f t="shared" si="1"/>
        <v>0</v>
      </c>
      <c r="G12" s="918">
        <f>IF(B12=0,0,F12-SUM($G$11:G11))</f>
        <v>0</v>
      </c>
      <c r="H12" s="919">
        <f t="shared" ref="H12:H22" si="2">B12-G12</f>
        <v>0</v>
      </c>
      <c r="I12" s="341">
        <f>IF(H12=0,0,SUM($H$11:H12))</f>
        <v>0</v>
      </c>
      <c r="J12" s="155">
        <f>IF(B12=0,0,IF(I12&lt;K12,K12-I12,0)-SUM($J$11:J11))</f>
        <v>0</v>
      </c>
      <c r="K12" s="342">
        <f>IF(B12=0,0,GMP*COUNT($B$11:B12))</f>
        <v>0</v>
      </c>
    </row>
    <row r="13" spans="1:13">
      <c r="A13" s="179" t="s">
        <v>195</v>
      </c>
      <c r="B13" s="349"/>
      <c r="C13" s="240">
        <f t="shared" si="0"/>
        <v>0</v>
      </c>
      <c r="D13" s="152">
        <f>IF(B13=0,0,SUM($B$11:B13))</f>
        <v>0</v>
      </c>
      <c r="E13" s="152">
        <f>IF(C13=0,0,SUM($C$11:C13))</f>
        <v>0</v>
      </c>
      <c r="F13" s="152">
        <f t="shared" si="1"/>
        <v>0</v>
      </c>
      <c r="G13" s="918">
        <f>IF(B13=0,0,F13-SUM($G$11:G12))</f>
        <v>0</v>
      </c>
      <c r="H13" s="919">
        <f t="shared" si="2"/>
        <v>0</v>
      </c>
      <c r="I13" s="152">
        <f>IF(H13=0,0,SUM($H$11:H13))</f>
        <v>0</v>
      </c>
      <c r="J13" s="155">
        <f>IF(B13=0,0,IF(I13&lt;K13,K13-I13,0)-SUM($J$11:J12))</f>
        <v>0</v>
      </c>
      <c r="K13" s="180">
        <f>IF(B13=0,0,GMP*COUNT($B$11:B13))</f>
        <v>0</v>
      </c>
    </row>
    <row r="14" spans="1:13">
      <c r="A14" s="181" t="s">
        <v>196</v>
      </c>
      <c r="B14" s="349"/>
      <c r="C14" s="241">
        <f t="shared" si="0"/>
        <v>0</v>
      </c>
      <c r="D14" s="341">
        <f>IF(B14=0,0,SUM($B$11:B14))</f>
        <v>0</v>
      </c>
      <c r="E14" s="341">
        <f>IF(C14=0,0,SUM($C$11:C14))</f>
        <v>0</v>
      </c>
      <c r="F14" s="153">
        <f t="shared" si="1"/>
        <v>0</v>
      </c>
      <c r="G14" s="918">
        <f>IF(B14=0,0,F14-SUM($G$11:G13))</f>
        <v>0</v>
      </c>
      <c r="H14" s="919">
        <f t="shared" si="2"/>
        <v>0</v>
      </c>
      <c r="I14" s="341">
        <f>IF(H14=0,0,SUM($H$11:H14))</f>
        <v>0</v>
      </c>
      <c r="J14" s="155">
        <f>IF(B14=0,0,IF(I14&lt;K14,K14-I14,0)-SUM($J$11:J13))</f>
        <v>0</v>
      </c>
      <c r="K14" s="342">
        <f>IF(B14=0,0,GMP*COUNT($B$11:B14))</f>
        <v>0</v>
      </c>
    </row>
    <row r="15" spans="1:13">
      <c r="A15" s="179" t="s">
        <v>197</v>
      </c>
      <c r="B15" s="349"/>
      <c r="C15" s="240">
        <f t="shared" si="0"/>
        <v>0</v>
      </c>
      <c r="D15" s="152">
        <f>IF(B15=0,0,SUM($B$11:B15))</f>
        <v>0</v>
      </c>
      <c r="E15" s="152">
        <f>IF(C15=0,0,SUM($C$11:C15))</f>
        <v>0</v>
      </c>
      <c r="F15" s="152">
        <f t="shared" si="1"/>
        <v>0</v>
      </c>
      <c r="G15" s="918">
        <f>IF(B15=0,0,F15-SUM($G$11:G14))</f>
        <v>0</v>
      </c>
      <c r="H15" s="919">
        <f t="shared" si="2"/>
        <v>0</v>
      </c>
      <c r="I15" s="152">
        <f>IF(H15=0,0,SUM($H$11:H15))</f>
        <v>0</v>
      </c>
      <c r="J15" s="155">
        <f>IF(B15=0,0,IF(I15&lt;K15,K15-I15,0)-SUM($J$11:J14))</f>
        <v>0</v>
      </c>
      <c r="K15" s="180">
        <f>IF(B15=0,0,GMP*COUNT($B$11:B15))</f>
        <v>0</v>
      </c>
      <c r="L15" s="129"/>
      <c r="M15" s="129"/>
    </row>
    <row r="16" spans="1:13">
      <c r="A16" s="181" t="s">
        <v>198</v>
      </c>
      <c r="B16" s="349"/>
      <c r="C16" s="241">
        <f t="shared" si="0"/>
        <v>0</v>
      </c>
      <c r="D16" s="341">
        <f>IF(B16=0,0,SUM($B$11:B16))</f>
        <v>0</v>
      </c>
      <c r="E16" s="341">
        <f>IF(C16=0,0,SUM($C$11:C16))</f>
        <v>0</v>
      </c>
      <c r="F16" s="153">
        <f t="shared" si="1"/>
        <v>0</v>
      </c>
      <c r="G16" s="918">
        <f>IF(B16=0,0,F16-SUM($G$11:G15))</f>
        <v>0</v>
      </c>
      <c r="H16" s="919">
        <f t="shared" si="2"/>
        <v>0</v>
      </c>
      <c r="I16" s="341">
        <f>IF(H16=0,0,SUM($H$11:H16))</f>
        <v>0</v>
      </c>
      <c r="J16" s="155">
        <f>IF(B16=0,0,IF(I16&lt;K16,K16-I16,0)-SUM($J$11:J15))</f>
        <v>0</v>
      </c>
      <c r="K16" s="342">
        <f>IF(B16=0,0,GMP*COUNT($B$11:B16))</f>
        <v>0</v>
      </c>
      <c r="L16" s="129"/>
    </row>
    <row r="17" spans="1:12">
      <c r="A17" s="179" t="s">
        <v>199</v>
      </c>
      <c r="B17" s="349"/>
      <c r="C17" s="240">
        <f t="shared" si="0"/>
        <v>0</v>
      </c>
      <c r="D17" s="152">
        <f>IF(B17=0,0,SUM($B$11:B17))</f>
        <v>0</v>
      </c>
      <c r="E17" s="152">
        <f>IF(C17=0,0,SUM($C$11:C17))</f>
        <v>0</v>
      </c>
      <c r="F17" s="152">
        <f t="shared" si="1"/>
        <v>0</v>
      </c>
      <c r="G17" s="918">
        <f>IF(B17=0,0,F17-SUM($G$11:G16))</f>
        <v>0</v>
      </c>
      <c r="H17" s="919">
        <f t="shared" si="2"/>
        <v>0</v>
      </c>
      <c r="I17" s="152">
        <f>IF(H17=0,0,SUM($H$11:H17))</f>
        <v>0</v>
      </c>
      <c r="J17" s="155">
        <f>IF(B17=0,0,IF(I17&lt;K17,K17-I17,0)-SUM($J$11:J16))</f>
        <v>0</v>
      </c>
      <c r="K17" s="180">
        <f>IF(B17=0,0,GMP*COUNT($B$11:B17))</f>
        <v>0</v>
      </c>
      <c r="L17" s="129"/>
    </row>
    <row r="18" spans="1:12">
      <c r="A18" s="181" t="s">
        <v>200</v>
      </c>
      <c r="B18" s="350"/>
      <c r="C18" s="241">
        <f t="shared" si="0"/>
        <v>0</v>
      </c>
      <c r="D18" s="341">
        <f>IF(B18=0,0,SUM($B$11:B18))</f>
        <v>0</v>
      </c>
      <c r="E18" s="341">
        <f>IF(C18=0,0,SUM($C$11:C18))</f>
        <v>0</v>
      </c>
      <c r="F18" s="153">
        <f t="shared" si="1"/>
        <v>0</v>
      </c>
      <c r="G18" s="918">
        <f>IF(B18=0,0,F18-SUM($G$11:G17))</f>
        <v>0</v>
      </c>
      <c r="H18" s="919">
        <f>B18-G18</f>
        <v>0</v>
      </c>
      <c r="I18" s="341">
        <f>IF(H18=0,0,SUM($H$11:H18))</f>
        <v>0</v>
      </c>
      <c r="J18" s="155">
        <f>IF(B18=0,0,IF(I18&lt;K18,K18-I18,0)-SUM($J$11:J17))</f>
        <v>0</v>
      </c>
      <c r="K18" s="342">
        <f>IF(B18=0,0,GMP*COUNT($B$11:B18))</f>
        <v>0</v>
      </c>
      <c r="L18" s="129"/>
    </row>
    <row r="19" spans="1:12">
      <c r="A19" s="179" t="s">
        <v>201</v>
      </c>
      <c r="B19" s="350"/>
      <c r="C19" s="240">
        <f t="shared" si="0"/>
        <v>0</v>
      </c>
      <c r="D19" s="152">
        <f>IF(B19=0,0,SUM($B$11:B19))</f>
        <v>0</v>
      </c>
      <c r="E19" s="152">
        <f>IF(C19=0,0,SUM($C$11:C19))</f>
        <v>0</v>
      </c>
      <c r="F19" s="152">
        <f t="shared" si="1"/>
        <v>0</v>
      </c>
      <c r="G19" s="918">
        <f>IF(B19=0,0,F19-SUM($G$11:G18))</f>
        <v>0</v>
      </c>
      <c r="H19" s="919">
        <f t="shared" si="2"/>
        <v>0</v>
      </c>
      <c r="I19" s="152">
        <f>IF(H19=0,0,SUM($H$11:H19))</f>
        <v>0</v>
      </c>
      <c r="J19" s="155">
        <f>IF(B19=0,0,IF(I19&lt;K19,K19-I19,0)-SUM($J$11:J18))</f>
        <v>0</v>
      </c>
      <c r="K19" s="180">
        <f>IF(B19=0,0,GMP*COUNT($B$11:B19))</f>
        <v>0</v>
      </c>
      <c r="L19" s="129"/>
    </row>
    <row r="20" spans="1:12">
      <c r="A20" s="181" t="s">
        <v>202</v>
      </c>
      <c r="B20" s="349"/>
      <c r="C20" s="241">
        <f t="shared" si="0"/>
        <v>0</v>
      </c>
      <c r="D20" s="341">
        <f>IF(B20=0,0,SUM($B$11:B20))</f>
        <v>0</v>
      </c>
      <c r="E20" s="341">
        <f>IF(C20=0,0,SUM($C$11:C20))</f>
        <v>0</v>
      </c>
      <c r="F20" s="153">
        <f t="shared" si="1"/>
        <v>0</v>
      </c>
      <c r="G20" s="918">
        <f>IF(B20=0,0,F20-SUM($G$11:G19))</f>
        <v>0</v>
      </c>
      <c r="H20" s="919">
        <f t="shared" si="2"/>
        <v>0</v>
      </c>
      <c r="I20" s="341">
        <f>IF(H20=0,0,SUM($H$11:H20))</f>
        <v>0</v>
      </c>
      <c r="J20" s="155">
        <f>IF(B20=0,0,IF(I20&lt;K20,K20-I20,0)-SUM($J$11:J19))</f>
        <v>0</v>
      </c>
      <c r="K20" s="342">
        <f>IF(B20=0,0,GMP*COUNT($B$11:B20))</f>
        <v>0</v>
      </c>
      <c r="L20" s="129"/>
    </row>
    <row r="21" spans="1:12">
      <c r="A21" s="179" t="s">
        <v>203</v>
      </c>
      <c r="B21" s="349"/>
      <c r="C21" s="240">
        <f t="shared" si="0"/>
        <v>0</v>
      </c>
      <c r="D21" s="152">
        <f>IF(B21=0,0,SUM($B$11:B21))</f>
        <v>0</v>
      </c>
      <c r="E21" s="152">
        <f>IF(C21=0,0,SUM($C$11:C21))</f>
        <v>0</v>
      </c>
      <c r="F21" s="152">
        <f t="shared" si="1"/>
        <v>0</v>
      </c>
      <c r="G21" s="918">
        <f>IF(B21=0,0,F21-SUM($G$11:G20))</f>
        <v>0</v>
      </c>
      <c r="H21" s="919">
        <f t="shared" si="2"/>
        <v>0</v>
      </c>
      <c r="I21" s="152">
        <f>IF(H21=0,0,SUM($H$11:H21))</f>
        <v>0</v>
      </c>
      <c r="J21" s="155">
        <f>IF(B21=0,0,IF(I21&lt;K21,K21-I21,0)-SUM($J$11:J20))</f>
        <v>0</v>
      </c>
      <c r="K21" s="180">
        <f>IF(B21=0,0,GMP*COUNT($B$11:B21))</f>
        <v>0</v>
      </c>
    </row>
    <row r="22" spans="1:12">
      <c r="A22" s="181" t="s">
        <v>204</v>
      </c>
      <c r="B22" s="349"/>
      <c r="C22" s="241">
        <f t="shared" si="0"/>
        <v>0</v>
      </c>
      <c r="D22" s="341">
        <f>IF(B22=0,0,SUM($B$11:B22))</f>
        <v>0</v>
      </c>
      <c r="E22" s="341">
        <f>IF(C22=0,0,SUM($C$11:C22))</f>
        <v>0</v>
      </c>
      <c r="F22" s="153">
        <f t="shared" si="1"/>
        <v>0</v>
      </c>
      <c r="G22" s="918">
        <f>IF(B22=0,0,F22-SUM($G$11:G21))</f>
        <v>0</v>
      </c>
      <c r="H22" s="919">
        <f t="shared" si="2"/>
        <v>0</v>
      </c>
      <c r="I22" s="341">
        <f>IF(H22=0,0,SUM($H$11:H22))</f>
        <v>0</v>
      </c>
      <c r="J22" s="155">
        <f>IF(B22=0,0,IF(I22&lt;K22,K22-I22,0)-SUM($J$11:J21))</f>
        <v>0</v>
      </c>
      <c r="K22" s="342">
        <f>IF(B22=0,0,GMP*COUNT($B$11:B22))</f>
        <v>0</v>
      </c>
    </row>
    <row r="23" spans="1:12">
      <c r="C23" s="129"/>
      <c r="D23" s="129"/>
      <c r="E23" s="129"/>
    </row>
    <row r="25" spans="1:12">
      <c r="J25" s="129"/>
    </row>
  </sheetData>
  <mergeCells count="3">
    <mergeCell ref="A1:K1"/>
    <mergeCell ref="B5:D5"/>
    <mergeCell ref="B6:D6"/>
  </mergeCells>
  <pageMargins left="0.23622047244094491" right="0.23622047244094491" top="0.74803149606299213" bottom="0.74803149606299213" header="0.31496062992125984" footer="0.31496062992125984"/>
  <pageSetup paperSize="9" scale="96" orientation="portrait" r:id="rId1"/>
  <headerFooter>
    <oddHeader>&amp;LEmmanuel ESNAULT&amp;R&amp;D</oddHeader>
  </headerFooter>
  <ignoredErrors>
    <ignoredError sqref="H11" formula="1"/>
  </ignoredErrors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4">
    <tabColor theme="7" tint="-0.499984740745262"/>
  </sheetPr>
  <dimension ref="A1:N30"/>
  <sheetViews>
    <sheetView showZeros="0" workbookViewId="0">
      <selection activeCell="B11" sqref="B11:B15"/>
    </sheetView>
  </sheetViews>
  <sheetFormatPr baseColWidth="10" defaultRowHeight="15"/>
  <cols>
    <col min="1" max="1" width="10.85546875" bestFit="1" customWidth="1"/>
    <col min="2" max="3" width="8.5703125" bestFit="1" customWidth="1"/>
    <col min="4" max="4" width="9.28515625" customWidth="1"/>
    <col min="5" max="5" width="9.140625" bestFit="1" customWidth="1"/>
    <col min="6" max="6" width="9.28515625" customWidth="1"/>
    <col min="9" max="9" width="7.28515625" bestFit="1" customWidth="1"/>
    <col min="10" max="10" width="8" bestFit="1" customWidth="1"/>
    <col min="11" max="11" width="10" hidden="1" customWidth="1"/>
    <col min="12" max="12" width="7.28515625" bestFit="1" customWidth="1"/>
    <col min="13" max="13" width="1.7109375" customWidth="1"/>
    <col min="14" max="14" width="72.42578125" bestFit="1" customWidth="1"/>
  </cols>
  <sheetData>
    <row r="1" spans="1:14" ht="26.25">
      <c r="A1" s="1051" t="s">
        <v>271</v>
      </c>
      <c r="B1" s="1051"/>
      <c r="C1" s="1051"/>
      <c r="D1" s="1051"/>
      <c r="E1" s="1051"/>
      <c r="F1" s="1051"/>
      <c r="G1" s="1051"/>
      <c r="H1" s="1051"/>
      <c r="I1" s="1051"/>
      <c r="J1" s="1051"/>
      <c r="K1" s="1051"/>
      <c r="L1" s="1051"/>
    </row>
    <row r="2" spans="1:14">
      <c r="N2" t="s">
        <v>388</v>
      </c>
    </row>
    <row r="3" spans="1:14">
      <c r="N3" t="s">
        <v>398</v>
      </c>
    </row>
    <row r="4" spans="1:14">
      <c r="A4" s="220" t="s">
        <v>62</v>
      </c>
      <c r="B4" s="126"/>
      <c r="C4" s="126"/>
      <c r="D4" s="126"/>
      <c r="N4" t="s">
        <v>399</v>
      </c>
    </row>
    <row r="5" spans="1:14">
      <c r="A5" s="242" t="s">
        <v>268</v>
      </c>
      <c r="B5" s="1049"/>
      <c r="C5" s="1049"/>
      <c r="D5" s="1050"/>
      <c r="N5" t="s">
        <v>389</v>
      </c>
    </row>
    <row r="6" spans="1:14">
      <c r="A6" s="243" t="s">
        <v>147</v>
      </c>
      <c r="B6" s="1049"/>
      <c r="C6" s="1049"/>
      <c r="D6" s="1050"/>
    </row>
    <row r="7" spans="1:14">
      <c r="N7" t="s">
        <v>390</v>
      </c>
    </row>
    <row r="8" spans="1:14">
      <c r="N8" t="s">
        <v>391</v>
      </c>
    </row>
    <row r="9" spans="1:14">
      <c r="N9" t="s">
        <v>396</v>
      </c>
    </row>
    <row r="10" spans="1:14" ht="45">
      <c r="A10" s="82"/>
      <c r="B10" s="143" t="s">
        <v>189</v>
      </c>
      <c r="C10" s="144" t="s">
        <v>190</v>
      </c>
      <c r="D10" s="144" t="s">
        <v>191</v>
      </c>
      <c r="E10" s="143" t="s">
        <v>192</v>
      </c>
      <c r="F10" s="144" t="s">
        <v>445</v>
      </c>
      <c r="G10" s="143" t="s">
        <v>188</v>
      </c>
      <c r="H10" s="144" t="s">
        <v>446</v>
      </c>
      <c r="I10" s="144" t="s">
        <v>253</v>
      </c>
      <c r="J10" s="144" t="s">
        <v>236</v>
      </c>
      <c r="K10" s="144" t="s">
        <v>252</v>
      </c>
      <c r="L10" s="144" t="s">
        <v>254</v>
      </c>
      <c r="N10" s="346" t="s">
        <v>397</v>
      </c>
    </row>
    <row r="11" spans="1:14">
      <c r="A11" s="177" t="s">
        <v>193</v>
      </c>
      <c r="B11" s="351"/>
      <c r="C11" s="916" t="str">
        <f t="shared" ref="C11:C22" si="0">IF(B11="","",1)</f>
        <v/>
      </c>
      <c r="D11" s="916" t="str">
        <f t="shared" ref="D11:D22" si="1">IF(B11="","",1)</f>
        <v/>
      </c>
      <c r="E11" s="917"/>
      <c r="F11" s="246">
        <f>IF(B11=0,0,SUM($B$11:B11))</f>
        <v>0</v>
      </c>
      <c r="G11" s="145">
        <f t="shared" ref="G11:G22" si="2">IF(B11=0,0,SMIC_mens*C11*D11+E11*SMIC_hor)</f>
        <v>0</v>
      </c>
      <c r="H11" s="145">
        <f>IF(G11=0,0,SUM($G$11:G11))</f>
        <v>0</v>
      </c>
      <c r="I11" s="146">
        <f t="shared" ref="I11:I22" si="3">IF(B11=0,0,Taux_Fillon/0.6*(1.6*G11/B11-1))</f>
        <v>0</v>
      </c>
      <c r="J11" s="146">
        <f t="shared" ref="J11:J22" si="4">IF(F11=0,0,Taux_Fillon/0.6*(1.6*H11/F11-1))</f>
        <v>0</v>
      </c>
      <c r="K11" s="145">
        <f t="shared" ref="K11:K22" si="5">IF(I11&lt;0,0,-B11*I11)</f>
        <v>0</v>
      </c>
      <c r="L11" s="343">
        <f>IF(I11&gt;0,-B11*I11,0)</f>
        <v>0</v>
      </c>
      <c r="M11" s="114"/>
    </row>
    <row r="12" spans="1:14">
      <c r="A12" s="178" t="s">
        <v>194</v>
      </c>
      <c r="B12" s="351"/>
      <c r="C12" s="916" t="str">
        <f t="shared" si="0"/>
        <v/>
      </c>
      <c r="D12" s="916" t="str">
        <f t="shared" si="1"/>
        <v/>
      </c>
      <c r="E12" s="917"/>
      <c r="F12" s="247">
        <f>IF(B12=0,0,SUM($B$11:B12))</f>
        <v>0</v>
      </c>
      <c r="G12" s="147">
        <f t="shared" si="2"/>
        <v>0</v>
      </c>
      <c r="H12" s="344">
        <f>IF(G12=0,0,SUM($G$11:G12))</f>
        <v>0</v>
      </c>
      <c r="I12" s="148">
        <f t="shared" si="3"/>
        <v>0</v>
      </c>
      <c r="J12" s="148">
        <f t="shared" si="4"/>
        <v>0</v>
      </c>
      <c r="K12" s="147">
        <f t="shared" si="5"/>
        <v>0</v>
      </c>
      <c r="L12" s="343">
        <f>IF(B12=0,0,IF(J12&gt;0,-F12*J12,0)-SUM($L$11:L11))</f>
        <v>0</v>
      </c>
      <c r="M12" s="114"/>
    </row>
    <row r="13" spans="1:14">
      <c r="A13" s="177" t="s">
        <v>195</v>
      </c>
      <c r="B13" s="351"/>
      <c r="C13" s="916" t="str">
        <f t="shared" si="0"/>
        <v/>
      </c>
      <c r="D13" s="916" t="str">
        <f t="shared" si="1"/>
        <v/>
      </c>
      <c r="E13" s="917"/>
      <c r="F13" s="246">
        <f>IF(B13=0,0,SUM($B$11:B13))</f>
        <v>0</v>
      </c>
      <c r="G13" s="145">
        <f t="shared" si="2"/>
        <v>0</v>
      </c>
      <c r="H13" s="145">
        <f>IF(G13=0,0,SUM($G$11:G13))</f>
        <v>0</v>
      </c>
      <c r="I13" s="146">
        <f t="shared" si="3"/>
        <v>0</v>
      </c>
      <c r="J13" s="146">
        <f t="shared" si="4"/>
        <v>0</v>
      </c>
      <c r="K13" s="145">
        <f t="shared" si="5"/>
        <v>0</v>
      </c>
      <c r="L13" s="343">
        <f>IF(B13=0,0,IF(J13&gt;0,-F13*J13,0)-SUM($L$11:L12))</f>
        <v>0</v>
      </c>
      <c r="M13" s="114"/>
    </row>
    <row r="14" spans="1:14">
      <c r="A14" s="178" t="s">
        <v>196</v>
      </c>
      <c r="B14" s="351"/>
      <c r="C14" s="916" t="str">
        <f t="shared" si="0"/>
        <v/>
      </c>
      <c r="D14" s="916" t="str">
        <f t="shared" si="1"/>
        <v/>
      </c>
      <c r="E14" s="917"/>
      <c r="F14" s="247">
        <f>IF(B14=0,0,SUM($B$11:B14))</f>
        <v>0</v>
      </c>
      <c r="G14" s="147">
        <f t="shared" si="2"/>
        <v>0</v>
      </c>
      <c r="H14" s="344">
        <f>IF(G14=0,0,SUM($G$11:G14))</f>
        <v>0</v>
      </c>
      <c r="I14" s="148">
        <f t="shared" si="3"/>
        <v>0</v>
      </c>
      <c r="J14" s="148">
        <f t="shared" si="4"/>
        <v>0</v>
      </c>
      <c r="K14" s="147">
        <f t="shared" si="5"/>
        <v>0</v>
      </c>
      <c r="L14" s="343">
        <f>IF(B14=0,0,IF(J14&gt;0,-F14*J14,0)-SUM($L$11:L13))</f>
        <v>0</v>
      </c>
      <c r="M14" s="114"/>
    </row>
    <row r="15" spans="1:14">
      <c r="A15" s="177" t="s">
        <v>197</v>
      </c>
      <c r="B15" s="351"/>
      <c r="C15" s="916" t="str">
        <f t="shared" si="0"/>
        <v/>
      </c>
      <c r="D15" s="916" t="str">
        <f t="shared" si="1"/>
        <v/>
      </c>
      <c r="E15" s="917"/>
      <c r="F15" s="246">
        <f>IF(B15=0,0,SUM($B$11:B15))</f>
        <v>0</v>
      </c>
      <c r="G15" s="145">
        <f t="shared" si="2"/>
        <v>0</v>
      </c>
      <c r="H15" s="145">
        <f>IF(G15=0,0,SUM($G$11:G15))</f>
        <v>0</v>
      </c>
      <c r="I15" s="146">
        <f t="shared" si="3"/>
        <v>0</v>
      </c>
      <c r="J15" s="146">
        <f t="shared" si="4"/>
        <v>0</v>
      </c>
      <c r="K15" s="145">
        <f t="shared" si="5"/>
        <v>0</v>
      </c>
      <c r="L15" s="343">
        <f>IF(B15=0,0,IF(J15&gt;0,-F15*J15,0)-SUM($L$11:L14))</f>
        <v>0</v>
      </c>
      <c r="M15" s="114"/>
      <c r="N15" s="114"/>
    </row>
    <row r="16" spans="1:14">
      <c r="A16" s="178" t="s">
        <v>198</v>
      </c>
      <c r="B16" s="943"/>
      <c r="C16" s="916" t="str">
        <f t="shared" si="0"/>
        <v/>
      </c>
      <c r="D16" s="916" t="str">
        <f t="shared" si="1"/>
        <v/>
      </c>
      <c r="E16" s="917"/>
      <c r="F16" s="247">
        <f>IF(B16=0,0,SUM($B$11:B16))</f>
        <v>0</v>
      </c>
      <c r="G16" s="147">
        <f t="shared" si="2"/>
        <v>0</v>
      </c>
      <c r="H16" s="344">
        <f>IF(G16=0,0,SUM($G$11:G16))</f>
        <v>0</v>
      </c>
      <c r="I16" s="148">
        <f t="shared" si="3"/>
        <v>0</v>
      </c>
      <c r="J16" s="148">
        <f t="shared" si="4"/>
        <v>0</v>
      </c>
      <c r="K16" s="147">
        <f t="shared" si="5"/>
        <v>0</v>
      </c>
      <c r="L16" s="343">
        <f>IF(B16=0,0,IF(J16&gt;0,-F16*J16,0)-SUM($L$11:L15))</f>
        <v>0</v>
      </c>
      <c r="M16" s="114"/>
    </row>
    <row r="17" spans="1:13">
      <c r="A17" s="177" t="s">
        <v>199</v>
      </c>
      <c r="B17" s="943"/>
      <c r="C17" s="916" t="str">
        <f t="shared" si="0"/>
        <v/>
      </c>
      <c r="D17" s="916" t="str">
        <f t="shared" si="1"/>
        <v/>
      </c>
      <c r="E17" s="917"/>
      <c r="F17" s="246">
        <f>IF(B17=0,0,SUM($B$11:B17))</f>
        <v>0</v>
      </c>
      <c r="G17" s="145">
        <f t="shared" si="2"/>
        <v>0</v>
      </c>
      <c r="H17" s="145">
        <f>IF(G17=0,0,SUM($G$11:G17))</f>
        <v>0</v>
      </c>
      <c r="I17" s="146">
        <f t="shared" si="3"/>
        <v>0</v>
      </c>
      <c r="J17" s="146">
        <f t="shared" si="4"/>
        <v>0</v>
      </c>
      <c r="K17" s="145">
        <f t="shared" si="5"/>
        <v>0</v>
      </c>
      <c r="L17" s="343">
        <f>IF(B17=0,0,IF(J17&gt;0,-F17*J17,0)-SUM($L$11:L16))</f>
        <v>0</v>
      </c>
      <c r="M17" s="114"/>
    </row>
    <row r="18" spans="1:13">
      <c r="A18" s="178" t="s">
        <v>200</v>
      </c>
      <c r="B18" s="943"/>
      <c r="C18" s="916" t="str">
        <f t="shared" si="0"/>
        <v/>
      </c>
      <c r="D18" s="916" t="str">
        <f t="shared" si="1"/>
        <v/>
      </c>
      <c r="E18" s="917"/>
      <c r="F18" s="247">
        <f>IF(B18=0,0,SUM($B$11:B18))</f>
        <v>0</v>
      </c>
      <c r="G18" s="147">
        <f t="shared" si="2"/>
        <v>0</v>
      </c>
      <c r="H18" s="344">
        <f>IF(G18=0,0,SUM($G$11:G18))</f>
        <v>0</v>
      </c>
      <c r="I18" s="148">
        <f t="shared" si="3"/>
        <v>0</v>
      </c>
      <c r="J18" s="148">
        <f t="shared" si="4"/>
        <v>0</v>
      </c>
      <c r="K18" s="147">
        <f t="shared" si="5"/>
        <v>0</v>
      </c>
      <c r="L18" s="343">
        <f>IF(B18=0,0,IF(J18&gt;0,-F18*J18,0)-SUM($L$11:L17))</f>
        <v>0</v>
      </c>
      <c r="M18" s="114"/>
    </row>
    <row r="19" spans="1:13">
      <c r="A19" s="177" t="s">
        <v>201</v>
      </c>
      <c r="B19" s="943"/>
      <c r="C19" s="916" t="str">
        <f t="shared" si="0"/>
        <v/>
      </c>
      <c r="D19" s="916" t="str">
        <f t="shared" si="1"/>
        <v/>
      </c>
      <c r="E19" s="917"/>
      <c r="F19" s="246">
        <f>IF(B19=0,0,SUM($B$11:B19))</f>
        <v>0</v>
      </c>
      <c r="G19" s="145">
        <f t="shared" si="2"/>
        <v>0</v>
      </c>
      <c r="H19" s="145">
        <f>IF(G19=0,0,SUM($G$11:G19))</f>
        <v>0</v>
      </c>
      <c r="I19" s="146">
        <f t="shared" si="3"/>
        <v>0</v>
      </c>
      <c r="J19" s="146">
        <f t="shared" si="4"/>
        <v>0</v>
      </c>
      <c r="K19" s="145">
        <f t="shared" si="5"/>
        <v>0</v>
      </c>
      <c r="L19" s="343">
        <f>IF(B19=0,0,IF(J19&gt;0,-F19*J19,0)-SUM($L$11:L18))</f>
        <v>0</v>
      </c>
      <c r="M19" s="114"/>
    </row>
    <row r="20" spans="1:13">
      <c r="A20" s="178" t="s">
        <v>202</v>
      </c>
      <c r="B20" s="943"/>
      <c r="C20" s="916" t="str">
        <f t="shared" si="0"/>
        <v/>
      </c>
      <c r="D20" s="916" t="str">
        <f t="shared" si="1"/>
        <v/>
      </c>
      <c r="E20" s="917"/>
      <c r="F20" s="247">
        <f>IF(B20=0,0,SUM($B$11:B20))</f>
        <v>0</v>
      </c>
      <c r="G20" s="147">
        <f t="shared" si="2"/>
        <v>0</v>
      </c>
      <c r="H20" s="344">
        <f>IF(G20=0,0,SUM($G$11:G20))</f>
        <v>0</v>
      </c>
      <c r="I20" s="148">
        <f t="shared" si="3"/>
        <v>0</v>
      </c>
      <c r="J20" s="148">
        <f t="shared" si="4"/>
        <v>0</v>
      </c>
      <c r="K20" s="147">
        <f t="shared" si="5"/>
        <v>0</v>
      </c>
      <c r="L20" s="343">
        <f>IF(B20=0,0,IF(J20&gt;0,-F20*J20,0)-SUM($L$11:L19))</f>
        <v>0</v>
      </c>
      <c r="M20" s="114"/>
    </row>
    <row r="21" spans="1:13">
      <c r="A21" s="177" t="s">
        <v>203</v>
      </c>
      <c r="B21" s="943"/>
      <c r="C21" s="916" t="str">
        <f t="shared" si="0"/>
        <v/>
      </c>
      <c r="D21" s="916" t="str">
        <f t="shared" si="1"/>
        <v/>
      </c>
      <c r="E21" s="917"/>
      <c r="F21" s="246">
        <f>IF(B21=0,0,SUM($B$11:B21))</f>
        <v>0</v>
      </c>
      <c r="G21" s="145">
        <f t="shared" si="2"/>
        <v>0</v>
      </c>
      <c r="H21" s="145">
        <f>IF(G21=0,0,SUM($G$11:G21))</f>
        <v>0</v>
      </c>
      <c r="I21" s="146">
        <f t="shared" si="3"/>
        <v>0</v>
      </c>
      <c r="J21" s="146">
        <f t="shared" si="4"/>
        <v>0</v>
      </c>
      <c r="K21" s="145">
        <f t="shared" si="5"/>
        <v>0</v>
      </c>
      <c r="L21" s="343">
        <f>IF(B21=0,0,IF(J21&gt;0,-F21*J21,0)-SUM($L$11:L20))</f>
        <v>0</v>
      </c>
      <c r="M21" s="114"/>
    </row>
    <row r="22" spans="1:13">
      <c r="A22" s="178" t="s">
        <v>204</v>
      </c>
      <c r="B22" s="943"/>
      <c r="C22" s="916" t="str">
        <f t="shared" si="0"/>
        <v/>
      </c>
      <c r="D22" s="916" t="str">
        <f t="shared" si="1"/>
        <v/>
      </c>
      <c r="E22" s="917"/>
      <c r="F22" s="247">
        <f>IF(B22=0,0,SUM($B$11:B22))</f>
        <v>0</v>
      </c>
      <c r="G22" s="147">
        <f t="shared" si="2"/>
        <v>0</v>
      </c>
      <c r="H22" s="344">
        <f>IF(G22=0,0,SUM($G$11:G22))</f>
        <v>0</v>
      </c>
      <c r="I22" s="148">
        <f t="shared" si="3"/>
        <v>0</v>
      </c>
      <c r="J22" s="148">
        <f t="shared" si="4"/>
        <v>0</v>
      </c>
      <c r="K22" s="147">
        <f t="shared" si="5"/>
        <v>0</v>
      </c>
      <c r="L22" s="343">
        <f>IF(B22=0,0,IF(J22&gt;0,-F22*J22,0)-SUM($L$11:L21))</f>
        <v>0</v>
      </c>
      <c r="M22" s="114"/>
    </row>
    <row r="23" spans="1:13" ht="30" customHeight="1">
      <c r="A23" s="82"/>
      <c r="B23" s="139"/>
      <c r="C23" s="139"/>
      <c r="D23" s="122"/>
      <c r="E23" s="122"/>
      <c r="F23" s="122"/>
      <c r="G23" s="140"/>
      <c r="H23" s="140"/>
      <c r="I23" s="141"/>
      <c r="J23" s="141"/>
      <c r="K23" s="142"/>
      <c r="L23" s="123"/>
    </row>
    <row r="24" spans="1:13">
      <c r="B24" s="82"/>
      <c r="C24" s="82"/>
      <c r="D24" s="122"/>
      <c r="E24" s="122"/>
      <c r="F24" s="122"/>
      <c r="G24" s="123"/>
      <c r="H24" s="123"/>
      <c r="I24" s="124"/>
      <c r="J24" s="124"/>
      <c r="K24" s="125">
        <f>IF(I24&lt;0,-SUM(K11:K22),-B24*I24-SUM(K11:K22))</f>
        <v>0</v>
      </c>
    </row>
    <row r="29" spans="1:13">
      <c r="K29" s="114"/>
    </row>
    <row r="30" spans="1:13">
      <c r="K30" s="114"/>
    </row>
  </sheetData>
  <mergeCells count="3">
    <mergeCell ref="A1:L1"/>
    <mergeCell ref="B5:D5"/>
    <mergeCell ref="B6:D6"/>
  </mergeCells>
  <pageMargins left="0.23622047244094491" right="0.23622047244094491" top="0.74803149606299213" bottom="0.74803149606299213" header="0.31496062992125984" footer="0.31496062992125984"/>
  <pageSetup paperSize="9" orientation="portrait" r:id="rId1"/>
  <headerFooter>
    <oddHeader>&amp;LEmmanuel ESNAULT&amp;R&amp;D</oddHeader>
  </headerFooter>
  <ignoredErrors>
    <ignoredError sqref="C11:D22" unlockedFormula="1"/>
  </ignoredErrors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5">
    <tabColor theme="7" tint="-0.499984740745262"/>
  </sheetPr>
  <dimension ref="A1:N30"/>
  <sheetViews>
    <sheetView showZeros="0" workbookViewId="0">
      <selection activeCell="I5" sqref="I5:J5"/>
    </sheetView>
  </sheetViews>
  <sheetFormatPr baseColWidth="10" defaultRowHeight="15"/>
  <cols>
    <col min="1" max="1" width="10.85546875" bestFit="1" customWidth="1"/>
    <col min="2" max="3" width="8.5703125" bestFit="1" customWidth="1"/>
    <col min="4" max="4" width="10.7109375" customWidth="1"/>
    <col min="5" max="5" width="9.140625" bestFit="1" customWidth="1"/>
    <col min="6" max="6" width="10.85546875" customWidth="1"/>
    <col min="9" max="9" width="7.28515625" bestFit="1" customWidth="1"/>
    <col min="10" max="10" width="8" bestFit="1" customWidth="1"/>
    <col min="11" max="11" width="10" hidden="1" customWidth="1"/>
    <col min="12" max="12" width="7.28515625" bestFit="1" customWidth="1"/>
    <col min="13" max="13" width="1.7109375" customWidth="1"/>
    <col min="14" max="14" width="72.42578125" bestFit="1" customWidth="1"/>
  </cols>
  <sheetData>
    <row r="1" spans="1:14" ht="26.25">
      <c r="A1" s="1051" t="s">
        <v>271</v>
      </c>
      <c r="B1" s="1051"/>
      <c r="C1" s="1051"/>
      <c r="D1" s="1051"/>
      <c r="E1" s="1051"/>
      <c r="F1" s="1051"/>
      <c r="G1" s="1051"/>
      <c r="H1" s="1051"/>
      <c r="I1" s="1051"/>
      <c r="J1" s="1051"/>
      <c r="K1" s="1051"/>
      <c r="L1" s="1051"/>
    </row>
    <row r="2" spans="1:14">
      <c r="N2" t="s">
        <v>388</v>
      </c>
    </row>
    <row r="3" spans="1:14">
      <c r="N3" t="s">
        <v>398</v>
      </c>
    </row>
    <row r="4" spans="1:14">
      <c r="A4" s="220" t="s">
        <v>62</v>
      </c>
      <c r="B4" s="126"/>
      <c r="C4" s="126"/>
      <c r="D4" s="126"/>
      <c r="N4" t="s">
        <v>399</v>
      </c>
    </row>
    <row r="5" spans="1:14">
      <c r="A5" s="242" t="s">
        <v>268</v>
      </c>
      <c r="B5" s="1049"/>
      <c r="C5" s="1049"/>
      <c r="D5" s="1050"/>
      <c r="N5" t="s">
        <v>389</v>
      </c>
    </row>
    <row r="6" spans="1:14">
      <c r="A6" s="243" t="s">
        <v>147</v>
      </c>
      <c r="B6" s="1049"/>
      <c r="C6" s="1049"/>
      <c r="D6" s="1050"/>
    </row>
    <row r="7" spans="1:14">
      <c r="N7" t="s">
        <v>390</v>
      </c>
    </row>
    <row r="8" spans="1:14">
      <c r="N8" t="s">
        <v>391</v>
      </c>
    </row>
    <row r="9" spans="1:14">
      <c r="N9" t="s">
        <v>396</v>
      </c>
    </row>
    <row r="10" spans="1:14" ht="45">
      <c r="A10" s="82"/>
      <c r="B10" s="143" t="s">
        <v>189</v>
      </c>
      <c r="C10" s="144" t="s">
        <v>190</v>
      </c>
      <c r="D10" s="144" t="s">
        <v>191</v>
      </c>
      <c r="E10" s="143" t="s">
        <v>192</v>
      </c>
      <c r="F10" s="144" t="s">
        <v>445</v>
      </c>
      <c r="G10" s="143" t="s">
        <v>188</v>
      </c>
      <c r="H10" s="144" t="s">
        <v>446</v>
      </c>
      <c r="I10" s="144" t="s">
        <v>253</v>
      </c>
      <c r="J10" s="144" t="s">
        <v>236</v>
      </c>
      <c r="K10" s="144" t="s">
        <v>252</v>
      </c>
      <c r="L10" s="144" t="s">
        <v>254</v>
      </c>
      <c r="N10" s="346" t="s">
        <v>397</v>
      </c>
    </row>
    <row r="11" spans="1:14">
      <c r="A11" s="177" t="s">
        <v>193</v>
      </c>
      <c r="B11" s="351"/>
      <c r="C11" s="916" t="str">
        <f>IF(B11="","",1)</f>
        <v/>
      </c>
      <c r="D11" s="916" t="str">
        <f>IF(B11="","",1)</f>
        <v/>
      </c>
      <c r="E11" s="917"/>
      <c r="F11" s="246">
        <f>IF(B11=0,0,SUM($B$11:B11))</f>
        <v>0</v>
      </c>
      <c r="G11" s="145">
        <f t="shared" ref="G11:G22" si="0">IF(B11=0,0,SMIC_mens*C11*D11+E11*SMIC_hor)</f>
        <v>0</v>
      </c>
      <c r="H11" s="145">
        <f>IF(G11=0,0,SUM($G$11:G11))</f>
        <v>0</v>
      </c>
      <c r="I11" s="146">
        <f t="shared" ref="I11:I22" si="1">IF(B11=0,0,Taux_Fillon/0.6*(1.6*G11/B11-1))</f>
        <v>0</v>
      </c>
      <c r="J11" s="146">
        <f t="shared" ref="J11:J22" si="2">IF(F11=0,0,Taux_Fillon/0.6*(1.6*H11/F11-1))</f>
        <v>0</v>
      </c>
      <c r="K11" s="145">
        <f t="shared" ref="K11:K22" si="3">IF(I11&lt;0,0,-B11*I11)</f>
        <v>0</v>
      </c>
      <c r="L11" s="343">
        <f>IF(I11&gt;0,-B11*I11,0)</f>
        <v>0</v>
      </c>
      <c r="M11" s="114"/>
      <c r="N11" s="114">
        <f>1.6*H11</f>
        <v>0</v>
      </c>
    </row>
    <row r="12" spans="1:14">
      <c r="A12" s="178" t="s">
        <v>194</v>
      </c>
      <c r="B12" s="351"/>
      <c r="C12" s="916" t="str">
        <f t="shared" ref="C12:C22" si="4">IF(B12="","",1)</f>
        <v/>
      </c>
      <c r="D12" s="916" t="str">
        <f t="shared" ref="D12:D22" si="5">IF(B12="","",1)</f>
        <v/>
      </c>
      <c r="E12" s="917"/>
      <c r="F12" s="247">
        <f>IF(B12=0,0,SUM($B$11:B12))</f>
        <v>0</v>
      </c>
      <c r="G12" s="147">
        <f t="shared" si="0"/>
        <v>0</v>
      </c>
      <c r="H12" s="344">
        <f>IF(G12=0,0,SUM($G$11:G12))</f>
        <v>0</v>
      </c>
      <c r="I12" s="148">
        <f t="shared" si="1"/>
        <v>0</v>
      </c>
      <c r="J12" s="148">
        <f t="shared" si="2"/>
        <v>0</v>
      </c>
      <c r="K12" s="147">
        <f t="shared" si="3"/>
        <v>0</v>
      </c>
      <c r="L12" s="343">
        <f>IF(B12=0,0,IF(SUM(B13:$B$22)&lt;&gt;0,IF(I12&gt;0,-B12*I12,0),IF(J12&gt;0,-F12*J12,0)-SUM($L$11:L11)))</f>
        <v>0</v>
      </c>
      <c r="M12" s="114"/>
      <c r="N12" s="114">
        <f t="shared" ref="N12:N22" si="6">1.6*H12</f>
        <v>0</v>
      </c>
    </row>
    <row r="13" spans="1:14">
      <c r="A13" s="177" t="s">
        <v>195</v>
      </c>
      <c r="B13" s="351"/>
      <c r="C13" s="916" t="str">
        <f t="shared" si="4"/>
        <v/>
      </c>
      <c r="D13" s="916" t="str">
        <f t="shared" si="5"/>
        <v/>
      </c>
      <c r="E13" s="917"/>
      <c r="F13" s="246">
        <f>IF(B13=0,0,SUM($B$11:B13))</f>
        <v>0</v>
      </c>
      <c r="G13" s="145">
        <f t="shared" si="0"/>
        <v>0</v>
      </c>
      <c r="H13" s="145">
        <f>IF(G13=0,0,SUM($G$11:G13))</f>
        <v>0</v>
      </c>
      <c r="I13" s="146">
        <f t="shared" si="1"/>
        <v>0</v>
      </c>
      <c r="J13" s="146">
        <f t="shared" si="2"/>
        <v>0</v>
      </c>
      <c r="K13" s="145">
        <f t="shared" si="3"/>
        <v>0</v>
      </c>
      <c r="L13" s="343">
        <f>IF(B13=0,0,IF(SUM(B14:$B$22)&lt;&gt;0,IF(I13&gt;0,-B13*I13,0),IF(J13&gt;0,-F13*J13,0)-SUM($L$11:L12)))</f>
        <v>0</v>
      </c>
      <c r="M13" s="114"/>
      <c r="N13" s="114">
        <f t="shared" si="6"/>
        <v>0</v>
      </c>
    </row>
    <row r="14" spans="1:14">
      <c r="A14" s="178" t="s">
        <v>196</v>
      </c>
      <c r="B14" s="351"/>
      <c r="C14" s="916" t="str">
        <f t="shared" si="4"/>
        <v/>
      </c>
      <c r="D14" s="916" t="str">
        <f t="shared" si="5"/>
        <v/>
      </c>
      <c r="E14" s="917"/>
      <c r="F14" s="247">
        <f>IF(B14=0,0,SUM($B$11:B14))</f>
        <v>0</v>
      </c>
      <c r="G14" s="147">
        <f t="shared" si="0"/>
        <v>0</v>
      </c>
      <c r="H14" s="344">
        <f>IF(G14=0,0,SUM($G$11:G14))</f>
        <v>0</v>
      </c>
      <c r="I14" s="148">
        <f t="shared" si="1"/>
        <v>0</v>
      </c>
      <c r="J14" s="148">
        <f t="shared" si="2"/>
        <v>0</v>
      </c>
      <c r="K14" s="147">
        <f t="shared" si="3"/>
        <v>0</v>
      </c>
      <c r="L14" s="343">
        <f>IF(B14=0,0,IF(SUM(B15:$B$22)&lt;&gt;0,IF(I14&gt;0,-B14*I14,0),IF(J14&gt;0,-F14*J14,0)-SUM($L$11:L13)))</f>
        <v>0</v>
      </c>
      <c r="M14" s="114"/>
      <c r="N14" s="114">
        <f t="shared" si="6"/>
        <v>0</v>
      </c>
    </row>
    <row r="15" spans="1:14">
      <c r="A15" s="177" t="s">
        <v>197</v>
      </c>
      <c r="B15" s="351"/>
      <c r="C15" s="916" t="str">
        <f t="shared" si="4"/>
        <v/>
      </c>
      <c r="D15" s="916" t="str">
        <f t="shared" si="5"/>
        <v/>
      </c>
      <c r="E15" s="917"/>
      <c r="F15" s="246">
        <f>IF(B15=0,0,SUM($B$11:B15))</f>
        <v>0</v>
      </c>
      <c r="G15" s="145">
        <f t="shared" si="0"/>
        <v>0</v>
      </c>
      <c r="H15" s="145">
        <f>IF(G15=0,0,SUM($G$11:G15))</f>
        <v>0</v>
      </c>
      <c r="I15" s="146">
        <f t="shared" si="1"/>
        <v>0</v>
      </c>
      <c r="J15" s="146">
        <f t="shared" si="2"/>
        <v>0</v>
      </c>
      <c r="K15" s="145">
        <f t="shared" si="3"/>
        <v>0</v>
      </c>
      <c r="L15" s="343">
        <f>IF(B15=0,0,IF(SUM(B16:$B$22)&lt;&gt;0,IF(I15&gt;0,-B15*I15,0),IF(J15&gt;0,-F15*J15,0)-SUM($L$11:L14)))</f>
        <v>0</v>
      </c>
      <c r="M15" s="114"/>
      <c r="N15" s="114">
        <f t="shared" si="6"/>
        <v>0</v>
      </c>
    </row>
    <row r="16" spans="1:14">
      <c r="A16" s="178" t="s">
        <v>198</v>
      </c>
      <c r="B16" s="351"/>
      <c r="C16" s="916" t="str">
        <f t="shared" si="4"/>
        <v/>
      </c>
      <c r="D16" s="916" t="str">
        <f t="shared" si="5"/>
        <v/>
      </c>
      <c r="E16" s="917"/>
      <c r="F16" s="247">
        <f>IF(B16=0,0,SUM($B$11:B16))</f>
        <v>0</v>
      </c>
      <c r="G16" s="147">
        <f t="shared" si="0"/>
        <v>0</v>
      </c>
      <c r="H16" s="344">
        <f>IF(G16=0,0,SUM($G$11:G16))</f>
        <v>0</v>
      </c>
      <c r="I16" s="148">
        <f t="shared" si="1"/>
        <v>0</v>
      </c>
      <c r="J16" s="148">
        <f t="shared" si="2"/>
        <v>0</v>
      </c>
      <c r="K16" s="147">
        <f t="shared" si="3"/>
        <v>0</v>
      </c>
      <c r="L16" s="343">
        <f>IF(B16=0,0,IF(SUM(B17:$B$22)&lt;&gt;0,IF(I16&gt;0,-B16*I16,0),IF(J16&gt;0,-F16*J16,0)-SUM($L$11:L15)))</f>
        <v>0</v>
      </c>
      <c r="M16" s="114"/>
      <c r="N16" s="114">
        <f t="shared" si="6"/>
        <v>0</v>
      </c>
    </row>
    <row r="17" spans="1:14">
      <c r="A17" s="177" t="s">
        <v>199</v>
      </c>
      <c r="B17" s="351"/>
      <c r="C17" s="916" t="str">
        <f t="shared" si="4"/>
        <v/>
      </c>
      <c r="D17" s="916" t="str">
        <f t="shared" si="5"/>
        <v/>
      </c>
      <c r="E17" s="917"/>
      <c r="F17" s="246">
        <f>IF(B17=0,0,SUM($B$11:B17))</f>
        <v>0</v>
      </c>
      <c r="G17" s="145">
        <f t="shared" si="0"/>
        <v>0</v>
      </c>
      <c r="H17" s="145">
        <f>IF(G17=0,0,SUM($G$11:G17))</f>
        <v>0</v>
      </c>
      <c r="I17" s="146">
        <f t="shared" si="1"/>
        <v>0</v>
      </c>
      <c r="J17" s="146">
        <f t="shared" si="2"/>
        <v>0</v>
      </c>
      <c r="K17" s="145">
        <f t="shared" si="3"/>
        <v>0</v>
      </c>
      <c r="L17" s="343">
        <f>IF(B17=0,0,IF(SUM(B18:$B$22)&lt;&gt;0,IF(I17&gt;0,-B17*I17,0),IF(J17&gt;0,-F17*J17,0)-SUM($L$11:L16)))</f>
        <v>0</v>
      </c>
      <c r="M17" s="114"/>
      <c r="N17" s="114">
        <f t="shared" si="6"/>
        <v>0</v>
      </c>
    </row>
    <row r="18" spans="1:14">
      <c r="A18" s="178" t="s">
        <v>200</v>
      </c>
      <c r="B18" s="351"/>
      <c r="C18" s="916" t="str">
        <f t="shared" si="4"/>
        <v/>
      </c>
      <c r="D18" s="916" t="str">
        <f t="shared" si="5"/>
        <v/>
      </c>
      <c r="E18" s="917"/>
      <c r="F18" s="247">
        <f>IF(B18=0,0,SUM($B$11:B18))</f>
        <v>0</v>
      </c>
      <c r="G18" s="147">
        <f t="shared" si="0"/>
        <v>0</v>
      </c>
      <c r="H18" s="344">
        <f>IF(G18=0,0,SUM($G$11:G18))</f>
        <v>0</v>
      </c>
      <c r="I18" s="148">
        <f t="shared" si="1"/>
        <v>0</v>
      </c>
      <c r="J18" s="148">
        <f t="shared" si="2"/>
        <v>0</v>
      </c>
      <c r="K18" s="147">
        <f t="shared" si="3"/>
        <v>0</v>
      </c>
      <c r="L18" s="343">
        <f>IF(B18=0,0,IF(SUM(B19:$B$22)&lt;&gt;0,IF(I18&gt;0,-B18*I18,0),IF(J18&gt;0,-F18*J18,0)-SUM($L$11:L17)))</f>
        <v>0</v>
      </c>
      <c r="M18" s="114"/>
      <c r="N18" s="114">
        <f t="shared" si="6"/>
        <v>0</v>
      </c>
    </row>
    <row r="19" spans="1:14">
      <c r="A19" s="177" t="s">
        <v>201</v>
      </c>
      <c r="B19" s="351"/>
      <c r="C19" s="916" t="str">
        <f t="shared" si="4"/>
        <v/>
      </c>
      <c r="D19" s="916" t="str">
        <f t="shared" si="5"/>
        <v/>
      </c>
      <c r="E19" s="917"/>
      <c r="F19" s="246">
        <f>IF(B19=0,0,SUM($B$11:B19))</f>
        <v>0</v>
      </c>
      <c r="G19" s="145">
        <f t="shared" si="0"/>
        <v>0</v>
      </c>
      <c r="H19" s="145">
        <f>IF(G19=0,0,SUM($G$11:G19))</f>
        <v>0</v>
      </c>
      <c r="I19" s="146">
        <f t="shared" si="1"/>
        <v>0</v>
      </c>
      <c r="J19" s="146">
        <f t="shared" si="2"/>
        <v>0</v>
      </c>
      <c r="K19" s="145">
        <f t="shared" si="3"/>
        <v>0</v>
      </c>
      <c r="L19" s="343">
        <f>IF(B19=0,0,IF(SUM(B20:$B$22)&lt;&gt;0,IF(I19&gt;0,-B19*I19,0),IF(J19&gt;0,-F19*J19,0)-SUM($L$11:L18)))</f>
        <v>0</v>
      </c>
      <c r="M19" s="114"/>
      <c r="N19" s="114">
        <f t="shared" si="6"/>
        <v>0</v>
      </c>
    </row>
    <row r="20" spans="1:14">
      <c r="A20" s="178" t="s">
        <v>202</v>
      </c>
      <c r="B20" s="351"/>
      <c r="C20" s="916" t="str">
        <f t="shared" si="4"/>
        <v/>
      </c>
      <c r="D20" s="916" t="str">
        <f t="shared" si="5"/>
        <v/>
      </c>
      <c r="E20" s="917"/>
      <c r="F20" s="247">
        <f>IF(B20=0,0,SUM($B$11:B20))</f>
        <v>0</v>
      </c>
      <c r="G20" s="147">
        <f t="shared" si="0"/>
        <v>0</v>
      </c>
      <c r="H20" s="344">
        <f>IF(G20=0,0,SUM($G$11:G20))</f>
        <v>0</v>
      </c>
      <c r="I20" s="148">
        <f t="shared" si="1"/>
        <v>0</v>
      </c>
      <c r="J20" s="148">
        <f t="shared" si="2"/>
        <v>0</v>
      </c>
      <c r="K20" s="147">
        <f t="shared" si="3"/>
        <v>0</v>
      </c>
      <c r="L20" s="343">
        <f>IF(B20=0,0,IF(SUM(B21:$B$22)&lt;&gt;0,IF(I20&gt;0,-B20*I20,0),IF(J20&gt;0,-F20*J20,0)-SUM($L$11:L19)))</f>
        <v>0</v>
      </c>
      <c r="M20" s="114"/>
      <c r="N20" s="114">
        <f t="shared" si="6"/>
        <v>0</v>
      </c>
    </row>
    <row r="21" spans="1:14">
      <c r="A21" s="177" t="s">
        <v>203</v>
      </c>
      <c r="B21" s="351"/>
      <c r="C21" s="916" t="str">
        <f t="shared" si="4"/>
        <v/>
      </c>
      <c r="D21" s="916" t="str">
        <f t="shared" si="5"/>
        <v/>
      </c>
      <c r="E21" s="917"/>
      <c r="F21" s="246">
        <f>IF(B21=0,0,SUM($B$11:B21))</f>
        <v>0</v>
      </c>
      <c r="G21" s="145">
        <f t="shared" si="0"/>
        <v>0</v>
      </c>
      <c r="H21" s="145">
        <f>IF(G21=0,0,SUM($G$11:G21))</f>
        <v>0</v>
      </c>
      <c r="I21" s="146">
        <f t="shared" si="1"/>
        <v>0</v>
      </c>
      <c r="J21" s="146">
        <f t="shared" si="2"/>
        <v>0</v>
      </c>
      <c r="K21" s="145">
        <f t="shared" si="3"/>
        <v>0</v>
      </c>
      <c r="L21" s="343">
        <f>IF(B21=0,0,IF(SUM(B22:$B$22)&lt;&gt;0,IF(I21&gt;0,-B21*I21,0),IF(J21&gt;0,-F21*J21,0)-SUM($L$11:L20)))</f>
        <v>0</v>
      </c>
      <c r="M21" s="114"/>
      <c r="N21" s="114">
        <f t="shared" si="6"/>
        <v>0</v>
      </c>
    </row>
    <row r="22" spans="1:14">
      <c r="A22" s="178" t="s">
        <v>204</v>
      </c>
      <c r="B22" s="351"/>
      <c r="C22" s="916" t="str">
        <f t="shared" si="4"/>
        <v/>
      </c>
      <c r="D22" s="916" t="str">
        <f t="shared" si="5"/>
        <v/>
      </c>
      <c r="E22" s="917"/>
      <c r="F22" s="247">
        <f>IF(B22=0,0,SUM($B$11:B22))</f>
        <v>0</v>
      </c>
      <c r="G22" s="147">
        <f t="shared" si="0"/>
        <v>0</v>
      </c>
      <c r="H22" s="344">
        <f>IF(G22=0,0,SUM($G$11:G22))</f>
        <v>0</v>
      </c>
      <c r="I22" s="148">
        <f t="shared" si="1"/>
        <v>0</v>
      </c>
      <c r="J22" s="148">
        <f t="shared" si="2"/>
        <v>0</v>
      </c>
      <c r="K22" s="147">
        <f t="shared" si="3"/>
        <v>0</v>
      </c>
      <c r="L22" s="343">
        <f>IF(B22=0,0,-F22*MAX(J22,0)-SUM($L$11:L21))</f>
        <v>0</v>
      </c>
      <c r="M22" s="114"/>
      <c r="N22" s="114">
        <f t="shared" si="6"/>
        <v>0</v>
      </c>
    </row>
    <row r="23" spans="1:14" ht="30" customHeight="1">
      <c r="A23" s="82"/>
      <c r="B23" s="139"/>
      <c r="C23" s="139"/>
      <c r="D23" s="122"/>
      <c r="E23" s="122"/>
      <c r="F23" s="122"/>
      <c r="G23" s="140"/>
      <c r="H23" s="140"/>
      <c r="I23" s="141"/>
      <c r="J23" s="141"/>
      <c r="K23" s="142"/>
      <c r="L23" s="123"/>
    </row>
    <row r="24" spans="1:14">
      <c r="B24" s="82"/>
      <c r="C24" s="123"/>
      <c r="D24" s="122"/>
      <c r="E24" s="122"/>
      <c r="F24" s="122"/>
      <c r="G24" s="123"/>
      <c r="H24" s="123"/>
      <c r="I24" s="124"/>
      <c r="J24" s="124"/>
      <c r="K24" s="125">
        <f>IF(I24&lt;0,-SUM(K11:K22),-B24*I24-SUM(K11:K22))</f>
        <v>0</v>
      </c>
    </row>
    <row r="25" spans="1:14">
      <c r="C25" s="114"/>
    </row>
    <row r="29" spans="1:14">
      <c r="K29" s="114"/>
    </row>
    <row r="30" spans="1:14">
      <c r="K30" s="114"/>
    </row>
  </sheetData>
  <mergeCells count="3">
    <mergeCell ref="A1:L1"/>
    <mergeCell ref="B5:D5"/>
    <mergeCell ref="B6:D6"/>
  </mergeCells>
  <pageMargins left="0.23622047244094491" right="0.23622047244094491" top="0.74803149606299213" bottom="0.74803149606299213" header="0.31496062992125984" footer="0.31496062992125984"/>
  <pageSetup paperSize="9" orientation="portrait" r:id="rId1"/>
  <headerFooter>
    <oddHeader>&amp;LEmmanuel ESNAULT&amp;R&amp;D</oddHeader>
  </headerFooter>
  <ignoredErrors>
    <ignoredError sqref="C11:D22" unlockedFormula="1"/>
  </ignoredErrors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6">
    <tabColor theme="7" tint="0.39997558519241921"/>
  </sheetPr>
  <dimension ref="A1:M23"/>
  <sheetViews>
    <sheetView showZeros="0" zoomScaleNormal="100" workbookViewId="0">
      <selection activeCell="I5" sqref="I5:J5"/>
    </sheetView>
  </sheetViews>
  <sheetFormatPr baseColWidth="10" defaultRowHeight="15"/>
  <cols>
    <col min="1" max="1" width="10.85546875" style="126" bestFit="1" customWidth="1"/>
    <col min="2" max="2" width="9.28515625" style="126" customWidth="1"/>
    <col min="3" max="3" width="6.85546875" style="126" bestFit="1" customWidth="1"/>
    <col min="4" max="4" width="9.140625" style="126" bestFit="1" customWidth="1"/>
    <col min="5" max="5" width="5.5703125" style="126" customWidth="1"/>
    <col min="6" max="6" width="8" style="126" bestFit="1" customWidth="1"/>
    <col min="7" max="7" width="8" style="126" customWidth="1"/>
    <col min="8" max="8" width="11.28515625" style="126" customWidth="1"/>
    <col min="9" max="9" width="9" style="126" customWidth="1"/>
    <col min="10" max="10" width="8" style="126" bestFit="1" customWidth="1"/>
    <col min="11" max="11" width="8" style="126" customWidth="1"/>
    <col min="12" max="12" width="1.7109375" style="126" customWidth="1"/>
    <col min="13" max="13" width="18.140625" style="126" customWidth="1"/>
    <col min="14" max="16384" width="11.42578125" style="126"/>
  </cols>
  <sheetData>
    <row r="1" spans="1:13" ht="26.25">
      <c r="A1" s="1052" t="s">
        <v>266</v>
      </c>
      <c r="B1" s="1052"/>
      <c r="C1" s="1052"/>
      <c r="D1" s="1052"/>
      <c r="E1" s="1052"/>
      <c r="F1" s="1052"/>
      <c r="G1" s="1052"/>
      <c r="H1" s="1052"/>
      <c r="I1" s="1052"/>
      <c r="J1" s="1052"/>
      <c r="K1" s="1052"/>
    </row>
    <row r="2" spans="1:13">
      <c r="M2" s="345" t="s">
        <v>395</v>
      </c>
    </row>
    <row r="3" spans="1:13">
      <c r="M3" s="345" t="s">
        <v>393</v>
      </c>
    </row>
    <row r="4" spans="1:13">
      <c r="A4" s="220" t="s">
        <v>62</v>
      </c>
      <c r="M4" s="345" t="s">
        <v>394</v>
      </c>
    </row>
    <row r="5" spans="1:13">
      <c r="A5" s="242" t="s">
        <v>268</v>
      </c>
      <c r="B5" s="1053"/>
      <c r="C5" s="1053"/>
      <c r="D5" s="1054"/>
      <c r="E5" s="910"/>
      <c r="F5" s="911"/>
      <c r="G5" s="911"/>
      <c r="M5" s="345" t="s">
        <v>392</v>
      </c>
    </row>
    <row r="6" spans="1:13">
      <c r="A6" s="243" t="s">
        <v>147</v>
      </c>
      <c r="B6" s="1053"/>
      <c r="C6" s="1053"/>
      <c r="D6" s="1054"/>
      <c r="E6" s="910"/>
      <c r="F6" s="911"/>
      <c r="G6" s="911"/>
    </row>
    <row r="10" spans="1:13" ht="30" customHeight="1">
      <c r="A10" s="156"/>
      <c r="B10" s="157" t="s">
        <v>255</v>
      </c>
      <c r="C10" s="157" t="s">
        <v>708</v>
      </c>
      <c r="D10" s="157" t="s">
        <v>709</v>
      </c>
      <c r="E10" s="157" t="s">
        <v>710</v>
      </c>
      <c r="F10" s="158" t="s">
        <v>264</v>
      </c>
      <c r="G10" s="158" t="s">
        <v>267</v>
      </c>
      <c r="H10" s="158" t="s">
        <v>256</v>
      </c>
      <c r="I10" s="158" t="s">
        <v>265</v>
      </c>
      <c r="J10" s="158" t="s">
        <v>707</v>
      </c>
      <c r="K10" s="218" t="s">
        <v>706</v>
      </c>
    </row>
    <row r="11" spans="1:13">
      <c r="A11" s="182" t="s">
        <v>193</v>
      </c>
      <c r="B11" s="909"/>
      <c r="C11" s="912" t="str">
        <f>IF($B11="","",1)</f>
        <v/>
      </c>
      <c r="D11" s="912" t="str">
        <f>IF($B11="","",1)</f>
        <v/>
      </c>
      <c r="E11" s="909"/>
      <c r="F11" s="244">
        <f t="shared" ref="F11:F22" si="0">IF(B11=0,0,3.5*(SMIC_mens*C11*D11+E11*SMIC_hor))</f>
        <v>0</v>
      </c>
      <c r="G11" s="159">
        <f>IF(B11&lt;F11,B11*3.45%,B11*5.25%)</f>
        <v>0</v>
      </c>
      <c r="H11" s="159">
        <f>IF(B11=0,0,SUM($B$11:B11))</f>
        <v>0</v>
      </c>
      <c r="I11" s="159">
        <f>IF(F11=0,0,SUM($F$11:F11))</f>
        <v>0</v>
      </c>
      <c r="J11" s="159">
        <f>IF(H11&lt;I11,H11*3.45%,H11*5.25%)</f>
        <v>0</v>
      </c>
      <c r="K11" s="219">
        <f>J11</f>
        <v>0</v>
      </c>
    </row>
    <row r="12" spans="1:13">
      <c r="A12" s="183" t="s">
        <v>194</v>
      </c>
      <c r="B12" s="909"/>
      <c r="C12" s="912" t="str">
        <f t="shared" ref="C12:D22" si="1">IF($B12="","",1)</f>
        <v/>
      </c>
      <c r="D12" s="912" t="str">
        <f t="shared" si="1"/>
        <v/>
      </c>
      <c r="E12" s="909"/>
      <c r="F12" s="245">
        <f t="shared" si="0"/>
        <v>0</v>
      </c>
      <c r="G12" s="217">
        <f t="shared" ref="G12:G22" si="2">IF(B12&lt;F12,B12*3.45%,B12*5.25%)</f>
        <v>0</v>
      </c>
      <c r="H12" s="217">
        <f>IF(B12=0,0,SUM($B$11:B12))</f>
        <v>0</v>
      </c>
      <c r="I12" s="217">
        <f>IF(F12=0,0,SUM($F$11:F12))</f>
        <v>0</v>
      </c>
      <c r="J12" s="217">
        <f t="shared" ref="J12:J22" si="3">IF(H12&lt;I12,H12*3.45%,H12*5.25%)</f>
        <v>0</v>
      </c>
      <c r="K12" s="219">
        <f>IF(B12=0,0,J12-SUM($K$11:K11))</f>
        <v>0</v>
      </c>
    </row>
    <row r="13" spans="1:13">
      <c r="A13" s="182" t="s">
        <v>195</v>
      </c>
      <c r="B13" s="909"/>
      <c r="C13" s="912" t="str">
        <f t="shared" si="1"/>
        <v/>
      </c>
      <c r="D13" s="912" t="str">
        <f t="shared" si="1"/>
        <v/>
      </c>
      <c r="E13" s="909"/>
      <c r="F13" s="244">
        <f t="shared" si="0"/>
        <v>0</v>
      </c>
      <c r="G13" s="159">
        <f t="shared" si="2"/>
        <v>0</v>
      </c>
      <c r="H13" s="159">
        <f>IF(B13=0,0,SUM($B$11:B13))</f>
        <v>0</v>
      </c>
      <c r="I13" s="159">
        <f>IF(F13=0,0,SUM($F$11:F13))</f>
        <v>0</v>
      </c>
      <c r="J13" s="159">
        <f t="shared" si="3"/>
        <v>0</v>
      </c>
      <c r="K13" s="219">
        <f>IF(B13=0,0,J13-SUM($K$11:K12))</f>
        <v>0</v>
      </c>
    </row>
    <row r="14" spans="1:13">
      <c r="A14" s="183" t="s">
        <v>196</v>
      </c>
      <c r="B14" s="909"/>
      <c r="C14" s="912" t="str">
        <f t="shared" si="1"/>
        <v/>
      </c>
      <c r="D14" s="912" t="str">
        <f t="shared" si="1"/>
        <v/>
      </c>
      <c r="E14" s="909"/>
      <c r="F14" s="245">
        <f t="shared" si="0"/>
        <v>0</v>
      </c>
      <c r="G14" s="217">
        <f t="shared" si="2"/>
        <v>0</v>
      </c>
      <c r="H14" s="217">
        <f>IF(B14=0,0,SUM($B$11:B14))</f>
        <v>0</v>
      </c>
      <c r="I14" s="217">
        <f>IF(F14=0,0,SUM($F$11:F14))</f>
        <v>0</v>
      </c>
      <c r="J14" s="217">
        <f t="shared" si="3"/>
        <v>0</v>
      </c>
      <c r="K14" s="219">
        <f>IF(B14=0,0,J14-SUM($K$11:K13))</f>
        <v>0</v>
      </c>
    </row>
    <row r="15" spans="1:13">
      <c r="A15" s="182" t="s">
        <v>197</v>
      </c>
      <c r="B15" s="909"/>
      <c r="C15" s="912" t="str">
        <f t="shared" si="1"/>
        <v/>
      </c>
      <c r="D15" s="912" t="str">
        <f t="shared" si="1"/>
        <v/>
      </c>
      <c r="E15" s="909"/>
      <c r="F15" s="244">
        <f t="shared" si="0"/>
        <v>0</v>
      </c>
      <c r="G15" s="159">
        <f t="shared" si="2"/>
        <v>0</v>
      </c>
      <c r="H15" s="159">
        <f>IF(B15=0,0,SUM($B$11:B15))</f>
        <v>0</v>
      </c>
      <c r="I15" s="159">
        <f>IF(F15=0,0,SUM($F$11:F15))</f>
        <v>0</v>
      </c>
      <c r="J15" s="159">
        <f t="shared" si="3"/>
        <v>0</v>
      </c>
      <c r="K15" s="219">
        <f>IF(B15=0,0,J15-SUM($K$11:K14))</f>
        <v>0</v>
      </c>
    </row>
    <row r="16" spans="1:13">
      <c r="A16" s="183" t="s">
        <v>198</v>
      </c>
      <c r="B16" s="909"/>
      <c r="C16" s="912" t="str">
        <f t="shared" si="1"/>
        <v/>
      </c>
      <c r="D16" s="912" t="str">
        <f t="shared" si="1"/>
        <v/>
      </c>
      <c r="E16" s="909"/>
      <c r="F16" s="245">
        <f t="shared" si="0"/>
        <v>0</v>
      </c>
      <c r="G16" s="217">
        <f t="shared" si="2"/>
        <v>0</v>
      </c>
      <c r="H16" s="217">
        <f>IF(B16=0,0,SUM($B$11:B16))</f>
        <v>0</v>
      </c>
      <c r="I16" s="217">
        <f>IF(F16=0,0,SUM($F$11:F16))</f>
        <v>0</v>
      </c>
      <c r="J16" s="217">
        <f t="shared" si="3"/>
        <v>0</v>
      </c>
      <c r="K16" s="219">
        <f>IF(B16=0,0,J16-SUM($K$11:K15))</f>
        <v>0</v>
      </c>
    </row>
    <row r="17" spans="1:11">
      <c r="A17" s="182" t="s">
        <v>199</v>
      </c>
      <c r="B17" s="909"/>
      <c r="C17" s="912" t="str">
        <f t="shared" si="1"/>
        <v/>
      </c>
      <c r="D17" s="912" t="str">
        <f t="shared" si="1"/>
        <v/>
      </c>
      <c r="E17" s="909"/>
      <c r="F17" s="244">
        <f t="shared" si="0"/>
        <v>0</v>
      </c>
      <c r="G17" s="159">
        <f t="shared" si="2"/>
        <v>0</v>
      </c>
      <c r="H17" s="159">
        <f>IF(B17=0,0,SUM($B$11:B17))</f>
        <v>0</v>
      </c>
      <c r="I17" s="159">
        <f>IF(F17=0,0,SUM($F$11:F17))</f>
        <v>0</v>
      </c>
      <c r="J17" s="159">
        <f t="shared" si="3"/>
        <v>0</v>
      </c>
      <c r="K17" s="219">
        <f>IF(B17=0,0,J17-SUM($K$11:K16))</f>
        <v>0</v>
      </c>
    </row>
    <row r="18" spans="1:11">
      <c r="A18" s="183" t="s">
        <v>200</v>
      </c>
      <c r="B18" s="909"/>
      <c r="C18" s="912" t="str">
        <f t="shared" si="1"/>
        <v/>
      </c>
      <c r="D18" s="912" t="str">
        <f t="shared" si="1"/>
        <v/>
      </c>
      <c r="E18" s="909"/>
      <c r="F18" s="245">
        <f t="shared" si="0"/>
        <v>0</v>
      </c>
      <c r="G18" s="217">
        <f t="shared" si="2"/>
        <v>0</v>
      </c>
      <c r="H18" s="217">
        <f>IF(B18=0,0,SUM($B$11:B18))</f>
        <v>0</v>
      </c>
      <c r="I18" s="217">
        <f>IF(F18=0,0,SUM($F$11:F18))</f>
        <v>0</v>
      </c>
      <c r="J18" s="217">
        <f t="shared" si="3"/>
        <v>0</v>
      </c>
      <c r="K18" s="219">
        <f>IF(B18=0,0,J18-SUM($K$11:K17))</f>
        <v>0</v>
      </c>
    </row>
    <row r="19" spans="1:11">
      <c r="A19" s="182" t="s">
        <v>201</v>
      </c>
      <c r="B19" s="909"/>
      <c r="C19" s="912" t="str">
        <f t="shared" si="1"/>
        <v/>
      </c>
      <c r="D19" s="912" t="str">
        <f t="shared" si="1"/>
        <v/>
      </c>
      <c r="E19" s="909"/>
      <c r="F19" s="244">
        <f t="shared" si="0"/>
        <v>0</v>
      </c>
      <c r="G19" s="159">
        <f t="shared" si="2"/>
        <v>0</v>
      </c>
      <c r="H19" s="159">
        <f>IF(B19=0,0,SUM($B$11:B19))</f>
        <v>0</v>
      </c>
      <c r="I19" s="159">
        <f>IF(F19=0,0,SUM($F$11:F19))</f>
        <v>0</v>
      </c>
      <c r="J19" s="159">
        <f t="shared" si="3"/>
        <v>0</v>
      </c>
      <c r="K19" s="219">
        <f>IF(B19=0,0,J19-SUM($K$11:K18))</f>
        <v>0</v>
      </c>
    </row>
    <row r="20" spans="1:11">
      <c r="A20" s="183" t="s">
        <v>202</v>
      </c>
      <c r="B20" s="909"/>
      <c r="C20" s="912" t="str">
        <f t="shared" si="1"/>
        <v/>
      </c>
      <c r="D20" s="912" t="str">
        <f t="shared" si="1"/>
        <v/>
      </c>
      <c r="E20" s="909"/>
      <c r="F20" s="245">
        <f t="shared" si="0"/>
        <v>0</v>
      </c>
      <c r="G20" s="217">
        <f t="shared" si="2"/>
        <v>0</v>
      </c>
      <c r="H20" s="217">
        <f>IF(B20=0,0,SUM($B$11:B20))</f>
        <v>0</v>
      </c>
      <c r="I20" s="217">
        <f>IF(F20=0,0,SUM($F$11:F20))</f>
        <v>0</v>
      </c>
      <c r="J20" s="217">
        <f t="shared" si="3"/>
        <v>0</v>
      </c>
      <c r="K20" s="219">
        <f>IF(B20=0,0,J20-SUM($K$11:K19))</f>
        <v>0</v>
      </c>
    </row>
    <row r="21" spans="1:11">
      <c r="A21" s="182" t="s">
        <v>203</v>
      </c>
      <c r="B21" s="909"/>
      <c r="C21" s="912" t="str">
        <f t="shared" si="1"/>
        <v/>
      </c>
      <c r="D21" s="912" t="str">
        <f t="shared" si="1"/>
        <v/>
      </c>
      <c r="E21" s="909"/>
      <c r="F21" s="244">
        <f t="shared" si="0"/>
        <v>0</v>
      </c>
      <c r="G21" s="159">
        <f t="shared" si="2"/>
        <v>0</v>
      </c>
      <c r="H21" s="159">
        <f>IF(B21=0,0,SUM($B$11:B21))</f>
        <v>0</v>
      </c>
      <c r="I21" s="159">
        <f>IF(F21=0,0,SUM($F$11:F21))</f>
        <v>0</v>
      </c>
      <c r="J21" s="159">
        <f t="shared" si="3"/>
        <v>0</v>
      </c>
      <c r="K21" s="219">
        <f>IF(B21=0,0,J21-SUM($K$11:K20))</f>
        <v>0</v>
      </c>
    </row>
    <row r="22" spans="1:11">
      <c r="A22" s="183" t="s">
        <v>204</v>
      </c>
      <c r="B22" s="909"/>
      <c r="C22" s="912" t="str">
        <f t="shared" si="1"/>
        <v/>
      </c>
      <c r="D22" s="912" t="str">
        <f t="shared" si="1"/>
        <v/>
      </c>
      <c r="E22" s="909"/>
      <c r="F22" s="245">
        <f t="shared" si="0"/>
        <v>0</v>
      </c>
      <c r="G22" s="217">
        <f t="shared" si="2"/>
        <v>0</v>
      </c>
      <c r="H22" s="217">
        <f>IF(B22=0,0,SUM($B$11:B22))</f>
        <v>0</v>
      </c>
      <c r="I22" s="217">
        <f>IF(F22=0,0,SUM($F$11:F22))</f>
        <v>0</v>
      </c>
      <c r="J22" s="217">
        <f t="shared" si="3"/>
        <v>0</v>
      </c>
      <c r="K22" s="219">
        <f>IF(B22=0,0,J22-SUM($K$11:K21))</f>
        <v>0</v>
      </c>
    </row>
    <row r="23" spans="1:11">
      <c r="F23" s="127"/>
      <c r="G23" s="127"/>
      <c r="H23" s="127"/>
      <c r="I23" s="127"/>
    </row>
  </sheetData>
  <mergeCells count="3">
    <mergeCell ref="A1:K1"/>
    <mergeCell ref="B5:D5"/>
    <mergeCell ref="B6:D6"/>
  </mergeCells>
  <pageMargins left="0.23622047244094491" right="0.23622047244094491" top="0.74803149606299213" bottom="0.74803149606299213" header="0.31496062992125984" footer="0.31496062992125984"/>
  <pageSetup paperSize="9" orientation="portrait" r:id="rId1"/>
  <headerFooter>
    <oddHeader>&amp;LEmmanuel ESNAULT&amp;R&amp;D</oddHeader>
  </headerFooter>
  <ignoredErrors>
    <ignoredError sqref="C11:D22" unlockedFormula="1"/>
  </ignoredErrors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7">
    <tabColor theme="7" tint="-0.249977111117893"/>
  </sheetPr>
  <dimension ref="A1:E20"/>
  <sheetViews>
    <sheetView workbookViewId="0">
      <selection activeCell="I5" sqref="I5:J5"/>
    </sheetView>
  </sheetViews>
  <sheetFormatPr baseColWidth="10" defaultRowHeight="15.75"/>
  <cols>
    <col min="1" max="1" width="18.5703125" style="113" bestFit="1" customWidth="1"/>
    <col min="2" max="3" width="12.140625" style="113" bestFit="1" customWidth="1"/>
    <col min="4" max="4" width="24.7109375" style="113" bestFit="1" customWidth="1"/>
    <col min="5" max="5" width="30.42578125" style="113" bestFit="1" customWidth="1"/>
    <col min="6" max="6" width="1.7109375" style="113" customWidth="1"/>
    <col min="7" max="7" width="27.28515625" style="113" bestFit="1" customWidth="1"/>
    <col min="8" max="16384" width="11.42578125" style="113"/>
  </cols>
  <sheetData>
    <row r="1" spans="1:5" ht="26.25">
      <c r="A1" s="1055" t="s">
        <v>646</v>
      </c>
      <c r="B1" s="1055"/>
      <c r="C1" s="1055"/>
      <c r="D1" s="1055"/>
      <c r="E1" s="1055"/>
    </row>
    <row r="2" spans="1:5" s="115" customFormat="1" ht="15.75" customHeight="1">
      <c r="A2" s="225"/>
      <c r="B2" s="225"/>
      <c r="C2" s="225"/>
      <c r="D2" s="225"/>
      <c r="E2" s="225"/>
    </row>
    <row r="3" spans="1:5" s="115" customFormat="1" ht="15.75" customHeight="1">
      <c r="A3" s="225"/>
      <c r="B3" s="225"/>
      <c r="C3" s="225"/>
      <c r="D3" s="225"/>
      <c r="E3" s="225"/>
    </row>
    <row r="4" spans="1:5" s="115" customFormat="1" ht="15.75" customHeight="1">
      <c r="A4" s="225"/>
      <c r="B4" s="225"/>
      <c r="C4" s="225"/>
      <c r="D4" s="225"/>
      <c r="E4" s="225"/>
    </row>
    <row r="5" spans="1:5" s="115" customFormat="1" ht="15.75" customHeight="1">
      <c r="A5" s="220" t="s">
        <v>62</v>
      </c>
      <c r="B5" s="126"/>
      <c r="C5" s="126"/>
      <c r="D5" s="126"/>
      <c r="E5" s="225"/>
    </row>
    <row r="6" spans="1:5" s="115" customFormat="1" ht="15.75" customHeight="1">
      <c r="A6" s="242" t="s">
        <v>268</v>
      </c>
      <c r="B6" s="1053"/>
      <c r="C6" s="1054"/>
      <c r="D6" s="231"/>
      <c r="E6" s="225"/>
    </row>
    <row r="7" spans="1:5" s="115" customFormat="1" ht="15.75" customHeight="1">
      <c r="A7" s="243" t="s">
        <v>147</v>
      </c>
      <c r="B7" s="1053"/>
      <c r="C7" s="1054"/>
      <c r="D7" s="231"/>
      <c r="E7" s="225"/>
    </row>
    <row r="8" spans="1:5" s="115" customFormat="1" ht="15.75" customHeight="1">
      <c r="A8" s="225"/>
      <c r="B8" s="225"/>
      <c r="C8" s="225"/>
      <c r="D8" s="225"/>
      <c r="E8" s="225"/>
    </row>
    <row r="9" spans="1:5" s="115" customFormat="1" ht="15.75" customHeight="1">
      <c r="A9" s="225"/>
      <c r="B9" s="225"/>
      <c r="C9" s="225"/>
      <c r="D9" s="225"/>
      <c r="E9" s="225"/>
    </row>
    <row r="10" spans="1:5" s="115" customFormat="1" ht="15.75" customHeight="1">
      <c r="A10" s="225"/>
      <c r="B10" s="225"/>
      <c r="C10" s="225"/>
      <c r="D10" s="225"/>
      <c r="E10" s="225"/>
    </row>
    <row r="11" spans="1:5">
      <c r="A11" s="221" t="s">
        <v>239</v>
      </c>
      <c r="B11" s="222" t="s">
        <v>240</v>
      </c>
      <c r="C11" s="222" t="s">
        <v>241</v>
      </c>
      <c r="D11" s="223" t="s">
        <v>242</v>
      </c>
      <c r="E11" s="224" t="s">
        <v>243</v>
      </c>
    </row>
    <row r="12" spans="1:5">
      <c r="A12" s="163" t="s">
        <v>244</v>
      </c>
      <c r="B12" s="164">
        <v>0</v>
      </c>
      <c r="C12" s="165">
        <f>0.5*PMSS</f>
        <v>1634.5</v>
      </c>
      <c r="D12" s="166">
        <v>68.5</v>
      </c>
      <c r="E12" s="167">
        <v>36.6</v>
      </c>
    </row>
    <row r="13" spans="1:5">
      <c r="A13" s="168" t="s">
        <v>245</v>
      </c>
      <c r="B13" s="169">
        <f>C12</f>
        <v>1634.5</v>
      </c>
      <c r="C13" s="170">
        <f>0.6*PMSS</f>
        <v>1961.3999999999999</v>
      </c>
      <c r="D13" s="171">
        <v>80</v>
      </c>
      <c r="E13" s="172">
        <v>51.4</v>
      </c>
    </row>
    <row r="14" spans="1:5">
      <c r="A14" s="163" t="s">
        <v>246</v>
      </c>
      <c r="B14" s="164">
        <f t="shared" ref="B14:B19" si="0">C13</f>
        <v>1961.3999999999999</v>
      </c>
      <c r="C14" s="165">
        <f>0.7*PMSS</f>
        <v>2288.2999999999997</v>
      </c>
      <c r="D14" s="166">
        <v>91.3</v>
      </c>
      <c r="E14" s="167">
        <v>68.5</v>
      </c>
    </row>
    <row r="15" spans="1:5">
      <c r="A15" s="168" t="s">
        <v>247</v>
      </c>
      <c r="B15" s="169">
        <f t="shared" si="0"/>
        <v>2288.2999999999997</v>
      </c>
      <c r="C15" s="170">
        <f>0.9*PMSS</f>
        <v>2942.1</v>
      </c>
      <c r="D15" s="173">
        <v>102.6</v>
      </c>
      <c r="E15" s="172">
        <v>85.5</v>
      </c>
    </row>
    <row r="16" spans="1:5">
      <c r="A16" s="163" t="s">
        <v>248</v>
      </c>
      <c r="B16" s="164">
        <f t="shared" si="0"/>
        <v>2942.1</v>
      </c>
      <c r="C16" s="165">
        <f>1.1*PMSS</f>
        <v>3595.9</v>
      </c>
      <c r="D16" s="166">
        <v>125.6</v>
      </c>
      <c r="E16" s="167">
        <v>108.4</v>
      </c>
    </row>
    <row r="17" spans="1:5">
      <c r="A17" s="168" t="s">
        <v>249</v>
      </c>
      <c r="B17" s="169">
        <f t="shared" si="0"/>
        <v>3595.9</v>
      </c>
      <c r="C17" s="170">
        <f>1.3*PMSS</f>
        <v>4249.7</v>
      </c>
      <c r="D17" s="173">
        <v>148.4</v>
      </c>
      <c r="E17" s="172">
        <v>131.1</v>
      </c>
    </row>
    <row r="18" spans="1:5">
      <c r="A18" s="163" t="s">
        <v>250</v>
      </c>
      <c r="B18" s="164">
        <f t="shared" si="0"/>
        <v>4249.7</v>
      </c>
      <c r="C18" s="165">
        <f>1.5*PMSS</f>
        <v>4903.5</v>
      </c>
      <c r="D18" s="166">
        <v>171.2</v>
      </c>
      <c r="E18" s="167">
        <v>159.69999999999999</v>
      </c>
    </row>
    <row r="19" spans="1:5">
      <c r="A19" s="174" t="s">
        <v>251</v>
      </c>
      <c r="B19" s="170">
        <f t="shared" si="0"/>
        <v>4903.5</v>
      </c>
      <c r="C19" s="170"/>
      <c r="D19" s="175">
        <v>194</v>
      </c>
      <c r="E19" s="176">
        <v>182.6</v>
      </c>
    </row>
    <row r="20" spans="1:5">
      <c r="B20" s="115"/>
      <c r="C20" s="115"/>
      <c r="D20" s="115"/>
    </row>
  </sheetData>
  <mergeCells count="3">
    <mergeCell ref="A1:E1"/>
    <mergeCell ref="B7:C7"/>
    <mergeCell ref="B6:C6"/>
  </mergeCells>
  <pageMargins left="0.23622047244094491" right="0.23622047244094491" top="0.74803149606299213" bottom="0.74803149606299213" header="0.31496062992125984" footer="0.31496062992125984"/>
  <pageSetup paperSize="9" orientation="portrait" r:id="rId1"/>
  <headerFooter>
    <oddHeader>&amp;LEmmanuel ESNAULT&amp;R&amp;D</oddHeader>
  </headerFooter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8">
    <tabColor theme="7" tint="-0.499984740745262"/>
  </sheetPr>
  <dimension ref="A1:G50"/>
  <sheetViews>
    <sheetView workbookViewId="0">
      <selection activeCell="I5" sqref="I5:J5"/>
    </sheetView>
  </sheetViews>
  <sheetFormatPr baseColWidth="10" defaultRowHeight="15"/>
  <cols>
    <col min="1" max="1" width="25.5703125" style="72" customWidth="1"/>
    <col min="2" max="2" width="22.7109375" style="72" customWidth="1"/>
    <col min="3" max="3" width="12" style="72" customWidth="1"/>
    <col min="4" max="4" width="14.42578125" style="72" customWidth="1"/>
    <col min="5" max="5" width="24.42578125" style="72" customWidth="1"/>
    <col min="6" max="6" width="1.7109375" style="72" customWidth="1"/>
    <col min="7" max="7" width="74" style="72" bestFit="1" customWidth="1"/>
    <col min="8" max="8" width="22.85546875" style="72" bestFit="1" customWidth="1"/>
    <col min="9" max="16384" width="11.42578125" style="72"/>
  </cols>
  <sheetData>
    <row r="1" spans="1:7" ht="26.25">
      <c r="A1" s="1051" t="s">
        <v>647</v>
      </c>
      <c r="B1" s="1051"/>
      <c r="C1" s="1051"/>
      <c r="D1" s="1051"/>
      <c r="E1" s="1051"/>
    </row>
    <row r="2" spans="1:7">
      <c r="G2" s="72" t="s">
        <v>403</v>
      </c>
    </row>
    <row r="3" spans="1:7">
      <c r="G3" s="72" t="s">
        <v>404</v>
      </c>
    </row>
    <row r="4" spans="1:7">
      <c r="A4" s="184" t="s">
        <v>62</v>
      </c>
      <c r="B4" s="132"/>
      <c r="C4" s="73"/>
    </row>
    <row r="5" spans="1:7">
      <c r="A5" s="248" t="s">
        <v>268</v>
      </c>
      <c r="B5" s="1057"/>
      <c r="C5" s="1058"/>
      <c r="G5" s="72" t="s">
        <v>405</v>
      </c>
    </row>
    <row r="6" spans="1:7">
      <c r="A6" s="186" t="s">
        <v>147</v>
      </c>
      <c r="B6" s="1057"/>
      <c r="C6" s="1058"/>
      <c r="D6" s="73"/>
      <c r="G6" s="72" t="s">
        <v>406</v>
      </c>
    </row>
    <row r="7" spans="1:7">
      <c r="B7" s="130"/>
      <c r="C7" s="131"/>
      <c r="G7" s="72" t="s">
        <v>407</v>
      </c>
    </row>
    <row r="8" spans="1:7">
      <c r="B8" s="130"/>
      <c r="C8" s="131"/>
      <c r="G8" s="72" t="s">
        <v>408</v>
      </c>
    </row>
    <row r="9" spans="1:7">
      <c r="A9" s="1059" t="s">
        <v>187</v>
      </c>
      <c r="B9" s="1060"/>
      <c r="C9" s="352"/>
      <c r="D9" s="74"/>
      <c r="G9" s="72" t="s">
        <v>409</v>
      </c>
    </row>
    <row r="10" spans="1:7">
      <c r="A10" s="1061" t="s">
        <v>148</v>
      </c>
      <c r="B10" s="1062"/>
      <c r="C10" s="353"/>
      <c r="D10" s="73"/>
      <c r="G10" s="72" t="s">
        <v>410</v>
      </c>
    </row>
    <row r="11" spans="1:7">
      <c r="A11" s="132"/>
      <c r="B11" s="132"/>
      <c r="C11" s="133"/>
      <c r="D11" s="73"/>
      <c r="G11" s="72" t="s">
        <v>411</v>
      </c>
    </row>
    <row r="12" spans="1:7">
      <c r="A12" s="1059" t="s">
        <v>149</v>
      </c>
      <c r="B12" s="1060"/>
      <c r="C12" s="354"/>
      <c r="D12" s="134"/>
      <c r="E12" s="135"/>
    </row>
    <row r="13" spans="1:7">
      <c r="B13" s="130"/>
      <c r="C13" s="136"/>
      <c r="D13" s="134"/>
      <c r="E13" s="137"/>
      <c r="G13" s="72" t="s">
        <v>412</v>
      </c>
    </row>
    <row r="14" spans="1:7">
      <c r="A14" s="185" t="s">
        <v>150</v>
      </c>
      <c r="B14" s="186" t="s">
        <v>151</v>
      </c>
      <c r="C14" s="353">
        <v>0</v>
      </c>
      <c r="D14" s="134"/>
      <c r="E14" s="137"/>
      <c r="G14" s="72" t="s">
        <v>416</v>
      </c>
    </row>
    <row r="15" spans="1:7">
      <c r="A15" s="138"/>
      <c r="B15" s="216" t="s">
        <v>152</v>
      </c>
      <c r="C15" s="353">
        <v>0</v>
      </c>
      <c r="D15" s="75"/>
      <c r="E15" s="137"/>
      <c r="G15" s="72" t="s">
        <v>413</v>
      </c>
    </row>
    <row r="16" spans="1:7">
      <c r="A16" s="134"/>
      <c r="B16" s="187" t="s">
        <v>153</v>
      </c>
      <c r="C16" s="353">
        <v>0</v>
      </c>
      <c r="D16" s="75"/>
      <c r="E16" s="75"/>
      <c r="G16" s="72" t="s">
        <v>414</v>
      </c>
    </row>
    <row r="17" spans="1:7">
      <c r="C17" s="73"/>
      <c r="D17" s="75"/>
      <c r="E17" s="75"/>
      <c r="G17" s="72" t="s">
        <v>415</v>
      </c>
    </row>
    <row r="18" spans="1:7">
      <c r="C18" s="73"/>
      <c r="D18" s="75"/>
      <c r="E18" s="75"/>
      <c r="G18" s="72" t="s">
        <v>417</v>
      </c>
    </row>
    <row r="19" spans="1:7">
      <c r="A19" s="1059" t="s">
        <v>154</v>
      </c>
      <c r="B19" s="1060"/>
      <c r="C19" s="211">
        <f>D28</f>
        <v>545.48</v>
      </c>
      <c r="D19" s="75"/>
      <c r="G19" s="72" t="s">
        <v>418</v>
      </c>
    </row>
    <row r="20" spans="1:7">
      <c r="A20" s="1061" t="s">
        <v>155</v>
      </c>
      <c r="B20" s="1062"/>
      <c r="C20" s="188">
        <f>IF(C9&lt;C19,0,IF(C9-C19&gt;E43,E43,C9-C19))</f>
        <v>0</v>
      </c>
      <c r="D20" s="75"/>
    </row>
    <row r="21" spans="1:7">
      <c r="A21" s="1059" t="s">
        <v>156</v>
      </c>
      <c r="B21" s="1060"/>
      <c r="C21" s="211">
        <f>IF(C9&lt;C19+C20,0,C9-C19-C20)</f>
        <v>0</v>
      </c>
      <c r="D21" s="75"/>
    </row>
    <row r="22" spans="1:7">
      <c r="C22" s="136" t="s">
        <v>157</v>
      </c>
      <c r="D22" s="75"/>
    </row>
    <row r="23" spans="1:7">
      <c r="A23" s="1061" t="s">
        <v>158</v>
      </c>
      <c r="B23" s="1062"/>
      <c r="C23" s="189" t="str">
        <f>IF(C20=0,"",ROUNDUP((E48+E49)/(C20-C47),0))</f>
        <v/>
      </c>
    </row>
    <row r="24" spans="1:7">
      <c r="C24" s="136"/>
    </row>
    <row r="25" spans="1:7">
      <c r="A25" s="1059" t="s">
        <v>159</v>
      </c>
      <c r="B25" s="1060"/>
      <c r="C25" s="230" t="str">
        <f>IF(C12=0,"",DATE(YEAR(C12),MONTH(C12)+C23,1))</f>
        <v/>
      </c>
    </row>
    <row r="26" spans="1:7">
      <c r="A26" s="76"/>
      <c r="B26" s="76"/>
      <c r="C26" s="76"/>
    </row>
    <row r="27" spans="1:7" hidden="1">
      <c r="B27" s="226" t="s">
        <v>180</v>
      </c>
      <c r="D27" s="227" t="s">
        <v>269</v>
      </c>
    </row>
    <row r="28" spans="1:7" hidden="1">
      <c r="A28" s="77" t="s">
        <v>181</v>
      </c>
      <c r="B28" s="78">
        <v>310.83</v>
      </c>
      <c r="D28" s="228">
        <f>RSA</f>
        <v>545.48</v>
      </c>
    </row>
    <row r="29" spans="1:7" hidden="1">
      <c r="A29" s="79" t="s">
        <v>182</v>
      </c>
      <c r="B29" s="80">
        <v>606.66999999999996</v>
      </c>
    </row>
    <row r="30" spans="1:7" hidden="1">
      <c r="A30" s="77" t="s">
        <v>183</v>
      </c>
      <c r="B30" s="78">
        <v>904.17</v>
      </c>
      <c r="D30" s="1063" t="s">
        <v>270</v>
      </c>
      <c r="E30" s="1064"/>
    </row>
    <row r="31" spans="1:7" hidden="1">
      <c r="A31" s="79" t="s">
        <v>184</v>
      </c>
      <c r="B31" s="80">
        <v>1200.83</v>
      </c>
      <c r="D31" s="798">
        <v>118.33</v>
      </c>
      <c r="E31" s="799"/>
    </row>
    <row r="32" spans="1:7" hidden="1">
      <c r="A32" s="77" t="s">
        <v>185</v>
      </c>
      <c r="B32" s="78">
        <v>1497.5</v>
      </c>
    </row>
    <row r="33" spans="1:5" hidden="1">
      <c r="A33" s="79" t="s">
        <v>186</v>
      </c>
      <c r="B33" s="80">
        <v>1799.17</v>
      </c>
    </row>
    <row r="35" spans="1:5">
      <c r="A35" s="229" t="s">
        <v>168</v>
      </c>
      <c r="B35" s="214" t="s">
        <v>169</v>
      </c>
      <c r="C35" s="214" t="s">
        <v>170</v>
      </c>
      <c r="D35" s="214" t="s">
        <v>171</v>
      </c>
      <c r="E35" s="215" t="s">
        <v>172</v>
      </c>
    </row>
    <row r="36" spans="1:5">
      <c r="A36" s="198" t="s">
        <v>173</v>
      </c>
      <c r="B36" s="191">
        <v>0</v>
      </c>
      <c r="C36" s="199">
        <f t="shared" ref="C36:C41" si="0">B28+$D$31*$C$10</f>
        <v>310.83</v>
      </c>
      <c r="D36" s="200">
        <v>0.05</v>
      </c>
      <c r="E36" s="201">
        <f>IF($C$9&lt;C36,$C$9*D36,C36*D36)</f>
        <v>0</v>
      </c>
    </row>
    <row r="37" spans="1:5">
      <c r="A37" s="202" t="s">
        <v>85</v>
      </c>
      <c r="B37" s="203">
        <f t="shared" ref="B37:B42" si="1">C36</f>
        <v>310.83</v>
      </c>
      <c r="C37" s="195">
        <f t="shared" si="0"/>
        <v>606.66999999999996</v>
      </c>
      <c r="D37" s="204">
        <v>0.1</v>
      </c>
      <c r="E37" s="205">
        <f>IF($C$9&lt;B37,0,(MIN($C$9,C37)-B37)*D37)</f>
        <v>0</v>
      </c>
    </row>
    <row r="38" spans="1:5">
      <c r="A38" s="198" t="s">
        <v>174</v>
      </c>
      <c r="B38" s="191">
        <f t="shared" si="1"/>
        <v>606.66999999999996</v>
      </c>
      <c r="C38" s="199">
        <f t="shared" si="0"/>
        <v>904.17</v>
      </c>
      <c r="D38" s="200">
        <v>0.2</v>
      </c>
      <c r="E38" s="201">
        <f>IF($C$9&lt;B38,0,IF($C$9&lt;C38,($C$9-B38)*D38,(C38-B38)*D38))</f>
        <v>0</v>
      </c>
    </row>
    <row r="39" spans="1:5">
      <c r="A39" s="202" t="s">
        <v>175</v>
      </c>
      <c r="B39" s="203">
        <f t="shared" si="1"/>
        <v>904.17</v>
      </c>
      <c r="C39" s="195">
        <f t="shared" si="0"/>
        <v>1200.83</v>
      </c>
      <c r="D39" s="206">
        <v>0.25</v>
      </c>
      <c r="E39" s="205">
        <f>IF($C$9&lt;B39,0,IF($C$9&lt;C39,($C$9-B39)*D39,(C39-B39)*D39))</f>
        <v>0</v>
      </c>
    </row>
    <row r="40" spans="1:5">
      <c r="A40" s="198" t="s">
        <v>176</v>
      </c>
      <c r="B40" s="191">
        <f t="shared" si="1"/>
        <v>1200.83</v>
      </c>
      <c r="C40" s="199">
        <f t="shared" si="0"/>
        <v>1497.5</v>
      </c>
      <c r="D40" s="207">
        <v>0.33329999999999999</v>
      </c>
      <c r="E40" s="201">
        <f>IF($C$9&lt;B40,0,IF($C$9&lt;C40,($C$9-B40)*D40,(C40-B40)*D40))</f>
        <v>0</v>
      </c>
    </row>
    <row r="41" spans="1:5">
      <c r="A41" s="202" t="s">
        <v>177</v>
      </c>
      <c r="B41" s="203">
        <f t="shared" si="1"/>
        <v>1497.5</v>
      </c>
      <c r="C41" s="195">
        <f t="shared" si="0"/>
        <v>1799.17</v>
      </c>
      <c r="D41" s="208">
        <v>0.66669999999999996</v>
      </c>
      <c r="E41" s="205">
        <f>IF($C$9&lt;B41,0,IF($C$9&lt;C41,($C$9-B41)*D41,(C41-B41)*D41))</f>
        <v>0</v>
      </c>
    </row>
    <row r="42" spans="1:5">
      <c r="A42" s="198" t="s">
        <v>178</v>
      </c>
      <c r="B42" s="191">
        <f t="shared" si="1"/>
        <v>1799.17</v>
      </c>
      <c r="C42" s="191"/>
      <c r="D42" s="200">
        <v>1</v>
      </c>
      <c r="E42" s="201">
        <f>IF($C$9&lt;B42,0,$C$9-B42)</f>
        <v>0</v>
      </c>
    </row>
    <row r="43" spans="1:5">
      <c r="A43" s="209" t="s">
        <v>179</v>
      </c>
      <c r="B43" s="1056"/>
      <c r="C43" s="1056"/>
      <c r="D43" s="1056"/>
      <c r="E43" s="210">
        <f>SUM(E36:E42)</f>
        <v>0</v>
      </c>
    </row>
    <row r="46" spans="1:5">
      <c r="A46" s="212" t="s">
        <v>160</v>
      </c>
      <c r="B46" s="213" t="s">
        <v>161</v>
      </c>
      <c r="C46" s="213" t="s">
        <v>162</v>
      </c>
      <c r="D46" s="214" t="s">
        <v>163</v>
      </c>
      <c r="E46" s="215" t="s">
        <v>164</v>
      </c>
    </row>
    <row r="47" spans="1:5">
      <c r="A47" s="190" t="s">
        <v>165</v>
      </c>
      <c r="B47" s="191">
        <f>MIN(pens_alim,QPS)</f>
        <v>0</v>
      </c>
      <c r="C47" s="191">
        <f>IF(pens_alim&lt;QPS,0,MIN(pens_alim-QPS,QS))</f>
        <v>0</v>
      </c>
      <c r="D47" s="192">
        <f>SUM(B47,C47)</f>
        <v>0</v>
      </c>
      <c r="E47" s="193">
        <f>pens_alim-D47</f>
        <v>0</v>
      </c>
    </row>
    <row r="48" spans="1:5">
      <c r="A48" s="194" t="s">
        <v>166</v>
      </c>
      <c r="B48" s="195"/>
      <c r="C48" s="195">
        <f>MIN(trésor_public,QS-C47)</f>
        <v>0</v>
      </c>
      <c r="D48" s="196">
        <f>C48</f>
        <v>0</v>
      </c>
      <c r="E48" s="197">
        <f>trésor_public-D48</f>
        <v>0</v>
      </c>
    </row>
    <row r="49" spans="1:5">
      <c r="A49" s="190" t="s">
        <v>167</v>
      </c>
      <c r="B49" s="191"/>
      <c r="C49" s="191">
        <f>IF(C47+C48=QS,0,MIN(divers,QS-C47-C48))</f>
        <v>0</v>
      </c>
      <c r="D49" s="192">
        <f>C49</f>
        <v>0</v>
      </c>
      <c r="E49" s="193">
        <f>divers-D49</f>
        <v>0</v>
      </c>
    </row>
    <row r="50" spans="1:5">
      <c r="A50" s="234" t="s">
        <v>179</v>
      </c>
      <c r="B50" s="233"/>
      <c r="C50" s="233"/>
      <c r="D50" s="235">
        <f>-SUM(D47:D49)</f>
        <v>0</v>
      </c>
      <c r="E50" s="236">
        <f>SUM(E47:E49)</f>
        <v>0</v>
      </c>
    </row>
  </sheetData>
  <mergeCells count="13">
    <mergeCell ref="A1:E1"/>
    <mergeCell ref="B43:D43"/>
    <mergeCell ref="B6:C6"/>
    <mergeCell ref="B5:C5"/>
    <mergeCell ref="A25:B25"/>
    <mergeCell ref="A9:B9"/>
    <mergeCell ref="A10:B10"/>
    <mergeCell ref="A12:B12"/>
    <mergeCell ref="A19:B19"/>
    <mergeCell ref="A20:B20"/>
    <mergeCell ref="A21:B21"/>
    <mergeCell ref="A23:B23"/>
    <mergeCell ref="D30:E30"/>
  </mergeCells>
  <dataValidations count="2">
    <dataValidation type="whole" operator="greaterThanOrEqual" allowBlank="1" showInputMessage="1" showErrorMessage="1" sqref="C10">
      <formula1>0</formula1>
    </dataValidation>
    <dataValidation type="decimal" operator="greaterThan" allowBlank="1" showInputMessage="1" showErrorMessage="1" sqref="C9">
      <formula1>0</formula1>
    </dataValidation>
  </dataValidations>
  <pageMargins left="0.23622047244094491" right="0.23622047244094491" top="0.74803149606299213" bottom="0.74803149606299213" header="0.31496062992125984" footer="0.31496062992125984"/>
  <pageSetup paperSize="9" orientation="portrait" r:id="rId1"/>
  <headerFooter>
    <oddHeader>&amp;LEmmanuel ESNAULT&amp;R&amp;D</oddHeader>
  </headerFooter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19">
    <tabColor theme="7" tint="0.39997558519241921"/>
  </sheetPr>
  <dimension ref="A1:N68"/>
  <sheetViews>
    <sheetView zoomScaleNormal="100" workbookViewId="0">
      <selection activeCell="I5" sqref="I5:J5"/>
    </sheetView>
  </sheetViews>
  <sheetFormatPr baseColWidth="10" defaultRowHeight="15"/>
  <cols>
    <col min="1" max="1" width="30.85546875" customWidth="1"/>
    <col min="2" max="2" width="12.42578125" bestFit="1" customWidth="1"/>
    <col min="5" max="5" width="12.7109375" customWidth="1"/>
    <col min="7" max="7" width="1.7109375" customWidth="1"/>
    <col min="9" max="9" width="12.28515625" customWidth="1"/>
    <col min="11" max="11" width="12.42578125" customWidth="1"/>
    <col min="12" max="12" width="12.28515625" bestFit="1" customWidth="1"/>
  </cols>
  <sheetData>
    <row r="1" spans="1:14" ht="26.25">
      <c r="A1" s="1069" t="s">
        <v>303</v>
      </c>
      <c r="B1" s="1069"/>
      <c r="C1" s="1069"/>
      <c r="D1" s="1069"/>
      <c r="E1" s="1069"/>
      <c r="F1" s="1069"/>
      <c r="G1" s="491"/>
      <c r="H1" s="1065" t="s">
        <v>275</v>
      </c>
      <c r="I1" s="1065"/>
      <c r="J1" s="1065"/>
      <c r="K1" s="1065"/>
      <c r="L1" s="1065"/>
      <c r="M1" s="1065"/>
      <c r="N1" s="1065"/>
    </row>
    <row r="2" spans="1:14">
      <c r="H2" t="s">
        <v>276</v>
      </c>
    </row>
    <row r="3" spans="1:14">
      <c r="H3" t="s">
        <v>278</v>
      </c>
    </row>
    <row r="4" spans="1:14">
      <c r="A4" s="220" t="s">
        <v>62</v>
      </c>
      <c r="B4" s="126"/>
      <c r="C4" s="126"/>
      <c r="D4" s="126"/>
      <c r="E4" s="126"/>
      <c r="K4" s="232" t="s">
        <v>277</v>
      </c>
    </row>
    <row r="5" spans="1:14">
      <c r="A5" s="242" t="s">
        <v>268</v>
      </c>
      <c r="B5" s="1072"/>
      <c r="C5" s="1073"/>
      <c r="D5" s="231"/>
      <c r="E5" s="414"/>
      <c r="H5" t="s">
        <v>282</v>
      </c>
    </row>
    <row r="6" spans="1:14">
      <c r="A6" s="243" t="s">
        <v>147</v>
      </c>
      <c r="B6" s="1072"/>
      <c r="C6" s="1073"/>
      <c r="D6" s="231"/>
      <c r="E6" s="414"/>
    </row>
    <row r="7" spans="1:14">
      <c r="A7" s="258" t="s">
        <v>744</v>
      </c>
      <c r="B7" s="1074"/>
      <c r="C7" s="1075"/>
      <c r="H7" s="942" t="s">
        <v>745</v>
      </c>
    </row>
    <row r="9" spans="1:14">
      <c r="H9" t="s">
        <v>279</v>
      </c>
    </row>
    <row r="10" spans="1:14">
      <c r="A10" s="272" t="s">
        <v>283</v>
      </c>
      <c r="B10" s="355" t="s">
        <v>285</v>
      </c>
      <c r="H10" t="s">
        <v>280</v>
      </c>
    </row>
    <row r="11" spans="1:14">
      <c r="A11" s="273" t="s">
        <v>304</v>
      </c>
      <c r="B11" s="356"/>
      <c r="K11" s="232" t="s">
        <v>277</v>
      </c>
    </row>
    <row r="12" spans="1:14">
      <c r="A12" s="270" t="s">
        <v>300</v>
      </c>
      <c r="B12" s="938">
        <f>IF(B10="Initial",3,0)</f>
        <v>3</v>
      </c>
      <c r="H12" t="s">
        <v>281</v>
      </c>
    </row>
    <row r="13" spans="1:14">
      <c r="A13" s="271" t="s">
        <v>299</v>
      </c>
      <c r="B13" s="357">
        <v>7</v>
      </c>
    </row>
    <row r="16" spans="1:14">
      <c r="A16" s="1076" t="s">
        <v>286</v>
      </c>
      <c r="B16" s="1077"/>
      <c r="C16" s="238" t="s">
        <v>288</v>
      </c>
      <c r="D16" s="239" t="s">
        <v>287</v>
      </c>
      <c r="E16" s="801"/>
    </row>
    <row r="17" spans="1:8">
      <c r="A17" s="250" t="s">
        <v>235</v>
      </c>
      <c r="B17" s="358"/>
      <c r="C17" s="285">
        <f>1.8*SMIC_mens</f>
        <v>2664.53856</v>
      </c>
      <c r="D17" s="253">
        <f>IF(B17=0,0,MIN(B17,C17))</f>
        <v>0</v>
      </c>
      <c r="E17" s="800"/>
    </row>
    <row r="18" spans="1:8">
      <c r="A18" s="251" t="s">
        <v>234</v>
      </c>
      <c r="B18" s="358"/>
      <c r="C18" s="255">
        <f>1.8*SMIC_mens</f>
        <v>2664.53856</v>
      </c>
      <c r="D18" s="237">
        <f>IF(B18=0,0,MIN(B18,C18))</f>
        <v>0</v>
      </c>
      <c r="E18" s="800"/>
    </row>
    <row r="19" spans="1:8">
      <c r="A19" s="252" t="s">
        <v>233</v>
      </c>
      <c r="B19" s="358"/>
      <c r="C19" s="254">
        <f>1.8*SMIC_mens</f>
        <v>2664.53856</v>
      </c>
      <c r="D19" s="253">
        <f>IF(B19=0,0,MIN(B19,C19))</f>
        <v>0</v>
      </c>
      <c r="E19" s="800"/>
    </row>
    <row r="20" spans="1:8">
      <c r="A20" s="1070" t="s">
        <v>301</v>
      </c>
      <c r="B20" s="1071"/>
      <c r="C20" s="259"/>
      <c r="D20" s="260">
        <f>SUM(D17:D19)/91.25</f>
        <v>0</v>
      </c>
      <c r="E20" s="802"/>
    </row>
    <row r="21" spans="1:8">
      <c r="E21" s="502"/>
    </row>
    <row r="22" spans="1:8">
      <c r="E22" s="502"/>
    </row>
    <row r="23" spans="1:8">
      <c r="A23" s="261"/>
      <c r="B23" s="262" t="s">
        <v>292</v>
      </c>
      <c r="C23" s="262" t="s">
        <v>293</v>
      </c>
      <c r="D23" s="263" t="s">
        <v>294</v>
      </c>
      <c r="E23" s="803"/>
    </row>
    <row r="24" spans="1:8">
      <c r="A24" s="264" t="s">
        <v>289</v>
      </c>
      <c r="B24" s="920"/>
      <c r="C24" s="921"/>
      <c r="D24" s="275"/>
      <c r="E24" s="122"/>
    </row>
    <row r="25" spans="1:8">
      <c r="A25" s="249" t="s">
        <v>290</v>
      </c>
      <c r="B25" s="920"/>
      <c r="C25" s="921"/>
      <c r="D25" s="276"/>
      <c r="E25" s="122"/>
    </row>
    <row r="26" spans="1:8">
      <c r="A26" s="268" t="s">
        <v>305</v>
      </c>
      <c r="B26" s="265">
        <f>IF(OR(B25=0,B24=0),0,B25-B24+1)</f>
        <v>0</v>
      </c>
      <c r="C26" s="265">
        <f>IF(OR(C25=0,C24=0),0,C25-C24+1)</f>
        <v>0</v>
      </c>
      <c r="D26" s="266">
        <f>B26+C26</f>
        <v>0</v>
      </c>
      <c r="E26" s="122"/>
    </row>
    <row r="27" spans="1:8" ht="30">
      <c r="A27" s="269" t="s">
        <v>306</v>
      </c>
      <c r="B27" s="277">
        <f>IF(B26&lt;B12,0,B26-B12)</f>
        <v>0</v>
      </c>
      <c r="C27" s="267">
        <f>C26</f>
        <v>0</v>
      </c>
      <c r="D27" s="278">
        <f>SUM(B27:C27)</f>
        <v>0</v>
      </c>
      <c r="E27" s="804"/>
    </row>
    <row r="28" spans="1:8">
      <c r="A28" s="268" t="s">
        <v>310</v>
      </c>
      <c r="B28" s="815">
        <v>0.5</v>
      </c>
      <c r="C28" s="815">
        <f>B28</f>
        <v>0.5</v>
      </c>
      <c r="D28" s="274"/>
      <c r="E28" s="122"/>
    </row>
    <row r="29" spans="1:8">
      <c r="A29" s="269" t="s">
        <v>311</v>
      </c>
      <c r="B29" s="279">
        <f>$D$20*B28*MIN(B27,B30)</f>
        <v>0</v>
      </c>
      <c r="C29" s="279">
        <f>$D$20*C28*C27</f>
        <v>0</v>
      </c>
      <c r="D29" s="283">
        <f>-SUM(B29:C29)</f>
        <v>0</v>
      </c>
      <c r="E29" s="805"/>
      <c r="H29" t="s">
        <v>590</v>
      </c>
    </row>
    <row r="30" spans="1:8" ht="30">
      <c r="A30" s="268" t="s">
        <v>308</v>
      </c>
      <c r="B30" s="280">
        <f>B26-B13</f>
        <v>-7</v>
      </c>
      <c r="C30" s="265">
        <f>C26</f>
        <v>0</v>
      </c>
      <c r="D30" s="281">
        <f>SUM(B30:C30)</f>
        <v>-7</v>
      </c>
      <c r="E30" s="804"/>
    </row>
    <row r="31" spans="1:8">
      <c r="A31" s="269" t="s">
        <v>312</v>
      </c>
      <c r="B31" s="922">
        <v>0.9</v>
      </c>
      <c r="C31" s="923">
        <f>B31</f>
        <v>0.9</v>
      </c>
      <c r="D31" s="274"/>
      <c r="E31" s="122"/>
    </row>
    <row r="32" spans="1:8" ht="30">
      <c r="A32" s="268" t="s">
        <v>309</v>
      </c>
      <c r="B32" s="282">
        <f>IF($B$26=0,0,-$B$11/$D$26*B31*B30)</f>
        <v>0</v>
      </c>
      <c r="C32" s="282">
        <f>IF($B$26=0,0,$B$11/$D$26*C31*C30)</f>
        <v>0</v>
      </c>
      <c r="D32" s="284">
        <f>SUM(B32:C32)</f>
        <v>0</v>
      </c>
      <c r="E32" s="806"/>
      <c r="H32" t="s">
        <v>590</v>
      </c>
    </row>
    <row r="35" spans="1:8">
      <c r="A35" s="1076" t="s">
        <v>648</v>
      </c>
      <c r="B35" s="1078"/>
    </row>
    <row r="36" spans="1:8">
      <c r="A36" s="808" t="s">
        <v>649</v>
      </c>
      <c r="B36" s="809">
        <f>SUM(Cotisations!C5:C7)*0.9825+F36*0.08</f>
        <v>7.8600000000000003E-2</v>
      </c>
      <c r="D36" s="1082" t="s">
        <v>651</v>
      </c>
      <c r="E36" s="1083"/>
      <c r="F36" s="814"/>
    </row>
    <row r="37" spans="1:8">
      <c r="A37" s="808" t="s">
        <v>19</v>
      </c>
      <c r="B37" s="809">
        <f>Cotisations!C8</f>
        <v>7.4999999999999997E-3</v>
      </c>
    </row>
    <row r="38" spans="1:8">
      <c r="A38" s="808" t="s">
        <v>24</v>
      </c>
      <c r="B38" s="809">
        <f>Cotisations!C12</f>
        <v>4.0000000000000001E-3</v>
      </c>
    </row>
    <row r="39" spans="1:8">
      <c r="A39" s="808" t="s">
        <v>25</v>
      </c>
      <c r="B39" s="809">
        <f>Cotisations!C13</f>
        <v>6.9000000000000006E-2</v>
      </c>
    </row>
    <row r="40" spans="1:8">
      <c r="A40" s="808" t="s">
        <v>101</v>
      </c>
      <c r="B40" s="809">
        <f>Cotisations!C22</f>
        <v>2.4E-2</v>
      </c>
      <c r="D40" s="1063" t="s">
        <v>320</v>
      </c>
      <c r="E40" s="1079"/>
      <c r="F40" s="1064"/>
    </row>
    <row r="41" spans="1:8">
      <c r="A41" s="808" t="s">
        <v>623</v>
      </c>
      <c r="B41" s="809">
        <f>Cotisations!C28</f>
        <v>3.1E-2</v>
      </c>
      <c r="D41" s="1080" t="s">
        <v>313</v>
      </c>
      <c r="E41" s="1081"/>
      <c r="F41" s="284">
        <f>-0.933*D29</f>
        <v>0</v>
      </c>
      <c r="H41" t="s">
        <v>591</v>
      </c>
    </row>
    <row r="42" spans="1:8">
      <c r="A42" s="808" t="s">
        <v>650</v>
      </c>
      <c r="B42" s="809">
        <f>Cotisations!C30</f>
        <v>8.0000000000000002E-3</v>
      </c>
      <c r="D42" s="1080" t="s">
        <v>653</v>
      </c>
      <c r="E42" s="1081"/>
      <c r="F42" s="284">
        <f>D29/(1-B44)-D29</f>
        <v>0</v>
      </c>
      <c r="H42" t="s">
        <v>620</v>
      </c>
    </row>
    <row r="43" spans="1:8">
      <c r="A43" s="808" t="s">
        <v>652</v>
      </c>
      <c r="B43" s="810"/>
    </row>
    <row r="44" spans="1:8">
      <c r="A44" s="811" t="s">
        <v>179</v>
      </c>
      <c r="B44" s="812">
        <f>SUM(B36:B43)</f>
        <v>0.22210000000000002</v>
      </c>
    </row>
    <row r="45" spans="1:8">
      <c r="B45" s="59"/>
    </row>
    <row r="46" spans="1:8">
      <c r="B46" s="807"/>
    </row>
    <row r="47" spans="1:8">
      <c r="B47" s="712"/>
    </row>
    <row r="48" spans="1:8" ht="21">
      <c r="A48" s="1066" t="s">
        <v>606</v>
      </c>
      <c r="B48" s="1067"/>
      <c r="C48" s="1067"/>
      <c r="D48" s="1067"/>
      <c r="E48" s="1067"/>
      <c r="F48" s="1068"/>
    </row>
    <row r="49" spans="1:8">
      <c r="A49" s="64"/>
      <c r="B49" s="69"/>
      <c r="C49" s="69"/>
      <c r="D49" s="69"/>
      <c r="E49" s="69"/>
      <c r="F49" s="723"/>
    </row>
    <row r="50" spans="1:8">
      <c r="A50" s="713" t="s">
        <v>5</v>
      </c>
      <c r="B50" s="714"/>
      <c r="C50" s="714"/>
      <c r="D50" s="714"/>
      <c r="E50" s="714"/>
      <c r="F50" s="715" t="s">
        <v>595</v>
      </c>
      <c r="G50" t="s">
        <v>593</v>
      </c>
      <c r="H50" t="s">
        <v>600</v>
      </c>
    </row>
    <row r="51" spans="1:8">
      <c r="A51" s="713" t="s">
        <v>594</v>
      </c>
      <c r="B51" s="714"/>
      <c r="C51" s="714"/>
      <c r="D51" s="714"/>
      <c r="E51" s="714"/>
      <c r="F51" s="715" t="s">
        <v>592</v>
      </c>
      <c r="G51" t="s">
        <v>596</v>
      </c>
    </row>
    <row r="52" spans="1:8">
      <c r="A52" s="713" t="s">
        <v>597</v>
      </c>
      <c r="B52" s="714"/>
      <c r="C52" s="714"/>
      <c r="D52" s="714"/>
      <c r="E52" s="714"/>
      <c r="F52" s="715" t="s">
        <v>592</v>
      </c>
      <c r="G52" t="s">
        <v>593</v>
      </c>
      <c r="H52" t="s">
        <v>601</v>
      </c>
    </row>
    <row r="53" spans="1:8">
      <c r="A53" s="716" t="s">
        <v>602</v>
      </c>
      <c r="B53" s="717"/>
      <c r="C53" s="717"/>
      <c r="D53" s="717"/>
      <c r="E53" s="717"/>
      <c r="F53" s="718" t="s">
        <v>598</v>
      </c>
      <c r="G53" s="412" t="s">
        <v>596</v>
      </c>
      <c r="H53" t="s">
        <v>605</v>
      </c>
    </row>
    <row r="54" spans="1:8">
      <c r="A54" s="716" t="s">
        <v>604</v>
      </c>
      <c r="B54" s="717"/>
      <c r="C54" s="717"/>
      <c r="D54" s="717"/>
      <c r="E54" s="717"/>
      <c r="F54" s="718" t="s">
        <v>335</v>
      </c>
      <c r="G54" s="412" t="s">
        <v>596</v>
      </c>
      <c r="H54" s="319" t="s">
        <v>608</v>
      </c>
    </row>
    <row r="55" spans="1:8">
      <c r="A55" s="64"/>
      <c r="B55" s="69"/>
      <c r="C55" s="69"/>
      <c r="D55" s="69"/>
      <c r="E55" s="69"/>
      <c r="F55" s="723"/>
    </row>
    <row r="56" spans="1:8">
      <c r="A56" s="716" t="s">
        <v>612</v>
      </c>
      <c r="B56" s="717"/>
      <c r="C56" s="717"/>
      <c r="D56" s="717"/>
      <c r="E56" s="717"/>
      <c r="F56" s="719" t="s">
        <v>613</v>
      </c>
      <c r="G56" s="412" t="s">
        <v>596</v>
      </c>
      <c r="H56" t="s">
        <v>614</v>
      </c>
    </row>
    <row r="57" spans="1:8">
      <c r="A57" s="64"/>
      <c r="B57" s="69"/>
      <c r="C57" s="69"/>
      <c r="D57" s="69"/>
      <c r="E57" s="69"/>
      <c r="F57" s="723"/>
    </row>
    <row r="58" spans="1:8">
      <c r="A58" s="713" t="s">
        <v>599</v>
      </c>
      <c r="B58" s="714"/>
      <c r="C58" s="714"/>
      <c r="D58" s="714"/>
      <c r="E58" s="714"/>
      <c r="F58" s="715" t="s">
        <v>595</v>
      </c>
      <c r="G58" t="s">
        <v>593</v>
      </c>
    </row>
    <row r="59" spans="1:8">
      <c r="A59" s="716" t="s">
        <v>603</v>
      </c>
      <c r="B59" s="717"/>
      <c r="C59" s="717"/>
      <c r="D59" s="717"/>
      <c r="E59" s="717"/>
      <c r="F59" s="718" t="s">
        <v>598</v>
      </c>
      <c r="G59" s="412" t="s">
        <v>593</v>
      </c>
      <c r="H59" t="s">
        <v>607</v>
      </c>
    </row>
    <row r="60" spans="1:8">
      <c r="A60" s="720" t="s">
        <v>382</v>
      </c>
      <c r="B60" s="721"/>
      <c r="C60" s="721"/>
      <c r="D60" s="721"/>
      <c r="E60" s="721"/>
      <c r="F60" s="722" t="s">
        <v>595</v>
      </c>
      <c r="G60" t="s">
        <v>593</v>
      </c>
    </row>
    <row r="62" spans="1:8">
      <c r="A62" t="s">
        <v>616</v>
      </c>
      <c r="C62" s="412" t="s">
        <v>615</v>
      </c>
    </row>
    <row r="63" spans="1:8">
      <c r="A63" t="s">
        <v>617</v>
      </c>
    </row>
    <row r="64" spans="1:8">
      <c r="A64" t="s">
        <v>618</v>
      </c>
      <c r="C64" s="712"/>
    </row>
    <row r="65" spans="1:1">
      <c r="A65" s="330" t="s">
        <v>619</v>
      </c>
    </row>
    <row r="68" spans="1:1">
      <c r="A68" s="330"/>
    </row>
  </sheetData>
  <mergeCells count="13">
    <mergeCell ref="H1:N1"/>
    <mergeCell ref="A48:F48"/>
    <mergeCell ref="A1:F1"/>
    <mergeCell ref="A20:B20"/>
    <mergeCell ref="B5:C5"/>
    <mergeCell ref="B6:C6"/>
    <mergeCell ref="B7:C7"/>
    <mergeCell ref="A16:B16"/>
    <mergeCell ref="A35:B35"/>
    <mergeCell ref="D40:F40"/>
    <mergeCell ref="D41:E41"/>
    <mergeCell ref="D42:E42"/>
    <mergeCell ref="D36:E36"/>
  </mergeCells>
  <dataValidations xWindow="254" yWindow="580" count="4">
    <dataValidation type="decimal" operator="greaterThan" allowBlank="1" showInputMessage="1" showErrorMessage="1" error="SALAIRE M-1" prompt="Salaire M-1" sqref="B17:B19">
      <formula1>0</formula1>
    </dataValidation>
    <dataValidation type="whole" operator="greaterThanOrEqual" allowBlank="1" showInputMessage="1" showErrorMessage="1" sqref="B7">
      <formula1>0</formula1>
    </dataValidation>
    <dataValidation type="list" allowBlank="1" showInputMessage="1" showErrorMessage="1" sqref="B10">
      <formula1>Type_arrêt</formula1>
    </dataValidation>
    <dataValidation type="list" allowBlank="1" showInputMessage="1" showErrorMessage="1" sqref="B13">
      <formula1>car_emp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orientation="portrait" r:id="rId1"/>
  <headerFooter>
    <oddHeader>&amp;LEmmanuel ESNAULT&amp;R&amp;D</oddHeader>
  </headerFooter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0">
    <tabColor theme="7" tint="-0.249977111117893"/>
  </sheetPr>
  <dimension ref="A1:J57"/>
  <sheetViews>
    <sheetView workbookViewId="0">
      <selection activeCell="I5" sqref="I5:J5"/>
    </sheetView>
  </sheetViews>
  <sheetFormatPr baseColWidth="10" defaultRowHeight="15"/>
  <cols>
    <col min="1" max="1" width="26.7109375" customWidth="1"/>
    <col min="2" max="3" width="16.28515625" bestFit="1" customWidth="1"/>
    <col min="6" max="6" width="1.7109375" customWidth="1"/>
    <col min="7" max="7" width="93.42578125" bestFit="1" customWidth="1"/>
    <col min="8" max="8" width="12.28515625" customWidth="1"/>
    <col min="10" max="10" width="12.42578125" customWidth="1"/>
    <col min="11" max="11" width="12.28515625" bestFit="1" customWidth="1"/>
  </cols>
  <sheetData>
    <row r="1" spans="1:10" ht="26.25">
      <c r="A1" s="1069" t="s">
        <v>302</v>
      </c>
      <c r="B1" s="1069"/>
      <c r="C1" s="1069"/>
      <c r="D1" s="1069"/>
      <c r="E1" s="1069"/>
      <c r="F1" s="491"/>
      <c r="G1" s="327"/>
    </row>
    <row r="4" spans="1:10" ht="18.75">
      <c r="A4" s="220" t="s">
        <v>62</v>
      </c>
      <c r="B4" s="126"/>
      <c r="C4" s="126"/>
      <c r="D4" s="126"/>
      <c r="G4" s="340" t="s">
        <v>321</v>
      </c>
      <c r="I4" s="348"/>
      <c r="J4" s="348"/>
    </row>
    <row r="5" spans="1:10">
      <c r="A5" s="242" t="s">
        <v>268</v>
      </c>
      <c r="B5" s="1072"/>
      <c r="C5" s="1073"/>
      <c r="D5" s="231"/>
    </row>
    <row r="6" spans="1:10">
      <c r="A6" s="243" t="s">
        <v>147</v>
      </c>
      <c r="B6" s="1072"/>
      <c r="C6" s="1073"/>
      <c r="D6" s="231"/>
      <c r="G6" t="s">
        <v>318</v>
      </c>
      <c r="J6" s="232"/>
    </row>
    <row r="9" spans="1:10" ht="15" customHeight="1">
      <c r="A9" s="273" t="s">
        <v>304</v>
      </c>
      <c r="B9" s="356"/>
      <c r="G9" s="939" t="s">
        <v>323</v>
      </c>
      <c r="I9" s="348"/>
      <c r="J9" s="348"/>
    </row>
    <row r="11" spans="1:10">
      <c r="G11" t="s">
        <v>319</v>
      </c>
    </row>
    <row r="12" spans="1:10">
      <c r="A12" s="256" t="s">
        <v>317</v>
      </c>
      <c r="B12" s="257" t="s">
        <v>314</v>
      </c>
      <c r="C12" s="257" t="s">
        <v>315</v>
      </c>
      <c r="D12" s="239" t="s">
        <v>316</v>
      </c>
      <c r="G12" t="s">
        <v>419</v>
      </c>
    </row>
    <row r="13" spans="1:10">
      <c r="A13" s="286">
        <f>0.834%*PASS</f>
        <v>327.16152</v>
      </c>
      <c r="B13" s="358"/>
      <c r="C13" s="285">
        <f>B13/30.42</f>
        <v>0</v>
      </c>
      <c r="D13" s="253">
        <f>MIN(A13,C13)</f>
        <v>0</v>
      </c>
      <c r="E13" s="287"/>
      <c r="F13" s="287"/>
      <c r="G13" t="s">
        <v>322</v>
      </c>
      <c r="J13" s="232"/>
    </row>
    <row r="16" spans="1:10">
      <c r="A16" s="261"/>
      <c r="B16" s="262" t="s">
        <v>292</v>
      </c>
      <c r="C16" s="262" t="s">
        <v>293</v>
      </c>
      <c r="D16" s="263" t="s">
        <v>294</v>
      </c>
    </row>
    <row r="17" spans="1:6">
      <c r="A17" s="264" t="s">
        <v>289</v>
      </c>
      <c r="B17" s="920"/>
      <c r="C17" s="921"/>
      <c r="D17" s="275"/>
    </row>
    <row r="18" spans="1:6">
      <c r="A18" s="249" t="s">
        <v>290</v>
      </c>
      <c r="B18" s="920"/>
      <c r="C18" s="921"/>
      <c r="D18" s="276"/>
    </row>
    <row r="19" spans="1:6">
      <c r="A19" s="268" t="s">
        <v>305</v>
      </c>
      <c r="B19" s="265">
        <f>IF(OR(B18=0,B17=0),0,B18-B17+1)</f>
        <v>0</v>
      </c>
      <c r="C19" s="265">
        <f>IF(OR(C18=0,C17=0),0,C18-C17+1)</f>
        <v>0</v>
      </c>
      <c r="D19" s="266">
        <f>B19+C19</f>
        <v>0</v>
      </c>
    </row>
    <row r="20" spans="1:6" ht="30">
      <c r="A20" s="269" t="s">
        <v>306</v>
      </c>
      <c r="B20" s="277">
        <f>B19</f>
        <v>0</v>
      </c>
      <c r="C20" s="267">
        <f>C19</f>
        <v>0</v>
      </c>
      <c r="D20" s="278">
        <f>SUM(B20:C20)</f>
        <v>0</v>
      </c>
    </row>
    <row r="21" spans="1:6">
      <c r="A21" s="268" t="s">
        <v>307</v>
      </c>
      <c r="B21" s="922">
        <v>0.6</v>
      </c>
      <c r="C21" s="923">
        <v>0.8</v>
      </c>
      <c r="D21" s="274"/>
    </row>
    <row r="22" spans="1:6" ht="30">
      <c r="A22" s="269" t="s">
        <v>298</v>
      </c>
      <c r="B22" s="279">
        <f>$D$13*B20*B21</f>
        <v>0</v>
      </c>
      <c r="C22" s="279">
        <f>$D$13*C20*C21</f>
        <v>0</v>
      </c>
      <c r="D22" s="283">
        <f>-SUM(B22:C22)</f>
        <v>0</v>
      </c>
    </row>
    <row r="23" spans="1:6" ht="30">
      <c r="A23" s="268" t="s">
        <v>296</v>
      </c>
      <c r="B23" s="280">
        <f>B19</f>
        <v>0</v>
      </c>
      <c r="C23" s="265">
        <f>C19</f>
        <v>0</v>
      </c>
      <c r="D23" s="281">
        <f>SUM(B23:C23)</f>
        <v>0</v>
      </c>
    </row>
    <row r="24" spans="1:6" ht="30">
      <c r="A24" s="269" t="s">
        <v>295</v>
      </c>
      <c r="B24" s="922">
        <v>0.9</v>
      </c>
      <c r="C24" s="940">
        <v>0.66659999999999997</v>
      </c>
      <c r="D24" s="274"/>
    </row>
    <row r="25" spans="1:6" ht="30">
      <c r="A25" s="268" t="s">
        <v>297</v>
      </c>
      <c r="B25" s="282">
        <f>IF($D$19=0,0,$B$9/$D$19*B24*B23)</f>
        <v>0</v>
      </c>
      <c r="C25" s="282">
        <f>IF($D$19=0,0,$B$9/$D$19*C24*C23)</f>
        <v>0</v>
      </c>
      <c r="D25" s="284">
        <f>SUM(B25:C25)</f>
        <v>0</v>
      </c>
    </row>
    <row r="28" spans="1:6">
      <c r="A28" s="1076" t="s">
        <v>648</v>
      </c>
      <c r="B28" s="1078"/>
      <c r="D28" s="1090" t="s">
        <v>651</v>
      </c>
      <c r="E28" s="1091"/>
    </row>
    <row r="29" spans="1:6">
      <c r="A29" s="808" t="s">
        <v>649</v>
      </c>
      <c r="B29" s="809">
        <f>SUM(Cotisations!C5:C7)*0.9825+F29*0.08</f>
        <v>7.8600000000000003E-2</v>
      </c>
      <c r="D29" s="1088"/>
      <c r="E29" s="1089"/>
      <c r="F29" s="816"/>
    </row>
    <row r="30" spans="1:6">
      <c r="A30" s="808" t="s">
        <v>19</v>
      </c>
      <c r="B30" s="809">
        <f>Cotisations!C8</f>
        <v>7.4999999999999997E-3</v>
      </c>
    </row>
    <row r="31" spans="1:6">
      <c r="A31" s="808" t="s">
        <v>24</v>
      </c>
      <c r="B31" s="809">
        <f>Cotisations!C12</f>
        <v>4.0000000000000001E-3</v>
      </c>
    </row>
    <row r="32" spans="1:6">
      <c r="A32" s="808" t="s">
        <v>25</v>
      </c>
      <c r="B32" s="809">
        <f>Cotisations!C13</f>
        <v>6.9000000000000006E-2</v>
      </c>
      <c r="D32" s="1076" t="s">
        <v>320</v>
      </c>
      <c r="E32" s="1078"/>
    </row>
    <row r="33" spans="1:7">
      <c r="A33" s="808" t="s">
        <v>101</v>
      </c>
      <c r="B33" s="809">
        <f>Cotisations!C22</f>
        <v>2.4E-2</v>
      </c>
      <c r="D33" s="1092" t="s">
        <v>313</v>
      </c>
      <c r="E33" s="1093"/>
      <c r="F33" s="817"/>
    </row>
    <row r="34" spans="1:7">
      <c r="A34" s="808" t="s">
        <v>623</v>
      </c>
      <c r="B34" s="809">
        <f>Cotisations!C28</f>
        <v>3.1E-2</v>
      </c>
      <c r="D34" s="1084">
        <f>-D22*0.933</f>
        <v>0</v>
      </c>
      <c r="E34" s="1085"/>
      <c r="F34" s="806"/>
      <c r="G34" t="s">
        <v>591</v>
      </c>
    </row>
    <row r="35" spans="1:7">
      <c r="A35" s="808" t="s">
        <v>650</v>
      </c>
      <c r="B35" s="809">
        <f>Cotisations!C30</f>
        <v>8.0000000000000002E-3</v>
      </c>
      <c r="D35" s="1086" t="s">
        <v>653</v>
      </c>
      <c r="E35" s="1087"/>
      <c r="F35" s="806"/>
    </row>
    <row r="36" spans="1:7">
      <c r="A36" s="808" t="s">
        <v>652</v>
      </c>
      <c r="B36" s="810"/>
      <c r="D36" s="1084">
        <f>D22/(1-B37)-D22</f>
        <v>0</v>
      </c>
      <c r="E36" s="1085"/>
      <c r="G36" t="s">
        <v>620</v>
      </c>
    </row>
    <row r="37" spans="1:7">
      <c r="A37" s="811" t="s">
        <v>179</v>
      </c>
      <c r="B37" s="812">
        <f>SUM(B29:B36)</f>
        <v>0.22210000000000002</v>
      </c>
    </row>
    <row r="38" spans="1:7">
      <c r="B38" s="287"/>
    </row>
    <row r="39" spans="1:7">
      <c r="B39" s="712"/>
    </row>
    <row r="40" spans="1:7" ht="21">
      <c r="A40" s="1066" t="s">
        <v>606</v>
      </c>
      <c r="B40" s="1067"/>
      <c r="C40" s="1067"/>
      <c r="D40" s="1067"/>
      <c r="E40" s="1068"/>
    </row>
    <row r="41" spans="1:7">
      <c r="A41" s="64"/>
      <c r="B41" s="69"/>
      <c r="C41" s="69"/>
      <c r="D41" s="69"/>
      <c r="E41" s="723"/>
    </row>
    <row r="42" spans="1:7">
      <c r="A42" s="713" t="s">
        <v>5</v>
      </c>
      <c r="B42" s="714"/>
      <c r="C42" s="714"/>
      <c r="D42" s="714"/>
      <c r="E42" s="715" t="s">
        <v>595</v>
      </c>
      <c r="F42" t="s">
        <v>593</v>
      </c>
      <c r="G42" t="s">
        <v>600</v>
      </c>
    </row>
    <row r="43" spans="1:7">
      <c r="A43" s="713" t="s">
        <v>594</v>
      </c>
      <c r="B43" s="714"/>
      <c r="C43" s="714"/>
      <c r="D43" s="714"/>
      <c r="E43" s="715" t="s">
        <v>592</v>
      </c>
      <c r="F43" t="s">
        <v>596</v>
      </c>
    </row>
    <row r="44" spans="1:7">
      <c r="A44" s="713" t="s">
        <v>597</v>
      </c>
      <c r="B44" s="714"/>
      <c r="C44" s="714"/>
      <c r="D44" s="714"/>
      <c r="E44" s="715" t="s">
        <v>592</v>
      </c>
      <c r="F44" t="s">
        <v>593</v>
      </c>
      <c r="G44" t="s">
        <v>601</v>
      </c>
    </row>
    <row r="45" spans="1:7">
      <c r="A45" s="716" t="s">
        <v>602</v>
      </c>
      <c r="B45" s="717"/>
      <c r="C45" s="717"/>
      <c r="D45" s="717"/>
      <c r="E45" s="718" t="s">
        <v>598</v>
      </c>
      <c r="F45" s="412" t="s">
        <v>596</v>
      </c>
      <c r="G45" t="s">
        <v>605</v>
      </c>
    </row>
    <row r="46" spans="1:7">
      <c r="A46" s="716" t="s">
        <v>604</v>
      </c>
      <c r="B46" s="717"/>
      <c r="C46" s="717"/>
      <c r="D46" s="717"/>
      <c r="E46" s="718" t="s">
        <v>335</v>
      </c>
      <c r="F46" s="412" t="s">
        <v>596</v>
      </c>
      <c r="G46" s="319" t="s">
        <v>608</v>
      </c>
    </row>
    <row r="47" spans="1:7">
      <c r="A47" s="64"/>
      <c r="B47" s="69"/>
      <c r="C47" s="69"/>
      <c r="D47" s="69"/>
      <c r="E47" s="723"/>
    </row>
    <row r="48" spans="1:7">
      <c r="A48" s="716" t="s">
        <v>612</v>
      </c>
      <c r="B48" s="717"/>
      <c r="C48" s="717"/>
      <c r="D48" s="717"/>
      <c r="E48" s="719" t="s">
        <v>613</v>
      </c>
      <c r="F48" s="412" t="s">
        <v>596</v>
      </c>
      <c r="G48" t="s">
        <v>614</v>
      </c>
    </row>
    <row r="49" spans="1:7">
      <c r="A49" s="64"/>
      <c r="B49" s="69"/>
      <c r="C49" s="69"/>
      <c r="D49" s="69"/>
      <c r="E49" s="723"/>
    </row>
    <row r="50" spans="1:7">
      <c r="A50" s="713" t="s">
        <v>599</v>
      </c>
      <c r="B50" s="714"/>
      <c r="C50" s="714"/>
      <c r="D50" s="714"/>
      <c r="E50" s="715" t="s">
        <v>595</v>
      </c>
      <c r="F50" t="s">
        <v>593</v>
      </c>
    </row>
    <row r="51" spans="1:7">
      <c r="A51" s="716" t="s">
        <v>603</v>
      </c>
      <c r="B51" s="717"/>
      <c r="C51" s="717"/>
      <c r="D51" s="717"/>
      <c r="E51" s="718" t="s">
        <v>598</v>
      </c>
      <c r="F51" s="412" t="s">
        <v>593</v>
      </c>
      <c r="G51" t="s">
        <v>607</v>
      </c>
    </row>
    <row r="52" spans="1:7">
      <c r="A52" s="720" t="s">
        <v>382</v>
      </c>
      <c r="B52" s="721"/>
      <c r="C52" s="721"/>
      <c r="D52" s="721"/>
      <c r="E52" s="722" t="s">
        <v>595</v>
      </c>
      <c r="F52" t="s">
        <v>593</v>
      </c>
    </row>
    <row r="54" spans="1:7">
      <c r="A54" t="s">
        <v>616</v>
      </c>
      <c r="C54" s="412" t="s">
        <v>615</v>
      </c>
    </row>
    <row r="55" spans="1:7">
      <c r="A55" t="s">
        <v>617</v>
      </c>
    </row>
    <row r="56" spans="1:7">
      <c r="A56" t="s">
        <v>618</v>
      </c>
      <c r="C56" s="712"/>
    </row>
    <row r="57" spans="1:7">
      <c r="A57" s="330" t="s">
        <v>619</v>
      </c>
    </row>
  </sheetData>
  <mergeCells count="12">
    <mergeCell ref="A40:E40"/>
    <mergeCell ref="A1:E1"/>
    <mergeCell ref="B5:C5"/>
    <mergeCell ref="B6:C6"/>
    <mergeCell ref="A28:B28"/>
    <mergeCell ref="D34:E34"/>
    <mergeCell ref="D35:E35"/>
    <mergeCell ref="D29:E29"/>
    <mergeCell ref="D28:E28"/>
    <mergeCell ref="D32:E32"/>
    <mergeCell ref="D33:E33"/>
    <mergeCell ref="D36:E36"/>
  </mergeCells>
  <dataValidations count="1">
    <dataValidation type="decimal" operator="greaterThan" allowBlank="1" showInputMessage="1" showErrorMessage="1" error="SALAIRE M-1" prompt="Salaire M-1" sqref="B13">
      <formula1>0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orientation="portrait" r:id="rId1"/>
  <headerFooter>
    <oddHeader>&amp;LEmmanuel ESNAULT&amp;R&amp;D</oddHeader>
  </headerFooter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1">
    <tabColor theme="7" tint="-0.499984740745262"/>
  </sheetPr>
  <dimension ref="A1:N84"/>
  <sheetViews>
    <sheetView zoomScaleNormal="100" workbookViewId="0">
      <selection activeCell="I5" sqref="I5:J5"/>
    </sheetView>
  </sheetViews>
  <sheetFormatPr baseColWidth="10" defaultRowHeight="15"/>
  <cols>
    <col min="3" max="3" width="11.85546875" bestFit="1" customWidth="1"/>
    <col min="4" max="4" width="13" customWidth="1"/>
    <col min="6" max="6" width="11.85546875" bestFit="1" customWidth="1"/>
    <col min="8" max="8" width="1.7109375" customWidth="1"/>
    <col min="10" max="10" width="15.140625" bestFit="1" customWidth="1"/>
  </cols>
  <sheetData>
    <row r="1" spans="1:10" ht="26.25">
      <c r="A1" s="1069" t="s">
        <v>324</v>
      </c>
      <c r="B1" s="1069"/>
      <c r="C1" s="1069"/>
      <c r="D1" s="1069"/>
      <c r="E1" s="1069"/>
      <c r="F1" s="1069"/>
      <c r="G1" s="1069"/>
      <c r="H1" s="491"/>
      <c r="I1" s="941" t="s">
        <v>741</v>
      </c>
    </row>
    <row r="3" spans="1:10">
      <c r="I3" s="330" t="s">
        <v>740</v>
      </c>
    </row>
    <row r="4" spans="1:10">
      <c r="A4" s="220" t="s">
        <v>62</v>
      </c>
      <c r="B4" s="126"/>
      <c r="C4" s="126"/>
    </row>
    <row r="5" spans="1:10">
      <c r="A5" s="242" t="s">
        <v>268</v>
      </c>
      <c r="B5" s="1097"/>
      <c r="C5" s="1073"/>
      <c r="E5" s="1063" t="s">
        <v>644</v>
      </c>
      <c r="F5" s="1064"/>
      <c r="I5" s="412" t="s">
        <v>716</v>
      </c>
    </row>
    <row r="6" spans="1:10">
      <c r="A6" s="243" t="s">
        <v>147</v>
      </c>
      <c r="B6" s="1097"/>
      <c r="C6" s="1073"/>
      <c r="E6" s="1104"/>
      <c r="F6" s="1105"/>
    </row>
    <row r="8" spans="1:10">
      <c r="I8" s="330" t="s">
        <v>737</v>
      </c>
    </row>
    <row r="9" spans="1:10">
      <c r="A9" s="1076" t="s">
        <v>330</v>
      </c>
      <c r="B9" s="1077"/>
      <c r="C9" s="1077"/>
      <c r="D9" s="1077"/>
      <c r="E9" s="1077"/>
      <c r="F9" s="1078"/>
    </row>
    <row r="10" spans="1:10">
      <c r="A10" s="1102" t="s">
        <v>328</v>
      </c>
      <c r="B10" s="1103"/>
      <c r="C10" s="796"/>
      <c r="D10" s="338"/>
      <c r="E10" s="82"/>
      <c r="F10" s="297"/>
      <c r="I10" s="412" t="s">
        <v>360</v>
      </c>
    </row>
    <row r="11" spans="1:10" ht="30">
      <c r="A11" s="293" t="s">
        <v>52</v>
      </c>
      <c r="B11" s="294" t="s">
        <v>325</v>
      </c>
      <c r="C11" s="295" t="s">
        <v>5</v>
      </c>
      <c r="D11" s="295" t="s">
        <v>326</v>
      </c>
      <c r="E11" s="295" t="s">
        <v>327</v>
      </c>
      <c r="F11" s="296" t="s">
        <v>294</v>
      </c>
    </row>
    <row r="12" spans="1:10">
      <c r="A12" s="303" t="str">
        <f>IF($C$10=0,"",EDATE($C$10,-12))</f>
        <v/>
      </c>
      <c r="B12" s="304" t="str">
        <f>IF($C$10=0,"",IF(MONTH($C$10)&lt;=12,YEAR($C$10)-1,YEAR($C$10)))</f>
        <v/>
      </c>
      <c r="C12" s="828"/>
      <c r="D12" s="832"/>
      <c r="E12" s="924"/>
      <c r="F12" s="309">
        <f>SUM(C12:E12)</f>
        <v>0</v>
      </c>
      <c r="I12" s="412" t="s">
        <v>361</v>
      </c>
    </row>
    <row r="13" spans="1:10">
      <c r="A13" s="291" t="str">
        <f>IF($C$10=0,"",EDATE($C$10,-11))</f>
        <v/>
      </c>
      <c r="B13" s="298" t="str">
        <f>IF($C$10=0,"",IF(MONTH($C$10)&lt;=11,YEAR($C$10)-1,YEAR($C$10)))</f>
        <v/>
      </c>
      <c r="C13" s="828"/>
      <c r="D13" s="832"/>
      <c r="E13" s="924"/>
      <c r="F13" s="310">
        <f t="shared" ref="F13:F23" si="0">SUM(C13:E13)</f>
        <v>0</v>
      </c>
      <c r="I13" s="934" t="s">
        <v>728</v>
      </c>
    </row>
    <row r="14" spans="1:10">
      <c r="A14" s="303" t="str">
        <f>IF($C$10=0,"",EDATE($C$10,-10))</f>
        <v/>
      </c>
      <c r="B14" s="304" t="str">
        <f>IF($C$10=0,"",IF(MONTH($C$10)&lt;=10,YEAR($C$10)-1,YEAR($C$10)))</f>
        <v/>
      </c>
      <c r="C14" s="828"/>
      <c r="D14" s="832"/>
      <c r="E14" s="924"/>
      <c r="F14" s="309">
        <f t="shared" si="0"/>
        <v>0</v>
      </c>
    </row>
    <row r="15" spans="1:10">
      <c r="A15" s="291" t="str">
        <f>IF($C$10=0,"",EDATE($C$10,-9))</f>
        <v/>
      </c>
      <c r="B15" s="298" t="str">
        <f>IF($C$10=0,"",IF(MONTH($C$10)&lt;=9,YEAR($C$10)-1,YEAR($C$10)))</f>
        <v/>
      </c>
      <c r="C15" s="828"/>
      <c r="D15" s="832"/>
      <c r="E15" s="924"/>
      <c r="F15" s="310">
        <f t="shared" si="0"/>
        <v>0</v>
      </c>
      <c r="I15" t="s">
        <v>742</v>
      </c>
    </row>
    <row r="16" spans="1:10">
      <c r="A16" s="303" t="str">
        <f>IF($C$10=0,"",EDATE($C$10,-8))</f>
        <v/>
      </c>
      <c r="B16" s="304" t="str">
        <f>IF($C$10=0,"",IF(MONTH($C$10)&lt;=8,YEAR($C$10)-1,YEAR($C$10)))</f>
        <v/>
      </c>
      <c r="C16" s="828"/>
      <c r="D16" s="832"/>
      <c r="E16" s="924"/>
      <c r="F16" s="309">
        <f t="shared" si="0"/>
        <v>0</v>
      </c>
      <c r="I16" s="937" t="s">
        <v>731</v>
      </c>
      <c r="J16" s="935" t="s">
        <v>732</v>
      </c>
    </row>
    <row r="17" spans="1:14" ht="15" customHeight="1">
      <c r="A17" s="291" t="str">
        <f>IF($C$10=0,"",EDATE($C$10,-7))</f>
        <v/>
      </c>
      <c r="B17" s="298" t="str">
        <f>IF($C$10=0,"",IF(MONTH($C$10)&lt;=7,YEAR($C$10)-1,YEAR($C$10)))</f>
        <v/>
      </c>
      <c r="C17" s="828"/>
      <c r="D17" s="832"/>
      <c r="E17" s="924"/>
      <c r="F17" s="310">
        <f t="shared" si="0"/>
        <v>0</v>
      </c>
      <c r="J17" s="936" t="s">
        <v>729</v>
      </c>
      <c r="K17" s="931"/>
      <c r="L17" s="931"/>
      <c r="M17" s="931"/>
      <c r="N17" s="931"/>
    </row>
    <row r="18" spans="1:14" ht="15" customHeight="1">
      <c r="A18" s="303" t="str">
        <f>IF($C$10=0,"",EDATE($C$10,-6))</f>
        <v/>
      </c>
      <c r="B18" s="304" t="str">
        <f>IF($C$10=0,"",IF(MONTH($C$10)&lt;=6,YEAR($C$10)-1,YEAR($C$10)))</f>
        <v/>
      </c>
      <c r="C18" s="828"/>
      <c r="D18" s="832"/>
      <c r="E18" s="924"/>
      <c r="F18" s="309">
        <f t="shared" si="0"/>
        <v>0</v>
      </c>
      <c r="J18" s="936" t="s">
        <v>730</v>
      </c>
      <c r="K18" s="931"/>
      <c r="L18" s="931"/>
      <c r="M18" s="931"/>
      <c r="N18" s="931"/>
    </row>
    <row r="19" spans="1:14">
      <c r="A19" s="291" t="str">
        <f>IF($C$10=0,"",EDATE($C$10,-5))</f>
        <v/>
      </c>
      <c r="B19" s="298" t="str">
        <f>IF($C$10=0,"",IF(MONTH($C$10)&lt;=5,YEAR($C$10)-1,YEAR($C$10)))</f>
        <v/>
      </c>
      <c r="C19" s="828"/>
      <c r="D19" s="832"/>
      <c r="E19" s="924"/>
      <c r="F19" s="310">
        <f t="shared" si="0"/>
        <v>0</v>
      </c>
      <c r="J19" s="931"/>
      <c r="K19" s="931"/>
      <c r="L19" s="931"/>
      <c r="M19" s="931"/>
      <c r="N19" s="931"/>
    </row>
    <row r="20" spans="1:14">
      <c r="A20" s="303" t="str">
        <f>IF($C$10=0,"",EDATE($C$10,-4))</f>
        <v/>
      </c>
      <c r="B20" s="304" t="str">
        <f>IF($C$10=0,"",IF(MONTH($C$10)&lt;=4,YEAR($C$10)-1,YEAR($C$10)))</f>
        <v/>
      </c>
      <c r="C20" s="828"/>
      <c r="D20" s="832"/>
      <c r="E20" s="924"/>
      <c r="F20" s="309">
        <f t="shared" si="0"/>
        <v>0</v>
      </c>
      <c r="I20" s="330" t="s">
        <v>738</v>
      </c>
      <c r="J20" s="931"/>
      <c r="K20" s="931"/>
      <c r="L20" s="931"/>
      <c r="M20" s="931"/>
      <c r="N20" s="931"/>
    </row>
    <row r="21" spans="1:14">
      <c r="A21" s="291" t="str">
        <f>IF($C$10=0,"",EDATE($C$10,-3))</f>
        <v/>
      </c>
      <c r="B21" s="298" t="str">
        <f>IF($C$10=0,"",IF(MONTH($C$10)&lt;=3,YEAR($C$10)-1,YEAR($C$10)))</f>
        <v/>
      </c>
      <c r="C21" s="828"/>
      <c r="D21" s="832"/>
      <c r="E21" s="924"/>
      <c r="F21" s="310">
        <f t="shared" si="0"/>
        <v>0</v>
      </c>
      <c r="J21" s="931"/>
      <c r="K21" s="931"/>
      <c r="L21" s="931"/>
      <c r="M21" s="931"/>
      <c r="N21" s="931"/>
    </row>
    <row r="22" spans="1:14">
      <c r="A22" s="303" t="str">
        <f>IF($C$10=0,"",EDATE($C$10,-2))</f>
        <v/>
      </c>
      <c r="B22" s="304" t="str">
        <f>IF($C$10=0,"",IF(MONTH($C$10)&lt;=2,YEAR($C$10)-1,YEAR($C$10)))</f>
        <v/>
      </c>
      <c r="C22" s="828"/>
      <c r="D22" s="832"/>
      <c r="E22" s="924"/>
      <c r="F22" s="309">
        <f t="shared" si="0"/>
        <v>0</v>
      </c>
      <c r="I22" t="s">
        <v>360</v>
      </c>
      <c r="K22" s="931"/>
      <c r="L22" s="931"/>
      <c r="M22" s="931"/>
      <c r="N22" s="931"/>
    </row>
    <row r="23" spans="1:14">
      <c r="A23" s="292" t="str">
        <f>IF($C$10=0,"",EDATE($C$10,-1))</f>
        <v/>
      </c>
      <c r="B23" s="299" t="str">
        <f>IF($C$10=0,"",IF(MONTH($C$10)=1,YEAR($C$10)-1,YEAR($C$10)))</f>
        <v/>
      </c>
      <c r="C23" s="828"/>
      <c r="D23" s="832"/>
      <c r="E23" s="925"/>
      <c r="F23" s="311">
        <f t="shared" si="0"/>
        <v>0</v>
      </c>
      <c r="I23" s="930" t="s">
        <v>739</v>
      </c>
      <c r="K23" s="931"/>
      <c r="L23" s="931"/>
      <c r="M23" s="931"/>
      <c r="N23" s="931"/>
    </row>
    <row r="24" spans="1:14">
      <c r="A24" s="305"/>
      <c r="B24" s="306"/>
      <c r="C24" s="307"/>
      <c r="D24" s="317"/>
      <c r="E24" s="312" t="s">
        <v>294</v>
      </c>
      <c r="F24" s="308">
        <f>SUM(F12:F23)</f>
        <v>0</v>
      </c>
      <c r="K24" s="931"/>
      <c r="L24" s="931"/>
      <c r="M24" s="931"/>
      <c r="N24" s="931"/>
    </row>
    <row r="25" spans="1:14">
      <c r="A25" s="1098" t="s">
        <v>329</v>
      </c>
      <c r="B25" s="1099"/>
      <c r="C25" s="1099"/>
      <c r="D25" s="1100">
        <f>F24/12</f>
        <v>0</v>
      </c>
      <c r="E25" s="1099"/>
      <c r="F25" s="1101"/>
      <c r="I25" s="319" t="s">
        <v>361</v>
      </c>
      <c r="K25" s="931"/>
      <c r="L25" s="931"/>
      <c r="M25" s="931"/>
      <c r="N25" s="931"/>
    </row>
    <row r="26" spans="1:14">
      <c r="I26" s="934" t="s">
        <v>734</v>
      </c>
      <c r="K26" s="931"/>
      <c r="L26" s="931"/>
      <c r="M26" s="931"/>
      <c r="N26" s="931"/>
    </row>
    <row r="27" spans="1:14">
      <c r="A27" s="1063" t="s">
        <v>386</v>
      </c>
      <c r="B27" s="1079"/>
      <c r="C27" s="1079"/>
      <c r="D27" s="1079"/>
      <c r="E27" s="1079"/>
      <c r="F27" s="1064"/>
      <c r="K27" s="931"/>
      <c r="L27" s="931"/>
      <c r="M27" s="931"/>
      <c r="N27" s="931"/>
    </row>
    <row r="28" spans="1:14">
      <c r="A28" s="1109" t="s">
        <v>331</v>
      </c>
      <c r="B28" s="1110"/>
      <c r="C28" s="795"/>
      <c r="D28" s="267"/>
      <c r="E28" s="267"/>
      <c r="F28" s="289"/>
      <c r="I28" t="s">
        <v>742</v>
      </c>
      <c r="K28" s="931"/>
      <c r="L28" s="931"/>
      <c r="M28" s="931"/>
      <c r="N28" s="931"/>
    </row>
    <row r="29" spans="1:14" ht="30">
      <c r="A29" s="288" t="s">
        <v>52</v>
      </c>
      <c r="B29" s="143" t="s">
        <v>325</v>
      </c>
      <c r="C29" s="144" t="s">
        <v>5</v>
      </c>
      <c r="D29" s="144" t="s">
        <v>326</v>
      </c>
      <c r="E29" s="144" t="s">
        <v>327</v>
      </c>
      <c r="F29" s="302" t="s">
        <v>294</v>
      </c>
      <c r="I29" s="937" t="s">
        <v>731</v>
      </c>
      <c r="J29" s="935" t="s">
        <v>732</v>
      </c>
      <c r="K29" s="931"/>
      <c r="L29" s="931"/>
      <c r="M29" s="931"/>
      <c r="N29" s="931"/>
    </row>
    <row r="30" spans="1:14">
      <c r="A30" s="303" t="str">
        <f>IF($C$28=0,"",EDATE($C$28,-3))</f>
        <v/>
      </c>
      <c r="B30" s="304" t="str">
        <f>IF($C$28=0,"",IF(MONTH($C$28)&lt;=3,YEAR($C$28)-1,YEAR($C$28)))</f>
        <v/>
      </c>
      <c r="C30" s="828"/>
      <c r="D30" s="832"/>
      <c r="E30" s="924"/>
      <c r="F30" s="309">
        <f>SUM(C30:E30)</f>
        <v>0</v>
      </c>
      <c r="J30" s="936" t="s">
        <v>729</v>
      </c>
      <c r="K30" s="931"/>
      <c r="L30" s="931"/>
      <c r="M30" s="931"/>
      <c r="N30" s="931"/>
    </row>
    <row r="31" spans="1:14">
      <c r="A31" s="291" t="str">
        <f>IF($C$28=0,"",EDATE($C$28,-2))</f>
        <v/>
      </c>
      <c r="B31" s="298" t="str">
        <f>IF($C$28=0,"",IF(MONTH($C$28)&lt;=2,YEAR($C$28)-1,YEAR($C$28)))</f>
        <v/>
      </c>
      <c r="C31" s="828"/>
      <c r="D31" s="832"/>
      <c r="E31" s="924"/>
      <c r="F31" s="310">
        <f>SUM(C31:E31)</f>
        <v>0</v>
      </c>
      <c r="J31" s="936" t="s">
        <v>730</v>
      </c>
      <c r="K31" s="931"/>
      <c r="L31" s="931"/>
      <c r="M31" s="931"/>
      <c r="N31" s="931"/>
    </row>
    <row r="32" spans="1:14">
      <c r="A32" s="303" t="str">
        <f>IF($C$28=0,"",EDATE($C$28,-1))</f>
        <v/>
      </c>
      <c r="B32" s="304" t="str">
        <f>IF($C$28=0,"",IF(MONTH($C$28)&lt;=1,YEAR($C$28)-1,YEAR($C$28)))</f>
        <v/>
      </c>
      <c r="C32" s="828"/>
      <c r="D32" s="832"/>
      <c r="E32" s="924"/>
      <c r="F32" s="309">
        <f>SUM(C32:E32)</f>
        <v>0</v>
      </c>
      <c r="K32" s="931"/>
      <c r="L32" s="931"/>
      <c r="M32" s="931"/>
      <c r="N32" s="931"/>
    </row>
    <row r="33" spans="1:14">
      <c r="A33" s="300"/>
      <c r="B33" s="267"/>
      <c r="C33" s="267"/>
      <c r="D33" s="318"/>
      <c r="E33" s="301" t="s">
        <v>294</v>
      </c>
      <c r="F33" s="290">
        <f>SUM(F30:F32)</f>
        <v>0</v>
      </c>
      <c r="K33" s="931"/>
      <c r="L33" s="931"/>
      <c r="M33" s="931"/>
      <c r="N33" s="931"/>
    </row>
    <row r="34" spans="1:14">
      <c r="A34" s="1109" t="s">
        <v>329</v>
      </c>
      <c r="B34" s="1110"/>
      <c r="C34" s="1110"/>
      <c r="D34" s="1111">
        <f>F33/3</f>
        <v>0</v>
      </c>
      <c r="E34" s="1111"/>
      <c r="F34" s="1112"/>
      <c r="J34" s="931"/>
      <c r="K34" s="931"/>
      <c r="L34" s="931"/>
      <c r="M34" s="931"/>
      <c r="N34" s="931"/>
    </row>
    <row r="35" spans="1:14">
      <c r="J35" s="931"/>
      <c r="K35" s="931"/>
      <c r="L35" s="931"/>
      <c r="M35" s="931"/>
      <c r="N35" s="931"/>
    </row>
    <row r="36" spans="1:14">
      <c r="A36" s="1107" t="s">
        <v>332</v>
      </c>
      <c r="B36" s="1108"/>
      <c r="C36" s="1108"/>
      <c r="D36" s="1113">
        <f>MAX(D25,D34)</f>
        <v>0</v>
      </c>
      <c r="E36" s="1113"/>
      <c r="F36" s="1114"/>
      <c r="J36" s="931"/>
      <c r="K36" s="931"/>
      <c r="L36" s="931"/>
      <c r="M36" s="931"/>
      <c r="N36" s="931"/>
    </row>
    <row r="37" spans="1:14">
      <c r="J37" s="931"/>
      <c r="K37" s="931"/>
      <c r="L37" s="931"/>
      <c r="M37" s="931"/>
      <c r="N37" s="931"/>
    </row>
    <row r="38" spans="1:14">
      <c r="J38" s="931"/>
      <c r="K38" s="931"/>
      <c r="L38" s="931"/>
      <c r="M38" s="931"/>
      <c r="N38" s="931"/>
    </row>
    <row r="39" spans="1:14">
      <c r="A39" s="1063" t="s">
        <v>333</v>
      </c>
      <c r="B39" s="1079"/>
      <c r="C39" s="1079"/>
      <c r="D39" s="1079"/>
      <c r="E39" s="1079"/>
      <c r="F39" s="1064"/>
      <c r="J39" s="931"/>
      <c r="K39" s="931"/>
      <c r="L39" s="931"/>
      <c r="M39" s="931"/>
      <c r="N39" s="931"/>
    </row>
    <row r="40" spans="1:14">
      <c r="A40" s="300" t="s">
        <v>325</v>
      </c>
      <c r="B40" s="797">
        <f>IF(OR(E6=0,C28=0),0,DATEDIF($E$6,C28,"y"))</f>
        <v>0</v>
      </c>
      <c r="C40" s="301" t="s">
        <v>52</v>
      </c>
      <c r="D40" s="797">
        <f>IF(OR(E6=0,C28=0),0,DATEDIF(E6,C28,"ym"))</f>
        <v>0</v>
      </c>
      <c r="E40" s="301" t="s">
        <v>334</v>
      </c>
      <c r="F40" s="813">
        <f>IF(OR(E6="",C28=""),0,DATEDIF(E6,C28,"md")+1)</f>
        <v>0</v>
      </c>
      <c r="J40" s="931"/>
      <c r="K40" s="931"/>
      <c r="L40" s="931"/>
      <c r="M40" s="931"/>
      <c r="N40" s="931"/>
    </row>
    <row r="41" spans="1:14">
      <c r="A41" s="314">
        <f t="shared" ref="A41:A46" si="1">$D$36</f>
        <v>0</v>
      </c>
      <c r="B41" s="313" t="s">
        <v>335</v>
      </c>
      <c r="C41" s="313">
        <f>MIN(10,B40)</f>
        <v>0</v>
      </c>
      <c r="D41" s="313" t="s">
        <v>711</v>
      </c>
      <c r="E41" s="315" t="s">
        <v>336</v>
      </c>
      <c r="F41" s="316">
        <f>A41*C41/4</f>
        <v>0</v>
      </c>
      <c r="J41" s="931"/>
      <c r="K41" s="931"/>
      <c r="L41" s="931"/>
      <c r="M41" s="931"/>
      <c r="N41" s="931"/>
    </row>
    <row r="42" spans="1:14">
      <c r="A42" s="314">
        <f t="shared" si="1"/>
        <v>0</v>
      </c>
      <c r="B42" s="313" t="s">
        <v>335</v>
      </c>
      <c r="C42" s="313">
        <f>IF(B40&lt;10,D40/12,0)</f>
        <v>0</v>
      </c>
      <c r="D42" s="313" t="s">
        <v>711</v>
      </c>
      <c r="E42" s="315" t="s">
        <v>336</v>
      </c>
      <c r="F42" s="316">
        <f>A42*C42/4</f>
        <v>0</v>
      </c>
      <c r="J42" s="931"/>
      <c r="K42" s="931"/>
      <c r="L42" s="931"/>
      <c r="M42" s="931"/>
      <c r="N42" s="931"/>
    </row>
    <row r="43" spans="1:14">
      <c r="A43" s="314">
        <f t="shared" si="1"/>
        <v>0</v>
      </c>
      <c r="B43" s="313" t="s">
        <v>335</v>
      </c>
      <c r="C43" s="313">
        <f>IF(B40&gt;10,0,F40/365)</f>
        <v>0</v>
      </c>
      <c r="D43" s="313" t="s">
        <v>711</v>
      </c>
      <c r="E43" s="315" t="s">
        <v>336</v>
      </c>
      <c r="F43" s="316">
        <f>A43*C43/4</f>
        <v>0</v>
      </c>
      <c r="J43" s="931"/>
      <c r="K43" s="931"/>
      <c r="L43" s="931"/>
      <c r="M43" s="931"/>
      <c r="N43" s="931"/>
    </row>
    <row r="44" spans="1:14">
      <c r="A44" s="314">
        <f t="shared" si="1"/>
        <v>0</v>
      </c>
      <c r="B44" s="313" t="s">
        <v>335</v>
      </c>
      <c r="C44" s="313">
        <f>IF(B40="",0,MAX($B$40-10,0))</f>
        <v>0</v>
      </c>
      <c r="D44" s="313" t="s">
        <v>715</v>
      </c>
      <c r="E44" s="315" t="s">
        <v>336</v>
      </c>
      <c r="F44" s="316">
        <f>A44*C44/3</f>
        <v>0</v>
      </c>
      <c r="J44" s="931"/>
      <c r="K44" s="931"/>
      <c r="L44" s="931"/>
      <c r="M44" s="931"/>
      <c r="N44" s="931"/>
    </row>
    <row r="45" spans="1:14">
      <c r="A45" s="314">
        <f t="shared" si="1"/>
        <v>0</v>
      </c>
      <c r="B45" s="313" t="s">
        <v>335</v>
      </c>
      <c r="C45" s="313">
        <f>IF($B$40&gt;=10,$D$40/12,0)</f>
        <v>0</v>
      </c>
      <c r="D45" s="315" t="s">
        <v>715</v>
      </c>
      <c r="E45" s="315" t="s">
        <v>336</v>
      </c>
      <c r="F45" s="316">
        <f>A45*C45/3</f>
        <v>0</v>
      </c>
      <c r="J45" s="931"/>
      <c r="K45" s="931"/>
      <c r="L45" s="931"/>
      <c r="M45" s="931"/>
      <c r="N45" s="931"/>
    </row>
    <row r="46" spans="1:14">
      <c r="A46" s="314">
        <f t="shared" si="1"/>
        <v>0</v>
      </c>
      <c r="B46" s="313" t="s">
        <v>335</v>
      </c>
      <c r="C46" s="313">
        <f>IF($B$40&gt;=10,$F$40/365,0)</f>
        <v>0</v>
      </c>
      <c r="D46" s="315" t="s">
        <v>715</v>
      </c>
      <c r="E46" s="315" t="s">
        <v>336</v>
      </c>
      <c r="F46" s="316">
        <f>A46*C46/3</f>
        <v>0</v>
      </c>
      <c r="J46" s="931"/>
      <c r="K46" s="931"/>
      <c r="L46" s="931"/>
      <c r="M46" s="931"/>
      <c r="N46" s="931"/>
    </row>
    <row r="47" spans="1:14">
      <c r="D47" s="1107" t="s">
        <v>337</v>
      </c>
      <c r="E47" s="1108"/>
      <c r="F47" s="283">
        <f>SUM(F41:F46)</f>
        <v>0</v>
      </c>
      <c r="J47" s="931"/>
      <c r="K47" s="931"/>
      <c r="L47" s="931"/>
      <c r="M47" s="931"/>
      <c r="N47" s="931"/>
    </row>
    <row r="48" spans="1:14">
      <c r="J48" s="931"/>
      <c r="K48" s="931"/>
      <c r="L48" s="931"/>
      <c r="M48" s="931"/>
      <c r="N48" s="931"/>
    </row>
    <row r="49" spans="2:14">
      <c r="I49" s="932" t="s">
        <v>733</v>
      </c>
      <c r="J49" s="931"/>
      <c r="K49" s="931"/>
      <c r="L49" s="931"/>
      <c r="M49" s="931"/>
      <c r="N49" s="931"/>
    </row>
    <row r="50" spans="2:14">
      <c r="C50" s="913"/>
      <c r="I50" t="s">
        <v>368</v>
      </c>
      <c r="N50">
        <v>2000</v>
      </c>
    </row>
    <row r="51" spans="2:14">
      <c r="B51" s="819"/>
      <c r="C51" s="82"/>
      <c r="D51" s="82"/>
      <c r="I51" t="s">
        <v>362</v>
      </c>
      <c r="N51">
        <v>15000</v>
      </c>
    </row>
    <row r="52" spans="2:14">
      <c r="I52" t="s">
        <v>363</v>
      </c>
      <c r="N52">
        <v>20000</v>
      </c>
    </row>
    <row r="53" spans="2:14">
      <c r="I53" t="s">
        <v>364</v>
      </c>
      <c r="N53">
        <v>20000</v>
      </c>
    </row>
    <row r="54" spans="2:14">
      <c r="I54" t="s">
        <v>365</v>
      </c>
      <c r="N54">
        <v>50000</v>
      </c>
    </row>
    <row r="56" spans="2:14">
      <c r="I56" s="319" t="s">
        <v>366</v>
      </c>
    </row>
    <row r="58" spans="2:14">
      <c r="I58" t="s">
        <v>720</v>
      </c>
      <c r="M58">
        <v>20000</v>
      </c>
    </row>
    <row r="59" spans="2:14">
      <c r="I59" t="s">
        <v>721</v>
      </c>
      <c r="L59" s="1106" t="s">
        <v>367</v>
      </c>
      <c r="M59" s="1106"/>
    </row>
    <row r="60" spans="2:14">
      <c r="I60" t="s">
        <v>722</v>
      </c>
      <c r="L60" t="s">
        <v>369</v>
      </c>
    </row>
    <row r="62" spans="2:14">
      <c r="I62" t="s">
        <v>370</v>
      </c>
      <c r="M62" t="s">
        <v>371</v>
      </c>
    </row>
    <row r="65" spans="9:14">
      <c r="I65" s="330" t="s">
        <v>719</v>
      </c>
    </row>
    <row r="66" spans="9:14">
      <c r="I66" t="s">
        <v>372</v>
      </c>
      <c r="M66" t="s">
        <v>373</v>
      </c>
    </row>
    <row r="68" spans="9:14">
      <c r="I68" s="1094" t="s">
        <v>60</v>
      </c>
      <c r="J68" s="1095"/>
      <c r="K68" s="1095"/>
      <c r="L68" s="1095"/>
      <c r="M68" s="1095"/>
      <c r="N68" s="1096"/>
    </row>
    <row r="69" spans="9:14">
      <c r="I69" s="331"/>
      <c r="J69" s="82"/>
      <c r="K69" s="82"/>
      <c r="L69" s="82"/>
      <c r="M69" s="82" t="s">
        <v>423</v>
      </c>
      <c r="N69" s="332"/>
    </row>
    <row r="70" spans="9:14">
      <c r="I70" s="331" t="s">
        <v>5</v>
      </c>
      <c r="J70" s="82"/>
      <c r="K70" s="82"/>
      <c r="L70" s="82"/>
      <c r="M70" s="82"/>
      <c r="N70" s="333">
        <v>2000</v>
      </c>
    </row>
    <row r="71" spans="9:14">
      <c r="I71" s="331" t="s">
        <v>374</v>
      </c>
      <c r="J71" s="82"/>
      <c r="K71" s="82"/>
      <c r="L71" s="82"/>
      <c r="M71" s="82"/>
      <c r="N71" s="333">
        <v>3000</v>
      </c>
    </row>
    <row r="72" spans="9:14">
      <c r="I72" s="331"/>
      <c r="J72" s="82"/>
      <c r="K72" s="82"/>
      <c r="L72" s="82"/>
      <c r="M72" s="82"/>
      <c r="N72" s="333"/>
    </row>
    <row r="73" spans="9:14">
      <c r="I73" s="331" t="s">
        <v>375</v>
      </c>
      <c r="J73" s="82"/>
      <c r="K73" s="82"/>
      <c r="L73" s="82"/>
      <c r="M73" s="82"/>
      <c r="N73" s="333">
        <v>2000</v>
      </c>
    </row>
    <row r="74" spans="9:14">
      <c r="I74" s="331" t="s">
        <v>17</v>
      </c>
      <c r="J74" s="82"/>
      <c r="K74" s="82"/>
      <c r="L74" s="82"/>
      <c r="M74" s="82"/>
      <c r="N74" s="333">
        <v>7000</v>
      </c>
    </row>
    <row r="75" spans="9:14">
      <c r="I75" s="331"/>
      <c r="J75" s="82"/>
      <c r="K75" s="82"/>
      <c r="L75" s="82"/>
      <c r="M75" s="82"/>
      <c r="N75" s="332"/>
    </row>
    <row r="76" spans="9:14">
      <c r="I76" s="331" t="s">
        <v>383</v>
      </c>
      <c r="J76" s="82"/>
      <c r="K76" s="82"/>
      <c r="L76" s="82"/>
      <c r="M76" s="82"/>
      <c r="N76" s="333">
        <f>5000*0.9825*5.1%</f>
        <v>250.53749999999999</v>
      </c>
    </row>
    <row r="77" spans="9:14">
      <c r="I77" s="384" t="s">
        <v>422</v>
      </c>
      <c r="M77">
        <f>50000*20%</f>
        <v>10000</v>
      </c>
      <c r="N77" s="332"/>
    </row>
    <row r="78" spans="9:14">
      <c r="I78" s="331" t="s">
        <v>376</v>
      </c>
      <c r="J78" s="82"/>
      <c r="K78" s="82"/>
      <c r="L78" s="82"/>
      <c r="M78" s="82"/>
      <c r="N78" s="334" t="s">
        <v>377</v>
      </c>
    </row>
    <row r="79" spans="9:14">
      <c r="I79" s="331" t="s">
        <v>378</v>
      </c>
      <c r="J79" s="82"/>
      <c r="K79" s="82"/>
      <c r="L79" s="82"/>
      <c r="M79" s="82"/>
      <c r="N79" s="334" t="s">
        <v>379</v>
      </c>
    </row>
    <row r="80" spans="9:14">
      <c r="I80" s="331"/>
      <c r="J80" s="82"/>
      <c r="K80" s="82"/>
      <c r="L80" s="82"/>
      <c r="M80" s="82"/>
      <c r="N80" s="334"/>
    </row>
    <row r="81" spans="9:14">
      <c r="I81" s="331" t="s">
        <v>384</v>
      </c>
      <c r="J81" s="82"/>
      <c r="K81" s="82"/>
      <c r="L81" s="82"/>
      <c r="M81" s="82"/>
      <c r="N81" s="333">
        <f>5000*0.9825*2.4%</f>
        <v>117.9</v>
      </c>
    </row>
    <row r="82" spans="9:14">
      <c r="I82" s="331" t="s">
        <v>385</v>
      </c>
      <c r="J82" s="82"/>
      <c r="K82" s="82"/>
      <c r="L82" s="82"/>
      <c r="M82" s="82"/>
      <c r="N82" s="333">
        <f>5000*0.9825*0.5%</f>
        <v>24.5625</v>
      </c>
    </row>
    <row r="83" spans="9:14">
      <c r="I83" s="331" t="s">
        <v>380</v>
      </c>
      <c r="J83" s="82"/>
      <c r="K83" s="82"/>
      <c r="L83" s="82" t="s">
        <v>381</v>
      </c>
      <c r="M83" s="82"/>
      <c r="N83" s="333">
        <f>30000*8%</f>
        <v>2400</v>
      </c>
    </row>
    <row r="84" spans="9:14">
      <c r="I84" s="335" t="s">
        <v>382</v>
      </c>
      <c r="J84" s="336"/>
      <c r="K84" s="336"/>
      <c r="L84" s="336"/>
      <c r="M84" s="336"/>
      <c r="N84" s="337" t="s">
        <v>379</v>
      </c>
    </row>
  </sheetData>
  <mergeCells count="19">
    <mergeCell ref="D34:F34"/>
    <mergeCell ref="A36:C36"/>
    <mergeCell ref="D36:F36"/>
    <mergeCell ref="I68:N68"/>
    <mergeCell ref="A39:F39"/>
    <mergeCell ref="A1:G1"/>
    <mergeCell ref="B5:C5"/>
    <mergeCell ref="B6:C6"/>
    <mergeCell ref="A9:F9"/>
    <mergeCell ref="A25:C25"/>
    <mergeCell ref="D25:F25"/>
    <mergeCell ref="A27:F27"/>
    <mergeCell ref="A10:B10"/>
    <mergeCell ref="E5:F5"/>
    <mergeCell ref="E6:F6"/>
    <mergeCell ref="L59:M59"/>
    <mergeCell ref="D47:E47"/>
    <mergeCell ref="A28:B28"/>
    <mergeCell ref="A34:C34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&amp;LEmmanuel ESNAULT&amp;R&amp;D</oddHeader>
  </headerFooter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22">
    <tabColor theme="7" tint="-0.249977111117893"/>
    <pageSetUpPr fitToPage="1"/>
  </sheetPr>
  <dimension ref="A1:O60"/>
  <sheetViews>
    <sheetView workbookViewId="0">
      <selection activeCell="I5" sqref="I5:J5"/>
    </sheetView>
  </sheetViews>
  <sheetFormatPr baseColWidth="10" defaultRowHeight="15"/>
  <cols>
    <col min="1" max="1" width="14.7109375" bestFit="1" customWidth="1"/>
    <col min="3" max="3" width="14.28515625" bestFit="1" customWidth="1"/>
    <col min="4" max="4" width="12.42578125" customWidth="1"/>
    <col min="5" max="5" width="13.5703125" bestFit="1" customWidth="1"/>
    <col min="6" max="6" width="16.28515625" customWidth="1"/>
    <col min="7" max="7" width="1.7109375" customWidth="1"/>
    <col min="8" max="8" width="11.42578125" customWidth="1"/>
    <col min="10" max="10" width="13.140625" customWidth="1"/>
    <col min="13" max="13" width="11.42578125" customWidth="1"/>
  </cols>
  <sheetData>
    <row r="1" spans="1:15" ht="26.25">
      <c r="A1" s="1069" t="s">
        <v>654</v>
      </c>
      <c r="B1" s="1069"/>
      <c r="C1" s="1069"/>
      <c r="D1" s="1069"/>
      <c r="E1" s="1069"/>
      <c r="F1" s="1069"/>
      <c r="G1" s="327"/>
    </row>
    <row r="4" spans="1:15">
      <c r="A4" s="220" t="s">
        <v>62</v>
      </c>
      <c r="B4" s="242" t="s">
        <v>268</v>
      </c>
      <c r="C4" s="1097"/>
      <c r="D4" s="1130"/>
    </row>
    <row r="5" spans="1:15">
      <c r="B5" s="791" t="s">
        <v>147</v>
      </c>
      <c r="C5" s="1131"/>
      <c r="D5" s="1132"/>
    </row>
    <row r="6" spans="1:15">
      <c r="B6" s="792" t="s">
        <v>661</v>
      </c>
      <c r="C6" s="1136"/>
      <c r="D6" s="1137"/>
    </row>
    <row r="8" spans="1:15" ht="18.75">
      <c r="A8" s="1133" t="s">
        <v>662</v>
      </c>
      <c r="B8" s="1134"/>
      <c r="C8" s="1134"/>
      <c r="D8" s="1134"/>
      <c r="E8" s="1120"/>
      <c r="F8" s="1121"/>
      <c r="H8" s="1143" t="s">
        <v>339</v>
      </c>
      <c r="I8" s="1143"/>
      <c r="J8" s="1143"/>
      <c r="K8" s="1143"/>
      <c r="L8" s="1143"/>
      <c r="M8" s="1143"/>
      <c r="N8" s="1143"/>
      <c r="O8" s="1143"/>
    </row>
    <row r="9" spans="1:15">
      <c r="A9" s="834"/>
      <c r="B9" s="82"/>
      <c r="C9" s="82"/>
      <c r="D9" s="82"/>
      <c r="E9" s="82"/>
      <c r="F9" s="297"/>
      <c r="H9" s="319" t="s">
        <v>338</v>
      </c>
    </row>
    <row r="10" spans="1:15" ht="15.75">
      <c r="A10" s="1122" t="s">
        <v>664</v>
      </c>
      <c r="B10" s="1123"/>
      <c r="C10" s="1123"/>
      <c r="D10" s="1123"/>
      <c r="E10" s="1123"/>
      <c r="F10" s="1124"/>
      <c r="H10" t="s">
        <v>340</v>
      </c>
    </row>
    <row r="11" spans="1:15">
      <c r="A11" s="835" t="s">
        <v>52</v>
      </c>
      <c r="B11" s="294" t="s">
        <v>325</v>
      </c>
      <c r="C11" s="295" t="s">
        <v>5</v>
      </c>
      <c r="D11" s="295" t="s">
        <v>346</v>
      </c>
      <c r="E11" s="295" t="s">
        <v>347</v>
      </c>
      <c r="F11" s="836" t="s">
        <v>294</v>
      </c>
      <c r="H11" t="s">
        <v>341</v>
      </c>
    </row>
    <row r="12" spans="1:15">
      <c r="A12" s="837" t="s">
        <v>198</v>
      </c>
      <c r="B12" s="866" t="s">
        <v>345</v>
      </c>
      <c r="C12" s="828"/>
      <c r="D12" s="832"/>
      <c r="E12" s="359"/>
      <c r="F12" s="838">
        <f t="shared" ref="F12:F23" si="0">SUM(C12:C12)</f>
        <v>0</v>
      </c>
    </row>
    <row r="13" spans="1:15">
      <c r="A13" s="839" t="s">
        <v>199</v>
      </c>
      <c r="B13" s="298" t="str">
        <f t="shared" ref="B13:B18" si="1">B12</f>
        <v>N-2</v>
      </c>
      <c r="C13" s="828"/>
      <c r="D13" s="832"/>
      <c r="E13" s="359"/>
      <c r="F13" s="840">
        <f t="shared" si="0"/>
        <v>0</v>
      </c>
      <c r="H13" s="319" t="s">
        <v>342</v>
      </c>
    </row>
    <row r="14" spans="1:15">
      <c r="A14" s="837" t="s">
        <v>200</v>
      </c>
      <c r="B14" s="304" t="str">
        <f t="shared" si="1"/>
        <v>N-2</v>
      </c>
      <c r="C14" s="828"/>
      <c r="D14" s="832"/>
      <c r="E14" s="359"/>
      <c r="F14" s="838">
        <f t="shared" si="0"/>
        <v>0</v>
      </c>
      <c r="H14" t="s">
        <v>343</v>
      </c>
    </row>
    <row r="15" spans="1:15">
      <c r="A15" s="839" t="s">
        <v>201</v>
      </c>
      <c r="B15" s="298" t="str">
        <f t="shared" si="1"/>
        <v>N-2</v>
      </c>
      <c r="C15" s="828"/>
      <c r="D15" s="832"/>
      <c r="E15" s="359"/>
      <c r="F15" s="840">
        <f t="shared" si="0"/>
        <v>0</v>
      </c>
      <c r="H15" t="s">
        <v>387</v>
      </c>
    </row>
    <row r="16" spans="1:15">
      <c r="A16" s="837" t="s">
        <v>202</v>
      </c>
      <c r="B16" s="304" t="str">
        <f t="shared" si="1"/>
        <v>N-2</v>
      </c>
      <c r="C16" s="828"/>
      <c r="D16" s="832"/>
      <c r="E16" s="359"/>
      <c r="F16" s="838">
        <f t="shared" si="0"/>
        <v>0</v>
      </c>
    </row>
    <row r="17" spans="1:15" ht="15" customHeight="1">
      <c r="A17" s="839" t="s">
        <v>203</v>
      </c>
      <c r="B17" s="298" t="str">
        <f t="shared" si="1"/>
        <v>N-2</v>
      </c>
      <c r="C17" s="828"/>
      <c r="D17" s="832"/>
      <c r="E17" s="359"/>
      <c r="F17" s="840">
        <f t="shared" si="0"/>
        <v>0</v>
      </c>
      <c r="H17" s="1144" t="s">
        <v>666</v>
      </c>
      <c r="I17" s="1145"/>
      <c r="J17" s="1145"/>
      <c r="K17" s="1145"/>
      <c r="L17" s="1145"/>
      <c r="M17" s="1145"/>
      <c r="N17" s="1145"/>
      <c r="O17" s="1146"/>
    </row>
    <row r="18" spans="1:15" ht="15" customHeight="1">
      <c r="A18" s="837" t="s">
        <v>204</v>
      </c>
      <c r="B18" s="304" t="str">
        <f t="shared" si="1"/>
        <v>N-2</v>
      </c>
      <c r="C18" s="828"/>
      <c r="D18" s="832"/>
      <c r="E18" s="359"/>
      <c r="F18" s="838">
        <f t="shared" si="0"/>
        <v>0</v>
      </c>
      <c r="H18" s="1147"/>
      <c r="I18" s="1148"/>
      <c r="J18" s="1148"/>
      <c r="K18" s="1148"/>
      <c r="L18" s="1148"/>
      <c r="M18" s="1148"/>
      <c r="N18" s="1148"/>
      <c r="O18" s="1149"/>
    </row>
    <row r="19" spans="1:15" ht="15" customHeight="1">
      <c r="A19" s="839" t="s">
        <v>193</v>
      </c>
      <c r="B19" s="298" t="str">
        <f>IF(B18="N-2","N-1",B18+1)</f>
        <v>N-1</v>
      </c>
      <c r="C19" s="828"/>
      <c r="D19" s="832"/>
      <c r="E19" s="359"/>
      <c r="F19" s="840">
        <f t="shared" si="0"/>
        <v>0</v>
      </c>
      <c r="H19" s="1150" t="s">
        <v>669</v>
      </c>
      <c r="I19" s="1151"/>
      <c r="J19" s="1151"/>
      <c r="K19" s="1152"/>
      <c r="L19" s="956" t="s">
        <v>668</v>
      </c>
      <c r="M19" s="960"/>
      <c r="N19" s="960"/>
      <c r="O19" s="957"/>
    </row>
    <row r="20" spans="1:15" ht="15" customHeight="1">
      <c r="A20" s="837" t="s">
        <v>194</v>
      </c>
      <c r="B20" s="304" t="str">
        <f>B19</f>
        <v>N-1</v>
      </c>
      <c r="C20" s="828"/>
      <c r="D20" s="832"/>
      <c r="E20" s="359"/>
      <c r="F20" s="838">
        <f t="shared" si="0"/>
        <v>0</v>
      </c>
      <c r="H20" s="875" t="s">
        <v>667</v>
      </c>
      <c r="I20" s="876"/>
      <c r="J20" s="876"/>
      <c r="K20" s="877"/>
      <c r="L20" s="860" t="s">
        <v>684</v>
      </c>
      <c r="M20" s="861"/>
      <c r="N20" s="861"/>
      <c r="O20" s="874"/>
    </row>
    <row r="21" spans="1:15" ht="15" customHeight="1">
      <c r="A21" s="839" t="s">
        <v>195</v>
      </c>
      <c r="B21" s="726" t="str">
        <f>B20</f>
        <v>N-1</v>
      </c>
      <c r="C21" s="828"/>
      <c r="D21" s="832"/>
      <c r="E21" s="359"/>
      <c r="F21" s="840">
        <f t="shared" si="0"/>
        <v>0</v>
      </c>
      <c r="H21" s="875" t="s">
        <v>670</v>
      </c>
      <c r="I21" s="868"/>
      <c r="J21" s="868"/>
      <c r="K21" s="878"/>
      <c r="L21" s="860" t="s">
        <v>685</v>
      </c>
      <c r="M21" s="717"/>
      <c r="N21" s="717"/>
      <c r="O21" s="718"/>
    </row>
    <row r="22" spans="1:15" ht="15" customHeight="1">
      <c r="A22" s="837" t="s">
        <v>196</v>
      </c>
      <c r="B22" s="304" t="str">
        <f>B21</f>
        <v>N-1</v>
      </c>
      <c r="C22" s="828"/>
      <c r="D22" s="832"/>
      <c r="E22" s="359"/>
      <c r="F22" s="838">
        <f t="shared" si="0"/>
        <v>0</v>
      </c>
      <c r="H22" s="875" t="s">
        <v>671</v>
      </c>
      <c r="I22" s="868"/>
      <c r="J22" s="868"/>
      <c r="K22" s="878"/>
      <c r="L22" s="857" t="s">
        <v>686</v>
      </c>
      <c r="M22" s="717"/>
      <c r="N22" s="82"/>
      <c r="O22" s="332"/>
    </row>
    <row r="23" spans="1:15" ht="15" customHeight="1">
      <c r="A23" s="839" t="s">
        <v>197</v>
      </c>
      <c r="B23" s="726" t="str">
        <f>B22</f>
        <v>N-1</v>
      </c>
      <c r="C23" s="829"/>
      <c r="D23" s="833"/>
      <c r="E23" s="360"/>
      <c r="F23" s="840">
        <f t="shared" si="0"/>
        <v>0</v>
      </c>
      <c r="H23" s="875" t="s">
        <v>672</v>
      </c>
      <c r="I23" s="868"/>
      <c r="J23" s="868"/>
      <c r="K23" s="878"/>
      <c r="L23" s="860" t="s">
        <v>687</v>
      </c>
      <c r="M23" s="848"/>
      <c r="N23" s="82"/>
      <c r="O23" s="332"/>
    </row>
    <row r="24" spans="1:15" ht="15" customHeight="1">
      <c r="A24" s="305"/>
      <c r="B24" s="306"/>
      <c r="C24" s="307" t="s">
        <v>294</v>
      </c>
      <c r="D24" s="845"/>
      <c r="E24" s="325">
        <f>ROUNDUP(SUM(E12:E23),0)</f>
        <v>0</v>
      </c>
      <c r="F24" s="308">
        <f>SUM(F12:F23)</f>
        <v>0</v>
      </c>
      <c r="H24" s="879" t="s">
        <v>673</v>
      </c>
      <c r="I24" s="11"/>
      <c r="J24" s="11"/>
      <c r="K24" s="880"/>
      <c r="L24" s="857" t="s">
        <v>688</v>
      </c>
      <c r="M24" s="82"/>
      <c r="N24" s="82"/>
      <c r="O24" s="332"/>
    </row>
    <row r="25" spans="1:15" ht="15" customHeight="1">
      <c r="A25" s="1125" t="s">
        <v>348</v>
      </c>
      <c r="B25" s="1126"/>
      <c r="C25" s="1126"/>
      <c r="D25" s="1126"/>
      <c r="E25" s="1126"/>
      <c r="F25" s="324">
        <f>F24/10</f>
        <v>0</v>
      </c>
      <c r="H25" s="339"/>
      <c r="I25" s="881" t="s">
        <v>674</v>
      </c>
      <c r="J25" s="11"/>
      <c r="K25" s="880"/>
      <c r="L25" s="858" t="s">
        <v>689</v>
      </c>
      <c r="M25" s="82"/>
      <c r="N25" s="82"/>
      <c r="O25" s="332"/>
    </row>
    <row r="26" spans="1:15" ht="15" customHeight="1">
      <c r="A26" s="1107" t="s">
        <v>659</v>
      </c>
      <c r="B26" s="1108"/>
      <c r="C26" s="826"/>
      <c r="D26" s="1135" t="s">
        <v>660</v>
      </c>
      <c r="E26" s="1108"/>
      <c r="F26" s="825">
        <f>F25-C26</f>
        <v>0</v>
      </c>
      <c r="H26" s="339"/>
      <c r="I26" s="881" t="s">
        <v>675</v>
      </c>
      <c r="J26" s="11"/>
      <c r="K26" s="880"/>
      <c r="L26" s="331"/>
      <c r="M26" s="861" t="s">
        <v>690</v>
      </c>
      <c r="N26" s="82"/>
      <c r="O26" s="332"/>
    </row>
    <row r="27" spans="1:15" ht="15" customHeight="1">
      <c r="A27" s="834"/>
      <c r="B27" s="82"/>
      <c r="C27" s="82"/>
      <c r="D27" s="82"/>
      <c r="E27" s="82"/>
      <c r="F27" s="297"/>
      <c r="H27" s="339"/>
      <c r="I27" s="882" t="s">
        <v>676</v>
      </c>
      <c r="J27" s="883"/>
      <c r="K27" s="884"/>
      <c r="L27" s="331"/>
      <c r="M27" s="861" t="s">
        <v>691</v>
      </c>
      <c r="N27" s="82"/>
      <c r="O27" s="332"/>
    </row>
    <row r="28" spans="1:15" ht="15" customHeight="1">
      <c r="A28" s="1115" t="s">
        <v>352</v>
      </c>
      <c r="B28" s="1116"/>
      <c r="C28" s="1116"/>
      <c r="D28" s="1116"/>
      <c r="E28" s="1116"/>
      <c r="F28" s="1117"/>
      <c r="H28" s="339"/>
      <c r="I28" s="882" t="s">
        <v>683</v>
      </c>
      <c r="J28" s="883"/>
      <c r="K28" s="884"/>
      <c r="L28" s="331"/>
      <c r="M28" s="853" t="s">
        <v>692</v>
      </c>
      <c r="N28" s="82"/>
      <c r="O28" s="332"/>
    </row>
    <row r="29" spans="1:15">
      <c r="A29" s="1118" t="s">
        <v>349</v>
      </c>
      <c r="B29" s="1119"/>
      <c r="C29" s="295" t="s">
        <v>5</v>
      </c>
      <c r="D29" s="870" t="s">
        <v>346</v>
      </c>
      <c r="E29" s="873" t="s">
        <v>701</v>
      </c>
      <c r="F29" s="841" t="s">
        <v>351</v>
      </c>
      <c r="H29" s="879" t="s">
        <v>677</v>
      </c>
      <c r="I29" s="11"/>
      <c r="J29" s="11"/>
      <c r="K29" s="880"/>
      <c r="L29" s="331"/>
      <c r="M29" s="862" t="s">
        <v>693</v>
      </c>
      <c r="N29" s="82"/>
      <c r="O29" s="332"/>
    </row>
    <row r="30" spans="1:15">
      <c r="A30" s="361"/>
      <c r="B30" s="843"/>
      <c r="C30" s="844"/>
      <c r="D30" s="872"/>
      <c r="E30" s="871"/>
      <c r="F30" s="326">
        <f>(C30+D30)*MIN(E24-E30,C6)/26</f>
        <v>0</v>
      </c>
      <c r="H30" s="339"/>
      <c r="I30" s="882" t="s">
        <v>678</v>
      </c>
      <c r="J30" s="883"/>
      <c r="K30" s="884"/>
      <c r="L30" s="857" t="s">
        <v>694</v>
      </c>
      <c r="M30" s="82"/>
      <c r="N30" s="82"/>
      <c r="O30" s="332"/>
    </row>
    <row r="31" spans="1:15" ht="15" customHeight="1">
      <c r="A31" s="834"/>
      <c r="B31" s="82"/>
      <c r="C31" s="82"/>
      <c r="D31" s="82"/>
      <c r="E31" s="82"/>
      <c r="F31" s="297"/>
      <c r="H31" s="339"/>
      <c r="I31" s="885" t="s">
        <v>679</v>
      </c>
      <c r="J31" s="886"/>
      <c r="K31" s="887"/>
      <c r="L31" s="857" t="s">
        <v>695</v>
      </c>
      <c r="M31" s="82"/>
      <c r="N31" s="82"/>
      <c r="O31" s="332"/>
    </row>
    <row r="32" spans="1:15">
      <c r="A32" s="1128" t="s">
        <v>643</v>
      </c>
      <c r="B32" s="1129"/>
      <c r="C32" s="1129"/>
      <c r="D32" s="1129"/>
      <c r="E32" s="1129"/>
      <c r="F32" s="842">
        <f>MAX(F26,F30)</f>
        <v>0</v>
      </c>
      <c r="H32" s="339"/>
      <c r="I32" s="888" t="s">
        <v>680</v>
      </c>
      <c r="J32" s="889"/>
      <c r="K32" s="890"/>
      <c r="L32" s="857" t="s">
        <v>696</v>
      </c>
      <c r="M32" s="82"/>
      <c r="N32" s="82"/>
      <c r="O32" s="332"/>
    </row>
    <row r="33" spans="1:15" ht="15" customHeight="1">
      <c r="H33" s="339"/>
      <c r="I33" s="885" t="s">
        <v>681</v>
      </c>
      <c r="J33" s="886"/>
      <c r="K33" s="887"/>
      <c r="L33" s="858" t="s">
        <v>697</v>
      </c>
      <c r="M33" s="717"/>
      <c r="N33" s="82"/>
      <c r="O33" s="332"/>
    </row>
    <row r="34" spans="1:15" ht="18.75">
      <c r="A34" s="1133" t="s">
        <v>665</v>
      </c>
      <c r="B34" s="1134"/>
      <c r="C34" s="1134"/>
      <c r="D34" s="1134"/>
      <c r="E34" s="1120"/>
      <c r="F34" s="1121"/>
      <c r="H34" s="339"/>
      <c r="I34" s="885" t="s">
        <v>682</v>
      </c>
      <c r="J34" s="886"/>
      <c r="K34" s="887"/>
      <c r="L34" s="863" t="s">
        <v>698</v>
      </c>
      <c r="M34" s="717"/>
      <c r="N34" s="82"/>
      <c r="O34" s="332"/>
    </row>
    <row r="35" spans="1:15">
      <c r="A35" s="834"/>
      <c r="B35" s="82"/>
      <c r="C35" s="82"/>
      <c r="D35" s="82"/>
      <c r="E35" s="82"/>
      <c r="F35" s="297"/>
      <c r="H35" s="1153"/>
      <c r="I35" s="1154"/>
      <c r="J35" s="1154"/>
      <c r="K35" s="1155"/>
      <c r="L35" s="864" t="s">
        <v>699</v>
      </c>
      <c r="M35" s="717"/>
      <c r="N35" s="82"/>
      <c r="O35" s="332"/>
    </row>
    <row r="36" spans="1:15" ht="15.75" hidden="1">
      <c r="A36" s="1122" t="s">
        <v>664</v>
      </c>
      <c r="B36" s="1123"/>
      <c r="C36" s="1123"/>
      <c r="D36" s="1123"/>
      <c r="E36" s="1123"/>
      <c r="F36" s="1124"/>
      <c r="G36" s="893"/>
      <c r="H36" s="892"/>
      <c r="I36" s="891"/>
      <c r="J36" s="891"/>
      <c r="K36" s="846"/>
      <c r="L36" s="859" t="s">
        <v>700</v>
      </c>
      <c r="M36" s="336"/>
      <c r="N36" s="336"/>
      <c r="O36" s="856"/>
    </row>
    <row r="37" spans="1:15" hidden="1">
      <c r="A37" s="293" t="s">
        <v>52</v>
      </c>
      <c r="B37" s="294" t="s">
        <v>325</v>
      </c>
      <c r="C37" s="295" t="s">
        <v>5</v>
      </c>
      <c r="D37" s="295" t="s">
        <v>346</v>
      </c>
      <c r="E37" s="295" t="s">
        <v>663</v>
      </c>
      <c r="F37" s="296" t="s">
        <v>294</v>
      </c>
      <c r="G37" s="332"/>
    </row>
    <row r="38" spans="1:15" hidden="1">
      <c r="A38" s="303" t="s">
        <v>198</v>
      </c>
      <c r="B38" s="304" t="str">
        <f>B23</f>
        <v>N-1</v>
      </c>
      <c r="C38" s="828"/>
      <c r="D38" s="832"/>
      <c r="E38" s="359"/>
      <c r="F38" s="309">
        <f t="shared" ref="F38:F49" si="2">SUM(C38:C38)</f>
        <v>0</v>
      </c>
      <c r="G38" s="332"/>
      <c r="H38" s="82"/>
    </row>
    <row r="39" spans="1:15" hidden="1">
      <c r="A39" s="321" t="s">
        <v>199</v>
      </c>
      <c r="B39" s="298" t="str">
        <f t="shared" ref="B39:B44" si="3">B38</f>
        <v>N-1</v>
      </c>
      <c r="C39" s="828"/>
      <c r="D39" s="832"/>
      <c r="E39" s="359"/>
      <c r="F39" s="322">
        <f t="shared" si="2"/>
        <v>0</v>
      </c>
      <c r="G39" s="332"/>
      <c r="H39" s="11"/>
      <c r="I39" s="82"/>
      <c r="J39" s="82"/>
      <c r="K39" s="82"/>
      <c r="L39" s="82"/>
      <c r="M39" s="82"/>
      <c r="N39" s="82"/>
    </row>
    <row r="40" spans="1:15" hidden="1">
      <c r="A40" s="303" t="s">
        <v>200</v>
      </c>
      <c r="B40" s="304" t="str">
        <f t="shared" si="3"/>
        <v>N-1</v>
      </c>
      <c r="C40" s="828"/>
      <c r="D40" s="832"/>
      <c r="E40" s="359"/>
      <c r="F40" s="309">
        <f t="shared" si="2"/>
        <v>0</v>
      </c>
      <c r="G40" s="332"/>
      <c r="H40" s="847"/>
      <c r="I40" s="82"/>
      <c r="J40" s="82"/>
      <c r="K40" s="82"/>
      <c r="L40" s="82"/>
      <c r="M40" s="82"/>
      <c r="N40" s="82"/>
    </row>
    <row r="41" spans="1:15" hidden="1">
      <c r="A41" s="321" t="s">
        <v>201</v>
      </c>
      <c r="B41" s="298" t="str">
        <f t="shared" si="3"/>
        <v>N-1</v>
      </c>
      <c r="C41" s="828"/>
      <c r="D41" s="832"/>
      <c r="E41" s="359"/>
      <c r="F41" s="322">
        <f t="shared" si="2"/>
        <v>0</v>
      </c>
      <c r="G41" s="332"/>
      <c r="H41" s="847"/>
      <c r="I41" s="82"/>
      <c r="J41" s="82"/>
      <c r="K41" s="82"/>
      <c r="L41" s="82"/>
      <c r="M41" s="82"/>
      <c r="N41" s="82"/>
    </row>
    <row r="42" spans="1:15" hidden="1">
      <c r="A42" s="303" t="s">
        <v>202</v>
      </c>
      <c r="B42" s="304" t="str">
        <f t="shared" si="3"/>
        <v>N-1</v>
      </c>
      <c r="C42" s="828"/>
      <c r="D42" s="832"/>
      <c r="E42" s="359"/>
      <c r="F42" s="309">
        <f t="shared" si="2"/>
        <v>0</v>
      </c>
      <c r="G42" s="332"/>
      <c r="H42" s="847"/>
      <c r="I42" s="82"/>
      <c r="J42" s="82"/>
      <c r="K42" s="82"/>
      <c r="L42" s="82"/>
      <c r="M42" s="717"/>
      <c r="N42" s="82"/>
    </row>
    <row r="43" spans="1:15" hidden="1">
      <c r="A43" s="321" t="s">
        <v>203</v>
      </c>
      <c r="B43" s="298" t="str">
        <f t="shared" si="3"/>
        <v>N-1</v>
      </c>
      <c r="C43" s="828"/>
      <c r="D43" s="832"/>
      <c r="E43" s="359"/>
      <c r="F43" s="322">
        <f t="shared" si="2"/>
        <v>0</v>
      </c>
      <c r="G43" s="332"/>
      <c r="H43" s="847"/>
      <c r="I43" s="82"/>
      <c r="J43" s="82"/>
      <c r="K43" s="82"/>
      <c r="L43" s="82"/>
      <c r="M43" s="82"/>
      <c r="N43" s="82"/>
    </row>
    <row r="44" spans="1:15" hidden="1">
      <c r="A44" s="303" t="s">
        <v>204</v>
      </c>
      <c r="B44" s="304" t="str">
        <f t="shared" si="3"/>
        <v>N-1</v>
      </c>
      <c r="C44" s="828"/>
      <c r="D44" s="832"/>
      <c r="E44" s="359"/>
      <c r="F44" s="309">
        <f t="shared" si="2"/>
        <v>0</v>
      </c>
      <c r="G44" s="332"/>
      <c r="H44" s="868" t="s">
        <v>702</v>
      </c>
      <c r="I44" s="82"/>
      <c r="J44" s="82"/>
      <c r="K44" s="82"/>
      <c r="L44" s="82"/>
      <c r="M44" s="82"/>
      <c r="N44" s="82"/>
    </row>
    <row r="45" spans="1:15" hidden="1">
      <c r="A45" s="321" t="s">
        <v>193</v>
      </c>
      <c r="B45" s="298" t="str">
        <f>IF(B44="N-1","N",B44+1)</f>
        <v>N</v>
      </c>
      <c r="C45" s="828"/>
      <c r="D45" s="832"/>
      <c r="E45" s="359"/>
      <c r="F45" s="322">
        <f t="shared" si="2"/>
        <v>0</v>
      </c>
      <c r="G45" s="332"/>
      <c r="H45" s="847"/>
      <c r="I45" s="82"/>
      <c r="J45" s="82"/>
      <c r="K45" s="82"/>
      <c r="L45" s="82"/>
      <c r="M45" s="82"/>
      <c r="N45" s="82"/>
    </row>
    <row r="46" spans="1:15" ht="15" hidden="1" customHeight="1">
      <c r="A46" s="303" t="s">
        <v>194</v>
      </c>
      <c r="B46" s="304" t="str">
        <f>B45</f>
        <v>N</v>
      </c>
      <c r="C46" s="828"/>
      <c r="D46" s="832"/>
      <c r="E46" s="359"/>
      <c r="F46" s="309">
        <f t="shared" si="2"/>
        <v>0</v>
      </c>
      <c r="G46" s="332"/>
      <c r="H46" s="847"/>
      <c r="I46" s="82"/>
      <c r="J46" s="82"/>
      <c r="K46" s="82"/>
      <c r="L46" s="82"/>
      <c r="M46" s="82"/>
      <c r="N46" s="82"/>
    </row>
    <row r="47" spans="1:15" hidden="1">
      <c r="A47" s="321" t="s">
        <v>195</v>
      </c>
      <c r="B47" s="726" t="str">
        <f>B46</f>
        <v>N</v>
      </c>
      <c r="C47" s="828"/>
      <c r="D47" s="832"/>
      <c r="E47" s="359"/>
      <c r="F47" s="322">
        <f t="shared" si="2"/>
        <v>0</v>
      </c>
      <c r="G47" s="332"/>
      <c r="H47" s="847"/>
      <c r="I47" s="82"/>
      <c r="J47" s="82"/>
      <c r="K47" s="82"/>
      <c r="L47" s="82"/>
      <c r="M47" s="717"/>
      <c r="N47" s="82"/>
    </row>
    <row r="48" spans="1:15" hidden="1">
      <c r="A48" s="303" t="s">
        <v>196</v>
      </c>
      <c r="B48" s="304" t="str">
        <f>B47</f>
        <v>N</v>
      </c>
      <c r="C48" s="828"/>
      <c r="D48" s="832"/>
      <c r="E48" s="359"/>
      <c r="F48" s="309">
        <f t="shared" si="2"/>
        <v>0</v>
      </c>
      <c r="G48" s="332"/>
      <c r="H48" s="847"/>
      <c r="I48" s="82"/>
      <c r="J48" s="82"/>
      <c r="K48" s="82"/>
      <c r="L48" s="82"/>
      <c r="M48" s="82"/>
      <c r="N48" s="82"/>
    </row>
    <row r="49" spans="1:14" hidden="1">
      <c r="A49" s="321" t="s">
        <v>197</v>
      </c>
      <c r="B49" s="726" t="str">
        <f>B48</f>
        <v>N</v>
      </c>
      <c r="C49" s="830"/>
      <c r="D49" s="832"/>
      <c r="E49" s="360"/>
      <c r="F49" s="322">
        <f t="shared" si="2"/>
        <v>0</v>
      </c>
      <c r="G49" s="332"/>
      <c r="H49" s="847"/>
      <c r="I49" s="82"/>
      <c r="J49" s="82"/>
      <c r="K49" s="82"/>
      <c r="L49" s="82"/>
      <c r="M49" s="717"/>
      <c r="N49" s="82"/>
    </row>
    <row r="50" spans="1:14" hidden="1">
      <c r="A50" s="305"/>
      <c r="B50" s="306"/>
      <c r="C50" s="307"/>
      <c r="D50" s="831"/>
      <c r="E50" s="325">
        <f>ROUNDUP(SUM(E38:E49),0)</f>
        <v>0</v>
      </c>
      <c r="F50" s="308">
        <f>SUM(F38:F49)</f>
        <v>0</v>
      </c>
      <c r="G50" s="332"/>
      <c r="H50" s="847"/>
      <c r="I50" s="82"/>
      <c r="J50" s="82"/>
      <c r="K50" s="82"/>
      <c r="L50" s="82"/>
      <c r="M50" s="82"/>
      <c r="N50" s="82"/>
    </row>
    <row r="51" spans="1:14" hidden="1">
      <c r="A51" s="1125" t="s">
        <v>348</v>
      </c>
      <c r="B51" s="1126"/>
      <c r="C51" s="1126"/>
      <c r="D51" s="1126"/>
      <c r="E51" s="1126"/>
      <c r="F51" s="324">
        <f>F50/10</f>
        <v>0</v>
      </c>
      <c r="G51" s="332"/>
      <c r="H51" s="847"/>
      <c r="I51" s="82"/>
      <c r="J51" s="82"/>
      <c r="K51" s="82"/>
      <c r="L51" s="82"/>
      <c r="M51" s="82"/>
      <c r="N51" s="82"/>
    </row>
    <row r="52" spans="1:14" hidden="1">
      <c r="G52" s="332"/>
      <c r="H52" s="847"/>
      <c r="I52" s="82"/>
      <c r="J52" s="82"/>
      <c r="K52" s="82"/>
      <c r="L52" s="82"/>
      <c r="M52" s="717"/>
      <c r="N52" s="82"/>
    </row>
    <row r="53" spans="1:14" ht="15" hidden="1" customHeight="1">
      <c r="A53" s="1109" t="s">
        <v>642</v>
      </c>
      <c r="B53" s="1110"/>
      <c r="C53" s="1110"/>
      <c r="D53" s="1110"/>
      <c r="E53" s="1110"/>
      <c r="F53" s="794">
        <f>IF(E50=0,0,F51/E50*MAX(C6-(E24-E30),0))</f>
        <v>0</v>
      </c>
      <c r="G53" s="856"/>
      <c r="H53" s="849"/>
      <c r="I53" s="850"/>
      <c r="J53" s="82"/>
      <c r="K53" s="82"/>
      <c r="L53" s="11"/>
      <c r="M53" s="82"/>
      <c r="N53" s="82"/>
    </row>
    <row r="54" spans="1:14" hidden="1">
      <c r="H54" s="847"/>
      <c r="I54" s="82"/>
      <c r="J54" s="82"/>
      <c r="K54" s="82"/>
      <c r="L54" s="82"/>
      <c r="M54" s="82"/>
      <c r="N54" s="82"/>
    </row>
    <row r="55" spans="1:14">
      <c r="A55" s="1139" t="s">
        <v>352</v>
      </c>
      <c r="B55" s="1140"/>
      <c r="C55" s="1140"/>
      <c r="D55" s="1140"/>
      <c r="E55" s="1140"/>
      <c r="F55" s="1141"/>
      <c r="H55" s="847"/>
      <c r="I55" s="82"/>
      <c r="J55" s="82"/>
      <c r="K55" s="82"/>
      <c r="L55" s="82"/>
      <c r="M55" s="82"/>
      <c r="N55" s="82"/>
    </row>
    <row r="56" spans="1:14">
      <c r="A56" s="1138" t="s">
        <v>349</v>
      </c>
      <c r="B56" s="1119"/>
      <c r="C56" s="295" t="s">
        <v>5</v>
      </c>
      <c r="D56" s="1142" t="s">
        <v>346</v>
      </c>
      <c r="E56" s="1142"/>
      <c r="F56" s="323" t="s">
        <v>351</v>
      </c>
      <c r="H56" s="847"/>
      <c r="I56" s="82"/>
      <c r="J56" s="82"/>
      <c r="K56" s="82"/>
      <c r="L56" s="82"/>
      <c r="M56" s="82"/>
      <c r="N56" s="82"/>
    </row>
    <row r="57" spans="1:14">
      <c r="A57" s="361"/>
      <c r="B57" s="362"/>
      <c r="C57" s="867"/>
      <c r="D57" s="1127"/>
      <c r="E57" s="1127"/>
      <c r="F57" s="326">
        <f>(C57+D57)*MAX(0,(C6-(E24-E30)))/26</f>
        <v>0</v>
      </c>
      <c r="H57" s="869"/>
      <c r="I57" s="82"/>
      <c r="J57" s="82"/>
      <c r="K57" s="82"/>
      <c r="L57" s="82"/>
      <c r="M57" s="82"/>
      <c r="N57" s="82"/>
    </row>
    <row r="58" spans="1:14">
      <c r="A58" s="894"/>
      <c r="B58" s="895"/>
      <c r="C58" s="895"/>
      <c r="D58" s="895"/>
      <c r="E58" s="895"/>
      <c r="F58" s="896"/>
      <c r="H58" s="847"/>
      <c r="I58" s="82"/>
      <c r="J58" s="82"/>
      <c r="K58" s="82"/>
      <c r="L58" s="82"/>
      <c r="M58" s="82"/>
      <c r="N58" s="82"/>
    </row>
    <row r="59" spans="1:14">
      <c r="A59" s="1109" t="s">
        <v>643</v>
      </c>
      <c r="B59" s="1110"/>
      <c r="C59" s="1110"/>
      <c r="D59" s="1110"/>
      <c r="E59" s="1110"/>
      <c r="F59" s="283">
        <f>MAX(F53,F57)</f>
        <v>0</v>
      </c>
      <c r="H59" s="847"/>
      <c r="I59" s="82"/>
      <c r="J59" s="82"/>
      <c r="K59" s="82"/>
      <c r="L59" s="82"/>
      <c r="M59" s="82"/>
      <c r="N59" s="82"/>
    </row>
    <row r="60" spans="1:14" ht="15" customHeight="1">
      <c r="H60" s="850"/>
      <c r="I60" s="82"/>
      <c r="J60" s="82"/>
      <c r="K60" s="82"/>
      <c r="L60" s="82"/>
      <c r="M60" s="82"/>
    </row>
  </sheetData>
  <mergeCells count="28">
    <mergeCell ref="H8:O8"/>
    <mergeCell ref="H17:O18"/>
    <mergeCell ref="H19:K19"/>
    <mergeCell ref="L19:O19"/>
    <mergeCell ref="H35:K35"/>
    <mergeCell ref="D26:E26"/>
    <mergeCell ref="C6:D6"/>
    <mergeCell ref="A56:B56"/>
    <mergeCell ref="A55:F55"/>
    <mergeCell ref="D56:E56"/>
    <mergeCell ref="A51:E51"/>
    <mergeCell ref="A53:E53"/>
    <mergeCell ref="A59:E59"/>
    <mergeCell ref="A1:F1"/>
    <mergeCell ref="A28:F28"/>
    <mergeCell ref="A29:B29"/>
    <mergeCell ref="E8:F8"/>
    <mergeCell ref="A36:F36"/>
    <mergeCell ref="A10:F10"/>
    <mergeCell ref="A25:E25"/>
    <mergeCell ref="D57:E57"/>
    <mergeCell ref="A32:E32"/>
    <mergeCell ref="C4:D4"/>
    <mergeCell ref="C5:D5"/>
    <mergeCell ref="A8:D8"/>
    <mergeCell ref="A34:D34"/>
    <mergeCell ref="E34:F34"/>
    <mergeCell ref="A26:B26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&amp;LEmmanuel ESNAULT&amp;R&amp;D</oddHeader>
  </headerFooter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23">
    <tabColor theme="7" tint="-0.499984740745262"/>
    <pageSetUpPr fitToPage="1"/>
  </sheetPr>
  <dimension ref="A1:O60"/>
  <sheetViews>
    <sheetView workbookViewId="0">
      <selection activeCell="I5" sqref="I5:J5"/>
    </sheetView>
  </sheetViews>
  <sheetFormatPr baseColWidth="10" defaultRowHeight="15"/>
  <cols>
    <col min="1" max="1" width="12.7109375" customWidth="1"/>
    <col min="3" max="3" width="14.28515625" bestFit="1" customWidth="1"/>
    <col min="4" max="4" width="12.42578125" customWidth="1"/>
    <col min="5" max="5" width="11.5703125" bestFit="1" customWidth="1"/>
    <col min="6" max="6" width="16.28515625" customWidth="1"/>
    <col min="7" max="7" width="1.7109375" customWidth="1"/>
    <col min="8" max="8" width="13.7109375" customWidth="1"/>
    <col min="13" max="13" width="11.42578125" customWidth="1"/>
  </cols>
  <sheetData>
    <row r="1" spans="1:15" ht="26.25">
      <c r="A1" s="1069" t="s">
        <v>655</v>
      </c>
      <c r="B1" s="1069"/>
      <c r="C1" s="1069"/>
      <c r="D1" s="1069"/>
      <c r="E1" s="1069"/>
      <c r="F1" s="1069"/>
      <c r="G1" s="327"/>
    </row>
    <row r="4" spans="1:15">
      <c r="A4" s="220" t="s">
        <v>62</v>
      </c>
      <c r="B4" s="242" t="s">
        <v>268</v>
      </c>
      <c r="C4" s="1072"/>
      <c r="D4" s="1073"/>
    </row>
    <row r="5" spans="1:15">
      <c r="B5" s="243" t="s">
        <v>147</v>
      </c>
      <c r="C5" s="1072"/>
      <c r="D5" s="1073"/>
    </row>
    <row r="7" spans="1:15" ht="18.75">
      <c r="A7" s="1133" t="s">
        <v>703</v>
      </c>
      <c r="B7" s="1134"/>
      <c r="C7" s="1134"/>
      <c r="D7" s="1134"/>
      <c r="E7" s="1120"/>
      <c r="F7" s="1121"/>
      <c r="H7" s="1143" t="s">
        <v>339</v>
      </c>
      <c r="I7" s="1143"/>
      <c r="J7" s="1143"/>
      <c r="K7" s="1143"/>
      <c r="L7" s="1143"/>
      <c r="M7" s="1143"/>
      <c r="N7" s="793"/>
    </row>
    <row r="8" spans="1:15">
      <c r="A8" s="834"/>
      <c r="B8" s="82"/>
      <c r="C8" s="82"/>
      <c r="D8" s="82"/>
      <c r="E8" s="82"/>
      <c r="F8" s="297"/>
      <c r="H8" s="319" t="s">
        <v>338</v>
      </c>
    </row>
    <row r="9" spans="1:15" ht="15.75">
      <c r="A9" s="1122" t="s">
        <v>664</v>
      </c>
      <c r="B9" s="1123"/>
      <c r="C9" s="1123"/>
      <c r="D9" s="1123"/>
      <c r="E9" s="1123"/>
      <c r="F9" s="1124"/>
      <c r="H9" t="s">
        <v>340</v>
      </c>
    </row>
    <row r="10" spans="1:15" ht="15" customHeight="1">
      <c r="A10" s="293" t="s">
        <v>52</v>
      </c>
      <c r="B10" s="294" t="s">
        <v>325</v>
      </c>
      <c r="C10" s="295" t="s">
        <v>5</v>
      </c>
      <c r="D10" s="295" t="s">
        <v>346</v>
      </c>
      <c r="E10" s="295" t="s">
        <v>347</v>
      </c>
      <c r="F10" s="296" t="s">
        <v>294</v>
      </c>
      <c r="H10" t="s">
        <v>341</v>
      </c>
    </row>
    <row r="11" spans="1:15">
      <c r="A11" s="303" t="s">
        <v>198</v>
      </c>
      <c r="B11" s="865" t="s">
        <v>345</v>
      </c>
      <c r="C11" s="832"/>
      <c r="D11" s="832"/>
      <c r="E11" s="926"/>
      <c r="F11" s="309">
        <f>SUM(C11:D11)</f>
        <v>0</v>
      </c>
    </row>
    <row r="12" spans="1:15">
      <c r="A12" s="321" t="s">
        <v>199</v>
      </c>
      <c r="B12" s="298" t="str">
        <f t="shared" ref="B12:B17" si="0">B11</f>
        <v>N-2</v>
      </c>
      <c r="C12" s="828"/>
      <c r="D12" s="832"/>
      <c r="E12" s="926"/>
      <c r="F12" s="322">
        <f t="shared" ref="F12:F22" si="1">SUM(C12:D12)</f>
        <v>0</v>
      </c>
      <c r="H12" s="319" t="s">
        <v>342</v>
      </c>
    </row>
    <row r="13" spans="1:15">
      <c r="A13" s="303" t="s">
        <v>200</v>
      </c>
      <c r="B13" s="304" t="str">
        <f t="shared" si="0"/>
        <v>N-2</v>
      </c>
      <c r="C13" s="828"/>
      <c r="D13" s="832"/>
      <c r="E13" s="926"/>
      <c r="F13" s="309">
        <f t="shared" si="1"/>
        <v>0</v>
      </c>
      <c r="H13" t="s">
        <v>343</v>
      </c>
    </row>
    <row r="14" spans="1:15">
      <c r="A14" s="321" t="s">
        <v>201</v>
      </c>
      <c r="B14" s="298" t="str">
        <f t="shared" si="0"/>
        <v>N-2</v>
      </c>
      <c r="C14" s="828"/>
      <c r="D14" s="832"/>
      <c r="E14" s="926"/>
      <c r="F14" s="322">
        <f t="shared" si="1"/>
        <v>0</v>
      </c>
      <c r="H14" t="s">
        <v>387</v>
      </c>
    </row>
    <row r="15" spans="1:15">
      <c r="A15" s="303" t="s">
        <v>202</v>
      </c>
      <c r="B15" s="304" t="str">
        <f t="shared" si="0"/>
        <v>N-2</v>
      </c>
      <c r="C15" s="828"/>
      <c r="D15" s="832"/>
      <c r="E15" s="926"/>
      <c r="F15" s="309">
        <f t="shared" si="1"/>
        <v>0</v>
      </c>
    </row>
    <row r="16" spans="1:15" ht="15" customHeight="1">
      <c r="A16" s="321" t="s">
        <v>203</v>
      </c>
      <c r="B16" s="298" t="str">
        <f t="shared" si="0"/>
        <v>N-2</v>
      </c>
      <c r="C16" s="828"/>
      <c r="D16" s="832"/>
      <c r="E16" s="926"/>
      <c r="F16" s="322">
        <f t="shared" si="1"/>
        <v>0</v>
      </c>
      <c r="H16" s="1144" t="s">
        <v>666</v>
      </c>
      <c r="I16" s="1145"/>
      <c r="J16" s="1145"/>
      <c r="K16" s="1145"/>
      <c r="L16" s="1145"/>
      <c r="M16" s="1145"/>
      <c r="N16" s="1145"/>
      <c r="O16" s="1146"/>
    </row>
    <row r="17" spans="1:15" ht="15" customHeight="1">
      <c r="A17" s="303" t="s">
        <v>204</v>
      </c>
      <c r="B17" s="304" t="str">
        <f t="shared" si="0"/>
        <v>N-2</v>
      </c>
      <c r="C17" s="828"/>
      <c r="D17" s="832"/>
      <c r="E17" s="926"/>
      <c r="F17" s="309">
        <f t="shared" si="1"/>
        <v>0</v>
      </c>
      <c r="H17" s="1147"/>
      <c r="I17" s="1148"/>
      <c r="J17" s="1148"/>
      <c r="K17" s="1148"/>
      <c r="L17" s="1148"/>
      <c r="M17" s="1148"/>
      <c r="N17" s="1148"/>
      <c r="O17" s="1149"/>
    </row>
    <row r="18" spans="1:15" ht="15" customHeight="1">
      <c r="A18" s="321" t="s">
        <v>193</v>
      </c>
      <c r="B18" s="298" t="str">
        <f>IF(B17="N-2","N-1",B17+1)</f>
        <v>N-1</v>
      </c>
      <c r="C18" s="828"/>
      <c r="D18" s="832"/>
      <c r="E18" s="926"/>
      <c r="F18" s="322">
        <f t="shared" si="1"/>
        <v>0</v>
      </c>
      <c r="H18" s="1150" t="s">
        <v>669</v>
      </c>
      <c r="I18" s="1151"/>
      <c r="J18" s="1151"/>
      <c r="K18" s="1152"/>
      <c r="L18" s="956" t="s">
        <v>668</v>
      </c>
      <c r="M18" s="960"/>
      <c r="N18" s="960"/>
      <c r="O18" s="957"/>
    </row>
    <row r="19" spans="1:15">
      <c r="A19" s="303" t="s">
        <v>194</v>
      </c>
      <c r="B19" s="304" t="str">
        <f>B18</f>
        <v>N-1</v>
      </c>
      <c r="C19" s="828"/>
      <c r="D19" s="832"/>
      <c r="E19" s="926"/>
      <c r="F19" s="309">
        <f t="shared" si="1"/>
        <v>0</v>
      </c>
      <c r="H19" s="1175" t="s">
        <v>667</v>
      </c>
      <c r="I19" s="1176"/>
      <c r="J19" s="1176"/>
      <c r="K19" s="1177"/>
      <c r="L19" s="1178" t="s">
        <v>684</v>
      </c>
      <c r="M19" s="1179"/>
      <c r="N19" s="1179"/>
      <c r="O19" s="1180"/>
    </row>
    <row r="20" spans="1:15">
      <c r="A20" s="321" t="s">
        <v>195</v>
      </c>
      <c r="B20" s="726" t="str">
        <f>B19</f>
        <v>N-1</v>
      </c>
      <c r="C20" s="828"/>
      <c r="D20" s="832"/>
      <c r="E20" s="926"/>
      <c r="F20" s="322">
        <f t="shared" si="1"/>
        <v>0</v>
      </c>
      <c r="H20" s="1175" t="s">
        <v>670</v>
      </c>
      <c r="I20" s="1181"/>
      <c r="J20" s="1181"/>
      <c r="K20" s="1182"/>
      <c r="L20" s="1178" t="s">
        <v>685</v>
      </c>
      <c r="M20" s="1183"/>
      <c r="N20" s="1183"/>
      <c r="O20" s="1184"/>
    </row>
    <row r="21" spans="1:15">
      <c r="A21" s="303" t="s">
        <v>196</v>
      </c>
      <c r="B21" s="304" t="str">
        <f>B20</f>
        <v>N-1</v>
      </c>
      <c r="C21" s="828"/>
      <c r="D21" s="832"/>
      <c r="E21" s="926"/>
      <c r="F21" s="309">
        <f t="shared" si="1"/>
        <v>0</v>
      </c>
      <c r="H21" s="1175" t="s">
        <v>671</v>
      </c>
      <c r="I21" s="1181"/>
      <c r="J21" s="1181"/>
      <c r="K21" s="1182"/>
      <c r="L21" s="857" t="s">
        <v>686</v>
      </c>
      <c r="M21" s="717"/>
      <c r="N21" s="82"/>
      <c r="O21" s="332"/>
    </row>
    <row r="22" spans="1:15">
      <c r="A22" s="321" t="s">
        <v>197</v>
      </c>
      <c r="B22" s="726" t="str">
        <f>B21</f>
        <v>N-1</v>
      </c>
      <c r="C22" s="829"/>
      <c r="D22" s="833"/>
      <c r="E22" s="927"/>
      <c r="F22" s="322">
        <f t="shared" si="1"/>
        <v>0</v>
      </c>
      <c r="H22" s="1175" t="s">
        <v>672</v>
      </c>
      <c r="I22" s="1181"/>
      <c r="J22" s="1181"/>
      <c r="K22" s="1182"/>
      <c r="L22" s="860" t="s">
        <v>687</v>
      </c>
      <c r="M22" s="848"/>
      <c r="N22" s="82"/>
      <c r="O22" s="332"/>
    </row>
    <row r="23" spans="1:15">
      <c r="A23" s="305"/>
      <c r="B23" s="306"/>
      <c r="C23" s="307"/>
      <c r="D23" s="312" t="s">
        <v>353</v>
      </c>
      <c r="E23" s="325">
        <f>ROUNDUP(SUM(E11:E22),0)</f>
        <v>0</v>
      </c>
      <c r="F23" s="308">
        <f>SUM(F11:F22)</f>
        <v>0</v>
      </c>
      <c r="H23" s="1185" t="s">
        <v>673</v>
      </c>
      <c r="I23" s="1186"/>
      <c r="J23" s="1186"/>
      <c r="K23" s="1187"/>
      <c r="L23" s="857" t="s">
        <v>688</v>
      </c>
      <c r="M23" s="82"/>
      <c r="N23" s="82"/>
      <c r="O23" s="332"/>
    </row>
    <row r="24" spans="1:15">
      <c r="A24" s="1156" t="s">
        <v>658</v>
      </c>
      <c r="B24" s="1157"/>
      <c r="C24" s="1157"/>
      <c r="D24" s="1157"/>
      <c r="E24" s="1157"/>
      <c r="F24" s="324">
        <f>F23/10</f>
        <v>0</v>
      </c>
      <c r="H24" s="854"/>
      <c r="I24" s="1188" t="s">
        <v>674</v>
      </c>
      <c r="J24" s="1186"/>
      <c r="K24" s="1187"/>
      <c r="L24" s="858" t="s">
        <v>689</v>
      </c>
      <c r="M24" s="82"/>
      <c r="N24" s="82"/>
      <c r="O24" s="332"/>
    </row>
    <row r="25" spans="1:15">
      <c r="A25" s="1172" t="s">
        <v>659</v>
      </c>
      <c r="B25" s="1173"/>
      <c r="C25" s="897"/>
      <c r="D25" s="1174" t="s">
        <v>660</v>
      </c>
      <c r="E25" s="1173"/>
      <c r="F25" s="898">
        <f>F24-C25</f>
        <v>0</v>
      </c>
      <c r="H25" s="854"/>
      <c r="I25" s="1188" t="s">
        <v>675</v>
      </c>
      <c r="J25" s="1186"/>
      <c r="K25" s="1187"/>
      <c r="L25" s="331"/>
      <c r="M25" s="861" t="s">
        <v>690</v>
      </c>
      <c r="N25" s="82"/>
      <c r="O25" s="332"/>
    </row>
    <row r="26" spans="1:15">
      <c r="A26" s="808"/>
      <c r="B26" s="338"/>
      <c r="C26" s="338"/>
      <c r="D26" s="338"/>
      <c r="E26" s="338"/>
      <c r="F26" s="899"/>
      <c r="H26" s="854"/>
      <c r="I26" s="1189" t="s">
        <v>676</v>
      </c>
      <c r="J26" s="1190"/>
      <c r="K26" s="1191"/>
      <c r="L26" s="331"/>
      <c r="M26" s="861" t="s">
        <v>691</v>
      </c>
      <c r="N26" s="82"/>
      <c r="O26" s="332"/>
    </row>
    <row r="27" spans="1:15">
      <c r="A27" s="1165" t="s">
        <v>352</v>
      </c>
      <c r="B27" s="1166"/>
      <c r="C27" s="1166"/>
      <c r="D27" s="1166"/>
      <c r="E27" s="1166"/>
      <c r="F27" s="1167"/>
      <c r="H27" s="854"/>
      <c r="I27" s="1189" t="s">
        <v>683</v>
      </c>
      <c r="J27" s="1190"/>
      <c r="K27" s="1191"/>
      <c r="L27" s="331"/>
      <c r="M27" s="853" t="s">
        <v>692</v>
      </c>
      <c r="N27" s="82"/>
      <c r="O27" s="332"/>
    </row>
    <row r="28" spans="1:15">
      <c r="A28" s="1138" t="s">
        <v>349</v>
      </c>
      <c r="B28" s="1119"/>
      <c r="C28" s="823" t="s">
        <v>55</v>
      </c>
      <c r="D28" s="1119" t="s">
        <v>350</v>
      </c>
      <c r="E28" s="1119"/>
      <c r="F28" s="323" t="s">
        <v>351</v>
      </c>
      <c r="H28" s="1185" t="s">
        <v>677</v>
      </c>
      <c r="I28" s="1186"/>
      <c r="J28" s="1186"/>
      <c r="K28" s="1187"/>
      <c r="L28" s="331"/>
      <c r="M28" s="862" t="s">
        <v>693</v>
      </c>
      <c r="N28" s="82"/>
      <c r="O28" s="332"/>
    </row>
    <row r="29" spans="1:15">
      <c r="A29" s="903"/>
      <c r="B29" s="928"/>
      <c r="C29" s="929"/>
      <c r="D29" s="1168"/>
      <c r="E29" s="1169"/>
      <c r="F29" s="904">
        <f>C29*D29/26</f>
        <v>0</v>
      </c>
      <c r="H29" s="854"/>
      <c r="I29" s="1189" t="s">
        <v>678</v>
      </c>
      <c r="J29" s="1190"/>
      <c r="K29" s="1191"/>
      <c r="L29" s="857" t="s">
        <v>694</v>
      </c>
      <c r="M29" s="82"/>
      <c r="N29" s="82"/>
      <c r="O29" s="332"/>
    </row>
    <row r="30" spans="1:15">
      <c r="A30" s="906"/>
      <c r="B30" s="907"/>
      <c r="C30" s="907"/>
      <c r="D30" s="907"/>
      <c r="E30" s="907"/>
      <c r="F30" s="908"/>
      <c r="H30" s="854"/>
      <c r="I30" s="1192" t="s">
        <v>679</v>
      </c>
      <c r="J30" s="1193"/>
      <c r="K30" s="1194"/>
      <c r="L30" s="857" t="s">
        <v>695</v>
      </c>
      <c r="M30" s="82"/>
      <c r="N30" s="82"/>
      <c r="O30" s="332"/>
    </row>
    <row r="31" spans="1:15">
      <c r="A31" s="1170" t="s">
        <v>705</v>
      </c>
      <c r="B31" s="1171"/>
      <c r="C31" s="1171"/>
      <c r="D31" s="1171"/>
      <c r="E31" s="1171"/>
      <c r="F31" s="905">
        <f>MAX(F25,F29)</f>
        <v>0</v>
      </c>
      <c r="H31" s="854"/>
      <c r="I31" s="1195" t="s">
        <v>680</v>
      </c>
      <c r="J31" s="1196"/>
      <c r="K31" s="1197"/>
      <c r="L31" s="857" t="s">
        <v>696</v>
      </c>
      <c r="M31" s="82"/>
      <c r="N31" s="82"/>
      <c r="O31" s="332"/>
    </row>
    <row r="32" spans="1:15">
      <c r="H32" s="854"/>
      <c r="I32" s="1192" t="s">
        <v>681</v>
      </c>
      <c r="J32" s="1193"/>
      <c r="K32" s="1194"/>
      <c r="L32" s="858" t="s">
        <v>697</v>
      </c>
      <c r="M32" s="717"/>
      <c r="N32" s="82"/>
      <c r="O32" s="332"/>
    </row>
    <row r="33" spans="1:15" ht="18.75">
      <c r="A33" s="1133" t="s">
        <v>704</v>
      </c>
      <c r="B33" s="1134"/>
      <c r="C33" s="1134"/>
      <c r="D33" s="1134"/>
      <c r="E33" s="1120"/>
      <c r="F33" s="1121"/>
      <c r="H33" s="854"/>
      <c r="I33" s="1192" t="s">
        <v>682</v>
      </c>
      <c r="J33" s="1193"/>
      <c r="K33" s="1194"/>
      <c r="L33" s="863" t="s">
        <v>698</v>
      </c>
      <c r="M33" s="717"/>
      <c r="N33" s="82"/>
      <c r="O33" s="332"/>
    </row>
    <row r="34" spans="1:15">
      <c r="A34" s="834"/>
      <c r="B34" s="82"/>
      <c r="C34" s="82"/>
      <c r="D34" s="82"/>
      <c r="E34" s="82"/>
      <c r="F34" s="297"/>
      <c r="H34" s="1198"/>
      <c r="I34" s="1186"/>
      <c r="J34" s="1186"/>
      <c r="K34" s="1187"/>
      <c r="L34" s="864" t="s">
        <v>699</v>
      </c>
      <c r="M34" s="717"/>
      <c r="N34" s="82"/>
      <c r="O34" s="332"/>
    </row>
    <row r="35" spans="1:15">
      <c r="A35" s="1158" t="s">
        <v>664</v>
      </c>
      <c r="B35" s="1159"/>
      <c r="C35" s="1159"/>
      <c r="D35" s="1159"/>
      <c r="E35" s="1159"/>
      <c r="F35" s="1160"/>
      <c r="H35" s="855"/>
      <c r="I35" s="336"/>
      <c r="J35" s="336"/>
      <c r="K35" s="856"/>
      <c r="L35" s="859" t="s">
        <v>700</v>
      </c>
      <c r="M35" s="336"/>
      <c r="N35" s="336"/>
      <c r="O35" s="856"/>
    </row>
    <row r="36" spans="1:15" ht="15" customHeight="1">
      <c r="A36" s="293" t="s">
        <v>52</v>
      </c>
      <c r="B36" s="294" t="s">
        <v>325</v>
      </c>
      <c r="C36" s="295" t="s">
        <v>5</v>
      </c>
      <c r="D36" s="295" t="s">
        <v>346</v>
      </c>
      <c r="E36" s="295" t="s">
        <v>347</v>
      </c>
      <c r="F36" s="296" t="s">
        <v>294</v>
      </c>
      <c r="H36" s="851"/>
    </row>
    <row r="37" spans="1:15" ht="15" customHeight="1">
      <c r="A37" s="303" t="s">
        <v>198</v>
      </c>
      <c r="B37" s="304" t="str">
        <f>B22</f>
        <v>N-1</v>
      </c>
      <c r="C37" s="828"/>
      <c r="D37" s="832"/>
      <c r="E37" s="926"/>
      <c r="F37" s="309">
        <f>SUM(C37:D37)</f>
        <v>0</v>
      </c>
      <c r="H37" s="82"/>
    </row>
    <row r="38" spans="1:15">
      <c r="A38" s="321" t="s">
        <v>199</v>
      </c>
      <c r="B38" s="298" t="str">
        <f t="shared" ref="B38:B43" si="2">B37</f>
        <v>N-1</v>
      </c>
      <c r="C38" s="828"/>
      <c r="D38" s="832"/>
      <c r="E38" s="926"/>
      <c r="F38" s="322">
        <f t="shared" ref="F38:F48" si="3">SUM(C38:D38)</f>
        <v>0</v>
      </c>
      <c r="H38" s="82"/>
    </row>
    <row r="39" spans="1:15">
      <c r="A39" s="303" t="s">
        <v>200</v>
      </c>
      <c r="B39" s="304" t="str">
        <f t="shared" si="2"/>
        <v>N-1</v>
      </c>
      <c r="C39" s="828"/>
      <c r="D39" s="832"/>
      <c r="E39" s="926"/>
      <c r="F39" s="309">
        <f t="shared" si="3"/>
        <v>0</v>
      </c>
      <c r="H39" s="82"/>
    </row>
    <row r="40" spans="1:15">
      <c r="A40" s="321" t="s">
        <v>201</v>
      </c>
      <c r="B40" s="298" t="str">
        <f t="shared" si="2"/>
        <v>N-1</v>
      </c>
      <c r="C40" s="828"/>
      <c r="D40" s="832"/>
      <c r="E40" s="926"/>
      <c r="F40" s="322">
        <f t="shared" si="3"/>
        <v>0</v>
      </c>
      <c r="H40" s="82"/>
    </row>
    <row r="41" spans="1:15">
      <c r="A41" s="303" t="s">
        <v>202</v>
      </c>
      <c r="B41" s="304" t="str">
        <f t="shared" si="2"/>
        <v>N-1</v>
      </c>
      <c r="C41" s="828"/>
      <c r="D41" s="832"/>
      <c r="E41" s="926"/>
      <c r="F41" s="309">
        <f t="shared" si="3"/>
        <v>0</v>
      </c>
      <c r="H41" s="82"/>
    </row>
    <row r="42" spans="1:15">
      <c r="A42" s="321" t="s">
        <v>203</v>
      </c>
      <c r="B42" s="298" t="str">
        <f t="shared" si="2"/>
        <v>N-1</v>
      </c>
      <c r="C42" s="828"/>
      <c r="D42" s="832"/>
      <c r="E42" s="926"/>
      <c r="F42" s="322">
        <f t="shared" si="3"/>
        <v>0</v>
      </c>
      <c r="H42" s="82"/>
    </row>
    <row r="43" spans="1:15">
      <c r="A43" s="303" t="s">
        <v>204</v>
      </c>
      <c r="B43" s="304" t="str">
        <f t="shared" si="2"/>
        <v>N-1</v>
      </c>
      <c r="C43" s="828"/>
      <c r="D43" s="832"/>
      <c r="E43" s="926"/>
      <c r="F43" s="309">
        <f t="shared" si="3"/>
        <v>0</v>
      </c>
      <c r="H43" s="82"/>
    </row>
    <row r="44" spans="1:15">
      <c r="A44" s="321" t="s">
        <v>193</v>
      </c>
      <c r="B44" s="298" t="str">
        <f>IF(B43="N-1","N",B43+1)</f>
        <v>N</v>
      </c>
      <c r="C44" s="828"/>
      <c r="D44" s="832"/>
      <c r="E44" s="926"/>
      <c r="F44" s="322">
        <f t="shared" si="3"/>
        <v>0</v>
      </c>
      <c r="H44" s="82"/>
    </row>
    <row r="45" spans="1:15">
      <c r="A45" s="303" t="s">
        <v>194</v>
      </c>
      <c r="B45" s="304" t="str">
        <f>B44</f>
        <v>N</v>
      </c>
      <c r="C45" s="828"/>
      <c r="D45" s="832"/>
      <c r="E45" s="926"/>
      <c r="F45" s="309">
        <f t="shared" si="3"/>
        <v>0</v>
      </c>
      <c r="H45" s="82"/>
    </row>
    <row r="46" spans="1:15">
      <c r="A46" s="321" t="s">
        <v>195</v>
      </c>
      <c r="B46" s="726" t="str">
        <f>B45</f>
        <v>N</v>
      </c>
      <c r="C46" s="828"/>
      <c r="D46" s="832"/>
      <c r="E46" s="926"/>
      <c r="F46" s="322">
        <f t="shared" si="3"/>
        <v>0</v>
      </c>
      <c r="H46" s="82"/>
    </row>
    <row r="47" spans="1:15" ht="15" customHeight="1">
      <c r="A47" s="303" t="s">
        <v>196</v>
      </c>
      <c r="B47" s="304" t="str">
        <f>B46</f>
        <v>N</v>
      </c>
      <c r="C47" s="828"/>
      <c r="D47" s="832"/>
      <c r="E47" s="926"/>
      <c r="F47" s="309">
        <f t="shared" si="3"/>
        <v>0</v>
      </c>
      <c r="H47" s="82"/>
    </row>
    <row r="48" spans="1:15" ht="15" customHeight="1">
      <c r="A48" s="321" t="s">
        <v>197</v>
      </c>
      <c r="B48" s="726" t="str">
        <f>B47</f>
        <v>N</v>
      </c>
      <c r="C48" s="829"/>
      <c r="D48" s="833"/>
      <c r="E48" s="927"/>
      <c r="F48" s="322">
        <f t="shared" si="3"/>
        <v>0</v>
      </c>
      <c r="H48" s="82"/>
    </row>
    <row r="49" spans="1:8">
      <c r="A49" s="305"/>
      <c r="B49" s="306"/>
      <c r="C49" s="307"/>
      <c r="D49" s="312" t="s">
        <v>353</v>
      </c>
      <c r="E49" s="325">
        <f>ROUNDUP(SUM(E37:E48),0)</f>
        <v>0</v>
      </c>
      <c r="F49" s="308">
        <f>SUM(F37:F48)</f>
        <v>0</v>
      </c>
      <c r="H49" s="82"/>
    </row>
    <row r="50" spans="1:8">
      <c r="A50" s="1156" t="s">
        <v>658</v>
      </c>
      <c r="B50" s="1157"/>
      <c r="C50" s="1157"/>
      <c r="D50" s="1157"/>
      <c r="E50" s="1157"/>
      <c r="F50" s="324">
        <f>F49/10</f>
        <v>0</v>
      </c>
      <c r="H50" s="82"/>
    </row>
    <row r="51" spans="1:8">
      <c r="A51" s="834"/>
      <c r="B51" s="852"/>
      <c r="C51" s="852"/>
      <c r="D51" s="852"/>
      <c r="E51" s="852"/>
      <c r="F51" s="297"/>
      <c r="H51" s="82"/>
    </row>
    <row r="52" spans="1:8">
      <c r="A52" s="1161" t="s">
        <v>352</v>
      </c>
      <c r="B52" s="1140"/>
      <c r="C52" s="1140"/>
      <c r="D52" s="1140"/>
      <c r="E52" s="1140"/>
      <c r="F52" s="1162"/>
      <c r="H52" s="82"/>
    </row>
    <row r="53" spans="1:8">
      <c r="A53" s="1118" t="s">
        <v>349</v>
      </c>
      <c r="B53" s="1119"/>
      <c r="C53" s="827" t="s">
        <v>55</v>
      </c>
      <c r="D53" s="1119" t="s">
        <v>350</v>
      </c>
      <c r="E53" s="1119"/>
      <c r="F53" s="841" t="s">
        <v>351</v>
      </c>
      <c r="H53" s="82"/>
    </row>
    <row r="54" spans="1:8" ht="15" customHeight="1">
      <c r="A54" s="361"/>
      <c r="B54" s="843"/>
      <c r="C54" s="844"/>
      <c r="D54" s="1163"/>
      <c r="E54" s="1164"/>
      <c r="F54" s="326">
        <f>C54*D54/26</f>
        <v>0</v>
      </c>
      <c r="H54" s="82"/>
    </row>
    <row r="55" spans="1:8" ht="15" customHeight="1">
      <c r="A55" s="900"/>
      <c r="B55" s="901"/>
      <c r="C55" s="901"/>
      <c r="D55" s="901"/>
      <c r="E55" s="901"/>
      <c r="F55" s="902"/>
      <c r="H55" s="82"/>
    </row>
    <row r="56" spans="1:8">
      <c r="A56" s="1109" t="s">
        <v>705</v>
      </c>
      <c r="B56" s="1110"/>
      <c r="C56" s="1110"/>
      <c r="D56" s="1110"/>
      <c r="E56" s="1110"/>
      <c r="F56" s="283">
        <f>MAX(F50,F54)</f>
        <v>0</v>
      </c>
      <c r="H56" s="82"/>
    </row>
    <row r="57" spans="1:8">
      <c r="H57" s="82"/>
    </row>
    <row r="58" spans="1:8">
      <c r="H58" s="82"/>
    </row>
    <row r="59" spans="1:8">
      <c r="H59" s="82"/>
    </row>
    <row r="60" spans="1:8">
      <c r="H60" s="82"/>
    </row>
  </sheetData>
  <mergeCells count="45">
    <mergeCell ref="E33:F33"/>
    <mergeCell ref="I31:K31"/>
    <mergeCell ref="I32:K32"/>
    <mergeCell ref="I33:K33"/>
    <mergeCell ref="H34:K34"/>
    <mergeCell ref="I26:K26"/>
    <mergeCell ref="I27:K27"/>
    <mergeCell ref="H28:K28"/>
    <mergeCell ref="I29:K29"/>
    <mergeCell ref="I30:K30"/>
    <mergeCell ref="H21:K21"/>
    <mergeCell ref="H22:K22"/>
    <mergeCell ref="H23:K23"/>
    <mergeCell ref="I24:K24"/>
    <mergeCell ref="I25:K25"/>
    <mergeCell ref="H18:K18"/>
    <mergeCell ref="L18:O18"/>
    <mergeCell ref="H19:K19"/>
    <mergeCell ref="L19:O19"/>
    <mergeCell ref="H20:K20"/>
    <mergeCell ref="L20:O20"/>
    <mergeCell ref="A24:E24"/>
    <mergeCell ref="A35:F35"/>
    <mergeCell ref="A50:E50"/>
    <mergeCell ref="A56:E56"/>
    <mergeCell ref="A52:F52"/>
    <mergeCell ref="A53:B53"/>
    <mergeCell ref="D53:E53"/>
    <mergeCell ref="D54:E54"/>
    <mergeCell ref="A27:F27"/>
    <mergeCell ref="A28:B28"/>
    <mergeCell ref="D28:E28"/>
    <mergeCell ref="D29:E29"/>
    <mergeCell ref="A31:E31"/>
    <mergeCell ref="A25:B25"/>
    <mergeCell ref="D25:E25"/>
    <mergeCell ref="A33:D33"/>
    <mergeCell ref="A1:F1"/>
    <mergeCell ref="C4:D4"/>
    <mergeCell ref="C5:D5"/>
    <mergeCell ref="H7:M7"/>
    <mergeCell ref="H16:O17"/>
    <mergeCell ref="A7:D7"/>
    <mergeCell ref="E7:F7"/>
    <mergeCell ref="A9:F9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88" orientation="portrait" r:id="rId1"/>
  <headerFooter>
    <oddHeader>&amp;LEmmanuel ESNAULT&amp;R&amp;D</oddHeader>
  </headerFooter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24">
    <tabColor theme="5" tint="-0.249977111117893"/>
    <pageSetUpPr fitToPage="1"/>
  </sheetPr>
  <dimension ref="A1:O186"/>
  <sheetViews>
    <sheetView showZeros="0" zoomScale="90" zoomScaleNormal="90" workbookViewId="0">
      <selection activeCell="B3" sqref="B3"/>
    </sheetView>
  </sheetViews>
  <sheetFormatPr baseColWidth="10" defaultRowHeight="15"/>
  <cols>
    <col min="1" max="1" width="18.42578125" bestFit="1" customWidth="1"/>
    <col min="2" max="2" width="25.85546875" customWidth="1"/>
    <col min="7" max="7" width="11.42578125" hidden="1" customWidth="1"/>
    <col min="8" max="8" width="8" customWidth="1"/>
    <col min="9" max="9" width="12.42578125" bestFit="1" customWidth="1"/>
    <col min="10" max="10" width="16.7109375" bestFit="1" customWidth="1"/>
    <col min="14" max="14" width="15.28515625" bestFit="1" customWidth="1"/>
  </cols>
  <sheetData>
    <row r="1" spans="1:15" ht="26.25">
      <c r="A1" s="1069" t="s">
        <v>626</v>
      </c>
      <c r="B1" s="1069"/>
      <c r="C1" s="1069"/>
      <c r="D1" s="1069"/>
      <c r="E1" s="1069"/>
      <c r="F1" s="1069"/>
      <c r="G1" s="1069"/>
      <c r="H1" s="1069"/>
      <c r="I1" s="1069"/>
      <c r="J1" s="1069"/>
      <c r="K1" s="1069"/>
      <c r="L1" s="1069"/>
      <c r="M1" s="1069"/>
      <c r="N1" s="1069"/>
      <c r="O1" s="1069"/>
    </row>
    <row r="3" spans="1:15">
      <c r="A3" s="503" t="s">
        <v>487</v>
      </c>
      <c r="B3" s="701">
        <v>1</v>
      </c>
    </row>
    <row r="5" spans="1:15">
      <c r="A5" s="497"/>
      <c r="B5" s="727" t="s">
        <v>624</v>
      </c>
      <c r="C5" s="499" t="s">
        <v>55</v>
      </c>
      <c r="D5" s="669" t="s">
        <v>588</v>
      </c>
      <c r="E5" s="505" t="s">
        <v>116</v>
      </c>
      <c r="F5" s="499" t="s">
        <v>117</v>
      </c>
      <c r="G5" s="499" t="s">
        <v>118</v>
      </c>
      <c r="H5" s="499" t="s">
        <v>108</v>
      </c>
      <c r="I5" s="499" t="s">
        <v>477</v>
      </c>
      <c r="J5" s="499" t="s">
        <v>476</v>
      </c>
      <c r="K5" s="505" t="s">
        <v>478</v>
      </c>
      <c r="L5" s="505" t="s">
        <v>479</v>
      </c>
      <c r="M5" s="505" t="s">
        <v>480</v>
      </c>
      <c r="N5" s="498" t="s">
        <v>483</v>
      </c>
      <c r="O5" s="500" t="s">
        <v>488</v>
      </c>
    </row>
    <row r="6" spans="1:15" s="502" customFormat="1">
      <c r="A6" s="738" t="s">
        <v>625</v>
      </c>
      <c r="B6" s="504"/>
      <c r="C6" s="679"/>
      <c r="D6" s="247" t="str">
        <f>IF(C6="","",MIN(C6,PMSS*$B$3))</f>
        <v/>
      </c>
      <c r="E6" s="682"/>
      <c r="F6" s="344" t="str">
        <f>IF(C6="","",MAX(0,MIN(C6,4*PMSS*$B$3)-PMSS*$B$3))</f>
        <v/>
      </c>
      <c r="G6" s="344" t="str">
        <f>IF(C6="","",MAX(0,MIN(C6,8*PMSS*$B$3)-4*PMSS*$B$3))</f>
        <v/>
      </c>
      <c r="H6" s="344" t="str">
        <f>IF(C6="","",MAX(0,MIN(charnière*$B$3-C6,GMP*$B$3)))</f>
        <v/>
      </c>
      <c r="I6" s="344" t="str">
        <f>IF(C6="","",C6*0.9825+D6*1.5%)</f>
        <v/>
      </c>
      <c r="J6" s="679"/>
      <c r="K6" s="747"/>
      <c r="L6" s="755"/>
      <c r="M6" s="765"/>
      <c r="N6" s="344" t="str">
        <f>IF(C6="","",IF(C6&lt;3.5*SMIC_mens*$B$3,"",C6))</f>
        <v/>
      </c>
      <c r="O6" s="768"/>
    </row>
    <row r="7" spans="1:15">
      <c r="A7" s="788"/>
      <c r="B7" s="504"/>
      <c r="C7" s="679"/>
      <c r="D7" s="246" t="str">
        <f>IF(C7="","",MIN(C7,PMSS*$B$3))</f>
        <v/>
      </c>
      <c r="E7" s="682"/>
      <c r="F7" s="145" t="str">
        <f>IF(C7="","",MAX(0,MIN(C7,4*PMSS*$B$3)-PMSS*$B$3))</f>
        <v/>
      </c>
      <c r="G7" s="145" t="str">
        <f>IF(C7="","",MAX(0,MIN(C7,8*PMSS*$B$3)-4*PMSS*$B$3))</f>
        <v/>
      </c>
      <c r="H7" s="145" t="str">
        <f>IF(C7="","",MAX(0,MIN(charnière*$B$3-C7,GMP*$B$3)))</f>
        <v/>
      </c>
      <c r="I7" s="145" t="str">
        <f>IF(C7="","",C7*0.9825+D7*1.5%)</f>
        <v/>
      </c>
      <c r="J7" s="679"/>
      <c r="K7" s="756"/>
      <c r="L7" s="734"/>
      <c r="M7" s="766"/>
      <c r="N7" s="145" t="str">
        <f>IF(C7="","",IF(C7&lt;3.5*SMIC_mens*$B$3,"",C7))</f>
        <v/>
      </c>
      <c r="O7" s="769"/>
    </row>
    <row r="8" spans="1:15">
      <c r="A8" s="736" t="s">
        <v>627</v>
      </c>
      <c r="B8" s="668"/>
      <c r="C8" s="737" t="str">
        <f>IF(SUM(C5:C7)=0,"",SUM(C5:C7))</f>
        <v/>
      </c>
      <c r="D8" s="742" t="str">
        <f>IF(SUM(D6:D7)=0,"",SUM(D6:D7))</f>
        <v/>
      </c>
      <c r="E8" s="682"/>
      <c r="F8" s="742" t="str">
        <f>IF(SUM(F6:F7)=0,"",SUM(F6:F7))</f>
        <v/>
      </c>
      <c r="G8" s="742" t="str">
        <f>IF(SUM(G5:G7)=0,"",SUM(G5:G7))</f>
        <v/>
      </c>
      <c r="H8" s="743" t="str">
        <f>IF(SUM(H6:H7)=0,"",SUM(H6:H7))</f>
        <v/>
      </c>
      <c r="I8" s="344" t="str">
        <f>IF(SUM(I5:I7)=0,"",SUM(I5:I7))</f>
        <v/>
      </c>
      <c r="J8" s="344" t="str">
        <f>IF(SUM(J5:J7)=0,"",SUM(J5:J7))</f>
        <v/>
      </c>
      <c r="K8" s="748"/>
      <c r="L8" s="734"/>
      <c r="M8" s="766"/>
      <c r="N8" s="344" t="str">
        <f>IF(SUM(N5:N7)=0,"",SUM(N5:N7))</f>
        <v/>
      </c>
      <c r="O8" s="770"/>
    </row>
    <row r="9" spans="1:15" s="502" customFormat="1">
      <c r="A9" s="507" t="s">
        <v>481</v>
      </c>
      <c r="B9" s="504"/>
      <c r="C9" s="679"/>
      <c r="D9" s="246" t="str">
        <f>IF(C9="","",MIN(C9,PMSS*$B$3))</f>
        <v/>
      </c>
      <c r="E9" s="682"/>
      <c r="F9" s="145" t="str">
        <f>IF(C9="","",MAX(0,MIN(C9,4*PMSS*$B$3)-PMSS*$B$3))</f>
        <v/>
      </c>
      <c r="G9" s="145" t="str">
        <f>IF(C9="","",MAX(0,MIN(C9,8*PMSS*$B$3)-4*PMSS*$B$3))</f>
        <v/>
      </c>
      <c r="H9" s="145" t="str">
        <f>IF(C9="","",MAX(0,MIN(charnière*$B$3-C9,GMP*$B$3)))</f>
        <v/>
      </c>
      <c r="I9" s="145" t="str">
        <f>IF(C9="","",C9*0.9825+D9*1.5%)</f>
        <v/>
      </c>
      <c r="J9" s="679"/>
      <c r="K9" s="760"/>
      <c r="L9" s="756"/>
      <c r="M9" s="766"/>
      <c r="N9" s="145" t="str">
        <f>IF(C9="","",IF(C9&lt;3.5*SMIC_mens*$B$3,"",C9))</f>
        <v/>
      </c>
      <c r="O9" s="759" t="str">
        <f>IF(C9="","",IF(C9&lt;SMIC_mens*2.5*$B$3,C9,""))</f>
        <v/>
      </c>
    </row>
    <row r="10" spans="1:15">
      <c r="A10" s="510"/>
      <c r="B10" s="504"/>
      <c r="C10" s="679"/>
      <c r="D10" s="247" t="str">
        <f>IF(C10="","",MIN(C10,PMSS*$B$3))</f>
        <v/>
      </c>
      <c r="E10" s="682"/>
      <c r="F10" s="344" t="str">
        <f>IF(C10="","",MAX(0,MIN(C10,4*PMSS*$B$3)-PMSS*$B$3))</f>
        <v/>
      </c>
      <c r="G10" s="344" t="str">
        <f>IF(C10="","",MAX(0,MIN(C10,8*PMSS*$B$3)-4*PMSS*$B$3))</f>
        <v/>
      </c>
      <c r="H10" s="344" t="str">
        <f>IF(C10="","",MAX(0,MIN(charnière*$B$3-C10,GMP*$B$3)))</f>
        <v/>
      </c>
      <c r="I10" s="344" t="str">
        <f>IF(C10="","",C10*0.9825+D10*1.5%)</f>
        <v/>
      </c>
      <c r="J10" s="679"/>
      <c r="K10" s="680"/>
      <c r="L10" s="756"/>
      <c r="M10" s="766"/>
      <c r="N10" s="344" t="str">
        <f>IF(C10="","",IF(C10&lt;3.5*SMIC_mens*$B$3,"",C10))</f>
        <v/>
      </c>
      <c r="O10" s="683" t="str">
        <f>IF(C10="","",IF(C10&lt;SMIC_mens*2.5*$B$3,C10,""))</f>
        <v/>
      </c>
    </row>
    <row r="11" spans="1:15">
      <c r="A11" s="511"/>
      <c r="B11" s="504"/>
      <c r="C11" s="679"/>
      <c r="D11" s="246" t="str">
        <f>IF(C11="","",MIN(C11,PMSS*$B$3))</f>
        <v/>
      </c>
      <c r="E11" s="682"/>
      <c r="F11" s="145" t="str">
        <f>IF(C11="","",MAX(0,MIN(C11,4*PMSS*$B$3)-PMSS*$B$3))</f>
        <v/>
      </c>
      <c r="G11" s="145" t="str">
        <f>IF(C11="","",MAX(0,MIN(C11,8*PMSS*$B$3)-4*PMSS*$B$3))</f>
        <v/>
      </c>
      <c r="H11" s="145" t="str">
        <f>IF(C11="","",MAX(0,MIN(charnière*$B$3-C11,GMP*$B$3)))</f>
        <v/>
      </c>
      <c r="I11" s="145" t="str">
        <f>IF(C11="","",C11*0.9825+D11*1.5%)</f>
        <v/>
      </c>
      <c r="J11" s="679"/>
      <c r="K11" s="680"/>
      <c r="L11" s="756"/>
      <c r="M11" s="766"/>
      <c r="N11" s="145" t="str">
        <f>IF(C11="","",IF(C11&lt;3.5*SMIC_mens*$B$3,"",C11))</f>
        <v/>
      </c>
      <c r="O11" s="681" t="str">
        <f>IF(C11="","",IF(C11&lt;SMIC_mens*2.5*$B$3,C11,""))</f>
        <v/>
      </c>
    </row>
    <row r="12" spans="1:15">
      <c r="A12" s="512"/>
      <c r="B12" s="504"/>
      <c r="C12" s="679"/>
      <c r="D12" s="247" t="str">
        <f>IF(C12="","",MIN(C12,PMSS*$B$3))</f>
        <v/>
      </c>
      <c r="E12" s="682"/>
      <c r="F12" s="344" t="str">
        <f>IF(C12="","",MAX(0,MIN(C12,4*PMSS*$B$3)-PMSS*$B$3))</f>
        <v/>
      </c>
      <c r="G12" s="344" t="str">
        <f>IF(C12="","",MAX(0,MIN(C12,8*PMSS*$B$3)-4*PMSS*$B$3))</f>
        <v/>
      </c>
      <c r="H12" s="344" t="str">
        <f>IF(C12="","",MAX(0,MIN(charnière*$B$3-C12,GMP*$B$3)))</f>
        <v/>
      </c>
      <c r="I12" s="344" t="str">
        <f>IF(C12="","",C12*0.9825+D12*1.5%)</f>
        <v/>
      </c>
      <c r="J12" s="679"/>
      <c r="K12" s="680"/>
      <c r="L12" s="756"/>
      <c r="M12" s="766"/>
      <c r="N12" s="344" t="str">
        <f>IF(C12="","",IF(C12&lt;3.5*SMIC_mens*$B$3,"",C12))</f>
        <v/>
      </c>
      <c r="O12" s="730" t="str">
        <f>IF(C12="","",IF(C12&lt;SMIC_mens*2.5*$B$3,C12,""))</f>
        <v/>
      </c>
    </row>
    <row r="13" spans="1:15">
      <c r="A13" s="509" t="s">
        <v>484</v>
      </c>
      <c r="B13" s="668"/>
      <c r="C13" s="684" t="str">
        <f>IF(SUM(C9:C12)=0,"",SUM(C9:C12))</f>
        <v/>
      </c>
      <c r="D13" s="772" t="str">
        <f>IF(SUM(D9:D12)=0,"",SUM(D9:D12))</f>
        <v/>
      </c>
      <c r="E13" s="682"/>
      <c r="F13" s="772" t="str">
        <f>IF(SUM(F9:F12)=0,"",SUM(F9:F12))</f>
        <v/>
      </c>
      <c r="G13" s="772" t="str">
        <f t="shared" ref="G13:O13" si="0">IF(SUM(G9:G12)=0,"",SUM(G9:G12))</f>
        <v/>
      </c>
      <c r="H13" s="773" t="str">
        <f>IF(SUM(H9:H12)=0,"",SUM(H9:H12))</f>
        <v/>
      </c>
      <c r="I13" s="145" t="str">
        <f t="shared" si="0"/>
        <v/>
      </c>
      <c r="J13" s="145" t="str">
        <f t="shared" si="0"/>
        <v/>
      </c>
      <c r="K13" s="145" t="str">
        <f t="shared" si="0"/>
        <v/>
      </c>
      <c r="L13" s="748"/>
      <c r="M13" s="767"/>
      <c r="N13" s="145" t="str">
        <f t="shared" si="0"/>
        <v/>
      </c>
      <c r="O13" s="731" t="str">
        <f t="shared" si="0"/>
        <v/>
      </c>
    </row>
    <row r="14" spans="1:15">
      <c r="A14" s="506" t="s">
        <v>482</v>
      </c>
      <c r="B14" s="504"/>
      <c r="C14" s="679"/>
      <c r="D14" s="247" t="str">
        <f t="shared" ref="D14:D21" si="1">IF(C14="","",MIN(C14,PMSS*$B$3))</f>
        <v/>
      </c>
      <c r="E14" s="344" t="str">
        <f t="shared" ref="E14:E21" si="2">IF(C14="","",MAX(0,MIN(C14,3*PMSS*$B$3)-PMSS*$B$3))</f>
        <v/>
      </c>
      <c r="F14" s="685" t="str">
        <f t="shared" ref="F14:F21" si="3">IF(C14="","",MAX(0,MIN(C14,4*PMSS*$B$3)-PMSS*$B$3))</f>
        <v/>
      </c>
      <c r="G14" s="686"/>
      <c r="H14" s="768"/>
      <c r="I14" s="344" t="str">
        <f>IF(C14="","",C14*0.9825)</f>
        <v/>
      </c>
      <c r="J14" s="679"/>
      <c r="K14" s="680"/>
      <c r="L14" s="761" t="str">
        <f t="shared" ref="L14:L21" si="4">IF(C14="","",MIN(0,-C14*0.2809/0.6*(1.6*SMIC_mens*$B$3/C14-1)))</f>
        <v/>
      </c>
      <c r="M14" s="762"/>
      <c r="N14" s="247" t="str">
        <f t="shared" ref="N14:N21" si="5">IF(C14="","",IF(C14&lt;3.5*SMIC_mens*$B$3,"",C14))</f>
        <v/>
      </c>
      <c r="O14" s="730" t="str">
        <f t="shared" ref="O14:O21" si="6">IF(C14="","",IF(C14&lt;SMIC_mens*2.5*$B$3,C14,""))</f>
        <v/>
      </c>
    </row>
    <row r="15" spans="1:15">
      <c r="A15" s="510"/>
      <c r="B15" s="504"/>
      <c r="C15" s="679"/>
      <c r="D15" s="246" t="str">
        <f t="shared" si="1"/>
        <v/>
      </c>
      <c r="E15" s="145" t="str">
        <f t="shared" si="2"/>
        <v/>
      </c>
      <c r="F15" s="687" t="str">
        <f t="shared" si="3"/>
        <v/>
      </c>
      <c r="G15" s="688"/>
      <c r="H15" s="769"/>
      <c r="I15" s="145" t="str">
        <f t="shared" ref="I15:I21" si="7">IF(C15="","",C15*0.9825)</f>
        <v/>
      </c>
      <c r="J15" s="679"/>
      <c r="K15" s="680"/>
      <c r="L15" s="246" t="str">
        <f t="shared" si="4"/>
        <v/>
      </c>
      <c r="M15" s="679"/>
      <c r="N15" s="246" t="str">
        <f t="shared" si="5"/>
        <v/>
      </c>
      <c r="O15" s="732" t="str">
        <f t="shared" si="6"/>
        <v/>
      </c>
    </row>
    <row r="16" spans="1:15">
      <c r="A16" s="511"/>
      <c r="B16" s="504"/>
      <c r="C16" s="679"/>
      <c r="D16" s="247" t="str">
        <f t="shared" si="1"/>
        <v/>
      </c>
      <c r="E16" s="344" t="str">
        <f t="shared" si="2"/>
        <v/>
      </c>
      <c r="F16" s="685" t="str">
        <f t="shared" si="3"/>
        <v/>
      </c>
      <c r="G16" s="688"/>
      <c r="H16" s="769"/>
      <c r="I16" s="344" t="str">
        <f t="shared" si="7"/>
        <v/>
      </c>
      <c r="J16" s="679"/>
      <c r="K16" s="680"/>
      <c r="L16" s="247" t="str">
        <f t="shared" si="4"/>
        <v/>
      </c>
      <c r="M16" s="679"/>
      <c r="N16" s="247" t="str">
        <f t="shared" si="5"/>
        <v/>
      </c>
      <c r="O16" s="730" t="str">
        <f t="shared" si="6"/>
        <v/>
      </c>
    </row>
    <row r="17" spans="1:15">
      <c r="A17" s="511"/>
      <c r="B17" s="504"/>
      <c r="C17" s="679"/>
      <c r="D17" s="246" t="str">
        <f t="shared" si="1"/>
        <v/>
      </c>
      <c r="E17" s="145" t="str">
        <f t="shared" si="2"/>
        <v/>
      </c>
      <c r="F17" s="687" t="str">
        <f t="shared" si="3"/>
        <v/>
      </c>
      <c r="G17" s="688"/>
      <c r="H17" s="769"/>
      <c r="I17" s="145" t="str">
        <f t="shared" si="7"/>
        <v/>
      </c>
      <c r="J17" s="679"/>
      <c r="K17" s="680"/>
      <c r="L17" s="246" t="str">
        <f t="shared" si="4"/>
        <v/>
      </c>
      <c r="M17" s="679"/>
      <c r="N17" s="246" t="str">
        <f t="shared" si="5"/>
        <v/>
      </c>
      <c r="O17" s="732" t="str">
        <f t="shared" si="6"/>
        <v/>
      </c>
    </row>
    <row r="18" spans="1:15">
      <c r="A18" s="705"/>
      <c r="B18" s="504"/>
      <c r="C18" s="679"/>
      <c r="D18" s="247" t="str">
        <f t="shared" si="1"/>
        <v/>
      </c>
      <c r="E18" s="344" t="str">
        <f t="shared" si="2"/>
        <v/>
      </c>
      <c r="F18" s="685" t="str">
        <f t="shared" si="3"/>
        <v/>
      </c>
      <c r="G18" s="688"/>
      <c r="H18" s="769"/>
      <c r="I18" s="344" t="str">
        <f t="shared" si="7"/>
        <v/>
      </c>
      <c r="J18" s="679"/>
      <c r="K18" s="679"/>
      <c r="L18" s="247" t="str">
        <f t="shared" si="4"/>
        <v/>
      </c>
      <c r="M18" s="679"/>
      <c r="N18" s="247" t="str">
        <f t="shared" si="5"/>
        <v/>
      </c>
      <c r="O18" s="730" t="str">
        <f t="shared" si="6"/>
        <v/>
      </c>
    </row>
    <row r="19" spans="1:15">
      <c r="A19" s="705"/>
      <c r="B19" s="504"/>
      <c r="C19" s="679"/>
      <c r="D19" s="246" t="str">
        <f t="shared" si="1"/>
        <v/>
      </c>
      <c r="E19" s="145" t="str">
        <f t="shared" si="2"/>
        <v/>
      </c>
      <c r="F19" s="687" t="str">
        <f t="shared" si="3"/>
        <v/>
      </c>
      <c r="G19" s="688"/>
      <c r="H19" s="769"/>
      <c r="I19" s="145" t="str">
        <f t="shared" si="7"/>
        <v/>
      </c>
      <c r="J19" s="679"/>
      <c r="K19" s="679"/>
      <c r="L19" s="246" t="str">
        <f t="shared" si="4"/>
        <v/>
      </c>
      <c r="M19" s="679"/>
      <c r="N19" s="246" t="str">
        <f t="shared" si="5"/>
        <v/>
      </c>
      <c r="O19" s="732" t="str">
        <f t="shared" si="6"/>
        <v/>
      </c>
    </row>
    <row r="20" spans="1:15">
      <c r="A20" s="705"/>
      <c r="B20" s="504"/>
      <c r="C20" s="679"/>
      <c r="D20" s="247" t="str">
        <f t="shared" si="1"/>
        <v/>
      </c>
      <c r="E20" s="344" t="str">
        <f t="shared" si="2"/>
        <v/>
      </c>
      <c r="F20" s="685" t="str">
        <f t="shared" si="3"/>
        <v/>
      </c>
      <c r="G20" s="688"/>
      <c r="H20" s="769"/>
      <c r="I20" s="344" t="str">
        <f t="shared" si="7"/>
        <v/>
      </c>
      <c r="J20" s="679"/>
      <c r="K20" s="679"/>
      <c r="L20" s="247" t="str">
        <f t="shared" si="4"/>
        <v/>
      </c>
      <c r="M20" s="679"/>
      <c r="N20" s="247" t="str">
        <f t="shared" si="5"/>
        <v/>
      </c>
      <c r="O20" s="730" t="str">
        <f t="shared" si="6"/>
        <v/>
      </c>
    </row>
    <row r="21" spans="1:15">
      <c r="A21" s="706"/>
      <c r="B21" s="504"/>
      <c r="C21" s="679"/>
      <c r="D21" s="246" t="str">
        <f t="shared" si="1"/>
        <v/>
      </c>
      <c r="E21" s="145" t="str">
        <f t="shared" si="2"/>
        <v/>
      </c>
      <c r="F21" s="687" t="str">
        <f t="shared" si="3"/>
        <v/>
      </c>
      <c r="G21" s="688"/>
      <c r="H21" s="769"/>
      <c r="I21" s="145" t="str">
        <f t="shared" si="7"/>
        <v/>
      </c>
      <c r="J21" s="679"/>
      <c r="K21" s="679"/>
      <c r="L21" s="246" t="str">
        <f t="shared" si="4"/>
        <v/>
      </c>
      <c r="M21" s="679"/>
      <c r="N21" s="246" t="str">
        <f t="shared" si="5"/>
        <v/>
      </c>
      <c r="O21" s="732" t="str">
        <f t="shared" si="6"/>
        <v/>
      </c>
    </row>
    <row r="22" spans="1:15">
      <c r="A22" s="508" t="s">
        <v>485</v>
      </c>
      <c r="B22" s="702"/>
      <c r="C22" s="689" t="str">
        <f>IF(SUM(C14:C21)=0,"",SUM(C14:C21))</f>
        <v/>
      </c>
      <c r="D22" s="742" t="str">
        <f>IF(SUM(D14:D21)=0,"",SUM(D14:D21))</f>
        <v/>
      </c>
      <c r="E22" s="743" t="str">
        <f>IF(SUM(E14:E21)=0,"",SUM(E14:E21))</f>
        <v/>
      </c>
      <c r="F22" s="147" t="str">
        <f t="shared" ref="F22:O22" si="8">IF(SUM(F14:F21)=0,"",SUM(F14:F21))</f>
        <v/>
      </c>
      <c r="G22" s="147" t="str">
        <f t="shared" si="8"/>
        <v/>
      </c>
      <c r="H22" s="769"/>
      <c r="I22" s="147" t="str">
        <f t="shared" si="8"/>
        <v/>
      </c>
      <c r="J22" s="147" t="str">
        <f t="shared" si="8"/>
        <v/>
      </c>
      <c r="K22" s="753">
        <f>SUM(K14:K21)</f>
        <v>0</v>
      </c>
      <c r="L22" s="754" t="str">
        <f t="shared" si="8"/>
        <v/>
      </c>
      <c r="M22" s="754" t="str">
        <f t="shared" si="8"/>
        <v/>
      </c>
      <c r="N22" s="147" t="str">
        <f t="shared" si="8"/>
        <v/>
      </c>
      <c r="O22" s="733" t="str">
        <f t="shared" si="8"/>
        <v/>
      </c>
    </row>
    <row r="23" spans="1:15">
      <c r="A23" s="509" t="s">
        <v>486</v>
      </c>
      <c r="B23" s="735"/>
      <c r="C23" s="684" t="str">
        <f>IF(SUM(C8,C13,C22)=0,"",SUM(C8,C13,C22))</f>
        <v/>
      </c>
      <c r="D23" s="729" t="str">
        <f>IF(SUM(D8,D13,D22)=0,"",SUM(D8,D13,D22))</f>
        <v/>
      </c>
      <c r="E23" s="768"/>
      <c r="F23" s="729" t="str">
        <f>IF(SUM(F8,F13,F22)=0,"",SUM(F8,F13,F22))</f>
        <v/>
      </c>
      <c r="G23" s="147"/>
      <c r="H23" s="769"/>
      <c r="I23" s="757" t="str">
        <f>IF(SUM(I8,I13,I22)=0,"",SUM(I8,I13,I22))</f>
        <v/>
      </c>
      <c r="J23" s="729" t="str">
        <f>IF(SUM(J8,J13,J22)=0,"",SUM(J8,J13,J22))</f>
        <v/>
      </c>
      <c r="K23" s="763"/>
      <c r="L23" s="755"/>
      <c r="M23" s="750"/>
      <c r="N23" s="145" t="str">
        <f>IF(SUM(N8,N13,N22)=0,"",SUM(N8,N13,N22))</f>
        <v/>
      </c>
      <c r="O23" s="732" t="str">
        <f>IF(SUM(O8,O13,O22)=0,"",SUM(O8,O13,O22))</f>
        <v/>
      </c>
    </row>
    <row r="24" spans="1:15">
      <c r="A24" s="739" t="s">
        <v>628</v>
      </c>
      <c r="B24" s="703"/>
      <c r="C24" s="744" t="str">
        <f>IF(SUM(C13,C22)=0,"",SUM(C13,C22))</f>
        <v/>
      </c>
      <c r="D24" s="771"/>
      <c r="E24" s="728"/>
      <c r="F24" s="752"/>
      <c r="G24" s="145" t="str">
        <f>IF(SUM(G13,G22)=0,"",SUM(G13,G22))</f>
        <v/>
      </c>
      <c r="H24" s="728"/>
      <c r="I24" s="749"/>
      <c r="J24" s="764"/>
      <c r="K24" s="758" t="str">
        <f>IF(SUM(K13,K22)=0,"",SUM(K13,K22))</f>
        <v/>
      </c>
      <c r="L24" s="748"/>
      <c r="M24" s="751"/>
      <c r="N24" s="344" t="str">
        <f>IF(SUM(N13,N22)=0,"",SUM(N13,N22))</f>
        <v/>
      </c>
      <c r="O24" s="778"/>
    </row>
    <row r="26" spans="1:15">
      <c r="A26" s="740" t="s">
        <v>18</v>
      </c>
      <c r="B26" s="741" t="s">
        <v>629</v>
      </c>
      <c r="C26" s="745" t="str">
        <f>C23</f>
        <v/>
      </c>
    </row>
    <row r="27" spans="1:15">
      <c r="B27" s="503" t="s">
        <v>630</v>
      </c>
      <c r="C27" s="745" t="str">
        <f>C24</f>
        <v/>
      </c>
    </row>
    <row r="28" spans="1:15">
      <c r="B28" s="741" t="s">
        <v>632</v>
      </c>
      <c r="C28" s="745" t="str">
        <f>D23</f>
        <v/>
      </c>
    </row>
    <row r="29" spans="1:15">
      <c r="B29" s="503" t="s">
        <v>631</v>
      </c>
      <c r="C29" s="745" t="str">
        <f>I23</f>
        <v/>
      </c>
    </row>
    <row r="30" spans="1:15">
      <c r="B30" s="774" t="s">
        <v>476</v>
      </c>
      <c r="C30" s="775" t="str">
        <f>J23</f>
        <v/>
      </c>
    </row>
    <row r="31" spans="1:15">
      <c r="B31" s="783" t="s">
        <v>483</v>
      </c>
      <c r="C31" s="776" t="str">
        <f>N24</f>
        <v/>
      </c>
    </row>
    <row r="32" spans="1:15">
      <c r="B32" s="785" t="s">
        <v>638</v>
      </c>
      <c r="C32" s="782" t="str">
        <f>K24</f>
        <v/>
      </c>
    </row>
    <row r="33" spans="1:5">
      <c r="B33" s="784" t="s">
        <v>41</v>
      </c>
      <c r="C33" s="777" t="str">
        <f>L22</f>
        <v/>
      </c>
    </row>
    <row r="34" spans="1:5">
      <c r="B34" s="786" t="s">
        <v>271</v>
      </c>
      <c r="C34" s="779" t="str">
        <f>M22</f>
        <v/>
      </c>
    </row>
    <row r="35" spans="1:5">
      <c r="B35" s="780" t="s">
        <v>488</v>
      </c>
      <c r="C35" s="781" t="str">
        <f>O23</f>
        <v/>
      </c>
    </row>
    <row r="36" spans="1:5">
      <c r="C36" s="746"/>
    </row>
    <row r="37" spans="1:5">
      <c r="A37" s="740" t="s">
        <v>621</v>
      </c>
      <c r="B37" s="741" t="s">
        <v>630</v>
      </c>
      <c r="C37" s="745" t="str">
        <f>C24</f>
        <v/>
      </c>
    </row>
    <row r="38" spans="1:5">
      <c r="C38" s="746"/>
    </row>
    <row r="39" spans="1:5">
      <c r="A39" s="740" t="s">
        <v>623</v>
      </c>
      <c r="B39" s="787" t="s">
        <v>636</v>
      </c>
      <c r="C39" s="745" t="str">
        <f>D22</f>
        <v/>
      </c>
    </row>
    <row r="40" spans="1:5">
      <c r="B40" s="741" t="s">
        <v>633</v>
      </c>
      <c r="C40" s="745" t="str">
        <f>E22</f>
        <v/>
      </c>
    </row>
    <row r="41" spans="1:5">
      <c r="B41" s="787" t="s">
        <v>637</v>
      </c>
      <c r="C41" s="745" t="str">
        <f>D13</f>
        <v/>
      </c>
    </row>
    <row r="42" spans="1:5">
      <c r="C42" s="746"/>
    </row>
    <row r="43" spans="1:5">
      <c r="A43" s="740" t="s">
        <v>622</v>
      </c>
      <c r="B43" s="741" t="s">
        <v>634</v>
      </c>
      <c r="C43" s="745" t="str">
        <f>F13</f>
        <v/>
      </c>
    </row>
    <row r="44" spans="1:5">
      <c r="B44" s="787" t="s">
        <v>635</v>
      </c>
      <c r="C44" s="745" t="str">
        <f>H13</f>
        <v/>
      </c>
    </row>
    <row r="46" spans="1:5" s="72" customFormat="1"/>
    <row r="47" spans="1:5" s="72" customFormat="1">
      <c r="E47" s="73"/>
    </row>
    <row r="48" spans="1:5" s="72" customFormat="1">
      <c r="E48" s="73"/>
    </row>
    <row r="49" spans="5:5" s="72" customFormat="1">
      <c r="E49" s="73"/>
    </row>
    <row r="50" spans="5:5" s="72" customFormat="1">
      <c r="E50" s="73"/>
    </row>
    <row r="51" spans="5:5" s="72" customFormat="1">
      <c r="E51" s="73"/>
    </row>
    <row r="52" spans="5:5" s="72" customFormat="1">
      <c r="E52" s="73"/>
    </row>
    <row r="53" spans="5:5" s="72" customFormat="1"/>
    <row r="54" spans="5:5" s="72" customFormat="1"/>
    <row r="55" spans="5:5" s="72" customFormat="1"/>
    <row r="56" spans="5:5" s="72" customFormat="1"/>
    <row r="57" spans="5:5" s="72" customFormat="1"/>
    <row r="58" spans="5:5" s="72" customFormat="1"/>
    <row r="59" spans="5:5" s="72" customFormat="1"/>
    <row r="60" spans="5:5" s="72" customFormat="1"/>
    <row r="61" spans="5:5" s="72" customFormat="1"/>
    <row r="62" spans="5:5" s="72" customFormat="1"/>
    <row r="63" spans="5:5" s="72" customFormat="1"/>
    <row r="64" spans="5:5" s="72" customFormat="1"/>
    <row r="65" s="72" customFormat="1"/>
    <row r="66" s="72" customFormat="1"/>
    <row r="67" s="72" customFormat="1"/>
    <row r="68" s="72" customFormat="1"/>
    <row r="69" s="72" customFormat="1"/>
    <row r="70" s="72" customFormat="1"/>
    <row r="71" s="72" customFormat="1"/>
    <row r="72" s="72" customFormat="1"/>
    <row r="73" s="72" customFormat="1"/>
    <row r="74" s="72" customFormat="1"/>
    <row r="75" s="72" customFormat="1"/>
    <row r="76" s="72" customFormat="1"/>
    <row r="77" s="72" customFormat="1"/>
    <row r="78" s="72" customFormat="1"/>
    <row r="79" s="72" customFormat="1"/>
    <row r="80" s="72" customFormat="1"/>
    <row r="81" s="72" customFormat="1"/>
    <row r="82" s="72" customFormat="1"/>
    <row r="83" s="72" customFormat="1"/>
    <row r="84" s="72" customFormat="1"/>
    <row r="85" s="72" customFormat="1"/>
    <row r="86" s="72" customFormat="1"/>
    <row r="87" s="72" customFormat="1"/>
    <row r="88" s="72" customFormat="1"/>
    <row r="89" s="72" customFormat="1"/>
    <row r="90" s="72" customFormat="1"/>
    <row r="91" s="72" customFormat="1"/>
    <row r="92" s="72" customFormat="1"/>
    <row r="93" s="72" customFormat="1"/>
    <row r="94" s="72" customFormat="1"/>
    <row r="95" s="72" customFormat="1"/>
    <row r="96" s="72" customFormat="1"/>
    <row r="97" s="72" customFormat="1"/>
    <row r="98" s="72" customFormat="1"/>
    <row r="99" s="72" customFormat="1"/>
    <row r="100" s="72" customFormat="1"/>
    <row r="101" s="72" customFormat="1"/>
    <row r="102" s="72" customFormat="1"/>
    <row r="103" s="72" customFormat="1"/>
    <row r="104" s="72" customFormat="1"/>
    <row r="105" s="72" customFormat="1"/>
    <row r="106" s="72" customFormat="1"/>
    <row r="107" s="72" customFormat="1"/>
    <row r="108" s="72" customFormat="1"/>
    <row r="109" s="72" customFormat="1"/>
    <row r="110" s="72" customFormat="1"/>
    <row r="111" s="72" customFormat="1"/>
    <row r="112" s="72" customFormat="1"/>
    <row r="113" s="72" customFormat="1"/>
    <row r="114" s="72" customFormat="1"/>
    <row r="115" s="72" customFormat="1"/>
    <row r="116" s="72" customFormat="1"/>
    <row r="117" s="72" customFormat="1"/>
    <row r="118" s="72" customFormat="1"/>
    <row r="119" s="72" customFormat="1"/>
    <row r="120" s="72" customFormat="1"/>
    <row r="121" s="72" customFormat="1"/>
    <row r="122" s="72" customFormat="1"/>
    <row r="123" s="72" customFormat="1"/>
    <row r="124" s="72" customFormat="1"/>
    <row r="125" s="72" customFormat="1"/>
    <row r="126" s="72" customFormat="1"/>
    <row r="127" s="72" customFormat="1"/>
    <row r="128" s="72" customFormat="1"/>
    <row r="129" s="72" customFormat="1"/>
    <row r="130" s="72" customFormat="1"/>
    <row r="131" s="72" customFormat="1"/>
    <row r="132" s="72" customFormat="1"/>
    <row r="133" s="72" customFormat="1"/>
    <row r="134" s="72" customFormat="1"/>
    <row r="135" s="72" customFormat="1"/>
    <row r="136" s="72" customFormat="1"/>
    <row r="137" s="72" customFormat="1"/>
    <row r="138" s="72" customFormat="1"/>
    <row r="139" s="72" customFormat="1"/>
    <row r="140" s="72" customFormat="1"/>
    <row r="141" s="72" customFormat="1"/>
    <row r="142" s="72" customFormat="1"/>
    <row r="143" s="72" customFormat="1"/>
    <row r="144" s="72" customFormat="1"/>
    <row r="145" s="72" customFormat="1"/>
    <row r="146" s="72" customFormat="1"/>
    <row r="147" s="72" customFormat="1"/>
    <row r="148" s="72" customFormat="1"/>
    <row r="149" s="72" customFormat="1"/>
    <row r="150" s="72" customFormat="1"/>
    <row r="151" s="72" customFormat="1"/>
    <row r="152" s="72" customFormat="1"/>
    <row r="153" s="72" customFormat="1"/>
    <row r="154" s="72" customFormat="1"/>
    <row r="155" s="72" customFormat="1"/>
    <row r="156" s="72" customFormat="1"/>
    <row r="157" s="72" customFormat="1"/>
    <row r="158" s="72" customFormat="1"/>
    <row r="159" s="72" customFormat="1"/>
    <row r="160" s="72" customFormat="1"/>
    <row r="161" s="72" customFormat="1"/>
    <row r="162" s="72" customFormat="1"/>
    <row r="163" s="72" customFormat="1"/>
    <row r="164" s="72" customFormat="1"/>
    <row r="165" s="72" customFormat="1"/>
    <row r="166" s="72" customFormat="1"/>
    <row r="167" s="72" customFormat="1"/>
    <row r="168" s="72" customFormat="1"/>
    <row r="169" s="72" customFormat="1"/>
    <row r="170" s="72" customFormat="1"/>
    <row r="171" s="72" customFormat="1"/>
    <row r="172" s="72" customFormat="1"/>
    <row r="173" s="72" customFormat="1"/>
    <row r="174" s="72" customFormat="1"/>
    <row r="175" s="72" customFormat="1"/>
    <row r="176" s="72" customFormat="1"/>
    <row r="177" s="72" customFormat="1"/>
    <row r="178" s="72" customFormat="1"/>
    <row r="179" s="72" customFormat="1"/>
    <row r="180" s="72" customFormat="1"/>
    <row r="181" s="72" customFormat="1"/>
    <row r="182" s="72" customFormat="1"/>
    <row r="183" s="72" customFormat="1"/>
    <row r="184" s="72" customFormat="1"/>
    <row r="185" s="72" customFormat="1"/>
    <row r="186" s="72" customFormat="1"/>
  </sheetData>
  <mergeCells count="1">
    <mergeCell ref="A1:O1"/>
  </mergeCells>
  <pageMargins left="0.70866141732283472" right="0.70866141732283472" top="0.74803149606299213" bottom="0.74803149606299213" header="0.31496062992125984" footer="0.31496062992125984"/>
  <pageSetup paperSize="9" scale="69" orientation="landscape" r:id="rId1"/>
  <ignoredErrors>
    <ignoredError sqref="I13 N13" formula="1"/>
  </ignoredErrors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25">
    <tabColor theme="5" tint="0.39997558519241921"/>
  </sheetPr>
  <dimension ref="A1:G39"/>
  <sheetViews>
    <sheetView workbookViewId="0">
      <selection activeCell="I5" sqref="I5:J5"/>
    </sheetView>
  </sheetViews>
  <sheetFormatPr baseColWidth="10" defaultColWidth="12.5703125" defaultRowHeight="15"/>
  <cols>
    <col min="1" max="1" width="6.5703125" style="548" customWidth="1"/>
    <col min="2" max="2" width="40.5703125" style="548" bestFit="1" customWidth="1"/>
    <col min="3" max="3" width="8.140625" style="548" customWidth="1"/>
    <col min="4" max="4" width="10.85546875" style="548" bestFit="1" customWidth="1"/>
    <col min="5" max="5" width="7.5703125" style="548" bestFit="1" customWidth="1"/>
    <col min="6" max="6" width="12.42578125" style="548" bestFit="1" customWidth="1"/>
    <col min="7" max="16384" width="12.5703125" style="548"/>
  </cols>
  <sheetData>
    <row r="1" spans="1:7" ht="24.95" customHeight="1">
      <c r="A1" s="1199"/>
      <c r="B1" s="1200"/>
      <c r="C1" s="1200"/>
      <c r="D1" s="1200"/>
      <c r="E1" s="513"/>
      <c r="F1" s="514"/>
    </row>
    <row r="2" spans="1:7" ht="24.95" customHeight="1">
      <c r="A2" s="515"/>
      <c r="B2" s="550" t="s">
        <v>489</v>
      </c>
      <c r="C2" s="1203" t="s">
        <v>490</v>
      </c>
      <c r="D2" s="1203"/>
      <c r="E2" s="1203"/>
      <c r="F2" s="1204"/>
    </row>
    <row r="3" spans="1:7" ht="24.95" customHeight="1">
      <c r="A3" s="516"/>
      <c r="B3" s="517" t="s">
        <v>491</v>
      </c>
      <c r="C3" s="518"/>
      <c r="D3" s="518"/>
      <c r="E3" s="518"/>
      <c r="F3" s="519"/>
    </row>
    <row r="4" spans="1:7" ht="24.95" customHeight="1">
      <c r="A4" s="516"/>
      <c r="B4" s="517"/>
      <c r="C4" s="518"/>
      <c r="D4" s="518"/>
      <c r="E4" s="518"/>
      <c r="F4" s="519"/>
    </row>
    <row r="5" spans="1:7" ht="39.75" customHeight="1">
      <c r="A5" s="520" t="s">
        <v>492</v>
      </c>
      <c r="B5" s="521"/>
      <c r="C5" s="522"/>
      <c r="D5" s="523" t="s">
        <v>530</v>
      </c>
      <c r="E5" s="523" t="s">
        <v>493</v>
      </c>
      <c r="F5" s="524" t="s">
        <v>494</v>
      </c>
    </row>
    <row r="6" spans="1:7" ht="24.75" customHeight="1">
      <c r="A6" s="525" t="s">
        <v>495</v>
      </c>
      <c r="B6" s="553" t="s">
        <v>584</v>
      </c>
      <c r="C6" s="551" t="str">
        <f>IF(COUNT('Masse salariale'!K6:K7,'Masse salariale'!K9:K12,'Masse salariale'!K14:K21)=0,"",COUNT('Masse salariale'!K6:K7,'Masse salariale'!K9:K12,'Masse salariale'!K14:K21))</f>
        <v/>
      </c>
      <c r="D6" s="526" t="str">
        <f>'Masse salariale'!C32</f>
        <v/>
      </c>
      <c r="E6" s="527">
        <v>1</v>
      </c>
      <c r="F6" s="528" t="str">
        <f>IF(D6="","",D6*E6)</f>
        <v/>
      </c>
    </row>
    <row r="7" spans="1:7" ht="24.75" customHeight="1">
      <c r="A7" s="525" t="s">
        <v>496</v>
      </c>
      <c r="B7" s="553" t="s">
        <v>529</v>
      </c>
      <c r="C7" s="551" t="str">
        <f>IF(COUNT('Masse salariale'!$C$9:$C$12,'Masse salariale'!$C$14:$C$21)=0,"",COUNT('Masse salariale'!$C$9:$C$12,'Masse salariale'!$C$14:$C$21))</f>
        <v/>
      </c>
      <c r="D7" s="535" t="str">
        <f>'Masse salariale'!C27</f>
        <v/>
      </c>
      <c r="E7" s="529">
        <f>Cotisations!B18</f>
        <v>1.6000000000000001E-4</v>
      </c>
      <c r="F7" s="528" t="str">
        <f t="shared" ref="F7:F24" si="0">IF(D7="","",D7*E7)</f>
        <v/>
      </c>
    </row>
    <row r="8" spans="1:7" ht="24.75" customHeight="1">
      <c r="A8" s="530" t="s">
        <v>497</v>
      </c>
      <c r="B8" s="554" t="s">
        <v>498</v>
      </c>
      <c r="C8" s="552" t="str">
        <f>IF(COUNT('Masse salariale'!$C$6:$C$7,'Masse salariale'!$C$9:$C$12,'Masse salariale'!$C$14:$C$21)=0,"",COUNT('Masse salariale'!$C$6:$C$7,'Masse salariale'!$C$9:$C$12,'Masse salariale'!$C$14:$C$21))</f>
        <v/>
      </c>
      <c r="D8" s="531" t="str">
        <f>'Masse salariale'!C26</f>
        <v/>
      </c>
      <c r="E8" s="532"/>
      <c r="F8" s="533" t="str">
        <f t="shared" si="0"/>
        <v/>
      </c>
    </row>
    <row r="9" spans="1:7" ht="24.75" customHeight="1">
      <c r="A9" s="525" t="s">
        <v>499</v>
      </c>
      <c r="B9" s="555" t="s">
        <v>582</v>
      </c>
      <c r="C9" s="551" t="str">
        <f>IF(COUNT('Masse salariale'!$C$6:$C$7,'Masse salariale'!$C$9:$C$12,'Masse salariale'!$C$14:$C$21)=0,"",COUNT('Masse salariale'!$C$6:$C$7,'Masse salariale'!$C$9:$C$12,'Masse salariale'!$C$14:$C$21))</f>
        <v/>
      </c>
      <c r="D9" s="535" t="str">
        <f>D8</f>
        <v/>
      </c>
      <c r="E9" s="536">
        <f>SUM(Cotisations!B8:C10,Cotisations!B12:C12)</f>
        <v>0.19689999999999999</v>
      </c>
      <c r="F9" s="528" t="str">
        <f t="shared" si="0"/>
        <v/>
      </c>
      <c r="G9" s="709"/>
    </row>
    <row r="10" spans="1:7" ht="24.75" customHeight="1">
      <c r="A10" s="525" t="s">
        <v>500</v>
      </c>
      <c r="B10" s="555" t="s">
        <v>583</v>
      </c>
      <c r="C10" s="551" t="str">
        <f>IF(COUNT('Masse salariale'!$C$6:$C$7,'Masse salariale'!$C$9:$C$12,'Masse salariale'!$C$14:$C$21)=0,"",COUNT('Masse salariale'!$C$6:$C$7,'Masse salariale'!$C$9:$C$12,'Masse salariale'!$C$14:$C$21))</f>
        <v/>
      </c>
      <c r="D10" s="535" t="str">
        <f>D9</f>
        <v/>
      </c>
      <c r="E10" s="536">
        <f>SUM(Cotisations!B13:C13)</f>
        <v>0.15450000000000003</v>
      </c>
      <c r="F10" s="528" t="str">
        <f t="shared" si="0"/>
        <v/>
      </c>
      <c r="G10" s="710"/>
    </row>
    <row r="11" spans="1:7" ht="24.75" customHeight="1">
      <c r="A11" s="525" t="s">
        <v>501</v>
      </c>
      <c r="B11" s="555" t="s">
        <v>502</v>
      </c>
      <c r="C11" s="551" t="str">
        <f>IF(effectif&gt;19,$C$10,"")</f>
        <v/>
      </c>
      <c r="D11" s="535" t="str">
        <f>IF(effectif&gt;=20,'Masse salariale'!$C$24,"")</f>
        <v/>
      </c>
      <c r="E11" s="536">
        <f>Cotisations!B15</f>
        <v>5.0000000000000001E-3</v>
      </c>
      <c r="F11" s="528" t="str">
        <f t="shared" si="0"/>
        <v/>
      </c>
    </row>
    <row r="12" spans="1:7" ht="24.75" customHeight="1">
      <c r="A12" s="525" t="s">
        <v>503</v>
      </c>
      <c r="B12" s="555" t="s">
        <v>504</v>
      </c>
      <c r="C12" s="551" t="str">
        <f>IF(effectif&lt;20,$C$10,"")</f>
        <v/>
      </c>
      <c r="D12" s="535" t="str">
        <f>'Masse salariale'!C28</f>
        <v/>
      </c>
      <c r="E12" s="536">
        <f>Cotisations!B14</f>
        <v>1E-3</v>
      </c>
      <c r="F12" s="528" t="str">
        <f t="shared" si="0"/>
        <v/>
      </c>
    </row>
    <row r="13" spans="1:7" ht="24.75" customHeight="1">
      <c r="A13" s="525" t="s">
        <v>505</v>
      </c>
      <c r="B13" s="555" t="s">
        <v>506</v>
      </c>
      <c r="C13" s="551" t="str">
        <f>$C$10</f>
        <v/>
      </c>
      <c r="D13" s="535" t="str">
        <f>'Masse salariale'!C29</f>
        <v/>
      </c>
      <c r="E13" s="536">
        <f>SUM(Cotisations!C5:C7)</f>
        <v>0.08</v>
      </c>
      <c r="F13" s="528" t="str">
        <f t="shared" si="0"/>
        <v/>
      </c>
    </row>
    <row r="14" spans="1:7" ht="24.75" customHeight="1">
      <c r="A14" s="525" t="s">
        <v>507</v>
      </c>
      <c r="B14" s="555" t="s">
        <v>508</v>
      </c>
      <c r="C14" s="551" t="str">
        <f>IF(COUNT('Masse salariale'!$O$9:$O$12,'Masse salariale'!$O$14:$O$21)=0,"",COUNT('Masse salariale'!$O$9:$O$12,'Masse salariale'!$O$14:$O$21))</f>
        <v/>
      </c>
      <c r="D14" s="535" t="str">
        <f>'Masse salariale'!C35</f>
        <v/>
      </c>
      <c r="E14" s="711"/>
      <c r="F14" s="528"/>
    </row>
    <row r="15" spans="1:7" ht="24.75" customHeight="1">
      <c r="A15" s="525" t="s">
        <v>509</v>
      </c>
      <c r="B15" s="555" t="s">
        <v>510</v>
      </c>
      <c r="C15" s="551" t="str">
        <f>IF(COUNT('Masse salariale'!$N$6:$N$7,'Masse salariale'!$N$9:$N$12,'Masse salariale'!$N$14:$N$21)=0,"",COUNT('Masse salariale'!$N$6:$N$7,'Masse salariale'!$N$9:$N$12,'Masse salariale'!$N$14:$N$21))</f>
        <v/>
      </c>
      <c r="D15" s="535" t="str">
        <f>'Masse salariale'!C31</f>
        <v/>
      </c>
      <c r="E15" s="536">
        <f>Cotisations!B11</f>
        <v>1.7999999999999999E-2</v>
      </c>
      <c r="F15" s="528" t="str">
        <f t="shared" si="0"/>
        <v/>
      </c>
    </row>
    <row r="16" spans="1:7" ht="24.75" customHeight="1">
      <c r="A16" s="537">
        <v>437</v>
      </c>
      <c r="B16" s="555" t="s">
        <v>511</v>
      </c>
      <c r="C16" s="551"/>
      <c r="D16" s="535"/>
      <c r="E16" s="527">
        <v>1</v>
      </c>
      <c r="F16" s="528" t="str">
        <f t="shared" si="0"/>
        <v/>
      </c>
    </row>
    <row r="17" spans="1:7" ht="24.75" customHeight="1">
      <c r="A17" s="537">
        <v>450</v>
      </c>
      <c r="B17" s="555" t="s">
        <v>512</v>
      </c>
      <c r="C17" s="551" t="str">
        <f>IF(COUNT('Masse salariale'!$C$9:$C$12,'Masse salariale'!$C$14:$C$21)=0,"",COUNT('Masse salariale'!$C$9:$C$12,'Masse salariale'!$C$14:$C$21))</f>
        <v/>
      </c>
      <c r="D17" s="526" t="str">
        <f>'Masse salariale'!C27</f>
        <v/>
      </c>
      <c r="E17" s="536">
        <f>Cotisations!B19</f>
        <v>1E-4</v>
      </c>
      <c r="F17" s="528" t="str">
        <f t="shared" si="0"/>
        <v/>
      </c>
    </row>
    <row r="18" spans="1:7" ht="24.75" customHeight="1">
      <c r="A18" s="538" t="s">
        <v>513</v>
      </c>
      <c r="B18" s="555" t="s">
        <v>514</v>
      </c>
      <c r="C18" s="551" t="str">
        <f>IF(effectif&lt;11,"",$C$10)</f>
        <v/>
      </c>
      <c r="D18" s="551" t="str">
        <f>IF(effectif&lt;11,"",'Masse salariale'!C30)</f>
        <v/>
      </c>
      <c r="E18" s="536">
        <f>Cotisations!B16</f>
        <v>0.08</v>
      </c>
      <c r="F18" s="528" t="str">
        <f t="shared" si="0"/>
        <v/>
      </c>
    </row>
    <row r="19" spans="1:7" ht="24.75" customHeight="1">
      <c r="A19" s="538" t="s">
        <v>515</v>
      </c>
      <c r="B19" s="555" t="s">
        <v>514</v>
      </c>
      <c r="C19" s="551"/>
      <c r="D19" s="535"/>
      <c r="E19" s="536">
        <f>Cotisations!B17</f>
        <v>0.2</v>
      </c>
      <c r="F19" s="528" t="str">
        <f t="shared" si="0"/>
        <v/>
      </c>
    </row>
    <row r="20" spans="1:7" ht="24.75" customHeight="1">
      <c r="A20" s="525" t="s">
        <v>516</v>
      </c>
      <c r="B20" s="555" t="s">
        <v>517</v>
      </c>
      <c r="C20" s="551" t="str">
        <f>IF(COUNT('Masse salariale'!$L$14:$L$21)=0,"",COUNT('Masse salariale'!$L$14:$L$21))</f>
        <v/>
      </c>
      <c r="D20" s="535" t="str">
        <f>'Masse salariale'!C33</f>
        <v/>
      </c>
      <c r="E20" s="527">
        <v>1</v>
      </c>
      <c r="F20" s="528" t="str">
        <f t="shared" si="0"/>
        <v/>
      </c>
    </row>
    <row r="21" spans="1:7" ht="24.75" customHeight="1">
      <c r="A21" s="537">
        <v>801</v>
      </c>
      <c r="B21" s="555" t="s">
        <v>528</v>
      </c>
      <c r="C21" s="551" t="str">
        <f>IF(COUNT('Masse salariale'!$M$14:$M$21)=0,"",COUNT('Masse salariale'!$M$14:$M$21))</f>
        <v/>
      </c>
      <c r="D21" s="535" t="str">
        <f>'Masse salariale'!C34</f>
        <v/>
      </c>
      <c r="E21" s="527">
        <v>1</v>
      </c>
      <c r="F21" s="528" t="str">
        <f t="shared" si="0"/>
        <v/>
      </c>
    </row>
    <row r="22" spans="1:7" ht="24.75" customHeight="1">
      <c r="A22" s="539" t="s">
        <v>518</v>
      </c>
      <c r="B22" s="554" t="s">
        <v>519</v>
      </c>
      <c r="C22" s="552" t="str">
        <f>C8</f>
        <v/>
      </c>
      <c r="D22" s="531" t="str">
        <f>D8</f>
        <v/>
      </c>
      <c r="E22" s="532"/>
      <c r="F22" s="533" t="str">
        <f t="shared" si="0"/>
        <v/>
      </c>
    </row>
    <row r="23" spans="1:7" ht="24.75" customHeight="1">
      <c r="A23" s="540" t="s">
        <v>520</v>
      </c>
      <c r="B23" s="556" t="s">
        <v>531</v>
      </c>
      <c r="C23" s="551" t="str">
        <f>C17</f>
        <v/>
      </c>
      <c r="D23" s="535" t="str">
        <f>'Masse salariale'!C37</f>
        <v/>
      </c>
      <c r="E23" s="549">
        <f>SUM(Cotisations!B22:C22)</f>
        <v>6.4500000000000002E-2</v>
      </c>
      <c r="F23" s="528" t="str">
        <f t="shared" si="0"/>
        <v/>
      </c>
    </row>
    <row r="24" spans="1:7" ht="24.75" customHeight="1">
      <c r="A24" s="541" t="s">
        <v>521</v>
      </c>
      <c r="B24" s="555" t="s">
        <v>522</v>
      </c>
      <c r="C24" s="551" t="str">
        <f>C23</f>
        <v/>
      </c>
      <c r="D24" s="535" t="str">
        <f>D23</f>
        <v/>
      </c>
      <c r="E24" s="536">
        <f>Cotisations!B23</f>
        <v>1.5E-3</v>
      </c>
      <c r="F24" s="528" t="str">
        <f t="shared" si="0"/>
        <v/>
      </c>
    </row>
    <row r="25" spans="1:7" ht="24.75" customHeight="1">
      <c r="A25" s="541"/>
      <c r="B25" s="534"/>
      <c r="C25" s="534"/>
      <c r="D25" s="534"/>
      <c r="E25" s="536"/>
      <c r="F25" s="528"/>
    </row>
    <row r="26" spans="1:7" ht="24.75" customHeight="1">
      <c r="A26" s="542"/>
      <c r="B26" s="543" t="s">
        <v>527</v>
      </c>
      <c r="C26" s="544" t="s">
        <v>78</v>
      </c>
      <c r="D26" s="544"/>
      <c r="E26" s="1201">
        <f>SUM(F7:F24)</f>
        <v>0</v>
      </c>
      <c r="F26" s="1202"/>
      <c r="G26" s="704"/>
    </row>
    <row r="27" spans="1:7" ht="24.75" customHeight="1">
      <c r="A27" s="542"/>
      <c r="B27" s="543" t="s">
        <v>523</v>
      </c>
      <c r="C27" s="544" t="s">
        <v>524</v>
      </c>
      <c r="D27" s="544"/>
      <c r="E27" s="1201"/>
      <c r="F27" s="1202"/>
    </row>
    <row r="28" spans="1:7" ht="24.75" customHeight="1">
      <c r="A28" s="545"/>
      <c r="B28" s="546" t="s">
        <v>525</v>
      </c>
      <c r="C28" s="547" t="s">
        <v>526</v>
      </c>
      <c r="D28" s="547"/>
      <c r="E28" s="1201">
        <f>SUM(E26:F27)</f>
        <v>0</v>
      </c>
      <c r="F28" s="1202"/>
    </row>
    <row r="34" spans="5:5">
      <c r="E34" s="667" t="str">
        <f>IF(C34="","",ROUND(C34*D34,0))</f>
        <v/>
      </c>
    </row>
    <row r="35" spans="5:5">
      <c r="E35" s="667" t="str">
        <f>IF(C35="","",ROUND(C35*D35,0))</f>
        <v/>
      </c>
    </row>
    <row r="36" spans="5:5">
      <c r="E36" s="667" t="str">
        <f>IF(C36="","",ROUND(C36*D36,0))</f>
        <v/>
      </c>
    </row>
    <row r="37" spans="5:5">
      <c r="E37" s="667" t="str">
        <f>IF(C37="","",ROUND(C37*D37,0))</f>
        <v/>
      </c>
    </row>
    <row r="38" spans="5:5">
      <c r="E38" s="667" t="str">
        <f>IF(C38="","",ROUND(C38*D38,0))</f>
        <v/>
      </c>
    </row>
    <row r="39" spans="5:5">
      <c r="E39" s="667"/>
    </row>
  </sheetData>
  <mergeCells count="5">
    <mergeCell ref="A1:D1"/>
    <mergeCell ref="E26:F26"/>
    <mergeCell ref="E27:F27"/>
    <mergeCell ref="E28:F28"/>
    <mergeCell ref="C2:F2"/>
  </mergeCells>
  <pageMargins left="0.7" right="0.7" top="0.75" bottom="0.75" header="0.3" footer="0.3"/>
  <pageSetup paperSize="9" orientation="portrait" r:id="rId1"/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26">
    <tabColor theme="5" tint="0.39997558519241921"/>
  </sheetPr>
  <dimension ref="A1:E48"/>
  <sheetViews>
    <sheetView workbookViewId="0">
      <selection activeCell="B3" sqref="B3"/>
    </sheetView>
  </sheetViews>
  <sheetFormatPr baseColWidth="10" defaultRowHeight="15"/>
  <cols>
    <col min="1" max="1" width="31.85546875" bestFit="1" customWidth="1"/>
    <col min="2" max="2" width="18.5703125" customWidth="1"/>
    <col min="4" max="4" width="11.5703125" bestFit="1" customWidth="1"/>
  </cols>
  <sheetData>
    <row r="1" spans="1:5" ht="30">
      <c r="A1" s="557" t="s">
        <v>532</v>
      </c>
      <c r="B1" s="559">
        <v>1</v>
      </c>
      <c r="C1" s="560"/>
      <c r="D1" s="559"/>
      <c r="E1" s="559"/>
    </row>
    <row r="2" spans="1:5">
      <c r="A2" s="561" t="s">
        <v>533</v>
      </c>
      <c r="B2" s="560" t="s">
        <v>534</v>
      </c>
      <c r="C2" s="560"/>
      <c r="D2" s="560"/>
      <c r="E2" s="560"/>
    </row>
    <row r="3" spans="1:5">
      <c r="A3" s="561" t="s">
        <v>535</v>
      </c>
      <c r="B3" s="560" t="s">
        <v>536</v>
      </c>
      <c r="C3" s="560"/>
      <c r="D3" s="560"/>
      <c r="E3" s="560"/>
    </row>
    <row r="4" spans="1:5">
      <c r="A4" s="561" t="s">
        <v>537</v>
      </c>
      <c r="B4" s="560"/>
      <c r="C4" s="560"/>
      <c r="D4" s="560"/>
      <c r="E4" s="560"/>
    </row>
    <row r="5" spans="1:5" ht="15.75">
      <c r="A5" s="563" t="s">
        <v>538</v>
      </c>
      <c r="B5" s="558"/>
      <c r="C5" s="558"/>
      <c r="D5" s="560"/>
      <c r="E5" s="560"/>
    </row>
    <row r="6" spans="1:5">
      <c r="A6" s="564">
        <v>56845874</v>
      </c>
      <c r="B6" s="560"/>
      <c r="C6" s="560"/>
      <c r="D6" s="560"/>
      <c r="E6" s="560"/>
    </row>
    <row r="7" spans="1:5" ht="15.75">
      <c r="A7" s="565"/>
      <c r="B7" s="562" t="s">
        <v>539</v>
      </c>
      <c r="C7" s="560"/>
      <c r="D7" s="560"/>
      <c r="E7" s="558"/>
    </row>
    <row r="8" spans="1:5" ht="15.75">
      <c r="A8" s="565"/>
      <c r="B8" s="566" t="s">
        <v>540</v>
      </c>
      <c r="C8" s="560"/>
      <c r="D8" s="560"/>
      <c r="E8" s="560"/>
    </row>
    <row r="9" spans="1:5" ht="15.75">
      <c r="A9" s="565"/>
      <c r="B9" s="567"/>
      <c r="C9" s="568"/>
      <c r="D9" s="560"/>
      <c r="E9" s="558"/>
    </row>
    <row r="10" spans="1:5" ht="15.75">
      <c r="A10" s="565"/>
      <c r="B10" s="567"/>
      <c r="C10" s="560"/>
      <c r="D10" s="560"/>
      <c r="E10" s="558"/>
    </row>
    <row r="11" spans="1:5" ht="15.75">
      <c r="A11" s="565"/>
      <c r="B11" s="569"/>
      <c r="C11" s="560"/>
      <c r="D11" s="560"/>
      <c r="E11" s="560"/>
    </row>
    <row r="12" spans="1:5" ht="15.75">
      <c r="E12" s="570"/>
    </row>
    <row r="13" spans="1:5" ht="15.75">
      <c r="A13" s="1205" t="s">
        <v>581</v>
      </c>
      <c r="B13" s="1205"/>
      <c r="C13" s="1205"/>
      <c r="D13" s="1205"/>
      <c r="E13" s="570"/>
    </row>
    <row r="14" spans="1:5" ht="15.75" customHeight="1">
      <c r="A14" s="571" t="s">
        <v>542</v>
      </c>
      <c r="B14" s="571" t="s">
        <v>543</v>
      </c>
      <c r="C14" s="572" t="s">
        <v>189</v>
      </c>
      <c r="D14" s="572" t="s">
        <v>168</v>
      </c>
      <c r="E14" s="1206" t="s">
        <v>85</v>
      </c>
    </row>
    <row r="15" spans="1:5" ht="15.75">
      <c r="A15" s="573"/>
      <c r="B15" s="574"/>
      <c r="C15" s="575" t="s">
        <v>544</v>
      </c>
      <c r="D15" s="575" t="s">
        <v>545</v>
      </c>
      <c r="E15" s="1207"/>
    </row>
    <row r="16" spans="1:5" ht="15.75">
      <c r="A16" s="576" t="s">
        <v>482</v>
      </c>
      <c r="B16" s="578"/>
      <c r="C16" s="571"/>
      <c r="D16" s="579"/>
      <c r="E16" s="598"/>
    </row>
    <row r="17" spans="1:5">
      <c r="A17" s="666" t="str">
        <f>IF('Masse salariale'!B14="","",'Masse salariale'!B14)</f>
        <v/>
      </c>
      <c r="B17" s="581"/>
      <c r="C17" s="707" t="str">
        <f>IF('Masse salariale'!C14="","",'Masse salariale'!C14)</f>
        <v/>
      </c>
      <c r="D17" s="707" t="str">
        <f>IF('Masse salariale'!D14="","",'Masse salariale'!D14)</f>
        <v/>
      </c>
      <c r="E17" s="666" t="str">
        <f>IF('Masse salariale'!E14="","",'Masse salariale'!E14)</f>
        <v/>
      </c>
    </row>
    <row r="18" spans="1:5">
      <c r="A18" s="666" t="str">
        <f>IF('Masse salariale'!B15="","",'Masse salariale'!B15)</f>
        <v/>
      </c>
      <c r="B18" s="581"/>
      <c r="C18" s="707" t="str">
        <f>IF('Masse salariale'!C15="","",'Masse salariale'!C15)</f>
        <v/>
      </c>
      <c r="D18" s="707" t="str">
        <f>IF('Masse salariale'!D15="","",'Masse salariale'!D15)</f>
        <v/>
      </c>
      <c r="E18" s="666" t="str">
        <f>IF('Masse salariale'!E15="","",'Masse salariale'!E15)</f>
        <v/>
      </c>
    </row>
    <row r="19" spans="1:5">
      <c r="A19" s="666" t="str">
        <f>IF('Masse salariale'!B16="","",'Masse salariale'!B16)</f>
        <v/>
      </c>
      <c r="B19" s="581"/>
      <c r="C19" s="707" t="str">
        <f>IF('Masse salariale'!C16="","",'Masse salariale'!C16)</f>
        <v/>
      </c>
      <c r="D19" s="707" t="str">
        <f>IF('Masse salariale'!D16="","",'Masse salariale'!D16)</f>
        <v/>
      </c>
      <c r="E19" s="666" t="str">
        <f>IF('Masse salariale'!E16="","",'Masse salariale'!E16)</f>
        <v/>
      </c>
    </row>
    <row r="20" spans="1:5">
      <c r="A20" s="666" t="str">
        <f>IF('Masse salariale'!B17="","",'Masse salariale'!B17)</f>
        <v/>
      </c>
      <c r="B20" s="581"/>
      <c r="C20" s="707" t="str">
        <f>IF('Masse salariale'!C17="","",'Masse salariale'!C17)</f>
        <v/>
      </c>
      <c r="D20" s="707" t="str">
        <f>IF('Masse salariale'!D17="","",'Masse salariale'!D17)</f>
        <v/>
      </c>
      <c r="E20" s="666" t="str">
        <f>IF('Masse salariale'!E17="","",'Masse salariale'!E17)</f>
        <v/>
      </c>
    </row>
    <row r="21" spans="1:5">
      <c r="A21" s="666" t="str">
        <f>IF('Masse salariale'!B18="","",'Masse salariale'!B18)</f>
        <v/>
      </c>
      <c r="B21" s="581"/>
      <c r="C21" s="707" t="str">
        <f>IF('Masse salariale'!C18="","",'Masse salariale'!C18)</f>
        <v/>
      </c>
      <c r="D21" s="707" t="str">
        <f>IF('Masse salariale'!D18="","",'Masse salariale'!D18)</f>
        <v/>
      </c>
      <c r="E21" s="666" t="str">
        <f>IF('Masse salariale'!E18="","",'Masse salariale'!E18)</f>
        <v/>
      </c>
    </row>
    <row r="22" spans="1:5">
      <c r="A22" s="666" t="str">
        <f>IF('Masse salariale'!B19="","",'Masse salariale'!B19)</f>
        <v/>
      </c>
      <c r="B22" s="581"/>
      <c r="C22" s="707" t="str">
        <f>IF('Masse salariale'!C19="","",'Masse salariale'!C19)</f>
        <v/>
      </c>
      <c r="D22" s="707" t="str">
        <f>IF('Masse salariale'!D19="","",'Masse salariale'!D19)</f>
        <v/>
      </c>
      <c r="E22" s="666" t="str">
        <f>IF('Masse salariale'!E19="","",'Masse salariale'!E19)</f>
        <v/>
      </c>
    </row>
    <row r="23" spans="1:5">
      <c r="A23" s="666" t="str">
        <f>IF('Masse salariale'!B20="","",'Masse salariale'!B20)</f>
        <v/>
      </c>
      <c r="B23" s="581"/>
      <c r="C23" s="707" t="str">
        <f>IF('Masse salariale'!C20="","",'Masse salariale'!C20)</f>
        <v/>
      </c>
      <c r="D23" s="707" t="str">
        <f>IF('Masse salariale'!D20="","",'Masse salariale'!D20)</f>
        <v/>
      </c>
      <c r="E23" s="666" t="str">
        <f>IF('Masse salariale'!E20="","",'Masse salariale'!E20)</f>
        <v/>
      </c>
    </row>
    <row r="24" spans="1:5">
      <c r="A24" s="666" t="str">
        <f>IF('Masse salariale'!B21="","",'Masse salariale'!B21)</f>
        <v/>
      </c>
      <c r="B24" s="581"/>
      <c r="C24" s="707" t="str">
        <f>IF('Masse salariale'!C21="","",'Masse salariale'!C21)</f>
        <v/>
      </c>
      <c r="D24" s="707" t="str">
        <f>IF('Masse salariale'!D21="","",'Masse salariale'!D21)</f>
        <v/>
      </c>
      <c r="E24" s="666" t="str">
        <f>IF('Masse salariale'!E21="","",'Masse salariale'!E21)</f>
        <v/>
      </c>
    </row>
    <row r="25" spans="1:5" ht="15.75">
      <c r="A25" s="580"/>
      <c r="B25" s="581"/>
      <c r="C25" s="582"/>
      <c r="D25" s="583"/>
      <c r="E25" s="670"/>
    </row>
    <row r="26" spans="1:5" ht="15.75">
      <c r="A26" s="580"/>
      <c r="B26" s="581"/>
      <c r="C26" s="584"/>
      <c r="D26" s="583"/>
      <c r="E26" s="670"/>
    </row>
    <row r="27" spans="1:5" ht="15.75">
      <c r="A27" s="580"/>
      <c r="B27" s="581"/>
      <c r="C27" s="585"/>
      <c r="D27" s="586"/>
      <c r="E27" s="573"/>
    </row>
    <row r="28" spans="1:5">
      <c r="A28" s="672"/>
      <c r="B28" s="673" t="s">
        <v>585</v>
      </c>
      <c r="C28" s="665" t="str">
        <f>IF(SUM(C17:C27)=0,"",SUM(C17:C27))</f>
        <v/>
      </c>
      <c r="D28" s="665" t="str">
        <f>IF(SUM(D17:D27)=0,"",SUM(D17:D27))</f>
        <v/>
      </c>
      <c r="E28" s="665" t="str">
        <f>IF(SUM(E17:E27)=0,"",SUM(E17:E27))</f>
        <v/>
      </c>
    </row>
    <row r="29" spans="1:5" ht="16.5" thickBot="1">
      <c r="A29" s="663"/>
      <c r="B29" s="664"/>
      <c r="C29" s="587"/>
      <c r="D29" s="588"/>
      <c r="E29" s="558"/>
    </row>
    <row r="30" spans="1:5" ht="15.75">
      <c r="A30" s="576" t="s">
        <v>481</v>
      </c>
      <c r="B30" s="578"/>
      <c r="C30" s="589"/>
      <c r="D30" s="590"/>
      <c r="E30" s="558"/>
    </row>
    <row r="31" spans="1:5" ht="15.75">
      <c r="A31" s="666" t="str">
        <f>IF('Masse salariale'!B9="","",'Masse salariale'!B9)</f>
        <v/>
      </c>
      <c r="B31" s="581"/>
      <c r="C31" s="666" t="str">
        <f>IF('Masse salariale'!C9="","",'Masse salariale'!C9)</f>
        <v/>
      </c>
      <c r="D31" s="666" t="str">
        <f>IF('Masse salariale'!D9="","",'Masse salariale'!D9)</f>
        <v/>
      </c>
      <c r="E31" s="558"/>
    </row>
    <row r="32" spans="1:5" ht="15.75">
      <c r="A32" s="666" t="str">
        <f>IF('Masse salariale'!B10="","",'Masse salariale'!B10)</f>
        <v/>
      </c>
      <c r="B32" s="581"/>
      <c r="C32" s="666" t="str">
        <f>IF('Masse salariale'!C10="","",'Masse salariale'!C10)</f>
        <v/>
      </c>
      <c r="D32" s="666" t="str">
        <f>IF('Masse salariale'!D10="","",'Masse salariale'!D10)</f>
        <v/>
      </c>
      <c r="E32" s="558"/>
    </row>
    <row r="33" spans="1:5" s="591" customFormat="1" ht="15.75">
      <c r="A33" s="666" t="str">
        <f>IF('Masse salariale'!B11="","",'Masse salariale'!B11)</f>
        <v/>
      </c>
      <c r="B33" s="581"/>
      <c r="C33" s="666" t="str">
        <f>IF('Masse salariale'!C11="","",'Masse salariale'!C11)</f>
        <v/>
      </c>
      <c r="D33" s="666" t="str">
        <f>IF('Masse salariale'!D11="","",'Masse salariale'!D11)</f>
        <v/>
      </c>
      <c r="E33" s="592"/>
    </row>
    <row r="34" spans="1:5" ht="15.75">
      <c r="A34" s="666" t="str">
        <f>IF('Masse salariale'!B12="","",'Masse salariale'!B12)</f>
        <v/>
      </c>
      <c r="B34" s="581"/>
      <c r="C34" s="585"/>
      <c r="D34" s="593"/>
      <c r="E34" s="597"/>
    </row>
    <row r="35" spans="1:5" ht="15.75">
      <c r="A35" s="671"/>
      <c r="B35" s="674" t="s">
        <v>586</v>
      </c>
      <c r="C35" s="594" t="str">
        <f>IF(SUM(C31:C34)=0,"",SUM(C31:C34))</f>
        <v/>
      </c>
      <c r="D35" s="594" t="str">
        <f>IF(SUM(D31:D34)=0,"",SUM(D31:D34))</f>
        <v/>
      </c>
      <c r="E35" s="597"/>
    </row>
    <row r="36" spans="1:5" ht="15.75">
      <c r="A36" s="595"/>
      <c r="B36" s="596"/>
      <c r="C36" s="677"/>
      <c r="D36" s="676"/>
      <c r="E36" s="597"/>
    </row>
    <row r="37" spans="1:5" ht="15.75">
      <c r="A37" s="675"/>
      <c r="B37" s="674" t="s">
        <v>587</v>
      </c>
      <c r="C37" s="678">
        <f>SUM(C28,C35)</f>
        <v>0</v>
      </c>
      <c r="D37" s="678">
        <f>SUM(D28,D35)</f>
        <v>0</v>
      </c>
      <c r="E37" s="597"/>
    </row>
    <row r="38" spans="1:5" ht="15.75">
      <c r="A38" s="577"/>
      <c r="B38" s="597"/>
      <c r="C38" s="597"/>
      <c r="D38" s="598"/>
      <c r="E38" s="597"/>
    </row>
    <row r="39" spans="1:5" ht="15.75">
      <c r="A39" s="577" t="s">
        <v>546</v>
      </c>
      <c r="B39" s="599" t="str">
        <f>+D28</f>
        <v/>
      </c>
      <c r="C39" s="600">
        <f>Cotisations!B28+Cotisations!C28</f>
        <v>7.7499999999999999E-2</v>
      </c>
      <c r="D39" s="601" t="str">
        <f t="shared" ref="D39:D44" si="0">IF(B39="","",B39*C39)</f>
        <v/>
      </c>
      <c r="E39" s="597"/>
    </row>
    <row r="40" spans="1:5" ht="15.75">
      <c r="A40" s="577" t="s">
        <v>547</v>
      </c>
      <c r="B40" s="602"/>
      <c r="C40" s="600">
        <f>Cotisations!B29+Cotisations!C29</f>
        <v>0.20250000000000001</v>
      </c>
      <c r="D40" s="601" t="str">
        <f t="shared" si="0"/>
        <v/>
      </c>
      <c r="E40" s="558"/>
    </row>
    <row r="41" spans="1:5" ht="15.75">
      <c r="A41" s="577" t="s">
        <v>548</v>
      </c>
      <c r="B41" s="599" t="str">
        <f>+B39</f>
        <v/>
      </c>
      <c r="C41" s="600">
        <f>Cotisations!B30+Cotisations!C30</f>
        <v>0.02</v>
      </c>
      <c r="D41" s="601" t="str">
        <f t="shared" si="0"/>
        <v/>
      </c>
      <c r="E41" s="558"/>
    </row>
    <row r="42" spans="1:5" ht="15.75">
      <c r="A42" s="577" t="s">
        <v>549</v>
      </c>
      <c r="B42" s="602"/>
      <c r="C42" s="600">
        <f>Cotisations!B31+Cotisations!C31</f>
        <v>2.1999999999999999E-2</v>
      </c>
      <c r="D42" s="601" t="str">
        <f t="shared" si="0"/>
        <v/>
      </c>
      <c r="E42" s="558"/>
    </row>
    <row r="43" spans="1:5" ht="15.75">
      <c r="A43" s="577" t="s">
        <v>550</v>
      </c>
      <c r="B43" s="599" t="str">
        <f>D35</f>
        <v/>
      </c>
      <c r="C43" s="600">
        <f>Cotisations!B33+Cotisations!C33</f>
        <v>7.7499999999999999E-2</v>
      </c>
      <c r="D43" s="601" t="str">
        <f t="shared" si="0"/>
        <v/>
      </c>
      <c r="E43" s="558"/>
    </row>
    <row r="44" spans="1:5" ht="15.75">
      <c r="A44" s="577" t="s">
        <v>551</v>
      </c>
      <c r="B44" s="603" t="str">
        <f>D35</f>
        <v/>
      </c>
      <c r="C44" s="600">
        <f>Cotisations!B37+Cotisations!C37</f>
        <v>0.02</v>
      </c>
      <c r="D44" s="601" t="str">
        <f t="shared" si="0"/>
        <v/>
      </c>
      <c r="E44" s="558"/>
    </row>
    <row r="45" spans="1:5" ht="15.75">
      <c r="A45" s="604"/>
      <c r="B45" s="662" t="s">
        <v>179</v>
      </c>
      <c r="C45" s="606"/>
      <c r="D45" s="607">
        <f>SUM(D39:D44)</f>
        <v>0</v>
      </c>
      <c r="E45" s="558"/>
    </row>
    <row r="46" spans="1:5" ht="15.75">
      <c r="A46" s="604"/>
      <c r="B46" s="605" t="s">
        <v>579</v>
      </c>
      <c r="C46" s="606"/>
      <c r="D46" s="607"/>
      <c r="E46" s="558"/>
    </row>
    <row r="47" spans="1:5" ht="15.75">
      <c r="A47" s="604"/>
      <c r="B47" s="605" t="s">
        <v>580</v>
      </c>
      <c r="C47" s="606"/>
      <c r="D47" s="607">
        <f>D45-D46</f>
        <v>0</v>
      </c>
      <c r="E47" s="558"/>
    </row>
    <row r="48" spans="1:5" ht="15.75">
      <c r="A48" s="558"/>
      <c r="B48" s="558"/>
      <c r="C48" s="558"/>
      <c r="D48" s="558"/>
      <c r="E48" s="558"/>
    </row>
  </sheetData>
  <mergeCells count="2">
    <mergeCell ref="A13:D13"/>
    <mergeCell ref="E14:E15"/>
  </mergeCells>
  <pageMargins left="0.7" right="0.7" top="0.75" bottom="0.75" header="0.3" footer="0.3"/>
  <pageSetup paperSize="9" orientation="portrait" r:id="rId1"/>
</worksheet>
</file>

<file path=xl/worksheets/sheet28.xml><?xml version="1.0" encoding="utf-8"?>
<worksheet xmlns="http://schemas.openxmlformats.org/spreadsheetml/2006/main" xmlns:r="http://schemas.openxmlformats.org/officeDocument/2006/relationships">
  <sheetPr codeName="Feuil27">
    <tabColor theme="5" tint="0.59999389629810485"/>
  </sheetPr>
  <dimension ref="A1:F414"/>
  <sheetViews>
    <sheetView workbookViewId="0">
      <selection activeCell="B3" sqref="B3"/>
    </sheetView>
  </sheetViews>
  <sheetFormatPr baseColWidth="10" defaultColWidth="12.5703125" defaultRowHeight="12.75"/>
  <cols>
    <col min="1" max="1" width="12.5703125" style="610"/>
    <col min="2" max="2" width="20.85546875" style="610" customWidth="1"/>
    <col min="3" max="5" width="14" style="610" customWidth="1"/>
    <col min="6" max="6" width="11.42578125" style="610" customWidth="1"/>
    <col min="7" max="16384" width="12.5703125" style="610"/>
  </cols>
  <sheetData>
    <row r="1" spans="1:6">
      <c r="B1" s="610">
        <v>1</v>
      </c>
    </row>
    <row r="3" spans="1:6" ht="25.5">
      <c r="A3" s="608" t="s">
        <v>552</v>
      </c>
      <c r="B3" s="609"/>
      <c r="C3" s="609"/>
      <c r="D3" s="609"/>
      <c r="E3" s="609"/>
      <c r="F3" s="609"/>
    </row>
    <row r="4" spans="1:6">
      <c r="A4" s="611" t="s">
        <v>553</v>
      </c>
      <c r="B4" s="609"/>
      <c r="C4" s="609"/>
      <c r="D4" s="609"/>
      <c r="E4" s="609"/>
      <c r="F4" s="609"/>
    </row>
    <row r="5" spans="1:6" ht="15">
      <c r="A5"/>
      <c r="B5" s="609"/>
      <c r="C5" s="609"/>
      <c r="D5" s="609"/>
      <c r="E5" s="609"/>
      <c r="F5" s="609"/>
    </row>
    <row r="6" spans="1:6">
      <c r="A6" s="612" t="s">
        <v>538</v>
      </c>
    </row>
    <row r="7" spans="1:6">
      <c r="A7" s="613" t="s">
        <v>554</v>
      </c>
    </row>
    <row r="8" spans="1:6">
      <c r="A8" s="613" t="s">
        <v>555</v>
      </c>
      <c r="B8" s="614"/>
      <c r="D8" s="615" t="s">
        <v>556</v>
      </c>
      <c r="E8" s="616"/>
    </row>
    <row r="9" spans="1:6">
      <c r="A9" s="613" t="s">
        <v>557</v>
      </c>
      <c r="D9" s="617" t="s">
        <v>558</v>
      </c>
      <c r="E9" s="618"/>
    </row>
    <row r="10" spans="1:6">
      <c r="D10" s="617" t="s">
        <v>541</v>
      </c>
      <c r="E10" s="618"/>
    </row>
    <row r="11" spans="1:6">
      <c r="A11" s="610" t="s">
        <v>559</v>
      </c>
      <c r="D11" s="619"/>
      <c r="E11" s="620"/>
    </row>
    <row r="12" spans="1:6">
      <c r="D12" s="621"/>
      <c r="E12" s="622"/>
    </row>
    <row r="13" spans="1:6" ht="18.75">
      <c r="A13" s="623" t="s">
        <v>560</v>
      </c>
      <c r="B13" s="623"/>
      <c r="C13" s="623"/>
      <c r="D13" s="623"/>
      <c r="E13" s="623"/>
      <c r="F13" s="623"/>
    </row>
    <row r="14" spans="1:6">
      <c r="C14" s="614" t="s">
        <v>561</v>
      </c>
      <c r="D14" s="624">
        <v>3269</v>
      </c>
    </row>
    <row r="15" spans="1:6">
      <c r="A15" s="625" t="s">
        <v>562</v>
      </c>
      <c r="B15" s="1208" t="s">
        <v>578</v>
      </c>
      <c r="C15" s="626" t="s">
        <v>563</v>
      </c>
      <c r="D15" s="627"/>
      <c r="E15" s="628"/>
      <c r="F15" s="1210" t="s">
        <v>359</v>
      </c>
    </row>
    <row r="16" spans="1:6">
      <c r="A16" s="629" t="s">
        <v>564</v>
      </c>
      <c r="B16" s="1209"/>
      <c r="C16" s="630" t="s">
        <v>565</v>
      </c>
      <c r="D16" s="629" t="s">
        <v>566</v>
      </c>
      <c r="E16" s="631" t="s">
        <v>567</v>
      </c>
      <c r="F16" s="1211"/>
    </row>
    <row r="17" spans="1:6" ht="15">
      <c r="A17" s="625"/>
      <c r="B17" s="633" t="str">
        <f>IF('Masse salariale'!B9="","",'Masse salariale'!B9)</f>
        <v/>
      </c>
      <c r="C17" s="690" t="str">
        <f>IF('Masse salariale'!C9="","",'Masse salariale'!C9)</f>
        <v/>
      </c>
      <c r="D17" s="691" t="str">
        <f>IF('Masse salariale'!D9="","",'Masse salariale'!D9)</f>
        <v/>
      </c>
      <c r="E17" s="690" t="str">
        <f>IF('Masse salariale'!F9="","",'Masse salariale'!F9)</f>
        <v/>
      </c>
      <c r="F17" s="634"/>
    </row>
    <row r="18" spans="1:6" ht="15">
      <c r="A18" s="631"/>
      <c r="B18" s="633" t="str">
        <f>IF('Masse salariale'!B10="","",'Masse salariale'!B10)</f>
        <v/>
      </c>
      <c r="C18" s="691" t="str">
        <f>IF('Masse salariale'!C10="","",'Masse salariale'!C10)</f>
        <v/>
      </c>
      <c r="D18" s="691" t="str">
        <f>IF('Masse salariale'!D10="","",'Masse salariale'!D10)</f>
        <v/>
      </c>
      <c r="E18" s="692" t="str">
        <f>IF('Masse salariale'!F10="","",'Masse salariale'!F10)</f>
        <v/>
      </c>
      <c r="F18" s="637"/>
    </row>
    <row r="19" spans="1:6" ht="15">
      <c r="A19" s="638"/>
      <c r="B19" s="633" t="str">
        <f>IF('Masse salariale'!B11="","",'Masse salariale'!B11)</f>
        <v/>
      </c>
      <c r="C19" s="691" t="str">
        <f>IF('Masse salariale'!C11="","",'Masse salariale'!C11)</f>
        <v/>
      </c>
      <c r="D19" s="691" t="str">
        <f>IF('Masse salariale'!D11="","",'Masse salariale'!D11)</f>
        <v/>
      </c>
      <c r="E19" s="692" t="str">
        <f>IF('Masse salariale'!F11="","",'Masse salariale'!F11)</f>
        <v/>
      </c>
      <c r="F19" s="637"/>
    </row>
    <row r="20" spans="1:6" ht="15">
      <c r="A20" s="638"/>
      <c r="B20" s="633" t="str">
        <f>IF('Masse salariale'!B12="","",'Masse salariale'!B12)</f>
        <v/>
      </c>
      <c r="C20" s="691" t="str">
        <f>IF('Masse salariale'!C12="","",'Masse salariale'!C12)</f>
        <v/>
      </c>
      <c r="D20" s="691" t="str">
        <f>IF('Masse salariale'!D12="","",'Masse salariale'!D12)</f>
        <v/>
      </c>
      <c r="E20" s="692" t="str">
        <f>IF('Masse salariale'!F12="","",'Masse salariale'!F12)</f>
        <v/>
      </c>
      <c r="F20" s="637"/>
    </row>
    <row r="21" spans="1:6">
      <c r="A21" s="638"/>
      <c r="B21" s="635"/>
      <c r="C21" s="693"/>
      <c r="D21" s="694"/>
      <c r="E21" s="693"/>
      <c r="F21" s="637"/>
    </row>
    <row r="22" spans="1:6">
      <c r="A22" s="638"/>
      <c r="B22" s="635"/>
      <c r="C22" s="693"/>
      <c r="D22" s="694"/>
      <c r="E22" s="693"/>
      <c r="F22" s="637"/>
    </row>
    <row r="23" spans="1:6">
      <c r="A23" s="638"/>
      <c r="B23" s="635"/>
      <c r="C23" s="693"/>
      <c r="D23" s="694"/>
      <c r="E23" s="693"/>
      <c r="F23" s="637"/>
    </row>
    <row r="24" spans="1:6">
      <c r="A24" s="638"/>
      <c r="B24" s="635"/>
      <c r="C24" s="693"/>
      <c r="D24" s="694"/>
      <c r="E24" s="693"/>
      <c r="F24" s="637"/>
    </row>
    <row r="25" spans="1:6">
      <c r="A25" s="638"/>
      <c r="B25" s="635"/>
      <c r="C25" s="693"/>
      <c r="D25" s="694"/>
      <c r="E25" s="693"/>
      <c r="F25" s="637"/>
    </row>
    <row r="26" spans="1:6">
      <c r="A26" s="638"/>
      <c r="B26" s="635"/>
      <c r="C26" s="693"/>
      <c r="D26" s="694"/>
      <c r="E26" s="693"/>
      <c r="F26" s="637"/>
    </row>
    <row r="27" spans="1:6">
      <c r="A27" s="638"/>
      <c r="B27" s="635"/>
      <c r="C27" s="693"/>
      <c r="D27" s="694"/>
      <c r="E27" s="693"/>
      <c r="F27" s="637"/>
    </row>
    <row r="28" spans="1:6">
      <c r="A28" s="638"/>
      <c r="B28" s="635"/>
      <c r="C28" s="693"/>
      <c r="D28" s="694"/>
      <c r="E28" s="693"/>
      <c r="F28" s="637"/>
    </row>
    <row r="29" spans="1:6">
      <c r="A29" s="638"/>
      <c r="B29" s="635"/>
      <c r="C29" s="693"/>
      <c r="D29" s="694"/>
      <c r="E29" s="693"/>
      <c r="F29" s="637"/>
    </row>
    <row r="30" spans="1:6">
      <c r="A30" s="638"/>
      <c r="B30" s="635"/>
      <c r="C30" s="693"/>
      <c r="D30" s="694"/>
      <c r="E30" s="693"/>
      <c r="F30" s="637"/>
    </row>
    <row r="31" spans="1:6">
      <c r="A31" s="638"/>
      <c r="B31" s="635"/>
      <c r="C31" s="695"/>
      <c r="D31" s="696"/>
      <c r="E31" s="695"/>
      <c r="F31" s="637"/>
    </row>
    <row r="32" spans="1:6">
      <c r="A32" s="632"/>
      <c r="B32" s="661" t="s">
        <v>568</v>
      </c>
      <c r="C32" s="697">
        <f>SUM(C17:C31)</f>
        <v>0</v>
      </c>
      <c r="D32" s="697">
        <f>SUM(D17:D31)</f>
        <v>0</v>
      </c>
      <c r="E32" s="698">
        <f>SUM(E17:E31)</f>
        <v>0</v>
      </c>
      <c r="F32" s="632"/>
    </row>
    <row r="33" spans="1:6" ht="13.5" thickBot="1"/>
    <row r="34" spans="1:6" ht="13.5" thickTop="1">
      <c r="A34" s="639" t="s">
        <v>569</v>
      </c>
      <c r="B34" s="640"/>
      <c r="C34" s="699">
        <f>D32</f>
        <v>0</v>
      </c>
      <c r="D34" s="641">
        <f>Cotisations!B41</f>
        <v>1.4999999999999999E-2</v>
      </c>
      <c r="E34" s="642">
        <f t="shared" ref="E34:E39" si="0">IF(C34="","",ROUND(C34*D34,0))</f>
        <v>0</v>
      </c>
    </row>
    <row r="35" spans="1:6">
      <c r="A35" s="643" t="s">
        <v>570</v>
      </c>
      <c r="B35" s="635"/>
      <c r="C35" s="700">
        <f>E32</f>
        <v>0</v>
      </c>
      <c r="D35" s="644">
        <f>Cotisations!B34+Cotisations!C34</f>
        <v>0.20550000000000002</v>
      </c>
      <c r="E35" s="645">
        <f t="shared" si="0"/>
        <v>0</v>
      </c>
    </row>
    <row r="36" spans="1:6">
      <c r="A36" s="646" t="s">
        <v>571</v>
      </c>
      <c r="B36" s="635"/>
      <c r="C36" s="700">
        <f>C35</f>
        <v>0</v>
      </c>
      <c r="D36" s="644">
        <f>Cotisations!B38+Cotisations!C38</f>
        <v>2.1999999999999999E-2</v>
      </c>
      <c r="E36" s="645">
        <f t="shared" si="0"/>
        <v>0</v>
      </c>
    </row>
    <row r="37" spans="1:6">
      <c r="A37" s="643" t="s">
        <v>572</v>
      </c>
      <c r="B37" s="635"/>
      <c r="C37" s="700">
        <f>C32</f>
        <v>0</v>
      </c>
      <c r="D37" s="644">
        <f>Cotisations!B40+Cotisations!C40</f>
        <v>6.0000000000000006E-4</v>
      </c>
      <c r="E37" s="645">
        <f t="shared" si="0"/>
        <v>0</v>
      </c>
    </row>
    <row r="38" spans="1:6">
      <c r="A38" s="646" t="s">
        <v>108</v>
      </c>
      <c r="B38" s="647"/>
      <c r="C38" s="700" t="str">
        <f>'Masse salariale'!H13</f>
        <v/>
      </c>
      <c r="D38" s="644">
        <f>Cotisations!B36+Cotisations!C36</f>
        <v>0.20550000000000002</v>
      </c>
      <c r="E38" s="645" t="str">
        <f t="shared" si="0"/>
        <v/>
      </c>
    </row>
    <row r="39" spans="1:6" ht="13.5" thickBot="1">
      <c r="A39" s="646" t="s">
        <v>573</v>
      </c>
      <c r="B39" s="635"/>
      <c r="C39" s="700">
        <f>C32</f>
        <v>0</v>
      </c>
      <c r="D39" s="644">
        <f>Cotisations!B39+Cotisations!C39</f>
        <v>3.5000000000000001E-3</v>
      </c>
      <c r="E39" s="645">
        <f t="shared" si="0"/>
        <v>0</v>
      </c>
    </row>
    <row r="40" spans="1:6" ht="13.5" thickBot="1">
      <c r="A40" s="643"/>
      <c r="B40" s="648" t="s">
        <v>574</v>
      </c>
      <c r="C40" s="649"/>
      <c r="D40" s="650"/>
      <c r="E40" s="651">
        <f>SUM(E34:E39)</f>
        <v>0</v>
      </c>
      <c r="F40" s="636"/>
    </row>
    <row r="41" spans="1:6" ht="13.5" thickBot="1">
      <c r="A41" s="643"/>
      <c r="B41" s="648" t="s">
        <v>575</v>
      </c>
      <c r="C41" s="649"/>
      <c r="D41" s="649"/>
      <c r="E41" s="651"/>
      <c r="F41" s="635"/>
    </row>
    <row r="42" spans="1:6" ht="15.75" thickBot="1">
      <c r="A42" s="652"/>
      <c r="B42" s="648" t="s">
        <v>576</v>
      </c>
      <c r="C42" s="653"/>
      <c r="D42" s="649"/>
      <c r="E42" s="651">
        <f>E40-E41</f>
        <v>0</v>
      </c>
      <c r="F42" s="635"/>
    </row>
    <row r="43" spans="1:6" ht="15">
      <c r="A43" s="643"/>
      <c r="B43" s="635"/>
      <c r="C43"/>
      <c r="D43" s="654"/>
      <c r="E43" s="655"/>
    </row>
    <row r="44" spans="1:6" ht="15">
      <c r="A44" s="643"/>
      <c r="B44" s="635"/>
      <c r="C44"/>
      <c r="D44" s="654"/>
      <c r="E44" s="655"/>
    </row>
    <row r="45" spans="1:6">
      <c r="A45" s="656" t="s">
        <v>577</v>
      </c>
      <c r="B45" s="635"/>
      <c r="C45" s="654"/>
      <c r="D45" s="654"/>
      <c r="E45" s="655"/>
    </row>
    <row r="46" spans="1:6">
      <c r="A46" s="643"/>
      <c r="B46" s="635"/>
      <c r="C46" s="657"/>
      <c r="D46" s="654"/>
      <c r="E46" s="655"/>
    </row>
    <row r="47" spans="1:6">
      <c r="A47" s="643"/>
      <c r="B47" s="635"/>
      <c r="C47" s="654"/>
      <c r="D47" s="654"/>
      <c r="E47" s="655"/>
    </row>
    <row r="48" spans="1:6">
      <c r="A48" s="643"/>
      <c r="B48" s="635"/>
      <c r="C48" s="654"/>
      <c r="D48" s="654"/>
      <c r="E48" s="655"/>
    </row>
    <row r="49" spans="1:5">
      <c r="A49" s="643"/>
      <c r="B49" s="635"/>
      <c r="C49" s="654"/>
      <c r="D49" s="654"/>
      <c r="E49" s="655"/>
    </row>
    <row r="50" spans="1:5">
      <c r="A50" s="643"/>
      <c r="B50" s="635"/>
      <c r="C50" s="654"/>
      <c r="D50" s="654"/>
      <c r="E50" s="655"/>
    </row>
    <row r="51" spans="1:5" ht="13.5" thickBot="1">
      <c r="A51" s="658"/>
      <c r="B51" s="659"/>
      <c r="C51" s="659"/>
      <c r="D51" s="659"/>
      <c r="E51" s="660"/>
    </row>
    <row r="52" spans="1:5" ht="13.5" thickTop="1"/>
    <row r="54" spans="1:5" customFormat="1" ht="15"/>
    <row r="55" spans="1:5" customFormat="1" ht="15"/>
    <row r="56" spans="1:5" customFormat="1" ht="15"/>
    <row r="57" spans="1:5" customFormat="1" ht="15"/>
    <row r="58" spans="1:5" customFormat="1" ht="15"/>
    <row r="59" spans="1:5" customFormat="1" ht="15"/>
    <row r="60" spans="1:5" customFormat="1" ht="15"/>
    <row r="61" spans="1:5" customFormat="1" ht="15"/>
    <row r="62" spans="1:5" customFormat="1" ht="15"/>
    <row r="63" spans="1:5" customFormat="1" ht="15"/>
    <row r="64" spans="1:5" customFormat="1" ht="15"/>
    <row r="65" customFormat="1" ht="15"/>
    <row r="66" customFormat="1" ht="15"/>
    <row r="67" customFormat="1" ht="15"/>
    <row r="68" customFormat="1" ht="15"/>
    <row r="69" customFormat="1" ht="15"/>
    <row r="70" customFormat="1" ht="15"/>
    <row r="71" customFormat="1" ht="15"/>
    <row r="72" customFormat="1" ht="15"/>
    <row r="73" customFormat="1" ht="15"/>
    <row r="74" customFormat="1" ht="15"/>
    <row r="75" customFormat="1" ht="15"/>
    <row r="76" customFormat="1" ht="15"/>
    <row r="77" customFormat="1" ht="15"/>
    <row r="78" customFormat="1" ht="15"/>
    <row r="79" customFormat="1" ht="15"/>
    <row r="80" customFormat="1" ht="15"/>
    <row r="81" customFormat="1" ht="15"/>
    <row r="82" customFormat="1" ht="15"/>
    <row r="83" customFormat="1" ht="15"/>
    <row r="84" customFormat="1" ht="15"/>
    <row r="85" customFormat="1" ht="15"/>
    <row r="86" customFormat="1" ht="15"/>
    <row r="87" customFormat="1" ht="15"/>
    <row r="88" customFormat="1" ht="15"/>
    <row r="89" customFormat="1" ht="15"/>
    <row r="90" customFormat="1" ht="15"/>
    <row r="91" customFormat="1" ht="15"/>
    <row r="92" customFormat="1" ht="15"/>
    <row r="93" customFormat="1" ht="15"/>
    <row r="94" customFormat="1" ht="15"/>
    <row r="95" customFormat="1" ht="15"/>
    <row r="96" customFormat="1" ht="15"/>
    <row r="97" customFormat="1" ht="15"/>
    <row r="98" customFormat="1" ht="15"/>
    <row r="99" customFormat="1" ht="15"/>
    <row r="100" customFormat="1" ht="15"/>
    <row r="101" customFormat="1" ht="15"/>
    <row r="102" customFormat="1" ht="15"/>
    <row r="103" customFormat="1" ht="15"/>
    <row r="104" customFormat="1" ht="15"/>
    <row r="105" customFormat="1" ht="15"/>
    <row r="106" customFormat="1" ht="15"/>
    <row r="107" customFormat="1" ht="15"/>
    <row r="108" customFormat="1" ht="15"/>
    <row r="109" customFormat="1" ht="15"/>
    <row r="110" customFormat="1" ht="15"/>
    <row r="111" customFormat="1" ht="15"/>
    <row r="112" customFormat="1" ht="15"/>
    <row r="113" customFormat="1" ht="15"/>
    <row r="114" customFormat="1" ht="15"/>
    <row r="115" customFormat="1" ht="15"/>
    <row r="116" customFormat="1" ht="15"/>
    <row r="117" customFormat="1" ht="15"/>
    <row r="118" customFormat="1" ht="15"/>
    <row r="119" customFormat="1" ht="15"/>
    <row r="120" customFormat="1" ht="15"/>
    <row r="121" customFormat="1" ht="15"/>
    <row r="122" customFormat="1" ht="15"/>
    <row r="123" customFormat="1" ht="15"/>
    <row r="124" customFormat="1" ht="15"/>
    <row r="125" customFormat="1" ht="15"/>
    <row r="126" customFormat="1" ht="15"/>
    <row r="127" customFormat="1" ht="15"/>
    <row r="128" customFormat="1" ht="15"/>
    <row r="129" customFormat="1" ht="15"/>
    <row r="130" customFormat="1" ht="15"/>
    <row r="131" customFormat="1" ht="15"/>
    <row r="132" customFormat="1" ht="15"/>
    <row r="133" customFormat="1" ht="15"/>
    <row r="134" customFormat="1" ht="15"/>
    <row r="135" customFormat="1" ht="15"/>
    <row r="136" customFormat="1" ht="15"/>
    <row r="137" customFormat="1" ht="15"/>
    <row r="138" customFormat="1" ht="15"/>
    <row r="139" customFormat="1" ht="15"/>
    <row r="140" customFormat="1" ht="15"/>
    <row r="141" customFormat="1" ht="15"/>
    <row r="142" customFormat="1" ht="15"/>
    <row r="143" customFormat="1" ht="15"/>
    <row r="144" customFormat="1" ht="15"/>
    <row r="145" customFormat="1" ht="15"/>
    <row r="146" customFormat="1" ht="15"/>
    <row r="147" customFormat="1" ht="15"/>
    <row r="148" customFormat="1" ht="15"/>
    <row r="149" customFormat="1" ht="15"/>
    <row r="150" customFormat="1" ht="15"/>
    <row r="151" customFormat="1" ht="15"/>
    <row r="152" customFormat="1" ht="15"/>
    <row r="153" customFormat="1" ht="15"/>
    <row r="154" customFormat="1" ht="15"/>
    <row r="155" customFormat="1" ht="15"/>
    <row r="156" customFormat="1" ht="15"/>
    <row r="157" customFormat="1" ht="15"/>
    <row r="158" customFormat="1" ht="15"/>
    <row r="159" customFormat="1" ht="15"/>
    <row r="160" customFormat="1" ht="15"/>
    <row r="161" customFormat="1" ht="15"/>
    <row r="162" customFormat="1" ht="15"/>
    <row r="163" customFormat="1" ht="15"/>
    <row r="164" customFormat="1" ht="15"/>
    <row r="165" customFormat="1" ht="15"/>
    <row r="166" customFormat="1" ht="15"/>
    <row r="167" customFormat="1" ht="15"/>
    <row r="168" customFormat="1" ht="15"/>
    <row r="169" customFormat="1" ht="15"/>
    <row r="170" customFormat="1" ht="15"/>
    <row r="171" customFormat="1" ht="15"/>
    <row r="172" customFormat="1" ht="15"/>
    <row r="173" customFormat="1" ht="15"/>
    <row r="174" customFormat="1" ht="15"/>
    <row r="175" customFormat="1" ht="15"/>
    <row r="176" customFormat="1" ht="15"/>
    <row r="177" customFormat="1" ht="15"/>
    <row r="178" customFormat="1" ht="15"/>
    <row r="179" customFormat="1" ht="15"/>
    <row r="180" customFormat="1" ht="15"/>
    <row r="181" customFormat="1" ht="15"/>
    <row r="182" customFormat="1" ht="15"/>
    <row r="183" customFormat="1" ht="15"/>
    <row r="184" customFormat="1" ht="15"/>
    <row r="185" customFormat="1" ht="15"/>
    <row r="186" customFormat="1" ht="15"/>
    <row r="187" customFormat="1" ht="15"/>
    <row r="188" customFormat="1" ht="15"/>
    <row r="189" customFormat="1" ht="15"/>
    <row r="190" customFormat="1" ht="15"/>
    <row r="191" customFormat="1" ht="15"/>
    <row r="192" customFormat="1" ht="15"/>
    <row r="193" customFormat="1" ht="15"/>
    <row r="194" customFormat="1" ht="15"/>
    <row r="195" customFormat="1" ht="15"/>
    <row r="196" customFormat="1" ht="15"/>
    <row r="197" customFormat="1" ht="15"/>
    <row r="198" customFormat="1" ht="15"/>
    <row r="199" customFormat="1" ht="15"/>
    <row r="200" customFormat="1" ht="15"/>
    <row r="201" customFormat="1" ht="15"/>
    <row r="202" customFormat="1" ht="15"/>
    <row r="203" customFormat="1" ht="15"/>
    <row r="204" customFormat="1" ht="15"/>
    <row r="205" customFormat="1" ht="15"/>
    <row r="206" customFormat="1" ht="15"/>
    <row r="207" customFormat="1" ht="15"/>
    <row r="208" customFormat="1" ht="15"/>
    <row r="209" customFormat="1" ht="15"/>
    <row r="210" customFormat="1" ht="15"/>
    <row r="211" customFormat="1" ht="15"/>
    <row r="212" customFormat="1" ht="15"/>
    <row r="213" customFormat="1" ht="15"/>
    <row r="214" customFormat="1" ht="15"/>
    <row r="215" customFormat="1" ht="15"/>
    <row r="216" customFormat="1" ht="15"/>
    <row r="217" customFormat="1" ht="15"/>
    <row r="218" customFormat="1" ht="15"/>
    <row r="219" customFormat="1" ht="15"/>
    <row r="220" customFormat="1" ht="15"/>
    <row r="221" customFormat="1" ht="15"/>
    <row r="222" customFormat="1" ht="15"/>
    <row r="223" customFormat="1" ht="15"/>
    <row r="224" customFormat="1" ht="15"/>
    <row r="225" customFormat="1" ht="15"/>
    <row r="226" customFormat="1" ht="15"/>
    <row r="227" customFormat="1" ht="15"/>
    <row r="228" customFormat="1" ht="15"/>
    <row r="229" customFormat="1" ht="15"/>
    <row r="230" customFormat="1" ht="15"/>
    <row r="231" customFormat="1" ht="15"/>
    <row r="232" customFormat="1" ht="15"/>
    <row r="233" customFormat="1" ht="15"/>
    <row r="234" customFormat="1" ht="15"/>
    <row r="235" customFormat="1" ht="15"/>
    <row r="236" customFormat="1" ht="15"/>
    <row r="237" customFormat="1" ht="15"/>
    <row r="238" customFormat="1" ht="15"/>
    <row r="239" customFormat="1" ht="15"/>
    <row r="240" customFormat="1" ht="15"/>
    <row r="241" customFormat="1" ht="15"/>
    <row r="242" customFormat="1" ht="15"/>
    <row r="243" customFormat="1" ht="15"/>
    <row r="244" customFormat="1" ht="15"/>
    <row r="245" customFormat="1" ht="15"/>
    <row r="246" customFormat="1" ht="15"/>
    <row r="247" customFormat="1" ht="15"/>
    <row r="248" customFormat="1" ht="15"/>
    <row r="249" customFormat="1" ht="15"/>
    <row r="250" customFormat="1" ht="15"/>
    <row r="251" customFormat="1" ht="15"/>
    <row r="252" customFormat="1" ht="15"/>
    <row r="253" customFormat="1" ht="15"/>
    <row r="254" customFormat="1" ht="15"/>
    <row r="255" customFormat="1" ht="15"/>
    <row r="256" customFormat="1" ht="15"/>
    <row r="257" customFormat="1" ht="15"/>
    <row r="258" customFormat="1" ht="15"/>
    <row r="259" customFormat="1" ht="15"/>
    <row r="260" customFormat="1" ht="15"/>
    <row r="261" customFormat="1" ht="15"/>
    <row r="262" customFormat="1" ht="15"/>
    <row r="263" customFormat="1" ht="15"/>
    <row r="264" customFormat="1" ht="15"/>
    <row r="265" customFormat="1" ht="15"/>
    <row r="266" customFormat="1" ht="15"/>
    <row r="267" customFormat="1" ht="15"/>
    <row r="268" customFormat="1" ht="15"/>
    <row r="269" customFormat="1" ht="15"/>
    <row r="270" customFormat="1" ht="15"/>
    <row r="271" customFormat="1" ht="15"/>
    <row r="272" customFormat="1" ht="15"/>
    <row r="273" customFormat="1" ht="15"/>
    <row r="274" customFormat="1" ht="15"/>
    <row r="275" customFormat="1" ht="15"/>
    <row r="276" customFormat="1" ht="15"/>
    <row r="277" customFormat="1" ht="15"/>
    <row r="278" customFormat="1" ht="15"/>
    <row r="279" customFormat="1" ht="15"/>
    <row r="280" customFormat="1" ht="15"/>
    <row r="281" customFormat="1" ht="15"/>
    <row r="282" customFormat="1" ht="15"/>
    <row r="283" customFormat="1" ht="15"/>
    <row r="284" customFormat="1" ht="15"/>
    <row r="285" customFormat="1" ht="15"/>
    <row r="286" customFormat="1" ht="15"/>
    <row r="287" customFormat="1" ht="15"/>
    <row r="288" customFormat="1" ht="15"/>
    <row r="289" customFormat="1" ht="15"/>
    <row r="290" customFormat="1" ht="15"/>
    <row r="291" customFormat="1" ht="15"/>
    <row r="292" customFormat="1" ht="15"/>
    <row r="293" customFormat="1" ht="15"/>
    <row r="294" customFormat="1" ht="15"/>
    <row r="295" customFormat="1" ht="15"/>
    <row r="296" customFormat="1" ht="15"/>
    <row r="297" customFormat="1" ht="15"/>
    <row r="298" customFormat="1" ht="15"/>
    <row r="299" customFormat="1" ht="15"/>
    <row r="300" customFormat="1" ht="15"/>
    <row r="301" customFormat="1" ht="15"/>
    <row r="302" customFormat="1" ht="15"/>
    <row r="303" customFormat="1" ht="15"/>
    <row r="304" customFormat="1" ht="15"/>
    <row r="305" customFormat="1" ht="15"/>
    <row r="306" customFormat="1" ht="15"/>
    <row r="307" customFormat="1" ht="15"/>
    <row r="308" customFormat="1" ht="15"/>
    <row r="309" customFormat="1" ht="15"/>
    <row r="310" customFormat="1" ht="15"/>
    <row r="311" customFormat="1" ht="15"/>
    <row r="312" customFormat="1" ht="15"/>
    <row r="313" customFormat="1" ht="15"/>
    <row r="314" customFormat="1" ht="15"/>
    <row r="315" customFormat="1" ht="15"/>
    <row r="316" customFormat="1" ht="15"/>
    <row r="317" customFormat="1" ht="15"/>
    <row r="318" customFormat="1" ht="15"/>
    <row r="319" customFormat="1" ht="15"/>
    <row r="320" customFormat="1" ht="15"/>
    <row r="321" customFormat="1" ht="15"/>
    <row r="322" customFormat="1" ht="15"/>
    <row r="323" customFormat="1" ht="15"/>
    <row r="324" customFormat="1" ht="15"/>
    <row r="325" customFormat="1" ht="15"/>
    <row r="326" customFormat="1" ht="15"/>
    <row r="327" customFormat="1" ht="15"/>
    <row r="328" customFormat="1" ht="15"/>
    <row r="329" customFormat="1" ht="15"/>
    <row r="330" customFormat="1" ht="15"/>
    <row r="331" customFormat="1" ht="15"/>
    <row r="332" customFormat="1" ht="15"/>
    <row r="333" customFormat="1" ht="15"/>
    <row r="334" customFormat="1" ht="15"/>
    <row r="335" customFormat="1" ht="15"/>
    <row r="336" customFormat="1" ht="15"/>
    <row r="337" customFormat="1" ht="15"/>
    <row r="338" customFormat="1" ht="15"/>
    <row r="339" customFormat="1" ht="15"/>
    <row r="340" customFormat="1" ht="15"/>
    <row r="341" customFormat="1" ht="15"/>
    <row r="342" customFormat="1" ht="15"/>
    <row r="343" customFormat="1" ht="15"/>
    <row r="344" customFormat="1" ht="15"/>
    <row r="345" customFormat="1" ht="15"/>
    <row r="346" customFormat="1" ht="15"/>
    <row r="347" customFormat="1" ht="15"/>
    <row r="348" customFormat="1" ht="15"/>
    <row r="349" customFormat="1" ht="15"/>
    <row r="350" customFormat="1" ht="15"/>
    <row r="351" customFormat="1" ht="15"/>
    <row r="352" customFormat="1" ht="15"/>
    <row r="353" customFormat="1" ht="15"/>
    <row r="354" customFormat="1" ht="15"/>
    <row r="355" customFormat="1" ht="15"/>
    <row r="356" customFormat="1" ht="15"/>
    <row r="357" customFormat="1" ht="15"/>
    <row r="358" customFormat="1" ht="15"/>
    <row r="359" customFormat="1" ht="15"/>
    <row r="360" customFormat="1" ht="15"/>
    <row r="361" customFormat="1" ht="15"/>
    <row r="362" customFormat="1" ht="15"/>
    <row r="363" customFormat="1" ht="15"/>
    <row r="364" customFormat="1" ht="15"/>
    <row r="365" customFormat="1" ht="15"/>
    <row r="366" customFormat="1" ht="15"/>
    <row r="367" customFormat="1" ht="15"/>
    <row r="368" customFormat="1" ht="15"/>
    <row r="369" customFormat="1" ht="15"/>
    <row r="370" customFormat="1" ht="15"/>
    <row r="371" customFormat="1" ht="15"/>
    <row r="372" customFormat="1" ht="15"/>
    <row r="373" customFormat="1" ht="15"/>
    <row r="374" customFormat="1" ht="15"/>
    <row r="375" customFormat="1" ht="15"/>
    <row r="376" customFormat="1" ht="15"/>
    <row r="377" customFormat="1" ht="15"/>
    <row r="378" customFormat="1" ht="15"/>
    <row r="379" customFormat="1" ht="15"/>
    <row r="380" customFormat="1" ht="15"/>
    <row r="381" customFormat="1" ht="15"/>
    <row r="382" customFormat="1" ht="15"/>
    <row r="383" customFormat="1" ht="15"/>
    <row r="384" customFormat="1" ht="15"/>
    <row r="385" customFormat="1" ht="15"/>
    <row r="386" customFormat="1" ht="15"/>
    <row r="387" customFormat="1" ht="15"/>
    <row r="388" customFormat="1" ht="15"/>
    <row r="389" customFormat="1" ht="15"/>
    <row r="390" customFormat="1" ht="15"/>
    <row r="391" customFormat="1" ht="15"/>
    <row r="392" customFormat="1" ht="15"/>
    <row r="393" customFormat="1" ht="15"/>
    <row r="394" customFormat="1" ht="15"/>
    <row r="395" customFormat="1" ht="15"/>
    <row r="396" customFormat="1" ht="15"/>
    <row r="397" customFormat="1" ht="15"/>
    <row r="398" customFormat="1" ht="15"/>
    <row r="399" customFormat="1" ht="15"/>
    <row r="400" customFormat="1" ht="15"/>
    <row r="401" customFormat="1" ht="15"/>
    <row r="402" customFormat="1" ht="15"/>
    <row r="403" customFormat="1" ht="15"/>
    <row r="404" customFormat="1" ht="15"/>
    <row r="405" customFormat="1" ht="15"/>
    <row r="406" customFormat="1" ht="15"/>
    <row r="407" customFormat="1" ht="15"/>
    <row r="408" customFormat="1" ht="15"/>
    <row r="409" customFormat="1" ht="15"/>
    <row r="410" customFormat="1" ht="15"/>
    <row r="411" customFormat="1" ht="15"/>
    <row r="412" customFormat="1" ht="15"/>
    <row r="413" customFormat="1" ht="15"/>
    <row r="414" customFormat="1" ht="15"/>
  </sheetData>
  <mergeCells count="2">
    <mergeCell ref="B15:B16"/>
    <mergeCell ref="F15:F16"/>
  </mergeCells>
  <pageMargins left="0.7" right="0.7" top="0.75" bottom="0.75" header="0.3" footer="0.3"/>
  <pageSetup paperSize="9" orientation="portrait" r:id="rId1"/>
</worksheet>
</file>

<file path=xl/worksheets/sheet29.xml><?xml version="1.0" encoding="utf-8"?>
<worksheet xmlns="http://schemas.openxmlformats.org/spreadsheetml/2006/main" xmlns:r="http://schemas.openxmlformats.org/officeDocument/2006/relationships">
  <sheetPr codeName="Feuil28"/>
  <dimension ref="A2:K17"/>
  <sheetViews>
    <sheetView workbookViewId="0">
      <selection activeCell="I5" sqref="I5:J5"/>
    </sheetView>
  </sheetViews>
  <sheetFormatPr baseColWidth="10" defaultRowHeight="15.75"/>
  <cols>
    <col min="1" max="1" width="16.85546875" style="364" customWidth="1"/>
    <col min="2" max="2" width="15.140625" style="364" customWidth="1"/>
    <col min="3" max="3" width="14.28515625" style="364" customWidth="1"/>
    <col min="4" max="7" width="11.42578125" style="364"/>
    <col min="8" max="8" width="13.28515625" style="364" customWidth="1"/>
    <col min="9" max="9" width="8.42578125" style="364" customWidth="1"/>
    <col min="10" max="10" width="8.28515625" style="364" customWidth="1"/>
    <col min="11" max="11" width="20.28515625" style="364" customWidth="1"/>
    <col min="12" max="256" width="11.42578125" style="364"/>
    <col min="257" max="257" width="16.85546875" style="364" customWidth="1"/>
    <col min="258" max="258" width="15.140625" style="364" customWidth="1"/>
    <col min="259" max="259" width="14.28515625" style="364" customWidth="1"/>
    <col min="260" max="263" width="11.42578125" style="364"/>
    <col min="264" max="264" width="13.28515625" style="364" customWidth="1"/>
    <col min="265" max="265" width="8.42578125" style="364" customWidth="1"/>
    <col min="266" max="266" width="8.28515625" style="364" customWidth="1"/>
    <col min="267" max="267" width="20.28515625" style="364" customWidth="1"/>
    <col min="268" max="512" width="11.42578125" style="364"/>
    <col min="513" max="513" width="16.85546875" style="364" customWidth="1"/>
    <col min="514" max="514" width="15.140625" style="364" customWidth="1"/>
    <col min="515" max="515" width="14.28515625" style="364" customWidth="1"/>
    <col min="516" max="519" width="11.42578125" style="364"/>
    <col min="520" max="520" width="13.28515625" style="364" customWidth="1"/>
    <col min="521" max="521" width="8.42578125" style="364" customWidth="1"/>
    <col min="522" max="522" width="8.28515625" style="364" customWidth="1"/>
    <col min="523" max="523" width="20.28515625" style="364" customWidth="1"/>
    <col min="524" max="768" width="11.42578125" style="364"/>
    <col min="769" max="769" width="16.85546875" style="364" customWidth="1"/>
    <col min="770" max="770" width="15.140625" style="364" customWidth="1"/>
    <col min="771" max="771" width="14.28515625" style="364" customWidth="1"/>
    <col min="772" max="775" width="11.42578125" style="364"/>
    <col min="776" max="776" width="13.28515625" style="364" customWidth="1"/>
    <col min="777" max="777" width="8.42578125" style="364" customWidth="1"/>
    <col min="778" max="778" width="8.28515625" style="364" customWidth="1"/>
    <col min="779" max="779" width="20.28515625" style="364" customWidth="1"/>
    <col min="780" max="1024" width="11.42578125" style="364"/>
    <col min="1025" max="1025" width="16.85546875" style="364" customWidth="1"/>
    <col min="1026" max="1026" width="15.140625" style="364" customWidth="1"/>
    <col min="1027" max="1027" width="14.28515625" style="364" customWidth="1"/>
    <col min="1028" max="1031" width="11.42578125" style="364"/>
    <col min="1032" max="1032" width="13.28515625" style="364" customWidth="1"/>
    <col min="1033" max="1033" width="8.42578125" style="364" customWidth="1"/>
    <col min="1034" max="1034" width="8.28515625" style="364" customWidth="1"/>
    <col min="1035" max="1035" width="20.28515625" style="364" customWidth="1"/>
    <col min="1036" max="1280" width="11.42578125" style="364"/>
    <col min="1281" max="1281" width="16.85546875" style="364" customWidth="1"/>
    <col min="1282" max="1282" width="15.140625" style="364" customWidth="1"/>
    <col min="1283" max="1283" width="14.28515625" style="364" customWidth="1"/>
    <col min="1284" max="1287" width="11.42578125" style="364"/>
    <col min="1288" max="1288" width="13.28515625" style="364" customWidth="1"/>
    <col min="1289" max="1289" width="8.42578125" style="364" customWidth="1"/>
    <col min="1290" max="1290" width="8.28515625" style="364" customWidth="1"/>
    <col min="1291" max="1291" width="20.28515625" style="364" customWidth="1"/>
    <col min="1292" max="1536" width="11.42578125" style="364"/>
    <col min="1537" max="1537" width="16.85546875" style="364" customWidth="1"/>
    <col min="1538" max="1538" width="15.140625" style="364" customWidth="1"/>
    <col min="1539" max="1539" width="14.28515625" style="364" customWidth="1"/>
    <col min="1540" max="1543" width="11.42578125" style="364"/>
    <col min="1544" max="1544" width="13.28515625" style="364" customWidth="1"/>
    <col min="1545" max="1545" width="8.42578125" style="364" customWidth="1"/>
    <col min="1546" max="1546" width="8.28515625" style="364" customWidth="1"/>
    <col min="1547" max="1547" width="20.28515625" style="364" customWidth="1"/>
    <col min="1548" max="1792" width="11.42578125" style="364"/>
    <col min="1793" max="1793" width="16.85546875" style="364" customWidth="1"/>
    <col min="1794" max="1794" width="15.140625" style="364" customWidth="1"/>
    <col min="1795" max="1795" width="14.28515625" style="364" customWidth="1"/>
    <col min="1796" max="1799" width="11.42578125" style="364"/>
    <col min="1800" max="1800" width="13.28515625" style="364" customWidth="1"/>
    <col min="1801" max="1801" width="8.42578125" style="364" customWidth="1"/>
    <col min="1802" max="1802" width="8.28515625" style="364" customWidth="1"/>
    <col min="1803" max="1803" width="20.28515625" style="364" customWidth="1"/>
    <col min="1804" max="2048" width="11.42578125" style="364"/>
    <col min="2049" max="2049" width="16.85546875" style="364" customWidth="1"/>
    <col min="2050" max="2050" width="15.140625" style="364" customWidth="1"/>
    <col min="2051" max="2051" width="14.28515625" style="364" customWidth="1"/>
    <col min="2052" max="2055" width="11.42578125" style="364"/>
    <col min="2056" max="2056" width="13.28515625" style="364" customWidth="1"/>
    <col min="2057" max="2057" width="8.42578125" style="364" customWidth="1"/>
    <col min="2058" max="2058" width="8.28515625" style="364" customWidth="1"/>
    <col min="2059" max="2059" width="20.28515625" style="364" customWidth="1"/>
    <col min="2060" max="2304" width="11.42578125" style="364"/>
    <col min="2305" max="2305" width="16.85546875" style="364" customWidth="1"/>
    <col min="2306" max="2306" width="15.140625" style="364" customWidth="1"/>
    <col min="2307" max="2307" width="14.28515625" style="364" customWidth="1"/>
    <col min="2308" max="2311" width="11.42578125" style="364"/>
    <col min="2312" max="2312" width="13.28515625" style="364" customWidth="1"/>
    <col min="2313" max="2313" width="8.42578125" style="364" customWidth="1"/>
    <col min="2314" max="2314" width="8.28515625" style="364" customWidth="1"/>
    <col min="2315" max="2315" width="20.28515625" style="364" customWidth="1"/>
    <col min="2316" max="2560" width="11.42578125" style="364"/>
    <col min="2561" max="2561" width="16.85546875" style="364" customWidth="1"/>
    <col min="2562" max="2562" width="15.140625" style="364" customWidth="1"/>
    <col min="2563" max="2563" width="14.28515625" style="364" customWidth="1"/>
    <col min="2564" max="2567" width="11.42578125" style="364"/>
    <col min="2568" max="2568" width="13.28515625" style="364" customWidth="1"/>
    <col min="2569" max="2569" width="8.42578125" style="364" customWidth="1"/>
    <col min="2570" max="2570" width="8.28515625" style="364" customWidth="1"/>
    <col min="2571" max="2571" width="20.28515625" style="364" customWidth="1"/>
    <col min="2572" max="2816" width="11.42578125" style="364"/>
    <col min="2817" max="2817" width="16.85546875" style="364" customWidth="1"/>
    <col min="2818" max="2818" width="15.140625" style="364" customWidth="1"/>
    <col min="2819" max="2819" width="14.28515625" style="364" customWidth="1"/>
    <col min="2820" max="2823" width="11.42578125" style="364"/>
    <col min="2824" max="2824" width="13.28515625" style="364" customWidth="1"/>
    <col min="2825" max="2825" width="8.42578125" style="364" customWidth="1"/>
    <col min="2826" max="2826" width="8.28515625" style="364" customWidth="1"/>
    <col min="2827" max="2827" width="20.28515625" style="364" customWidth="1"/>
    <col min="2828" max="3072" width="11.42578125" style="364"/>
    <col min="3073" max="3073" width="16.85546875" style="364" customWidth="1"/>
    <col min="3074" max="3074" width="15.140625" style="364" customWidth="1"/>
    <col min="3075" max="3075" width="14.28515625" style="364" customWidth="1"/>
    <col min="3076" max="3079" width="11.42578125" style="364"/>
    <col min="3080" max="3080" width="13.28515625" style="364" customWidth="1"/>
    <col min="3081" max="3081" width="8.42578125" style="364" customWidth="1"/>
    <col min="3082" max="3082" width="8.28515625" style="364" customWidth="1"/>
    <col min="3083" max="3083" width="20.28515625" style="364" customWidth="1"/>
    <col min="3084" max="3328" width="11.42578125" style="364"/>
    <col min="3329" max="3329" width="16.85546875" style="364" customWidth="1"/>
    <col min="3330" max="3330" width="15.140625" style="364" customWidth="1"/>
    <col min="3331" max="3331" width="14.28515625" style="364" customWidth="1"/>
    <col min="3332" max="3335" width="11.42578125" style="364"/>
    <col min="3336" max="3336" width="13.28515625" style="364" customWidth="1"/>
    <col min="3337" max="3337" width="8.42578125" style="364" customWidth="1"/>
    <col min="3338" max="3338" width="8.28515625" style="364" customWidth="1"/>
    <col min="3339" max="3339" width="20.28515625" style="364" customWidth="1"/>
    <col min="3340" max="3584" width="11.42578125" style="364"/>
    <col min="3585" max="3585" width="16.85546875" style="364" customWidth="1"/>
    <col min="3586" max="3586" width="15.140625" style="364" customWidth="1"/>
    <col min="3587" max="3587" width="14.28515625" style="364" customWidth="1"/>
    <col min="3588" max="3591" width="11.42578125" style="364"/>
    <col min="3592" max="3592" width="13.28515625" style="364" customWidth="1"/>
    <col min="3593" max="3593" width="8.42578125" style="364" customWidth="1"/>
    <col min="3594" max="3594" width="8.28515625" style="364" customWidth="1"/>
    <col min="3595" max="3595" width="20.28515625" style="364" customWidth="1"/>
    <col min="3596" max="3840" width="11.42578125" style="364"/>
    <col min="3841" max="3841" width="16.85546875" style="364" customWidth="1"/>
    <col min="3842" max="3842" width="15.140625" style="364" customWidth="1"/>
    <col min="3843" max="3843" width="14.28515625" style="364" customWidth="1"/>
    <col min="3844" max="3847" width="11.42578125" style="364"/>
    <col min="3848" max="3848" width="13.28515625" style="364" customWidth="1"/>
    <col min="3849" max="3849" width="8.42578125" style="364" customWidth="1"/>
    <col min="3850" max="3850" width="8.28515625" style="364" customWidth="1"/>
    <col min="3851" max="3851" width="20.28515625" style="364" customWidth="1"/>
    <col min="3852" max="4096" width="11.42578125" style="364"/>
    <col min="4097" max="4097" width="16.85546875" style="364" customWidth="1"/>
    <col min="4098" max="4098" width="15.140625" style="364" customWidth="1"/>
    <col min="4099" max="4099" width="14.28515625" style="364" customWidth="1"/>
    <col min="4100" max="4103" width="11.42578125" style="364"/>
    <col min="4104" max="4104" width="13.28515625" style="364" customWidth="1"/>
    <col min="4105" max="4105" width="8.42578125" style="364" customWidth="1"/>
    <col min="4106" max="4106" width="8.28515625" style="364" customWidth="1"/>
    <col min="4107" max="4107" width="20.28515625" style="364" customWidth="1"/>
    <col min="4108" max="4352" width="11.42578125" style="364"/>
    <col min="4353" max="4353" width="16.85546875" style="364" customWidth="1"/>
    <col min="4354" max="4354" width="15.140625" style="364" customWidth="1"/>
    <col min="4355" max="4355" width="14.28515625" style="364" customWidth="1"/>
    <col min="4356" max="4359" width="11.42578125" style="364"/>
    <col min="4360" max="4360" width="13.28515625" style="364" customWidth="1"/>
    <col min="4361" max="4361" width="8.42578125" style="364" customWidth="1"/>
    <col min="4362" max="4362" width="8.28515625" style="364" customWidth="1"/>
    <col min="4363" max="4363" width="20.28515625" style="364" customWidth="1"/>
    <col min="4364" max="4608" width="11.42578125" style="364"/>
    <col min="4609" max="4609" width="16.85546875" style="364" customWidth="1"/>
    <col min="4610" max="4610" width="15.140625" style="364" customWidth="1"/>
    <col min="4611" max="4611" width="14.28515625" style="364" customWidth="1"/>
    <col min="4612" max="4615" width="11.42578125" style="364"/>
    <col min="4616" max="4616" width="13.28515625" style="364" customWidth="1"/>
    <col min="4617" max="4617" width="8.42578125" style="364" customWidth="1"/>
    <col min="4618" max="4618" width="8.28515625" style="364" customWidth="1"/>
    <col min="4619" max="4619" width="20.28515625" style="364" customWidth="1"/>
    <col min="4620" max="4864" width="11.42578125" style="364"/>
    <col min="4865" max="4865" width="16.85546875" style="364" customWidth="1"/>
    <col min="4866" max="4866" width="15.140625" style="364" customWidth="1"/>
    <col min="4867" max="4867" width="14.28515625" style="364" customWidth="1"/>
    <col min="4868" max="4871" width="11.42578125" style="364"/>
    <col min="4872" max="4872" width="13.28515625" style="364" customWidth="1"/>
    <col min="4873" max="4873" width="8.42578125" style="364" customWidth="1"/>
    <col min="4874" max="4874" width="8.28515625" style="364" customWidth="1"/>
    <col min="4875" max="4875" width="20.28515625" style="364" customWidth="1"/>
    <col min="4876" max="5120" width="11.42578125" style="364"/>
    <col min="5121" max="5121" width="16.85546875" style="364" customWidth="1"/>
    <col min="5122" max="5122" width="15.140625" style="364" customWidth="1"/>
    <col min="5123" max="5123" width="14.28515625" style="364" customWidth="1"/>
    <col min="5124" max="5127" width="11.42578125" style="364"/>
    <col min="5128" max="5128" width="13.28515625" style="364" customWidth="1"/>
    <col min="5129" max="5129" width="8.42578125" style="364" customWidth="1"/>
    <col min="5130" max="5130" width="8.28515625" style="364" customWidth="1"/>
    <col min="5131" max="5131" width="20.28515625" style="364" customWidth="1"/>
    <col min="5132" max="5376" width="11.42578125" style="364"/>
    <col min="5377" max="5377" width="16.85546875" style="364" customWidth="1"/>
    <col min="5378" max="5378" width="15.140625" style="364" customWidth="1"/>
    <col min="5379" max="5379" width="14.28515625" style="364" customWidth="1"/>
    <col min="5380" max="5383" width="11.42578125" style="364"/>
    <col min="5384" max="5384" width="13.28515625" style="364" customWidth="1"/>
    <col min="5385" max="5385" width="8.42578125" style="364" customWidth="1"/>
    <col min="5386" max="5386" width="8.28515625" style="364" customWidth="1"/>
    <col min="5387" max="5387" width="20.28515625" style="364" customWidth="1"/>
    <col min="5388" max="5632" width="11.42578125" style="364"/>
    <col min="5633" max="5633" width="16.85546875" style="364" customWidth="1"/>
    <col min="5634" max="5634" width="15.140625" style="364" customWidth="1"/>
    <col min="5635" max="5635" width="14.28515625" style="364" customWidth="1"/>
    <col min="5636" max="5639" width="11.42578125" style="364"/>
    <col min="5640" max="5640" width="13.28515625" style="364" customWidth="1"/>
    <col min="5641" max="5641" width="8.42578125" style="364" customWidth="1"/>
    <col min="5642" max="5642" width="8.28515625" style="364" customWidth="1"/>
    <col min="5643" max="5643" width="20.28515625" style="364" customWidth="1"/>
    <col min="5644" max="5888" width="11.42578125" style="364"/>
    <col min="5889" max="5889" width="16.85546875" style="364" customWidth="1"/>
    <col min="5890" max="5890" width="15.140625" style="364" customWidth="1"/>
    <col min="5891" max="5891" width="14.28515625" style="364" customWidth="1"/>
    <col min="5892" max="5895" width="11.42578125" style="364"/>
    <col min="5896" max="5896" width="13.28515625" style="364" customWidth="1"/>
    <col min="5897" max="5897" width="8.42578125" style="364" customWidth="1"/>
    <col min="5898" max="5898" width="8.28515625" style="364" customWidth="1"/>
    <col min="5899" max="5899" width="20.28515625" style="364" customWidth="1"/>
    <col min="5900" max="6144" width="11.42578125" style="364"/>
    <col min="6145" max="6145" width="16.85546875" style="364" customWidth="1"/>
    <col min="6146" max="6146" width="15.140625" style="364" customWidth="1"/>
    <col min="6147" max="6147" width="14.28515625" style="364" customWidth="1"/>
    <col min="6148" max="6151" width="11.42578125" style="364"/>
    <col min="6152" max="6152" width="13.28515625" style="364" customWidth="1"/>
    <col min="6153" max="6153" width="8.42578125" style="364" customWidth="1"/>
    <col min="6154" max="6154" width="8.28515625" style="364" customWidth="1"/>
    <col min="6155" max="6155" width="20.28515625" style="364" customWidth="1"/>
    <col min="6156" max="6400" width="11.42578125" style="364"/>
    <col min="6401" max="6401" width="16.85546875" style="364" customWidth="1"/>
    <col min="6402" max="6402" width="15.140625" style="364" customWidth="1"/>
    <col min="6403" max="6403" width="14.28515625" style="364" customWidth="1"/>
    <col min="6404" max="6407" width="11.42578125" style="364"/>
    <col min="6408" max="6408" width="13.28515625" style="364" customWidth="1"/>
    <col min="6409" max="6409" width="8.42578125" style="364" customWidth="1"/>
    <col min="6410" max="6410" width="8.28515625" style="364" customWidth="1"/>
    <col min="6411" max="6411" width="20.28515625" style="364" customWidth="1"/>
    <col min="6412" max="6656" width="11.42578125" style="364"/>
    <col min="6657" max="6657" width="16.85546875" style="364" customWidth="1"/>
    <col min="6658" max="6658" width="15.140625" style="364" customWidth="1"/>
    <col min="6659" max="6659" width="14.28515625" style="364" customWidth="1"/>
    <col min="6660" max="6663" width="11.42578125" style="364"/>
    <col min="6664" max="6664" width="13.28515625" style="364" customWidth="1"/>
    <col min="6665" max="6665" width="8.42578125" style="364" customWidth="1"/>
    <col min="6666" max="6666" width="8.28515625" style="364" customWidth="1"/>
    <col min="6667" max="6667" width="20.28515625" style="364" customWidth="1"/>
    <col min="6668" max="6912" width="11.42578125" style="364"/>
    <col min="6913" max="6913" width="16.85546875" style="364" customWidth="1"/>
    <col min="6914" max="6914" width="15.140625" style="364" customWidth="1"/>
    <col min="6915" max="6915" width="14.28515625" style="364" customWidth="1"/>
    <col min="6916" max="6919" width="11.42578125" style="364"/>
    <col min="6920" max="6920" width="13.28515625" style="364" customWidth="1"/>
    <col min="6921" max="6921" width="8.42578125" style="364" customWidth="1"/>
    <col min="6922" max="6922" width="8.28515625" style="364" customWidth="1"/>
    <col min="6923" max="6923" width="20.28515625" style="364" customWidth="1"/>
    <col min="6924" max="7168" width="11.42578125" style="364"/>
    <col min="7169" max="7169" width="16.85546875" style="364" customWidth="1"/>
    <col min="7170" max="7170" width="15.140625" style="364" customWidth="1"/>
    <col min="7171" max="7171" width="14.28515625" style="364" customWidth="1"/>
    <col min="7172" max="7175" width="11.42578125" style="364"/>
    <col min="7176" max="7176" width="13.28515625" style="364" customWidth="1"/>
    <col min="7177" max="7177" width="8.42578125" style="364" customWidth="1"/>
    <col min="7178" max="7178" width="8.28515625" style="364" customWidth="1"/>
    <col min="7179" max="7179" width="20.28515625" style="364" customWidth="1"/>
    <col min="7180" max="7424" width="11.42578125" style="364"/>
    <col min="7425" max="7425" width="16.85546875" style="364" customWidth="1"/>
    <col min="7426" max="7426" width="15.140625" style="364" customWidth="1"/>
    <col min="7427" max="7427" width="14.28515625" style="364" customWidth="1"/>
    <col min="7428" max="7431" width="11.42578125" style="364"/>
    <col min="7432" max="7432" width="13.28515625" style="364" customWidth="1"/>
    <col min="7433" max="7433" width="8.42578125" style="364" customWidth="1"/>
    <col min="7434" max="7434" width="8.28515625" style="364" customWidth="1"/>
    <col min="7435" max="7435" width="20.28515625" style="364" customWidth="1"/>
    <col min="7436" max="7680" width="11.42578125" style="364"/>
    <col min="7681" max="7681" width="16.85546875" style="364" customWidth="1"/>
    <col min="7682" max="7682" width="15.140625" style="364" customWidth="1"/>
    <col min="7683" max="7683" width="14.28515625" style="364" customWidth="1"/>
    <col min="7684" max="7687" width="11.42578125" style="364"/>
    <col min="7688" max="7688" width="13.28515625" style="364" customWidth="1"/>
    <col min="7689" max="7689" width="8.42578125" style="364" customWidth="1"/>
    <col min="7690" max="7690" width="8.28515625" style="364" customWidth="1"/>
    <col min="7691" max="7691" width="20.28515625" style="364" customWidth="1"/>
    <col min="7692" max="7936" width="11.42578125" style="364"/>
    <col min="7937" max="7937" width="16.85546875" style="364" customWidth="1"/>
    <col min="7938" max="7938" width="15.140625" style="364" customWidth="1"/>
    <col min="7939" max="7939" width="14.28515625" style="364" customWidth="1"/>
    <col min="7940" max="7943" width="11.42578125" style="364"/>
    <col min="7944" max="7944" width="13.28515625" style="364" customWidth="1"/>
    <col min="7945" max="7945" width="8.42578125" style="364" customWidth="1"/>
    <col min="7946" max="7946" width="8.28515625" style="364" customWidth="1"/>
    <col min="7947" max="7947" width="20.28515625" style="364" customWidth="1"/>
    <col min="7948" max="8192" width="11.42578125" style="364"/>
    <col min="8193" max="8193" width="16.85546875" style="364" customWidth="1"/>
    <col min="8194" max="8194" width="15.140625" style="364" customWidth="1"/>
    <col min="8195" max="8195" width="14.28515625" style="364" customWidth="1"/>
    <col min="8196" max="8199" width="11.42578125" style="364"/>
    <col min="8200" max="8200" width="13.28515625" style="364" customWidth="1"/>
    <col min="8201" max="8201" width="8.42578125" style="364" customWidth="1"/>
    <col min="8202" max="8202" width="8.28515625" style="364" customWidth="1"/>
    <col min="8203" max="8203" width="20.28515625" style="364" customWidth="1"/>
    <col min="8204" max="8448" width="11.42578125" style="364"/>
    <col min="8449" max="8449" width="16.85546875" style="364" customWidth="1"/>
    <col min="8450" max="8450" width="15.140625" style="364" customWidth="1"/>
    <col min="8451" max="8451" width="14.28515625" style="364" customWidth="1"/>
    <col min="8452" max="8455" width="11.42578125" style="364"/>
    <col min="8456" max="8456" width="13.28515625" style="364" customWidth="1"/>
    <col min="8457" max="8457" width="8.42578125" style="364" customWidth="1"/>
    <col min="8458" max="8458" width="8.28515625" style="364" customWidth="1"/>
    <col min="8459" max="8459" width="20.28515625" style="364" customWidth="1"/>
    <col min="8460" max="8704" width="11.42578125" style="364"/>
    <col min="8705" max="8705" width="16.85546875" style="364" customWidth="1"/>
    <col min="8706" max="8706" width="15.140625" style="364" customWidth="1"/>
    <col min="8707" max="8707" width="14.28515625" style="364" customWidth="1"/>
    <col min="8708" max="8711" width="11.42578125" style="364"/>
    <col min="8712" max="8712" width="13.28515625" style="364" customWidth="1"/>
    <col min="8713" max="8713" width="8.42578125" style="364" customWidth="1"/>
    <col min="8714" max="8714" width="8.28515625" style="364" customWidth="1"/>
    <col min="8715" max="8715" width="20.28515625" style="364" customWidth="1"/>
    <col min="8716" max="8960" width="11.42578125" style="364"/>
    <col min="8961" max="8961" width="16.85546875" style="364" customWidth="1"/>
    <col min="8962" max="8962" width="15.140625" style="364" customWidth="1"/>
    <col min="8963" max="8963" width="14.28515625" style="364" customWidth="1"/>
    <col min="8964" max="8967" width="11.42578125" style="364"/>
    <col min="8968" max="8968" width="13.28515625" style="364" customWidth="1"/>
    <col min="8969" max="8969" width="8.42578125" style="364" customWidth="1"/>
    <col min="8970" max="8970" width="8.28515625" style="364" customWidth="1"/>
    <col min="8971" max="8971" width="20.28515625" style="364" customWidth="1"/>
    <col min="8972" max="9216" width="11.42578125" style="364"/>
    <col min="9217" max="9217" width="16.85546875" style="364" customWidth="1"/>
    <col min="9218" max="9218" width="15.140625" style="364" customWidth="1"/>
    <col min="9219" max="9219" width="14.28515625" style="364" customWidth="1"/>
    <col min="9220" max="9223" width="11.42578125" style="364"/>
    <col min="9224" max="9224" width="13.28515625" style="364" customWidth="1"/>
    <col min="9225" max="9225" width="8.42578125" style="364" customWidth="1"/>
    <col min="9226" max="9226" width="8.28515625" style="364" customWidth="1"/>
    <col min="9227" max="9227" width="20.28515625" style="364" customWidth="1"/>
    <col min="9228" max="9472" width="11.42578125" style="364"/>
    <col min="9473" max="9473" width="16.85546875" style="364" customWidth="1"/>
    <col min="9474" max="9474" width="15.140625" style="364" customWidth="1"/>
    <col min="9475" max="9475" width="14.28515625" style="364" customWidth="1"/>
    <col min="9476" max="9479" width="11.42578125" style="364"/>
    <col min="9480" max="9480" width="13.28515625" style="364" customWidth="1"/>
    <col min="9481" max="9481" width="8.42578125" style="364" customWidth="1"/>
    <col min="9482" max="9482" width="8.28515625" style="364" customWidth="1"/>
    <col min="9483" max="9483" width="20.28515625" style="364" customWidth="1"/>
    <col min="9484" max="9728" width="11.42578125" style="364"/>
    <col min="9729" max="9729" width="16.85546875" style="364" customWidth="1"/>
    <col min="9730" max="9730" width="15.140625" style="364" customWidth="1"/>
    <col min="9731" max="9731" width="14.28515625" style="364" customWidth="1"/>
    <col min="9732" max="9735" width="11.42578125" style="364"/>
    <col min="9736" max="9736" width="13.28515625" style="364" customWidth="1"/>
    <col min="9737" max="9737" width="8.42578125" style="364" customWidth="1"/>
    <col min="9738" max="9738" width="8.28515625" style="364" customWidth="1"/>
    <col min="9739" max="9739" width="20.28515625" style="364" customWidth="1"/>
    <col min="9740" max="9984" width="11.42578125" style="364"/>
    <col min="9985" max="9985" width="16.85546875" style="364" customWidth="1"/>
    <col min="9986" max="9986" width="15.140625" style="364" customWidth="1"/>
    <col min="9987" max="9987" width="14.28515625" style="364" customWidth="1"/>
    <col min="9988" max="9991" width="11.42578125" style="364"/>
    <col min="9992" max="9992" width="13.28515625" style="364" customWidth="1"/>
    <col min="9993" max="9993" width="8.42578125" style="364" customWidth="1"/>
    <col min="9994" max="9994" width="8.28515625" style="364" customWidth="1"/>
    <col min="9995" max="9995" width="20.28515625" style="364" customWidth="1"/>
    <col min="9996" max="10240" width="11.42578125" style="364"/>
    <col min="10241" max="10241" width="16.85546875" style="364" customWidth="1"/>
    <col min="10242" max="10242" width="15.140625" style="364" customWidth="1"/>
    <col min="10243" max="10243" width="14.28515625" style="364" customWidth="1"/>
    <col min="10244" max="10247" width="11.42578125" style="364"/>
    <col min="10248" max="10248" width="13.28515625" style="364" customWidth="1"/>
    <col min="10249" max="10249" width="8.42578125" style="364" customWidth="1"/>
    <col min="10250" max="10250" width="8.28515625" style="364" customWidth="1"/>
    <col min="10251" max="10251" width="20.28515625" style="364" customWidth="1"/>
    <col min="10252" max="10496" width="11.42578125" style="364"/>
    <col min="10497" max="10497" width="16.85546875" style="364" customWidth="1"/>
    <col min="10498" max="10498" width="15.140625" style="364" customWidth="1"/>
    <col min="10499" max="10499" width="14.28515625" style="364" customWidth="1"/>
    <col min="10500" max="10503" width="11.42578125" style="364"/>
    <col min="10504" max="10504" width="13.28515625" style="364" customWidth="1"/>
    <col min="10505" max="10505" width="8.42578125" style="364" customWidth="1"/>
    <col min="10506" max="10506" width="8.28515625" style="364" customWidth="1"/>
    <col min="10507" max="10507" width="20.28515625" style="364" customWidth="1"/>
    <col min="10508" max="10752" width="11.42578125" style="364"/>
    <col min="10753" max="10753" width="16.85546875" style="364" customWidth="1"/>
    <col min="10754" max="10754" width="15.140625" style="364" customWidth="1"/>
    <col min="10755" max="10755" width="14.28515625" style="364" customWidth="1"/>
    <col min="10756" max="10759" width="11.42578125" style="364"/>
    <col min="10760" max="10760" width="13.28515625" style="364" customWidth="1"/>
    <col min="10761" max="10761" width="8.42578125" style="364" customWidth="1"/>
    <col min="10762" max="10762" width="8.28515625" style="364" customWidth="1"/>
    <col min="10763" max="10763" width="20.28515625" style="364" customWidth="1"/>
    <col min="10764" max="11008" width="11.42578125" style="364"/>
    <col min="11009" max="11009" width="16.85546875" style="364" customWidth="1"/>
    <col min="11010" max="11010" width="15.140625" style="364" customWidth="1"/>
    <col min="11011" max="11011" width="14.28515625" style="364" customWidth="1"/>
    <col min="11012" max="11015" width="11.42578125" style="364"/>
    <col min="11016" max="11016" width="13.28515625" style="364" customWidth="1"/>
    <col min="11017" max="11017" width="8.42578125" style="364" customWidth="1"/>
    <col min="11018" max="11018" width="8.28515625" style="364" customWidth="1"/>
    <col min="11019" max="11019" width="20.28515625" style="364" customWidth="1"/>
    <col min="11020" max="11264" width="11.42578125" style="364"/>
    <col min="11265" max="11265" width="16.85546875" style="364" customWidth="1"/>
    <col min="11266" max="11266" width="15.140625" style="364" customWidth="1"/>
    <col min="11267" max="11267" width="14.28515625" style="364" customWidth="1"/>
    <col min="11268" max="11271" width="11.42578125" style="364"/>
    <col min="11272" max="11272" width="13.28515625" style="364" customWidth="1"/>
    <col min="11273" max="11273" width="8.42578125" style="364" customWidth="1"/>
    <col min="11274" max="11274" width="8.28515625" style="364" customWidth="1"/>
    <col min="11275" max="11275" width="20.28515625" style="364" customWidth="1"/>
    <col min="11276" max="11520" width="11.42578125" style="364"/>
    <col min="11521" max="11521" width="16.85546875" style="364" customWidth="1"/>
    <col min="11522" max="11522" width="15.140625" style="364" customWidth="1"/>
    <col min="11523" max="11523" width="14.28515625" style="364" customWidth="1"/>
    <col min="11524" max="11527" width="11.42578125" style="364"/>
    <col min="11528" max="11528" width="13.28515625" style="364" customWidth="1"/>
    <col min="11529" max="11529" width="8.42578125" style="364" customWidth="1"/>
    <col min="11530" max="11530" width="8.28515625" style="364" customWidth="1"/>
    <col min="11531" max="11531" width="20.28515625" style="364" customWidth="1"/>
    <col min="11532" max="11776" width="11.42578125" style="364"/>
    <col min="11777" max="11777" width="16.85546875" style="364" customWidth="1"/>
    <col min="11778" max="11778" width="15.140625" style="364" customWidth="1"/>
    <col min="11779" max="11779" width="14.28515625" style="364" customWidth="1"/>
    <col min="11780" max="11783" width="11.42578125" style="364"/>
    <col min="11784" max="11784" width="13.28515625" style="364" customWidth="1"/>
    <col min="11785" max="11785" width="8.42578125" style="364" customWidth="1"/>
    <col min="11786" max="11786" width="8.28515625" style="364" customWidth="1"/>
    <col min="11787" max="11787" width="20.28515625" style="364" customWidth="1"/>
    <col min="11788" max="12032" width="11.42578125" style="364"/>
    <col min="12033" max="12033" width="16.85546875" style="364" customWidth="1"/>
    <col min="12034" max="12034" width="15.140625" style="364" customWidth="1"/>
    <col min="12035" max="12035" width="14.28515625" style="364" customWidth="1"/>
    <col min="12036" max="12039" width="11.42578125" style="364"/>
    <col min="12040" max="12040" width="13.28515625" style="364" customWidth="1"/>
    <col min="12041" max="12041" width="8.42578125" style="364" customWidth="1"/>
    <col min="12042" max="12042" width="8.28515625" style="364" customWidth="1"/>
    <col min="12043" max="12043" width="20.28515625" style="364" customWidth="1"/>
    <col min="12044" max="12288" width="11.42578125" style="364"/>
    <col min="12289" max="12289" width="16.85546875" style="364" customWidth="1"/>
    <col min="12290" max="12290" width="15.140625" style="364" customWidth="1"/>
    <col min="12291" max="12291" width="14.28515625" style="364" customWidth="1"/>
    <col min="12292" max="12295" width="11.42578125" style="364"/>
    <col min="12296" max="12296" width="13.28515625" style="364" customWidth="1"/>
    <col min="12297" max="12297" width="8.42578125" style="364" customWidth="1"/>
    <col min="12298" max="12298" width="8.28515625" style="364" customWidth="1"/>
    <col min="12299" max="12299" width="20.28515625" style="364" customWidth="1"/>
    <col min="12300" max="12544" width="11.42578125" style="364"/>
    <col min="12545" max="12545" width="16.85546875" style="364" customWidth="1"/>
    <col min="12546" max="12546" width="15.140625" style="364" customWidth="1"/>
    <col min="12547" max="12547" width="14.28515625" style="364" customWidth="1"/>
    <col min="12548" max="12551" width="11.42578125" style="364"/>
    <col min="12552" max="12552" width="13.28515625" style="364" customWidth="1"/>
    <col min="12553" max="12553" width="8.42578125" style="364" customWidth="1"/>
    <col min="12554" max="12554" width="8.28515625" style="364" customWidth="1"/>
    <col min="12555" max="12555" width="20.28515625" style="364" customWidth="1"/>
    <col min="12556" max="12800" width="11.42578125" style="364"/>
    <col min="12801" max="12801" width="16.85546875" style="364" customWidth="1"/>
    <col min="12802" max="12802" width="15.140625" style="364" customWidth="1"/>
    <col min="12803" max="12803" width="14.28515625" style="364" customWidth="1"/>
    <col min="12804" max="12807" width="11.42578125" style="364"/>
    <col min="12808" max="12808" width="13.28515625" style="364" customWidth="1"/>
    <col min="12809" max="12809" width="8.42578125" style="364" customWidth="1"/>
    <col min="12810" max="12810" width="8.28515625" style="364" customWidth="1"/>
    <col min="12811" max="12811" width="20.28515625" style="364" customWidth="1"/>
    <col min="12812" max="13056" width="11.42578125" style="364"/>
    <col min="13057" max="13057" width="16.85546875" style="364" customWidth="1"/>
    <col min="13058" max="13058" width="15.140625" style="364" customWidth="1"/>
    <col min="13059" max="13059" width="14.28515625" style="364" customWidth="1"/>
    <col min="13060" max="13063" width="11.42578125" style="364"/>
    <col min="13064" max="13064" width="13.28515625" style="364" customWidth="1"/>
    <col min="13065" max="13065" width="8.42578125" style="364" customWidth="1"/>
    <col min="13066" max="13066" width="8.28515625" style="364" customWidth="1"/>
    <col min="13067" max="13067" width="20.28515625" style="364" customWidth="1"/>
    <col min="13068" max="13312" width="11.42578125" style="364"/>
    <col min="13313" max="13313" width="16.85546875" style="364" customWidth="1"/>
    <col min="13314" max="13314" width="15.140625" style="364" customWidth="1"/>
    <col min="13315" max="13315" width="14.28515625" style="364" customWidth="1"/>
    <col min="13316" max="13319" width="11.42578125" style="364"/>
    <col min="13320" max="13320" width="13.28515625" style="364" customWidth="1"/>
    <col min="13321" max="13321" width="8.42578125" style="364" customWidth="1"/>
    <col min="13322" max="13322" width="8.28515625" style="364" customWidth="1"/>
    <col min="13323" max="13323" width="20.28515625" style="364" customWidth="1"/>
    <col min="13324" max="13568" width="11.42578125" style="364"/>
    <col min="13569" max="13569" width="16.85546875" style="364" customWidth="1"/>
    <col min="13570" max="13570" width="15.140625" style="364" customWidth="1"/>
    <col min="13571" max="13571" width="14.28515625" style="364" customWidth="1"/>
    <col min="13572" max="13575" width="11.42578125" style="364"/>
    <col min="13576" max="13576" width="13.28515625" style="364" customWidth="1"/>
    <col min="13577" max="13577" width="8.42578125" style="364" customWidth="1"/>
    <col min="13578" max="13578" width="8.28515625" style="364" customWidth="1"/>
    <col min="13579" max="13579" width="20.28515625" style="364" customWidth="1"/>
    <col min="13580" max="13824" width="11.42578125" style="364"/>
    <col min="13825" max="13825" width="16.85546875" style="364" customWidth="1"/>
    <col min="13826" max="13826" width="15.140625" style="364" customWidth="1"/>
    <col min="13827" max="13827" width="14.28515625" style="364" customWidth="1"/>
    <col min="13828" max="13831" width="11.42578125" style="364"/>
    <col min="13832" max="13832" width="13.28515625" style="364" customWidth="1"/>
    <col min="13833" max="13833" width="8.42578125" style="364" customWidth="1"/>
    <col min="13834" max="13834" width="8.28515625" style="364" customWidth="1"/>
    <col min="13835" max="13835" width="20.28515625" style="364" customWidth="1"/>
    <col min="13836" max="14080" width="11.42578125" style="364"/>
    <col min="14081" max="14081" width="16.85546875" style="364" customWidth="1"/>
    <col min="14082" max="14082" width="15.140625" style="364" customWidth="1"/>
    <col min="14083" max="14083" width="14.28515625" style="364" customWidth="1"/>
    <col min="14084" max="14087" width="11.42578125" style="364"/>
    <col min="14088" max="14088" width="13.28515625" style="364" customWidth="1"/>
    <col min="14089" max="14089" width="8.42578125" style="364" customWidth="1"/>
    <col min="14090" max="14090" width="8.28515625" style="364" customWidth="1"/>
    <col min="14091" max="14091" width="20.28515625" style="364" customWidth="1"/>
    <col min="14092" max="14336" width="11.42578125" style="364"/>
    <col min="14337" max="14337" width="16.85546875" style="364" customWidth="1"/>
    <col min="14338" max="14338" width="15.140625" style="364" customWidth="1"/>
    <col min="14339" max="14339" width="14.28515625" style="364" customWidth="1"/>
    <col min="14340" max="14343" width="11.42578125" style="364"/>
    <col min="14344" max="14344" width="13.28515625" style="364" customWidth="1"/>
    <col min="14345" max="14345" width="8.42578125" style="364" customWidth="1"/>
    <col min="14346" max="14346" width="8.28515625" style="364" customWidth="1"/>
    <col min="14347" max="14347" width="20.28515625" style="364" customWidth="1"/>
    <col min="14348" max="14592" width="11.42578125" style="364"/>
    <col min="14593" max="14593" width="16.85546875" style="364" customWidth="1"/>
    <col min="14594" max="14594" width="15.140625" style="364" customWidth="1"/>
    <col min="14595" max="14595" width="14.28515625" style="364" customWidth="1"/>
    <col min="14596" max="14599" width="11.42578125" style="364"/>
    <col min="14600" max="14600" width="13.28515625" style="364" customWidth="1"/>
    <col min="14601" max="14601" width="8.42578125" style="364" customWidth="1"/>
    <col min="14602" max="14602" width="8.28515625" style="364" customWidth="1"/>
    <col min="14603" max="14603" width="20.28515625" style="364" customWidth="1"/>
    <col min="14604" max="14848" width="11.42578125" style="364"/>
    <col min="14849" max="14849" width="16.85546875" style="364" customWidth="1"/>
    <col min="14850" max="14850" width="15.140625" style="364" customWidth="1"/>
    <col min="14851" max="14851" width="14.28515625" style="364" customWidth="1"/>
    <col min="14852" max="14855" width="11.42578125" style="364"/>
    <col min="14856" max="14856" width="13.28515625" style="364" customWidth="1"/>
    <col min="14857" max="14857" width="8.42578125" style="364" customWidth="1"/>
    <col min="14858" max="14858" width="8.28515625" style="364" customWidth="1"/>
    <col min="14859" max="14859" width="20.28515625" style="364" customWidth="1"/>
    <col min="14860" max="15104" width="11.42578125" style="364"/>
    <col min="15105" max="15105" width="16.85546875" style="364" customWidth="1"/>
    <col min="15106" max="15106" width="15.140625" style="364" customWidth="1"/>
    <col min="15107" max="15107" width="14.28515625" style="364" customWidth="1"/>
    <col min="15108" max="15111" width="11.42578125" style="364"/>
    <col min="15112" max="15112" width="13.28515625" style="364" customWidth="1"/>
    <col min="15113" max="15113" width="8.42578125" style="364" customWidth="1"/>
    <col min="15114" max="15114" width="8.28515625" style="364" customWidth="1"/>
    <col min="15115" max="15115" width="20.28515625" style="364" customWidth="1"/>
    <col min="15116" max="15360" width="11.42578125" style="364"/>
    <col min="15361" max="15361" width="16.85546875" style="364" customWidth="1"/>
    <col min="15362" max="15362" width="15.140625" style="364" customWidth="1"/>
    <col min="15363" max="15363" width="14.28515625" style="364" customWidth="1"/>
    <col min="15364" max="15367" width="11.42578125" style="364"/>
    <col min="15368" max="15368" width="13.28515625" style="364" customWidth="1"/>
    <col min="15369" max="15369" width="8.42578125" style="364" customWidth="1"/>
    <col min="15370" max="15370" width="8.28515625" style="364" customWidth="1"/>
    <col min="15371" max="15371" width="20.28515625" style="364" customWidth="1"/>
    <col min="15372" max="15616" width="11.42578125" style="364"/>
    <col min="15617" max="15617" width="16.85546875" style="364" customWidth="1"/>
    <col min="15618" max="15618" width="15.140625" style="364" customWidth="1"/>
    <col min="15619" max="15619" width="14.28515625" style="364" customWidth="1"/>
    <col min="15620" max="15623" width="11.42578125" style="364"/>
    <col min="15624" max="15624" width="13.28515625" style="364" customWidth="1"/>
    <col min="15625" max="15625" width="8.42578125" style="364" customWidth="1"/>
    <col min="15626" max="15626" width="8.28515625" style="364" customWidth="1"/>
    <col min="15627" max="15627" width="20.28515625" style="364" customWidth="1"/>
    <col min="15628" max="15872" width="11.42578125" style="364"/>
    <col min="15873" max="15873" width="16.85546875" style="364" customWidth="1"/>
    <col min="15874" max="15874" width="15.140625" style="364" customWidth="1"/>
    <col min="15875" max="15875" width="14.28515625" style="364" customWidth="1"/>
    <col min="15876" max="15879" width="11.42578125" style="364"/>
    <col min="15880" max="15880" width="13.28515625" style="364" customWidth="1"/>
    <col min="15881" max="15881" width="8.42578125" style="364" customWidth="1"/>
    <col min="15882" max="15882" width="8.28515625" style="364" customWidth="1"/>
    <col min="15883" max="15883" width="20.28515625" style="364" customWidth="1"/>
    <col min="15884" max="16128" width="11.42578125" style="364"/>
    <col min="16129" max="16129" width="16.85546875" style="364" customWidth="1"/>
    <col min="16130" max="16130" width="15.140625" style="364" customWidth="1"/>
    <col min="16131" max="16131" width="14.28515625" style="364" customWidth="1"/>
    <col min="16132" max="16135" width="11.42578125" style="364"/>
    <col min="16136" max="16136" width="13.28515625" style="364" customWidth="1"/>
    <col min="16137" max="16137" width="8.42578125" style="364" customWidth="1"/>
    <col min="16138" max="16138" width="8.28515625" style="364" customWidth="1"/>
    <col min="16139" max="16139" width="20.28515625" style="364" customWidth="1"/>
    <col min="16140" max="16384" width="11.42578125" style="364"/>
  </cols>
  <sheetData>
    <row r="2" spans="1:11">
      <c r="A2" s="363" t="s">
        <v>656</v>
      </c>
    </row>
    <row r="3" spans="1:11">
      <c r="A3" s="820" t="s">
        <v>657</v>
      </c>
    </row>
    <row r="4" spans="1:11" ht="18.75">
      <c r="A4" s="1212"/>
      <c r="B4" s="1212"/>
      <c r="C4" s="1212"/>
      <c r="D4" s="1212"/>
      <c r="E4" s="1212"/>
      <c r="F4" s="1212"/>
      <c r="G4" s="1212"/>
      <c r="H4" s="1212"/>
      <c r="I4" s="1212"/>
      <c r="J4" s="1212"/>
      <c r="K4" s="1212"/>
    </row>
    <row r="5" spans="1:11" ht="47.25">
      <c r="A5" s="365" t="s">
        <v>63</v>
      </c>
      <c r="B5" s="365" t="s">
        <v>64</v>
      </c>
      <c r="C5" s="365" t="s">
        <v>65</v>
      </c>
      <c r="D5" s="366" t="s">
        <v>354</v>
      </c>
      <c r="E5" s="365" t="s">
        <v>66</v>
      </c>
      <c r="F5" s="365" t="s">
        <v>355</v>
      </c>
      <c r="G5" s="366" t="s">
        <v>344</v>
      </c>
      <c r="H5" s="367" t="s">
        <v>356</v>
      </c>
      <c r="I5" s="368" t="s">
        <v>357</v>
      </c>
      <c r="J5" s="368" t="s">
        <v>358</v>
      </c>
      <c r="K5" s="369" t="s">
        <v>359</v>
      </c>
    </row>
    <row r="6" spans="1:11">
      <c r="A6" s="370"/>
      <c r="B6" s="370"/>
      <c r="C6" s="371"/>
      <c r="D6" s="372"/>
      <c r="E6" s="373"/>
      <c r="F6" s="374"/>
      <c r="G6" s="374"/>
      <c r="H6" s="375"/>
      <c r="I6" s="376"/>
      <c r="J6" s="377"/>
      <c r="K6" s="377"/>
    </row>
    <row r="7" spans="1:11">
      <c r="A7" s="370"/>
      <c r="B7" s="370"/>
      <c r="C7" s="371"/>
      <c r="D7" s="372"/>
      <c r="E7" s="373"/>
      <c r="F7" s="374"/>
      <c r="G7" s="374"/>
      <c r="H7" s="328"/>
      <c r="I7" s="329"/>
      <c r="J7" s="377"/>
      <c r="K7" s="377"/>
    </row>
    <row r="8" spans="1:11">
      <c r="A8" s="370"/>
      <c r="B8" s="370"/>
      <c r="C8" s="371"/>
      <c r="D8" s="372"/>
      <c r="E8" s="373"/>
      <c r="F8" s="374"/>
      <c r="G8" s="374"/>
      <c r="H8" s="328"/>
      <c r="I8" s="329"/>
      <c r="J8" s="377"/>
      <c r="K8" s="377"/>
    </row>
    <row r="9" spans="1:11">
      <c r="A9" s="370"/>
      <c r="B9" s="370"/>
      <c r="C9" s="371"/>
      <c r="D9" s="372"/>
      <c r="E9" s="373"/>
      <c r="F9" s="374"/>
      <c r="G9" s="374"/>
      <c r="H9" s="328"/>
      <c r="I9" s="329"/>
      <c r="J9" s="377"/>
      <c r="K9" s="377"/>
    </row>
    <row r="10" spans="1:11">
      <c r="A10" s="370"/>
      <c r="B10" s="370"/>
      <c r="C10" s="371"/>
      <c r="D10" s="372"/>
      <c r="E10" s="378"/>
      <c r="F10" s="374"/>
      <c r="G10" s="374"/>
      <c r="H10" s="379"/>
      <c r="I10" s="380"/>
      <c r="J10" s="377"/>
      <c r="K10" s="377"/>
    </row>
    <row r="11" spans="1:11">
      <c r="A11" s="370"/>
      <c r="B11" s="370"/>
      <c r="C11" s="371"/>
      <c r="D11" s="372"/>
      <c r="E11" s="378"/>
      <c r="F11" s="374"/>
      <c r="G11" s="374"/>
      <c r="H11" s="379"/>
      <c r="I11" s="380"/>
      <c r="J11" s="377"/>
      <c r="K11" s="377"/>
    </row>
    <row r="12" spans="1:11">
      <c r="A12" s="370"/>
      <c r="B12" s="370"/>
      <c r="C12" s="371"/>
      <c r="D12" s="372"/>
      <c r="E12" s="378"/>
      <c r="F12" s="374"/>
      <c r="G12" s="374"/>
      <c r="H12" s="379"/>
      <c r="I12" s="380"/>
      <c r="J12" s="377"/>
      <c r="K12" s="377"/>
    </row>
    <row r="13" spans="1:11">
      <c r="A13" s="370"/>
      <c r="B13" s="370"/>
      <c r="C13" s="371"/>
      <c r="D13" s="372"/>
      <c r="E13" s="378"/>
      <c r="F13" s="374"/>
      <c r="G13" s="374"/>
      <c r="H13" s="379"/>
      <c r="I13" s="380"/>
      <c r="J13" s="377"/>
      <c r="K13" s="377"/>
    </row>
    <row r="14" spans="1:11">
      <c r="A14" s="370"/>
      <c r="B14" s="370"/>
      <c r="C14" s="371"/>
      <c r="D14" s="372"/>
      <c r="E14" s="378"/>
      <c r="F14" s="374"/>
      <c r="G14" s="374"/>
      <c r="H14" s="379"/>
      <c r="I14" s="380"/>
      <c r="J14" s="377"/>
      <c r="K14" s="377"/>
    </row>
    <row r="15" spans="1:11">
      <c r="A15" s="370"/>
      <c r="B15" s="370"/>
      <c r="C15" s="371"/>
      <c r="D15" s="372"/>
      <c r="E15" s="378"/>
      <c r="F15" s="374"/>
      <c r="G15" s="374"/>
      <c r="H15" s="379"/>
      <c r="I15" s="380"/>
      <c r="J15" s="377"/>
      <c r="K15" s="377"/>
    </row>
    <row r="16" spans="1:11">
      <c r="A16" s="370"/>
      <c r="B16" s="370"/>
      <c r="C16" s="371"/>
      <c r="D16" s="372"/>
      <c r="E16" s="378"/>
      <c r="F16" s="374"/>
      <c r="G16" s="374"/>
      <c r="H16" s="379"/>
      <c r="I16" s="380"/>
      <c r="J16" s="377"/>
      <c r="K16" s="377"/>
    </row>
    <row r="17" spans="1:11">
      <c r="A17" s="370"/>
      <c r="B17" s="370"/>
      <c r="C17" s="371"/>
      <c r="D17" s="372"/>
      <c r="E17" s="378"/>
      <c r="F17" s="374"/>
      <c r="G17" s="374"/>
      <c r="H17" s="379"/>
      <c r="I17" s="380"/>
      <c r="J17" s="377"/>
      <c r="K17" s="377"/>
    </row>
  </sheetData>
  <mergeCells count="1">
    <mergeCell ref="A4:K4"/>
  </mergeCells>
  <pageMargins left="0.2" right="0.21" top="0.36" bottom="0.74803149606299213" header="0.19" footer="0.31496062992125984"/>
  <pageSetup paperSize="9" orientation="landscape" r:id="rId1"/>
</worksheet>
</file>

<file path=xl/worksheets/sheet30.xml><?xml version="1.0" encoding="utf-8"?>
<worksheet xmlns="http://schemas.openxmlformats.org/spreadsheetml/2006/main" xmlns:r="http://schemas.openxmlformats.org/officeDocument/2006/relationships">
  <sheetPr codeName="Feuil29">
    <tabColor theme="7" tint="0.39997558519241921"/>
  </sheetPr>
  <dimension ref="A1:AC23"/>
  <sheetViews>
    <sheetView showZeros="0" workbookViewId="0">
      <selection activeCell="K4" sqref="K4"/>
    </sheetView>
  </sheetViews>
  <sheetFormatPr baseColWidth="10" defaultRowHeight="15"/>
  <cols>
    <col min="1" max="1" width="10.85546875" style="126" bestFit="1" customWidth="1"/>
    <col min="2" max="2" width="9.28515625" style="126" customWidth="1"/>
    <col min="3" max="3" width="11.28515625" style="126" hidden="1" customWidth="1"/>
    <col min="4" max="6" width="11.42578125" style="126"/>
    <col min="7" max="10" width="11.42578125" style="126" hidden="1" customWidth="1"/>
    <col min="11" max="11" width="11.42578125" style="126" customWidth="1"/>
    <col min="12" max="13" width="11.42578125" style="126" hidden="1" customWidth="1"/>
    <col min="14" max="14" width="11.42578125" style="126"/>
    <col min="15" max="15" width="8" style="126" hidden="1" customWidth="1"/>
    <col min="16" max="16" width="10.42578125" style="126" hidden="1" customWidth="1"/>
    <col min="17" max="17" width="13.140625" style="126" hidden="1" customWidth="1"/>
    <col min="18" max="18" width="10.7109375" style="126" bestFit="1" customWidth="1"/>
    <col min="19" max="21" width="11.42578125" style="126" hidden="1" customWidth="1"/>
    <col min="22" max="22" width="9.5703125" style="126" bestFit="1" customWidth="1"/>
    <col min="23" max="24" width="13.140625" style="126" hidden="1" customWidth="1"/>
    <col min="25" max="25" width="13.140625" style="126" customWidth="1"/>
    <col min="26" max="28" width="13.140625" style="126" hidden="1" customWidth="1"/>
    <col min="29" max="16384" width="11.42578125" style="126"/>
  </cols>
  <sheetData>
    <row r="1" spans="1:29" ht="26.25">
      <c r="A1" s="1052" t="s">
        <v>424</v>
      </c>
      <c r="B1" s="1052"/>
      <c r="C1" s="1052"/>
      <c r="D1" s="1052"/>
      <c r="E1" s="1052"/>
      <c r="F1" s="1052"/>
      <c r="G1" s="1052"/>
      <c r="H1" s="1052"/>
      <c r="I1" s="1052"/>
      <c r="J1" s="1052"/>
      <c r="K1" s="1052"/>
      <c r="L1" s="1052"/>
      <c r="M1" s="1052"/>
      <c r="N1" s="1052"/>
      <c r="O1" s="1052"/>
      <c r="P1" s="1052"/>
      <c r="Q1" s="1052"/>
      <c r="R1" s="1052"/>
      <c r="S1" s="1052"/>
      <c r="T1" s="1052"/>
      <c r="U1" s="1052"/>
      <c r="V1" s="1052"/>
      <c r="W1" s="1052"/>
      <c r="X1" s="1052"/>
      <c r="Y1" s="1052"/>
      <c r="Z1" s="1052"/>
      <c r="AA1" s="1052"/>
      <c r="AB1" s="1052"/>
      <c r="AC1" s="1052"/>
    </row>
    <row r="4" spans="1:29">
      <c r="A4" s="220" t="s">
        <v>62</v>
      </c>
    </row>
    <row r="5" spans="1:29">
      <c r="A5" s="242" t="s">
        <v>268</v>
      </c>
      <c r="B5" s="1213"/>
      <c r="C5" s="1213"/>
      <c r="D5" s="1214"/>
      <c r="O5" s="413"/>
      <c r="P5" s="413"/>
      <c r="Q5" s="413"/>
      <c r="R5" s="414"/>
    </row>
    <row r="6" spans="1:29">
      <c r="A6" s="243" t="s">
        <v>147</v>
      </c>
      <c r="B6" s="1213"/>
      <c r="C6" s="1213"/>
      <c r="D6" s="1214"/>
      <c r="O6" s="413"/>
      <c r="P6" s="413"/>
      <c r="Q6" s="413"/>
      <c r="R6" s="414"/>
    </row>
    <row r="10" spans="1:29" ht="30">
      <c r="A10" s="387"/>
      <c r="B10" s="157" t="s">
        <v>255</v>
      </c>
      <c r="C10" s="158" t="s">
        <v>256</v>
      </c>
      <c r="D10" s="388" t="s">
        <v>436</v>
      </c>
      <c r="E10" s="388" t="s">
        <v>437</v>
      </c>
      <c r="F10" s="389" t="s">
        <v>192</v>
      </c>
      <c r="G10" s="389" t="s">
        <v>188</v>
      </c>
      <c r="H10" s="388" t="s">
        <v>438</v>
      </c>
      <c r="I10" s="388" t="s">
        <v>439</v>
      </c>
      <c r="J10" s="388" t="s">
        <v>440</v>
      </c>
      <c r="K10" s="390" t="s">
        <v>441</v>
      </c>
      <c r="L10" s="391" t="s">
        <v>442</v>
      </c>
      <c r="M10" s="391" t="s">
        <v>443</v>
      </c>
      <c r="N10" s="391" t="s">
        <v>444</v>
      </c>
      <c r="O10" s="158" t="s">
        <v>134</v>
      </c>
      <c r="P10" s="158" t="s">
        <v>425</v>
      </c>
      <c r="Q10" s="158" t="s">
        <v>426</v>
      </c>
      <c r="R10" s="158" t="s">
        <v>222</v>
      </c>
      <c r="S10" s="158" t="s">
        <v>427</v>
      </c>
      <c r="T10" s="158" t="s">
        <v>428</v>
      </c>
      <c r="U10" s="158" t="s">
        <v>429</v>
      </c>
      <c r="V10" s="158" t="s">
        <v>84</v>
      </c>
      <c r="W10" s="158" t="s">
        <v>430</v>
      </c>
      <c r="X10" s="158" t="s">
        <v>431</v>
      </c>
      <c r="Y10" s="158" t="s">
        <v>432</v>
      </c>
      <c r="Z10" s="158" t="s">
        <v>433</v>
      </c>
      <c r="AA10" s="158" t="s">
        <v>434</v>
      </c>
      <c r="AB10" s="158" t="s">
        <v>435</v>
      </c>
      <c r="AC10" s="218" t="s">
        <v>220</v>
      </c>
    </row>
    <row r="11" spans="1:29">
      <c r="A11" s="242" t="s">
        <v>193</v>
      </c>
      <c r="B11" s="392"/>
      <c r="C11" s="244">
        <f>IF(B11=0,0,SUM($B$11:B11))</f>
        <v>0</v>
      </c>
      <c r="D11" s="824" t="str">
        <f>IF(B11="","",1)</f>
        <v/>
      </c>
      <c r="E11" s="824" t="str">
        <f>IF(B11="","",1)</f>
        <v/>
      </c>
      <c r="F11" s="824"/>
      <c r="G11" s="159">
        <f t="shared" ref="G11:G22" si="0">IF(OR(B11=0,D11=0,E11=0),0,SMIC_mens*D11*E11+F11*SMIC_hor)</f>
        <v>0</v>
      </c>
      <c r="H11" s="395">
        <f t="shared" ref="H11:H22" si="1">IF(B11=0,0,Taux_Fillon/0.6*(1.6*G11/B11-1))</f>
        <v>0</v>
      </c>
      <c r="I11" s="159">
        <f>IF(B11=0,0,SUM($G$11:G11))</f>
        <v>0</v>
      </c>
      <c r="J11" s="395">
        <f t="shared" ref="J11:J22" si="2">IF(O11=0,0,Taux_Fillon/0.6*(1.6*I11/C11-1))</f>
        <v>0</v>
      </c>
      <c r="K11" s="393">
        <f>IF(B11=0,0,IF(H11&gt;0,-B11*H11,0))</f>
        <v>0</v>
      </c>
      <c r="L11" s="396">
        <f>3.5*G11</f>
        <v>0</v>
      </c>
      <c r="M11" s="396">
        <f>IF(L11=0,0,SUM($L$11:L11))</f>
        <v>0</v>
      </c>
      <c r="N11" s="415">
        <f>IF(C11&lt;M11,C11*3.45%,C11*5.25%)</f>
        <v>0</v>
      </c>
      <c r="O11" s="159">
        <f t="shared" ref="O11:O22" si="3">IF(B11=0,0,PMSS)</f>
        <v>0</v>
      </c>
      <c r="P11" s="159">
        <f>IF(O11=0,0,SUM($O$11:O11))</f>
        <v>0</v>
      </c>
      <c r="Q11" s="159">
        <f t="shared" ref="Q11:Q22" si="4">MIN(C11,P11)</f>
        <v>0</v>
      </c>
      <c r="R11" s="160">
        <f>Q11</f>
        <v>0</v>
      </c>
      <c r="S11" s="244">
        <f t="shared" ref="S11:S22" si="5">IF(B11=0,0,4*PMSS)</f>
        <v>0</v>
      </c>
      <c r="T11" s="159">
        <f>IF(S11=0,0,SUM($S$11:S11))</f>
        <v>0</v>
      </c>
      <c r="U11" s="159">
        <f t="shared" ref="U11:U22" si="6">IF(C11&lt;P11,0,MIN(C11,T11)-P11)</f>
        <v>0</v>
      </c>
      <c r="V11" s="162">
        <f>U11</f>
        <v>0</v>
      </c>
      <c r="W11" s="159">
        <f>IF(B11=0,0,GMP*COUNT($B$11:B11))</f>
        <v>0</v>
      </c>
      <c r="X11" s="159">
        <f>IF(U11&lt;W11,W11-U11,0)</f>
        <v>0</v>
      </c>
      <c r="Y11" s="393">
        <f>X11</f>
        <v>0</v>
      </c>
      <c r="Z11" s="394">
        <f t="shared" ref="Z11:Z22" si="7">IF(B11=0,0,8*PMSS)</f>
        <v>0</v>
      </c>
      <c r="AA11" s="394">
        <f>IF(B11=0,0,SUM($Z$11:Z11))</f>
        <v>0</v>
      </c>
      <c r="AB11" s="394">
        <f t="shared" ref="AB11:AB22" si="8">IF(B11=0,0,IF(C11&lt;T11,0,MIN(C11,AA11)-T11))</f>
        <v>0</v>
      </c>
      <c r="AC11" s="219">
        <f>AB11</f>
        <v>0</v>
      </c>
    </row>
    <row r="12" spans="1:29">
      <c r="A12" s="243" t="s">
        <v>194</v>
      </c>
      <c r="B12" s="392"/>
      <c r="C12" s="245">
        <f>IF(B12=0,0,SUM($B$11:B12))</f>
        <v>0</v>
      </c>
      <c r="D12" s="824" t="str">
        <f t="shared" ref="D12:D22" si="9">IF(B12="","",1)</f>
        <v/>
      </c>
      <c r="E12" s="824" t="str">
        <f t="shared" ref="E12:E22" si="10">IF(B12="","",1)</f>
        <v/>
      </c>
      <c r="F12" s="824"/>
      <c r="G12" s="161">
        <f t="shared" si="0"/>
        <v>0</v>
      </c>
      <c r="H12" s="398">
        <f t="shared" si="1"/>
        <v>0</v>
      </c>
      <c r="I12" s="161">
        <f>IF(B12=0,0,SUM($G$11:G12))</f>
        <v>0</v>
      </c>
      <c r="J12" s="399">
        <f t="shared" si="2"/>
        <v>0</v>
      </c>
      <c r="K12" s="400">
        <f>IF(B12=0,0,IF(AND(H12&gt;0,J12&gt;0),-B12*H12,IF(J12&gt;0,-C12*J12,0)-SUM($K$11:K11)))</f>
        <v>0</v>
      </c>
      <c r="L12" s="401">
        <f t="shared" ref="L12:L22" si="11">3.5*G12</f>
        <v>0</v>
      </c>
      <c r="M12" s="401">
        <f>IF(L12=0,0,SUM($L$11:L12))</f>
        <v>0</v>
      </c>
      <c r="N12" s="415">
        <f>IF(C12=0,0,IF(C12&lt;M12,C12*3.45%,C12*5.25%)-SUM($N$11:N11))</f>
        <v>0</v>
      </c>
      <c r="O12" s="217">
        <f t="shared" si="3"/>
        <v>0</v>
      </c>
      <c r="P12" s="217">
        <f>IF(O12=0,0,SUM($O$11:O12))</f>
        <v>0</v>
      </c>
      <c r="Q12" s="161">
        <f t="shared" si="4"/>
        <v>0</v>
      </c>
      <c r="R12" s="160">
        <f>IF(B12=0,0,Q12-SUM($R$11:R11))</f>
        <v>0</v>
      </c>
      <c r="S12" s="245">
        <f t="shared" si="5"/>
        <v>0</v>
      </c>
      <c r="T12" s="217">
        <f>IF(S12=0,0,SUM($S$11:S12))</f>
        <v>0</v>
      </c>
      <c r="U12" s="217">
        <f t="shared" si="6"/>
        <v>0</v>
      </c>
      <c r="V12" s="162">
        <f>IF(B12=0,0,U12-SUM($V$11:V11))</f>
        <v>0</v>
      </c>
      <c r="W12" s="217">
        <f>IF(B12=0,0,GMP*COUNT($B$11:B12))</f>
        <v>0</v>
      </c>
      <c r="X12" s="217">
        <f>IF(U12&lt;W12,W12-U12,0)</f>
        <v>0</v>
      </c>
      <c r="Y12" s="393">
        <f>IF(B12=0,0,X12-SUM($Y$11:Y11))</f>
        <v>0</v>
      </c>
      <c r="Z12" s="397">
        <f t="shared" si="7"/>
        <v>0</v>
      </c>
      <c r="AA12" s="397">
        <f>IF(B12=0,0,SUM($Z$11:Z12))</f>
        <v>0</v>
      </c>
      <c r="AB12" s="397">
        <f t="shared" si="8"/>
        <v>0</v>
      </c>
      <c r="AC12" s="219">
        <f>IF(B12=0,0,AB12-SUM($AC$11:AC11))</f>
        <v>0</v>
      </c>
    </row>
    <row r="13" spans="1:29">
      <c r="A13" s="242" t="s">
        <v>195</v>
      </c>
      <c r="B13" s="392"/>
      <c r="C13" s="244">
        <f>IF(B13=0,0,SUM($B$11:B13))</f>
        <v>0</v>
      </c>
      <c r="D13" s="824" t="str">
        <f t="shared" si="9"/>
        <v/>
      </c>
      <c r="E13" s="824" t="str">
        <f t="shared" si="10"/>
        <v/>
      </c>
      <c r="F13" s="824"/>
      <c r="G13" s="159">
        <f t="shared" si="0"/>
        <v>0</v>
      </c>
      <c r="H13" s="395">
        <f t="shared" si="1"/>
        <v>0</v>
      </c>
      <c r="I13" s="159">
        <f>IF(B13=0,0,SUM($G$11:G13))</f>
        <v>0</v>
      </c>
      <c r="J13" s="395">
        <f t="shared" si="2"/>
        <v>0</v>
      </c>
      <c r="K13" s="400">
        <f>IF(B13=0,0,IF(AND(H13&gt;0,J13&gt;0),-B13*H13,IF(J13&gt;0,-C13*J13,0)-SUM($K$11:K12)))</f>
        <v>0</v>
      </c>
      <c r="L13" s="396">
        <f t="shared" si="11"/>
        <v>0</v>
      </c>
      <c r="M13" s="396">
        <f>IF(L13=0,0,SUM($L$11:L13))</f>
        <v>0</v>
      </c>
      <c r="N13" s="415">
        <f>IF(C13=0,0,IF(C13&lt;M13,C13*3.45%,C13*5.25%)-SUM($N$11:N12))</f>
        <v>0</v>
      </c>
      <c r="O13" s="159">
        <f t="shared" si="3"/>
        <v>0</v>
      </c>
      <c r="P13" s="159">
        <f>IF(O13=0,0,SUM($O$11:O13))</f>
        <v>0</v>
      </c>
      <c r="Q13" s="159">
        <f t="shared" si="4"/>
        <v>0</v>
      </c>
      <c r="R13" s="160">
        <f>IF(B13=0,0,Q13-SUM($R$11:R12))</f>
        <v>0</v>
      </c>
      <c r="S13" s="244">
        <f t="shared" si="5"/>
        <v>0</v>
      </c>
      <c r="T13" s="159">
        <f>IF(S13=0,0,SUM($S$11:S13))</f>
        <v>0</v>
      </c>
      <c r="U13" s="159">
        <f t="shared" si="6"/>
        <v>0</v>
      </c>
      <c r="V13" s="162">
        <f>IF(B13=0,0,U13-SUM($V$11:V12))</f>
        <v>0</v>
      </c>
      <c r="W13" s="159">
        <f>IF(B13=0,0,GMP*COUNT($B$11:B13))</f>
        <v>0</v>
      </c>
      <c r="X13" s="159">
        <f t="shared" ref="X13:X22" si="12">IF(U13&lt;W13,W13-U13,0)</f>
        <v>0</v>
      </c>
      <c r="Y13" s="393">
        <f>IF(B13=0,0,X13-SUM($Y$11:Y12))</f>
        <v>0</v>
      </c>
      <c r="Z13" s="394">
        <f t="shared" si="7"/>
        <v>0</v>
      </c>
      <c r="AA13" s="394">
        <f>IF(B13=0,0,SUM($Z$11:Z13))</f>
        <v>0</v>
      </c>
      <c r="AB13" s="394">
        <f t="shared" si="8"/>
        <v>0</v>
      </c>
      <c r="AC13" s="219">
        <f>IF(B13=0,0,AB13-SUM($AC$11:AC12))</f>
        <v>0</v>
      </c>
    </row>
    <row r="14" spans="1:29">
      <c r="A14" s="243" t="s">
        <v>196</v>
      </c>
      <c r="B14" s="392"/>
      <c r="C14" s="245">
        <f>IF(B14=0,0,SUM($B$11:B14))</f>
        <v>0</v>
      </c>
      <c r="D14" s="824" t="str">
        <f t="shared" si="9"/>
        <v/>
      </c>
      <c r="E14" s="824" t="str">
        <f t="shared" si="10"/>
        <v/>
      </c>
      <c r="F14" s="824"/>
      <c r="G14" s="161">
        <f t="shared" si="0"/>
        <v>0</v>
      </c>
      <c r="H14" s="398">
        <f t="shared" si="1"/>
        <v>0</v>
      </c>
      <c r="I14" s="161">
        <f>IF(B14=0,0,SUM($G$11:G14))</f>
        <v>0</v>
      </c>
      <c r="J14" s="399">
        <f t="shared" si="2"/>
        <v>0</v>
      </c>
      <c r="K14" s="400">
        <f>IF(B14=0,0,IF(AND(H14&gt;0,J14&gt;0),-B14*H14,IF(J14&gt;0,-C14*J14,0)-SUM($K$11:K13)))</f>
        <v>0</v>
      </c>
      <c r="L14" s="401">
        <f t="shared" si="11"/>
        <v>0</v>
      </c>
      <c r="M14" s="401">
        <f>IF(L14=0,0,SUM($L$11:L14))</f>
        <v>0</v>
      </c>
      <c r="N14" s="415">
        <f>IF(C14=0,0,IF(C14&lt;M14,C14*3.45%,C14*5.25%)-SUM($N$11:N13))</f>
        <v>0</v>
      </c>
      <c r="O14" s="217">
        <f t="shared" si="3"/>
        <v>0</v>
      </c>
      <c r="P14" s="217">
        <f>IF(O14=0,0,SUM($O$11:O14))</f>
        <v>0</v>
      </c>
      <c r="Q14" s="161">
        <f t="shared" si="4"/>
        <v>0</v>
      </c>
      <c r="R14" s="160">
        <f>IF(B14=0,0,Q14-SUM($R$11:R13))</f>
        <v>0</v>
      </c>
      <c r="S14" s="245">
        <f t="shared" si="5"/>
        <v>0</v>
      </c>
      <c r="T14" s="217">
        <f>IF(S14=0,0,SUM($S$11:S14))</f>
        <v>0</v>
      </c>
      <c r="U14" s="217">
        <f t="shared" si="6"/>
        <v>0</v>
      </c>
      <c r="V14" s="162">
        <f>IF(B14=0,0,U14-SUM($V$11:V13))</f>
        <v>0</v>
      </c>
      <c r="W14" s="217">
        <f>IF(B14=0,0,GMP*COUNT($B$11:B14))</f>
        <v>0</v>
      </c>
      <c r="X14" s="217">
        <f t="shared" si="12"/>
        <v>0</v>
      </c>
      <c r="Y14" s="393">
        <f>IF(B14=0,0,X14-SUM($Y$11:Y13))</f>
        <v>0</v>
      </c>
      <c r="Z14" s="397">
        <f t="shared" si="7"/>
        <v>0</v>
      </c>
      <c r="AA14" s="397">
        <f>IF(B14=0,0,SUM($Z$11:Z14))</f>
        <v>0</v>
      </c>
      <c r="AB14" s="397">
        <f t="shared" si="8"/>
        <v>0</v>
      </c>
      <c r="AC14" s="219">
        <f>IF(B14=0,0,AB14-SUM($AC$11:AC13))</f>
        <v>0</v>
      </c>
    </row>
    <row r="15" spans="1:29">
      <c r="A15" s="242" t="s">
        <v>197</v>
      </c>
      <c r="B15" s="402"/>
      <c r="C15" s="244">
        <f>IF(B15=0,0,SUM($B$11:B15))</f>
        <v>0</v>
      </c>
      <c r="D15" s="824" t="str">
        <f t="shared" si="9"/>
        <v/>
      </c>
      <c r="E15" s="824" t="str">
        <f t="shared" si="10"/>
        <v/>
      </c>
      <c r="F15" s="824"/>
      <c r="G15" s="159">
        <f t="shared" si="0"/>
        <v>0</v>
      </c>
      <c r="H15" s="395">
        <f t="shared" si="1"/>
        <v>0</v>
      </c>
      <c r="I15" s="159">
        <f>IF(B15=0,0,SUM($G$11:G15))</f>
        <v>0</v>
      </c>
      <c r="J15" s="395">
        <f t="shared" si="2"/>
        <v>0</v>
      </c>
      <c r="K15" s="400">
        <f>IF(B15=0,0,IF(AND(H15&gt;0,J15&gt;0),-B15*H15,IF(J15&gt;0,-C15*J15,0)-SUM($K$11:K14)))</f>
        <v>0</v>
      </c>
      <c r="L15" s="396">
        <f t="shared" si="11"/>
        <v>0</v>
      </c>
      <c r="M15" s="396">
        <f>IF(L15=0,0,SUM($L$11:L15))</f>
        <v>0</v>
      </c>
      <c r="N15" s="415">
        <f>IF(C15=0,0,IF(C15&lt;M15,C15*3.45%,C15*5.25%)-SUM($N$11:N14))</f>
        <v>0</v>
      </c>
      <c r="O15" s="159">
        <f t="shared" si="3"/>
        <v>0</v>
      </c>
      <c r="P15" s="159">
        <f>IF(O15=0,0,SUM($O$11:O15))</f>
        <v>0</v>
      </c>
      <c r="Q15" s="159">
        <f t="shared" si="4"/>
        <v>0</v>
      </c>
      <c r="R15" s="160">
        <f>IF(B15=0,0,Q15-SUM($R$11:R14))</f>
        <v>0</v>
      </c>
      <c r="S15" s="244">
        <f t="shared" si="5"/>
        <v>0</v>
      </c>
      <c r="T15" s="159">
        <f>IF(S15=0,0,SUM($S$11:S15))</f>
        <v>0</v>
      </c>
      <c r="U15" s="159">
        <f t="shared" si="6"/>
        <v>0</v>
      </c>
      <c r="V15" s="162">
        <f>IF(B15=0,0,U15-SUM($V$11:V14))</f>
        <v>0</v>
      </c>
      <c r="W15" s="159">
        <f>IF(B15=0,0,GMP*COUNT($B$11:B15))</f>
        <v>0</v>
      </c>
      <c r="X15" s="159">
        <f t="shared" si="12"/>
        <v>0</v>
      </c>
      <c r="Y15" s="393">
        <f>IF(B15=0,0,X15-SUM($Y$11:Y14))</f>
        <v>0</v>
      </c>
      <c r="Z15" s="394">
        <f t="shared" si="7"/>
        <v>0</v>
      </c>
      <c r="AA15" s="394">
        <f>IF(B15=0,0,SUM($Z$11:Z15))</f>
        <v>0</v>
      </c>
      <c r="AB15" s="394">
        <f t="shared" si="8"/>
        <v>0</v>
      </c>
      <c r="AC15" s="219">
        <f>IF(B15=0,0,AB15-SUM($AC$11:AC14))</f>
        <v>0</v>
      </c>
    </row>
    <row r="16" spans="1:29">
      <c r="A16" s="243" t="s">
        <v>198</v>
      </c>
      <c r="B16" s="402"/>
      <c r="C16" s="245">
        <f>IF(B16=0,0,SUM($B$11:B16))</f>
        <v>0</v>
      </c>
      <c r="D16" s="824" t="str">
        <f t="shared" si="9"/>
        <v/>
      </c>
      <c r="E16" s="824" t="str">
        <f t="shared" si="10"/>
        <v/>
      </c>
      <c r="F16" s="824"/>
      <c r="G16" s="161">
        <f t="shared" si="0"/>
        <v>0</v>
      </c>
      <c r="H16" s="398">
        <f t="shared" si="1"/>
        <v>0</v>
      </c>
      <c r="I16" s="161">
        <f>IF(B16=0,0,SUM($G$11:G16))</f>
        <v>0</v>
      </c>
      <c r="J16" s="399">
        <f t="shared" si="2"/>
        <v>0</v>
      </c>
      <c r="K16" s="400">
        <f>IF(B16=0,0,IF(AND(H16&gt;0,J16&gt;0),-B16*H16,IF(J16&gt;0,-C16*J16,0)-SUM($K$11:K15)))</f>
        <v>0</v>
      </c>
      <c r="L16" s="401">
        <f t="shared" si="11"/>
        <v>0</v>
      </c>
      <c r="M16" s="401">
        <f>IF(L16=0,0,SUM($L$11:L16))</f>
        <v>0</v>
      </c>
      <c r="N16" s="415">
        <f>IF(C16=0,0,IF(C16&lt;M16,C16*3.45%,C16*5.25%)-SUM($N$11:N15))</f>
        <v>0</v>
      </c>
      <c r="O16" s="217">
        <f t="shared" si="3"/>
        <v>0</v>
      </c>
      <c r="P16" s="217">
        <f>IF(O16=0,0,SUM($O$11:O16))</f>
        <v>0</v>
      </c>
      <c r="Q16" s="161">
        <f t="shared" si="4"/>
        <v>0</v>
      </c>
      <c r="R16" s="160">
        <f>IF(B16=0,0,Q16-SUM($R$11:R15))</f>
        <v>0</v>
      </c>
      <c r="S16" s="245">
        <f t="shared" si="5"/>
        <v>0</v>
      </c>
      <c r="T16" s="217">
        <f>IF(S16=0,0,SUM($S$11:S16))</f>
        <v>0</v>
      </c>
      <c r="U16" s="217">
        <f t="shared" si="6"/>
        <v>0</v>
      </c>
      <c r="V16" s="162">
        <f>IF(B16=0,0,U16-SUM($V$11:V15))</f>
        <v>0</v>
      </c>
      <c r="W16" s="217">
        <f>IF(B16=0,0,GMP*COUNT($B$11:B16))</f>
        <v>0</v>
      </c>
      <c r="X16" s="217">
        <f t="shared" si="12"/>
        <v>0</v>
      </c>
      <c r="Y16" s="393">
        <f>IF(B16=0,0,X16-SUM($Y$11:Y15))</f>
        <v>0</v>
      </c>
      <c r="Z16" s="397">
        <f t="shared" si="7"/>
        <v>0</v>
      </c>
      <c r="AA16" s="397">
        <f>IF(B16=0,0,SUM($Z$11:Z16))</f>
        <v>0</v>
      </c>
      <c r="AB16" s="397">
        <f t="shared" si="8"/>
        <v>0</v>
      </c>
      <c r="AC16" s="219">
        <f>IF(B16=0,0,AB16-SUM($AC$11:AC15))</f>
        <v>0</v>
      </c>
    </row>
    <row r="17" spans="1:29">
      <c r="A17" s="242" t="s">
        <v>199</v>
      </c>
      <c r="B17" s="402"/>
      <c r="C17" s="244">
        <f>IF(B17=0,0,SUM($B$11:B17))</f>
        <v>0</v>
      </c>
      <c r="D17" s="824" t="str">
        <f t="shared" si="9"/>
        <v/>
      </c>
      <c r="E17" s="824" t="str">
        <f t="shared" si="10"/>
        <v/>
      </c>
      <c r="F17" s="824"/>
      <c r="G17" s="159">
        <f t="shared" si="0"/>
        <v>0</v>
      </c>
      <c r="H17" s="395">
        <f t="shared" si="1"/>
        <v>0</v>
      </c>
      <c r="I17" s="159">
        <f>IF(B17=0,0,SUM($G$11:G17))</f>
        <v>0</v>
      </c>
      <c r="J17" s="395">
        <f t="shared" si="2"/>
        <v>0</v>
      </c>
      <c r="K17" s="400">
        <f>IF(B17=0,0,IF(AND(H17&gt;0,J17&gt;0),-B17*H17,IF(J17&gt;0,-C17*J17,0)-SUM($K$11:K16)))</f>
        <v>0</v>
      </c>
      <c r="L17" s="396">
        <f t="shared" si="11"/>
        <v>0</v>
      </c>
      <c r="M17" s="396">
        <f>IF(L17=0,0,SUM($L$11:L17))</f>
        <v>0</v>
      </c>
      <c r="N17" s="415">
        <f>IF(C17=0,0,IF(C17&lt;M17,C17*3.45%,C17*5.25%)-SUM($N$11:N16))</f>
        <v>0</v>
      </c>
      <c r="O17" s="159">
        <f t="shared" si="3"/>
        <v>0</v>
      </c>
      <c r="P17" s="159">
        <f>IF(O17=0,0,SUM($O$11:O17))</f>
        <v>0</v>
      </c>
      <c r="Q17" s="159">
        <f t="shared" si="4"/>
        <v>0</v>
      </c>
      <c r="R17" s="160">
        <f>IF(B17=0,0,Q17-SUM($R$11:R16))</f>
        <v>0</v>
      </c>
      <c r="S17" s="244">
        <f t="shared" si="5"/>
        <v>0</v>
      </c>
      <c r="T17" s="159">
        <f>IF(S17=0,0,SUM($S$11:S17))</f>
        <v>0</v>
      </c>
      <c r="U17" s="159">
        <f t="shared" si="6"/>
        <v>0</v>
      </c>
      <c r="V17" s="162">
        <f>IF(B17=0,0,U17-SUM($V$11:V16))</f>
        <v>0</v>
      </c>
      <c r="W17" s="159">
        <f>IF(B17=0,0,GMP*COUNT($B$11:B17))</f>
        <v>0</v>
      </c>
      <c r="X17" s="159">
        <f t="shared" si="12"/>
        <v>0</v>
      </c>
      <c r="Y17" s="393">
        <f>IF(B17=0,0,X17-SUM($Y$11:Y16))</f>
        <v>0</v>
      </c>
      <c r="Z17" s="394">
        <f t="shared" si="7"/>
        <v>0</v>
      </c>
      <c r="AA17" s="394">
        <f>IF(B17=0,0,SUM($Z$11:Z17))</f>
        <v>0</v>
      </c>
      <c r="AB17" s="394">
        <f t="shared" si="8"/>
        <v>0</v>
      </c>
      <c r="AC17" s="219">
        <f>IF(B17=0,0,AB17-SUM($AC$11:AC16))</f>
        <v>0</v>
      </c>
    </row>
    <row r="18" spans="1:29">
      <c r="A18" s="243" t="s">
        <v>200</v>
      </c>
      <c r="B18" s="402"/>
      <c r="C18" s="245">
        <f>IF(B18=0,0,SUM($B$11:B18))</f>
        <v>0</v>
      </c>
      <c r="D18" s="824" t="str">
        <f t="shared" si="9"/>
        <v/>
      </c>
      <c r="E18" s="824" t="str">
        <f t="shared" si="10"/>
        <v/>
      </c>
      <c r="F18" s="824"/>
      <c r="G18" s="161">
        <f t="shared" si="0"/>
        <v>0</v>
      </c>
      <c r="H18" s="398">
        <f t="shared" si="1"/>
        <v>0</v>
      </c>
      <c r="I18" s="161">
        <f>IF(B18=0,0,SUM($G$11:G18))</f>
        <v>0</v>
      </c>
      <c r="J18" s="399">
        <f t="shared" si="2"/>
        <v>0</v>
      </c>
      <c r="K18" s="400">
        <f>IF(B18=0,0,IF(AND(H18&gt;0,J18&gt;0),-B18*H18,IF(J18&gt;0,-C18*J18,0)-SUM($K$11:K17)))</f>
        <v>0</v>
      </c>
      <c r="L18" s="401">
        <f t="shared" si="11"/>
        <v>0</v>
      </c>
      <c r="M18" s="401">
        <f>IF(L18=0,0,SUM($L$11:L18))</f>
        <v>0</v>
      </c>
      <c r="N18" s="415">
        <f>IF(C18=0,0,IF(C18&lt;M18,C18*3.45%,C18*5.25%)-SUM($N$11:N17))</f>
        <v>0</v>
      </c>
      <c r="O18" s="217">
        <f t="shared" si="3"/>
        <v>0</v>
      </c>
      <c r="P18" s="217">
        <f>IF(O18=0,0,SUM($O$11:O18))</f>
        <v>0</v>
      </c>
      <c r="Q18" s="161">
        <f t="shared" si="4"/>
        <v>0</v>
      </c>
      <c r="R18" s="160">
        <f>IF(B18=0,0,Q18-SUM($R$11:R17))</f>
        <v>0</v>
      </c>
      <c r="S18" s="245">
        <f t="shared" si="5"/>
        <v>0</v>
      </c>
      <c r="T18" s="217">
        <f>IF(S18=0,0,SUM($S$11:S18))</f>
        <v>0</v>
      </c>
      <c r="U18" s="217">
        <f t="shared" si="6"/>
        <v>0</v>
      </c>
      <c r="V18" s="162">
        <f>IF(B18=0,0,U18-SUM($V$11:V17))</f>
        <v>0</v>
      </c>
      <c r="W18" s="217">
        <f>IF(B18=0,0,GMP*COUNT($B$11:B18))</f>
        <v>0</v>
      </c>
      <c r="X18" s="217">
        <f t="shared" si="12"/>
        <v>0</v>
      </c>
      <c r="Y18" s="393">
        <f>IF(B18=0,0,X18-SUM($Y$11:Y17))</f>
        <v>0</v>
      </c>
      <c r="Z18" s="397">
        <f t="shared" si="7"/>
        <v>0</v>
      </c>
      <c r="AA18" s="397">
        <f>IF(B18=0,0,SUM($Z$11:Z18))</f>
        <v>0</v>
      </c>
      <c r="AB18" s="397">
        <f t="shared" si="8"/>
        <v>0</v>
      </c>
      <c r="AC18" s="219">
        <f>IF(B18=0,0,AB18-SUM($AC$11:AC17))</f>
        <v>0</v>
      </c>
    </row>
    <row r="19" spans="1:29">
      <c r="A19" s="242" t="s">
        <v>201</v>
      </c>
      <c r="B19" s="402"/>
      <c r="C19" s="244">
        <f>IF(B19=0,0,SUM($B$11:B19))</f>
        <v>0</v>
      </c>
      <c r="D19" s="824" t="str">
        <f t="shared" si="9"/>
        <v/>
      </c>
      <c r="E19" s="824" t="str">
        <f t="shared" si="10"/>
        <v/>
      </c>
      <c r="F19" s="824"/>
      <c r="G19" s="159">
        <f t="shared" si="0"/>
        <v>0</v>
      </c>
      <c r="H19" s="395">
        <f t="shared" si="1"/>
        <v>0</v>
      </c>
      <c r="I19" s="159">
        <f>IF(B19=0,0,SUM($G$11:G19))</f>
        <v>0</v>
      </c>
      <c r="J19" s="395">
        <f t="shared" si="2"/>
        <v>0</v>
      </c>
      <c r="K19" s="400">
        <f>IF(B19=0,0,IF(AND(H19&gt;0,J19&gt;0),-B19*H19,IF(J19&gt;0,-C19*J19,0)-SUM($K$11:K18)))</f>
        <v>0</v>
      </c>
      <c r="L19" s="396">
        <f t="shared" si="11"/>
        <v>0</v>
      </c>
      <c r="M19" s="396">
        <f>IF(L19=0,0,SUM($L$11:L19))</f>
        <v>0</v>
      </c>
      <c r="N19" s="415">
        <f>IF(C19=0,0,IF(C19&lt;M19,C19*3.45%,C19*5.25%)-SUM($N$11:N18))</f>
        <v>0</v>
      </c>
      <c r="O19" s="159">
        <f t="shared" si="3"/>
        <v>0</v>
      </c>
      <c r="P19" s="159">
        <f>IF(O19=0,0,SUM($O$11:O19))</f>
        <v>0</v>
      </c>
      <c r="Q19" s="159">
        <f t="shared" si="4"/>
        <v>0</v>
      </c>
      <c r="R19" s="160">
        <f>IF(B19=0,0,Q19-SUM($R$11:R18))</f>
        <v>0</v>
      </c>
      <c r="S19" s="244">
        <f t="shared" si="5"/>
        <v>0</v>
      </c>
      <c r="T19" s="159">
        <f>IF(S19=0,0,SUM($S$11:S19))</f>
        <v>0</v>
      </c>
      <c r="U19" s="159">
        <f t="shared" si="6"/>
        <v>0</v>
      </c>
      <c r="V19" s="162">
        <f>IF(B19=0,0,U19-SUM($V$11:V18))</f>
        <v>0</v>
      </c>
      <c r="W19" s="159">
        <f>IF(B19=0,0,GMP*COUNT($B$11:B19))</f>
        <v>0</v>
      </c>
      <c r="X19" s="159">
        <f t="shared" si="12"/>
        <v>0</v>
      </c>
      <c r="Y19" s="393">
        <f>IF(B19=0,0,X19-SUM($Y$11:Y18))</f>
        <v>0</v>
      </c>
      <c r="Z19" s="394">
        <f t="shared" si="7"/>
        <v>0</v>
      </c>
      <c r="AA19" s="394">
        <f>IF(B19=0,0,SUM($Z$11:Z19))</f>
        <v>0</v>
      </c>
      <c r="AB19" s="394">
        <f t="shared" si="8"/>
        <v>0</v>
      </c>
      <c r="AC19" s="219">
        <f>IF(B19=0,0,AB19-SUM($AC$11:AC18))</f>
        <v>0</v>
      </c>
    </row>
    <row r="20" spans="1:29">
      <c r="A20" s="243" t="s">
        <v>202</v>
      </c>
      <c r="B20" s="392"/>
      <c r="C20" s="245">
        <f>IF(B20=0,0,SUM($B$11:B20))</f>
        <v>0</v>
      </c>
      <c r="D20" s="824" t="str">
        <f t="shared" si="9"/>
        <v/>
      </c>
      <c r="E20" s="824" t="str">
        <f t="shared" si="10"/>
        <v/>
      </c>
      <c r="F20" s="824"/>
      <c r="G20" s="161">
        <f t="shared" si="0"/>
        <v>0</v>
      </c>
      <c r="H20" s="398">
        <f t="shared" si="1"/>
        <v>0</v>
      </c>
      <c r="I20" s="161">
        <f>IF(B20=0,0,SUM($G$11:G20))</f>
        <v>0</v>
      </c>
      <c r="J20" s="399">
        <f t="shared" si="2"/>
        <v>0</v>
      </c>
      <c r="K20" s="400">
        <f>IF(B20=0,0,IF(AND(H20&gt;0,J20&gt;0),-B20*H20,IF(J20&gt;0,-C20*J20,0)-SUM($K$11:K19)))</f>
        <v>0</v>
      </c>
      <c r="L20" s="401">
        <f t="shared" si="11"/>
        <v>0</v>
      </c>
      <c r="M20" s="401">
        <f>IF(L20=0,0,SUM($L$11:L20))</f>
        <v>0</v>
      </c>
      <c r="N20" s="415">
        <f>IF(C20=0,0,IF(C20&lt;M20,C20*3.45%,C20*5.25%)-SUM($N$11:N19))</f>
        <v>0</v>
      </c>
      <c r="O20" s="217">
        <f t="shared" si="3"/>
        <v>0</v>
      </c>
      <c r="P20" s="217">
        <f>IF(O20=0,0,SUM($O$11:O20))</f>
        <v>0</v>
      </c>
      <c r="Q20" s="161">
        <f t="shared" si="4"/>
        <v>0</v>
      </c>
      <c r="R20" s="160">
        <f>IF(B20=0,0,Q20-SUM($R$11:R19))</f>
        <v>0</v>
      </c>
      <c r="S20" s="245">
        <f t="shared" si="5"/>
        <v>0</v>
      </c>
      <c r="T20" s="217">
        <f>IF(S20=0,0,SUM($S$11:S20))</f>
        <v>0</v>
      </c>
      <c r="U20" s="217">
        <f t="shared" si="6"/>
        <v>0</v>
      </c>
      <c r="V20" s="162">
        <f>IF(B20=0,0,U20-SUM($V$11:V19))</f>
        <v>0</v>
      </c>
      <c r="W20" s="217">
        <f>IF(B20=0,0,GMP*COUNT($B$11:B20))</f>
        <v>0</v>
      </c>
      <c r="X20" s="217">
        <f t="shared" si="12"/>
        <v>0</v>
      </c>
      <c r="Y20" s="393">
        <f>IF(B20=0,0,X20-SUM($Y$11:Y19))</f>
        <v>0</v>
      </c>
      <c r="Z20" s="397">
        <f t="shared" si="7"/>
        <v>0</v>
      </c>
      <c r="AA20" s="397">
        <f>IF(B20=0,0,SUM($Z$11:Z20))</f>
        <v>0</v>
      </c>
      <c r="AB20" s="397">
        <f t="shared" si="8"/>
        <v>0</v>
      </c>
      <c r="AC20" s="219">
        <f>IF(B20=0,0,AB20-SUM($AC$11:AC19))</f>
        <v>0</v>
      </c>
    </row>
    <row r="21" spans="1:29">
      <c r="A21" s="242" t="s">
        <v>203</v>
      </c>
      <c r="B21" s="392"/>
      <c r="C21" s="244">
        <f>IF(B21=0,0,SUM($B$11:B21))</f>
        <v>0</v>
      </c>
      <c r="D21" s="824" t="str">
        <f t="shared" si="9"/>
        <v/>
      </c>
      <c r="E21" s="824" t="str">
        <f t="shared" si="10"/>
        <v/>
      </c>
      <c r="F21" s="824"/>
      <c r="G21" s="159">
        <f t="shared" si="0"/>
        <v>0</v>
      </c>
      <c r="H21" s="395">
        <f t="shared" si="1"/>
        <v>0</v>
      </c>
      <c r="I21" s="159">
        <f>IF(B21=0,0,SUM($G$11:G21))</f>
        <v>0</v>
      </c>
      <c r="J21" s="395">
        <f t="shared" si="2"/>
        <v>0</v>
      </c>
      <c r="K21" s="400">
        <f>IF(B21=0,0,IF(AND(H21&gt;0,J21&gt;0),-B21*H21,IF(J21&gt;0,-C21*J21,0)-SUM($K$11:K20)))</f>
        <v>0</v>
      </c>
      <c r="L21" s="396">
        <f t="shared" si="11"/>
        <v>0</v>
      </c>
      <c r="M21" s="396">
        <f>IF(L21=0,0,SUM($L$11:L21))</f>
        <v>0</v>
      </c>
      <c r="N21" s="415">
        <f>IF(C21=0,0,IF(C21&lt;M21,C21*3.45%,C21*5.25%)-SUM($N$11:N20))</f>
        <v>0</v>
      </c>
      <c r="O21" s="159">
        <f t="shared" si="3"/>
        <v>0</v>
      </c>
      <c r="P21" s="159">
        <f>IF(O21=0,0,SUM($O$11:O21))</f>
        <v>0</v>
      </c>
      <c r="Q21" s="159">
        <f t="shared" si="4"/>
        <v>0</v>
      </c>
      <c r="R21" s="160">
        <f>IF(B21=0,0,Q21-SUM($R$11:R20))</f>
        <v>0</v>
      </c>
      <c r="S21" s="244">
        <f t="shared" si="5"/>
        <v>0</v>
      </c>
      <c r="T21" s="159">
        <f>IF(S21=0,0,SUM($S$11:S21))</f>
        <v>0</v>
      </c>
      <c r="U21" s="159">
        <f t="shared" si="6"/>
        <v>0</v>
      </c>
      <c r="V21" s="162">
        <f>IF(B21=0,0,U21-SUM($V$11:V20))</f>
        <v>0</v>
      </c>
      <c r="W21" s="159">
        <f>IF(B21=0,0,GMP*COUNT($B$11:B21))</f>
        <v>0</v>
      </c>
      <c r="X21" s="159">
        <f t="shared" si="12"/>
        <v>0</v>
      </c>
      <c r="Y21" s="393">
        <f>IF(B21=0,0,X21-SUM($Y$11:Y20))</f>
        <v>0</v>
      </c>
      <c r="Z21" s="394">
        <f t="shared" si="7"/>
        <v>0</v>
      </c>
      <c r="AA21" s="394">
        <f>IF(B21=0,0,SUM($Z$11:Z21))</f>
        <v>0</v>
      </c>
      <c r="AB21" s="394">
        <f t="shared" si="8"/>
        <v>0</v>
      </c>
      <c r="AC21" s="219">
        <f>IF(B21=0,0,AB21-SUM($AC$11:AC20))</f>
        <v>0</v>
      </c>
    </row>
    <row r="22" spans="1:29">
      <c r="A22" s="243" t="s">
        <v>204</v>
      </c>
      <c r="B22" s="392"/>
      <c r="C22" s="245">
        <f>IF(B22=0,0,SUM($B$11:B22))</f>
        <v>0</v>
      </c>
      <c r="D22" s="824" t="str">
        <f t="shared" si="9"/>
        <v/>
      </c>
      <c r="E22" s="824" t="str">
        <f t="shared" si="10"/>
        <v/>
      </c>
      <c r="F22" s="824"/>
      <c r="G22" s="161">
        <f t="shared" si="0"/>
        <v>0</v>
      </c>
      <c r="H22" s="398">
        <f t="shared" si="1"/>
        <v>0</v>
      </c>
      <c r="I22" s="161">
        <f>IF(B22=0,0,SUM($G$11:G22))</f>
        <v>0</v>
      </c>
      <c r="J22" s="399">
        <f t="shared" si="2"/>
        <v>0</v>
      </c>
      <c r="K22" s="400">
        <f>IF(B22=0,0,IF(AND(H22&gt;0,J22&gt;0),-B22*H22,IF(J22&gt;0,-C22*J22,0)-SUM($K$11:K21)))</f>
        <v>0</v>
      </c>
      <c r="L22" s="401">
        <f t="shared" si="11"/>
        <v>0</v>
      </c>
      <c r="M22" s="401">
        <f>IF(L22=0,0,SUM($L$11:L22))</f>
        <v>0</v>
      </c>
      <c r="N22" s="415">
        <f>IF(C22=0,0,IF(C22&lt;M22,C22*3.45%,C22*5.25%)-SUM($N$11:N21))</f>
        <v>0</v>
      </c>
      <c r="O22" s="217">
        <f t="shared" si="3"/>
        <v>0</v>
      </c>
      <c r="P22" s="217">
        <f>IF(O22=0,0,SUM($O$11:O22))</f>
        <v>0</v>
      </c>
      <c r="Q22" s="161">
        <f t="shared" si="4"/>
        <v>0</v>
      </c>
      <c r="R22" s="160">
        <f>IF(B22=0,0,Q22-SUM($R$11:R21))</f>
        <v>0</v>
      </c>
      <c r="S22" s="245">
        <f t="shared" si="5"/>
        <v>0</v>
      </c>
      <c r="T22" s="217">
        <f>IF(S22=0,0,SUM($S$11:S22))</f>
        <v>0</v>
      </c>
      <c r="U22" s="217">
        <f t="shared" si="6"/>
        <v>0</v>
      </c>
      <c r="V22" s="162">
        <f>IF(B22=0,0,U22-SUM($V$11:V21))</f>
        <v>0</v>
      </c>
      <c r="W22" s="217">
        <f>IF(B22=0,0,GMP*COUNT($B$11:B22))</f>
        <v>0</v>
      </c>
      <c r="X22" s="217">
        <f t="shared" si="12"/>
        <v>0</v>
      </c>
      <c r="Y22" s="393">
        <f>IF(B22=0,0,X22-SUM($Y$11:Y21))</f>
        <v>0</v>
      </c>
      <c r="Z22" s="397">
        <f t="shared" si="7"/>
        <v>0</v>
      </c>
      <c r="AA22" s="397">
        <f>IF(B22=0,0,SUM($Z$11:Z22))</f>
        <v>0</v>
      </c>
      <c r="AB22" s="397">
        <f t="shared" si="8"/>
        <v>0</v>
      </c>
      <c r="AC22" s="219">
        <f>IF(B22=0,0,AB22-SUM($AC$11:AC21))</f>
        <v>0</v>
      </c>
    </row>
    <row r="23" spans="1:29">
      <c r="C23" s="127"/>
      <c r="O23" s="127"/>
      <c r="P23" s="127"/>
      <c r="Z23" s="127"/>
      <c r="AA23" s="126">
        <f>IF(B23=0,0,SUM($Z$11,Z23))</f>
        <v>0</v>
      </c>
    </row>
  </sheetData>
  <mergeCells count="3">
    <mergeCell ref="A1:AC1"/>
    <mergeCell ref="B5:D5"/>
    <mergeCell ref="B6:D6"/>
  </mergeCells>
  <printOptions horizontalCentered="1" verticalCentered="1"/>
  <pageMargins left="0.19685039370078741" right="0.39370078740157483" top="0.19685039370078741" bottom="0.19685039370078741" header="0.31496062992125984" footer="0.31496062992125984"/>
  <pageSetup paperSize="9" orientation="landscape" r:id="rId1"/>
  <headerFooter>
    <oddHeader>&amp;LEmmanuel ESNAULT&amp;R&amp;D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30</vt:i4>
      </vt:variant>
      <vt:variant>
        <vt:lpstr>Plages nommées</vt:lpstr>
      </vt:variant>
      <vt:variant>
        <vt:i4>130</vt:i4>
      </vt:variant>
    </vt:vector>
  </HeadingPairs>
  <TitlesOfParts>
    <vt:vector size="160" baseType="lpstr">
      <vt:lpstr>Cotisations</vt:lpstr>
      <vt:lpstr>Société</vt:lpstr>
      <vt:lpstr>multi</vt:lpstr>
      <vt:lpstr>Listes</vt:lpstr>
      <vt:lpstr>cadre</vt:lpstr>
      <vt:lpstr>dirigeant</vt:lpstr>
      <vt:lpstr>CTpro+45ans</vt:lpstr>
      <vt:lpstr>apprentis 11 sal et +</vt:lpstr>
      <vt:lpstr>VRP exclusif NC</vt:lpstr>
      <vt:lpstr>VRP exclusif C</vt:lpstr>
      <vt:lpstr>VRP multicarte</vt:lpstr>
      <vt:lpstr>NC BTP</vt:lpstr>
      <vt:lpstr>C BTP</vt:lpstr>
      <vt:lpstr>Régul plafond</vt:lpstr>
      <vt:lpstr>Régul Fillon mensuelle</vt:lpstr>
      <vt:lpstr>Régul Fillon</vt:lpstr>
      <vt:lpstr>Régul AF</vt:lpstr>
      <vt:lpstr>Logement</vt:lpstr>
      <vt:lpstr>Saisie</vt:lpstr>
      <vt:lpstr>IJSS maladie</vt:lpstr>
      <vt:lpstr>IJSS AT</vt:lpstr>
      <vt:lpstr>Ind licenc ou rupt conv</vt:lpstr>
      <vt:lpstr>ICP</vt:lpstr>
      <vt:lpstr>ICCP</vt:lpstr>
      <vt:lpstr>Masse salariale</vt:lpstr>
      <vt:lpstr>URSSAF</vt:lpstr>
      <vt:lpstr>ARRCO</vt:lpstr>
      <vt:lpstr>AGIRC</vt:lpstr>
      <vt:lpstr>variables</vt:lpstr>
      <vt:lpstr>Régul Fillon+AF+TA-B-C+GMP</vt:lpstr>
      <vt:lpstr>absences</vt:lpstr>
      <vt:lpstr>'apprentis 11 sal et +'!App_Brut</vt:lpstr>
      <vt:lpstr>'apprentis 11 sal et +'!App_CSGRDS</vt:lpstr>
      <vt:lpstr>'apprentis 11 sal et +'!App_Plafond</vt:lpstr>
      <vt:lpstr>'apprentis 11 sal et +'!App_T2</vt:lpstr>
      <vt:lpstr>'apprentis 11 sal et +'!App_TA</vt:lpstr>
      <vt:lpstr>APP_TABB</vt:lpstr>
      <vt:lpstr>'apprentis 11 sal et +'!App_TB</vt:lpstr>
      <vt:lpstr>cadre!C_Brut</vt:lpstr>
      <vt:lpstr>cadre!C_CSGRDS</vt:lpstr>
      <vt:lpstr>cadre!C_GMP</vt:lpstr>
      <vt:lpstr>cadre!C_Plafond</vt:lpstr>
      <vt:lpstr>cadre!C_TA</vt:lpstr>
      <vt:lpstr>cadre!C_TB</vt:lpstr>
      <vt:lpstr>cadre!C_TC</vt:lpstr>
      <vt:lpstr>car_emp</vt:lpstr>
      <vt:lpstr>'C BTP'!CBTP_Brut</vt:lpstr>
      <vt:lpstr>'C BTP'!CBTP_BRUTABAT</vt:lpstr>
      <vt:lpstr>'C BTP'!CBTP_CSGRDS</vt:lpstr>
      <vt:lpstr>'C BTP'!CBTP_GMP</vt:lpstr>
      <vt:lpstr>'C BTP'!CBTP_Plafond</vt:lpstr>
      <vt:lpstr>'C BTP'!CBTP_TA</vt:lpstr>
      <vt:lpstr>'C BTP'!CBTP_TB</vt:lpstr>
      <vt:lpstr>'C BTP'!CBTP_TC</vt:lpstr>
      <vt:lpstr>charnière</vt:lpstr>
      <vt:lpstr>'CTpro+45ans'!CPro_Brut</vt:lpstr>
      <vt:lpstr>'CTpro+45ans'!CPro_CSGRDS</vt:lpstr>
      <vt:lpstr>'CTpro+45ans'!CPro_Plafond</vt:lpstr>
      <vt:lpstr>'CTpro+45ans'!CPro_T2</vt:lpstr>
      <vt:lpstr>'CTpro+45ans'!CPro_TA</vt:lpstr>
      <vt:lpstr>'CTpro+45ans'!CPro_TB</vt:lpstr>
      <vt:lpstr>CPRO_TEXO</vt:lpstr>
      <vt:lpstr>D_Brut</vt:lpstr>
      <vt:lpstr>dirigeant!D_CSGRDS</vt:lpstr>
      <vt:lpstr>dirigeant!D_GMP</vt:lpstr>
      <vt:lpstr>dirigeant!D_Plafond</vt:lpstr>
      <vt:lpstr>dirigeant!D_TA</vt:lpstr>
      <vt:lpstr>dirigeant!D_TB</vt:lpstr>
      <vt:lpstr>dirigeant!D_TC</vt:lpstr>
      <vt:lpstr>divers</vt:lpstr>
      <vt:lpstr>effectif</vt:lpstr>
      <vt:lpstr>GMP</vt:lpstr>
      <vt:lpstr>H.C.</vt:lpstr>
      <vt:lpstr>H.S.</vt:lpstr>
      <vt:lpstr>HS.HC</vt:lpstr>
      <vt:lpstr>Liste_AF</vt:lpstr>
      <vt:lpstr>liste_Fillon</vt:lpstr>
      <vt:lpstr>M_Brut</vt:lpstr>
      <vt:lpstr>M_CSGRDS</vt:lpstr>
      <vt:lpstr>M_GMP</vt:lpstr>
      <vt:lpstr>M_Plafond</vt:lpstr>
      <vt:lpstr>M_T2</vt:lpstr>
      <vt:lpstr>M_TA</vt:lpstr>
      <vt:lpstr>M_TB</vt:lpstr>
      <vt:lpstr>M_TC</vt:lpstr>
      <vt:lpstr>min_garanti</vt:lpstr>
      <vt:lpstr>'NC BTP'!NCBTP_Brut</vt:lpstr>
      <vt:lpstr>'NC BTP'!NCBTP_BRUTABAT</vt:lpstr>
      <vt:lpstr>'NC BTP'!NCBTP_CSGRDS</vt:lpstr>
      <vt:lpstr>'NC BTP'!NCBTP_Plafond</vt:lpstr>
      <vt:lpstr>'NC BTP'!NCBTP_T2</vt:lpstr>
      <vt:lpstr>'NC BTP'!NCBTP_TA</vt:lpstr>
      <vt:lpstr>'NC BTP'!NCBTP_TB</vt:lpstr>
      <vt:lpstr>PASS</vt:lpstr>
      <vt:lpstr>pens_alim</vt:lpstr>
      <vt:lpstr>PMSS</vt:lpstr>
      <vt:lpstr>Position</vt:lpstr>
      <vt:lpstr>QPS</vt:lpstr>
      <vt:lpstr>QS</vt:lpstr>
      <vt:lpstr>QTI</vt:lpstr>
      <vt:lpstr>RSA</vt:lpstr>
      <vt:lpstr>'apprentis 11 sal et +'!SMIC_Fillon</vt:lpstr>
      <vt:lpstr>'C BTP'!SMIC_Fillon</vt:lpstr>
      <vt:lpstr>'CTpro+45ans'!SMIC_Fillon</vt:lpstr>
      <vt:lpstr>'NC BTP'!SMIC_Fillon</vt:lpstr>
      <vt:lpstr>'VRP exclusif C'!SMIC_Fillon</vt:lpstr>
      <vt:lpstr>'VRP exclusif NC'!SMIC_Fillon</vt:lpstr>
      <vt:lpstr>'VRP multicarte'!SMIC_Fillon</vt:lpstr>
      <vt:lpstr>SMIC_hor</vt:lpstr>
      <vt:lpstr>SMIC_mens</vt:lpstr>
      <vt:lpstr>cadre!SMIC_proratisé</vt:lpstr>
      <vt:lpstr>SMIC_proratisé</vt:lpstr>
      <vt:lpstr>Taux_Fillon</vt:lpstr>
      <vt:lpstr>trésor_public</vt:lpstr>
      <vt:lpstr>Type_arrêt</vt:lpstr>
      <vt:lpstr>'VRP exclusif C'!VRP_Brut</vt:lpstr>
      <vt:lpstr>'VRP exclusif NC'!VRP_Brut</vt:lpstr>
      <vt:lpstr>'VRP multicarte'!VRP_Brut</vt:lpstr>
      <vt:lpstr>'VRP exclusif C'!VRP_BRUTABAT</vt:lpstr>
      <vt:lpstr>'VRP multicarte'!VRP_BRUTABAT</vt:lpstr>
      <vt:lpstr>VRP_BRUTABAT</vt:lpstr>
      <vt:lpstr>'VRP exclusif C'!VRP_CSGRDS</vt:lpstr>
      <vt:lpstr>'VRP exclusif NC'!VRP_CSGRDS</vt:lpstr>
      <vt:lpstr>'VRP multicarte'!VRP_CSGRDS</vt:lpstr>
      <vt:lpstr>'VRP exclusif C'!VRP_GMP</vt:lpstr>
      <vt:lpstr>VRP_GMP</vt:lpstr>
      <vt:lpstr>'VRP exclusif C'!VRP_Plafond</vt:lpstr>
      <vt:lpstr>'VRP exclusif NC'!VRP_Plafond</vt:lpstr>
      <vt:lpstr>'VRP multicarte'!VRP_Plafond</vt:lpstr>
      <vt:lpstr>'VRP exclusif NC'!VRP_T2</vt:lpstr>
      <vt:lpstr>'VRP exclusif C'!VRP_TA</vt:lpstr>
      <vt:lpstr>'VRP exclusif NC'!VRP_TA</vt:lpstr>
      <vt:lpstr>VRP_TA</vt:lpstr>
      <vt:lpstr>'VRP exclusif C'!VRP_TB</vt:lpstr>
      <vt:lpstr>'VRP exclusif NC'!VRP_TB</vt:lpstr>
      <vt:lpstr>'VRP multicarte'!VRP_TB</vt:lpstr>
      <vt:lpstr>'VRP exclusif C'!VRP_TC</vt:lpstr>
      <vt:lpstr>VRP_TC</vt:lpstr>
      <vt:lpstr>'apprentis 11 sal et +'!Zone_d_impression</vt:lpstr>
      <vt:lpstr>'C BTP'!Zone_d_impression</vt:lpstr>
      <vt:lpstr>cadre!Zone_d_impression</vt:lpstr>
      <vt:lpstr>'CTpro+45ans'!Zone_d_impression</vt:lpstr>
      <vt:lpstr>dirigeant!Zone_d_impression</vt:lpstr>
      <vt:lpstr>ICCP!Zone_d_impression</vt:lpstr>
      <vt:lpstr>ICP!Zone_d_impression</vt:lpstr>
      <vt:lpstr>'IJSS AT'!Zone_d_impression</vt:lpstr>
      <vt:lpstr>'IJSS maladie'!Zone_d_impression</vt:lpstr>
      <vt:lpstr>'Ind licenc ou rupt conv'!Zone_d_impression</vt:lpstr>
      <vt:lpstr>Logement!Zone_d_impression</vt:lpstr>
      <vt:lpstr>multi!Zone_d_impression</vt:lpstr>
      <vt:lpstr>'NC BTP'!Zone_d_impression</vt:lpstr>
      <vt:lpstr>'Régul AF'!Zone_d_impression</vt:lpstr>
      <vt:lpstr>'Régul Fillon'!Zone_d_impression</vt:lpstr>
      <vt:lpstr>'Régul Fillon mensuelle'!Zone_d_impression</vt:lpstr>
      <vt:lpstr>'Régul Fillon+AF+TA-B-C+GMP'!Zone_d_impression</vt:lpstr>
      <vt:lpstr>'Régul plafond'!Zone_d_impression</vt:lpstr>
      <vt:lpstr>Saisie!Zone_d_impression</vt:lpstr>
      <vt:lpstr>'VRP exclusif C'!Zone_d_impression</vt:lpstr>
      <vt:lpstr>'VRP exclusif NC'!Zone_d_impression</vt:lpstr>
      <vt:lpstr>'VRP multicarte'!Zone_d_impression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eesnault</dc:creator>
  <cp:lastModifiedBy>eesnault</cp:lastModifiedBy>
  <cp:lastPrinted>2017-11-10T11:24:50Z</cp:lastPrinted>
  <dcterms:created xsi:type="dcterms:W3CDTF">2017-03-29T06:59:58Z</dcterms:created>
  <dcterms:modified xsi:type="dcterms:W3CDTF">2017-11-24T14:56:38Z</dcterms:modified>
</cp:coreProperties>
</file>