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625" codeName="{EAAD5824-E589-9196-6FC8-2F1B51211585}"/>
  <workbookPr codeName="ThisWorkbook" defaultThemeVersion="124226"/>
  <mc:AlternateContent xmlns:mc="http://schemas.openxmlformats.org/markup-compatibility/2006">
    <mc:Choice Requires="x15">
      <x15ac:absPath xmlns:x15ac="http://schemas.microsoft.com/office/spreadsheetml/2010/11/ac" url="H:\FICHIER EXTRACTION AT\"/>
    </mc:Choice>
  </mc:AlternateContent>
  <bookViews>
    <workbookView xWindow="0" yWindow="0" windowWidth="20490" windowHeight="7755" tabRatio="943"/>
  </bookViews>
  <sheets>
    <sheet name="FEUILLE IMPORTEE" sheetId="32" r:id="rId1"/>
    <sheet name="EXTRACTION AT GLOBAL DEA" sheetId="28" r:id="rId2"/>
    <sheet name="AT SERVICE" sheetId="21" r:id="rId3"/>
    <sheet name="MATRICE" sheetId="20" r:id="rId4"/>
  </sheets>
  <definedNames>
    <definedName name="_xlnm._FilterDatabase" localSheetId="1" hidden="1">'EXTRACTION AT GLOBAL DEA'!$B$2:$W$291</definedName>
    <definedName name="_xlnm._FilterDatabase" localSheetId="0" hidden="1">'FEUILLE IMPORTEE'!$B$2:$W$309</definedName>
    <definedName name="_xlnm._FilterDatabase" localSheetId="3" hidden="1">MATRICE!$A$4:$AB$503</definedName>
    <definedName name="ACTIVITE">#REF!</definedName>
    <definedName name="AGE">#REF!</definedName>
    <definedName name="ARRET">#REF!</definedName>
    <definedName name="CATEGORIE">#REF!</definedName>
    <definedName name="CAUSE_ATJ">#REF!</definedName>
    <definedName name="COMMISSION">#REF!</definedName>
    <definedName name="_xlnm.Criteria" localSheetId="0">'FEUILLE IMPORTEE'!$O$1:$O$2</definedName>
    <definedName name="CTP">#REF!</definedName>
    <definedName name="ELEMENT">#REF!</definedName>
    <definedName name="ELEMENT_ATJ">#REF!</definedName>
    <definedName name="FILIERE">#REF!</definedName>
    <definedName name="_xlnm.Print_Titles" localSheetId="3">MATRICE!$4:$4</definedName>
    <definedName name="JOUR">#REF!</definedName>
    <definedName name="LATERALITE">#REF!</definedName>
    <definedName name="MOIS">#REF!</definedName>
    <definedName name="MOTIF">#REF!</definedName>
    <definedName name="NATURE">#REF!</definedName>
    <definedName name="REGIME">#REF!</definedName>
    <definedName name="SERVICE">#REF!</definedName>
    <definedName name="SEXE">#REF!</definedName>
    <definedName name="SIEGE">#REF!</definedName>
    <definedName name="TIERS">#REF!</definedName>
    <definedName name="_xlnm.Print_Area" localSheetId="2">'AT SERVICE'!$A$1:$G$39</definedName>
    <definedName name="_xlnm.Print_Area" localSheetId="3">MATRICE!$A$4:$AB$507</definedName>
  </definedNames>
  <calcPr calcId="162913"/>
  <fileRecoveryPr autoRecover="0"/>
</workbook>
</file>

<file path=xl/calcChain.xml><?xml version="1.0" encoding="utf-8"?>
<calcChain xmlns="http://schemas.openxmlformats.org/spreadsheetml/2006/main">
  <c r="F42" i="21" l="1"/>
  <c r="F41" i="21"/>
  <c r="F40" i="21"/>
  <c r="F39" i="21"/>
  <c r="F38" i="21"/>
  <c r="F37" i="21"/>
  <c r="F36" i="21"/>
  <c r="F35" i="21"/>
  <c r="F34" i="21" s="1"/>
  <c r="E42" i="21"/>
  <c r="E41" i="21"/>
  <c r="E40" i="21"/>
  <c r="E39" i="21"/>
  <c r="E38" i="21"/>
  <c r="E37" i="21"/>
  <c r="E36" i="21"/>
  <c r="E35" i="21"/>
  <c r="D35" i="21"/>
  <c r="D36" i="21"/>
  <c r="D37" i="21"/>
  <c r="D38" i="21"/>
  <c r="D39" i="21"/>
  <c r="D40" i="21"/>
  <c r="D41" i="21"/>
  <c r="D42" i="21"/>
  <c r="C26" i="21"/>
  <c r="D26" i="21"/>
  <c r="E26" i="21"/>
  <c r="F26" i="21"/>
  <c r="C27" i="21"/>
  <c r="D27" i="21"/>
  <c r="E27" i="21"/>
  <c r="F27" i="21"/>
  <c r="C28" i="21"/>
  <c r="D28" i="21"/>
  <c r="E28" i="21"/>
  <c r="F28" i="21"/>
  <c r="F12" i="21"/>
  <c r="F11" i="21"/>
  <c r="F10" i="21"/>
  <c r="F9" i="21"/>
  <c r="F8" i="21"/>
  <c r="F7" i="21"/>
  <c r="F6" i="21"/>
  <c r="F5" i="21"/>
  <c r="F23" i="21"/>
  <c r="F22" i="21"/>
  <c r="F21" i="21"/>
  <c r="F20" i="21"/>
  <c r="F19" i="21"/>
  <c r="F18" i="21"/>
  <c r="F17" i="21"/>
  <c r="F16" i="21"/>
  <c r="F15" i="21"/>
  <c r="E23" i="21"/>
  <c r="E22" i="21"/>
  <c r="E21" i="21"/>
  <c r="E20" i="21"/>
  <c r="E19" i="21"/>
  <c r="E18" i="21"/>
  <c r="E17" i="21"/>
  <c r="E16" i="21"/>
  <c r="E15" i="21"/>
  <c r="D23" i="21"/>
  <c r="D22" i="21"/>
  <c r="D21" i="21"/>
  <c r="D20" i="21"/>
  <c r="D19" i="21"/>
  <c r="D18" i="21"/>
  <c r="D17" i="21"/>
  <c r="D16" i="21"/>
  <c r="D15" i="21"/>
  <c r="E12" i="21"/>
  <c r="E11" i="21"/>
  <c r="E10" i="21"/>
  <c r="E9" i="21"/>
  <c r="E8" i="21"/>
  <c r="E7" i="21"/>
  <c r="E6" i="21"/>
  <c r="E5" i="21"/>
  <c r="D12" i="21"/>
  <c r="D11" i="21"/>
  <c r="D10" i="21"/>
  <c r="D9" i="21"/>
  <c r="D8" i="21"/>
  <c r="D7" i="21"/>
  <c r="D6" i="21"/>
  <c r="D5" i="21"/>
  <c r="C12" i="21"/>
  <c r="C11" i="21"/>
  <c r="C10" i="21"/>
  <c r="C9" i="21"/>
  <c r="C8" i="21"/>
  <c r="C7" i="21"/>
  <c r="C6" i="21"/>
  <c r="C5" i="21"/>
  <c r="F14" i="21" l="1"/>
  <c r="F4" i="21"/>
  <c r="B15" i="21"/>
  <c r="B11" i="21" l="1"/>
  <c r="D6" i="20"/>
  <c r="D7" i="20"/>
  <c r="D8" i="20"/>
  <c r="D9" i="20"/>
  <c r="D10" i="20"/>
  <c r="D11" i="20"/>
  <c r="D12" i="20"/>
  <c r="D13" i="20"/>
  <c r="D14" i="20"/>
  <c r="D15" i="20"/>
  <c r="D16" i="20"/>
  <c r="D17" i="20"/>
  <c r="D18" i="20"/>
  <c r="D19" i="20"/>
  <c r="D20" i="20"/>
  <c r="D21" i="20"/>
  <c r="D22" i="20"/>
  <c r="D23" i="20"/>
  <c r="D24" i="20"/>
  <c r="D25" i="20"/>
  <c r="D26" i="20"/>
  <c r="D27" i="20"/>
  <c r="D28" i="20"/>
  <c r="D29" i="20"/>
  <c r="D30" i="20"/>
  <c r="D31" i="20"/>
  <c r="D32" i="20"/>
  <c r="D33" i="20"/>
  <c r="D34" i="20"/>
  <c r="D35" i="20"/>
  <c r="D36" i="20"/>
  <c r="D37" i="20"/>
  <c r="D38" i="20"/>
  <c r="D39" i="20"/>
  <c r="D40" i="20"/>
  <c r="D41" i="20"/>
  <c r="D42" i="20"/>
  <c r="D43" i="20"/>
  <c r="D44" i="20"/>
  <c r="D45" i="20"/>
  <c r="D46" i="20"/>
  <c r="D47" i="20"/>
  <c r="D48" i="20"/>
  <c r="D49" i="20"/>
  <c r="D50" i="20"/>
  <c r="D51" i="20"/>
  <c r="D52" i="20"/>
  <c r="D53" i="20"/>
  <c r="D54" i="20"/>
  <c r="D55" i="20"/>
  <c r="D56" i="20"/>
  <c r="D57" i="20"/>
  <c r="D58" i="20"/>
  <c r="D59" i="20"/>
  <c r="D60" i="20"/>
  <c r="D61" i="20"/>
  <c r="D62" i="20"/>
  <c r="D63" i="20"/>
  <c r="D64" i="20"/>
  <c r="D65" i="20"/>
  <c r="D66" i="20"/>
  <c r="D67" i="20"/>
  <c r="D68" i="20"/>
  <c r="D69" i="20"/>
  <c r="D70" i="20"/>
  <c r="D71" i="20"/>
  <c r="D72" i="20"/>
  <c r="D73" i="20"/>
  <c r="D74" i="20"/>
  <c r="D75" i="20"/>
  <c r="D76" i="20"/>
  <c r="D77" i="20"/>
  <c r="D78" i="20"/>
  <c r="D79" i="20"/>
  <c r="D80" i="20"/>
  <c r="D81" i="20"/>
  <c r="D82" i="20"/>
  <c r="D83" i="20"/>
  <c r="D84" i="20"/>
  <c r="D85" i="20"/>
  <c r="D86" i="20"/>
  <c r="D87" i="20"/>
  <c r="D88" i="20"/>
  <c r="D89" i="20"/>
  <c r="D90" i="20"/>
  <c r="D91" i="20"/>
  <c r="D92" i="20"/>
  <c r="D93" i="20"/>
  <c r="D94" i="20"/>
  <c r="D95" i="20"/>
  <c r="D96" i="20"/>
  <c r="D97" i="20"/>
  <c r="D98" i="20"/>
  <c r="D99" i="20"/>
  <c r="D100" i="20"/>
  <c r="D101" i="20"/>
  <c r="D102" i="20"/>
  <c r="D103" i="20"/>
  <c r="D104" i="20"/>
  <c r="D105" i="20"/>
  <c r="D106" i="20"/>
  <c r="D107" i="20"/>
  <c r="D108" i="20"/>
  <c r="D109" i="20"/>
  <c r="D110" i="20"/>
  <c r="D111" i="20"/>
  <c r="D112" i="20"/>
  <c r="D113" i="20"/>
  <c r="D114" i="20"/>
  <c r="D115" i="20"/>
  <c r="D116" i="20"/>
  <c r="D117" i="20"/>
  <c r="D118" i="20"/>
  <c r="D119" i="20"/>
  <c r="D120" i="20"/>
  <c r="D121" i="20"/>
  <c r="D122" i="20"/>
  <c r="D123" i="20"/>
  <c r="D124" i="20"/>
  <c r="D125" i="20"/>
  <c r="D126" i="20"/>
  <c r="D127" i="20"/>
  <c r="D128" i="20"/>
  <c r="D129" i="20"/>
  <c r="D130" i="20"/>
  <c r="D131" i="20"/>
  <c r="D132" i="20"/>
  <c r="D133" i="20"/>
  <c r="D134" i="20"/>
  <c r="D135" i="20"/>
  <c r="D136" i="20"/>
  <c r="D137" i="20"/>
  <c r="D138" i="20"/>
  <c r="D139" i="20"/>
  <c r="D140" i="20"/>
  <c r="D141" i="20"/>
  <c r="D142" i="20"/>
  <c r="D143" i="20"/>
  <c r="D144" i="20"/>
  <c r="D145" i="20"/>
  <c r="D146" i="20"/>
  <c r="D147" i="20"/>
  <c r="D148" i="20"/>
  <c r="D149" i="20"/>
  <c r="D150" i="20"/>
  <c r="D151" i="20"/>
  <c r="D152" i="20"/>
  <c r="D153" i="20"/>
  <c r="D154" i="20"/>
  <c r="D155" i="20"/>
  <c r="D156" i="20"/>
  <c r="D157" i="20"/>
  <c r="D158" i="20"/>
  <c r="D159" i="20"/>
  <c r="D160" i="20"/>
  <c r="D161" i="20"/>
  <c r="D162" i="20"/>
  <c r="D163" i="20"/>
  <c r="D164" i="20"/>
  <c r="D165" i="20"/>
  <c r="D166" i="20"/>
  <c r="D167" i="20"/>
  <c r="D168" i="20"/>
  <c r="D169" i="20"/>
  <c r="D170" i="20"/>
  <c r="D171" i="20"/>
  <c r="D172" i="20"/>
  <c r="D173" i="20"/>
  <c r="D174" i="20"/>
  <c r="D175" i="20"/>
  <c r="D176" i="20"/>
  <c r="D177" i="20"/>
  <c r="D178" i="20"/>
  <c r="D179" i="20"/>
  <c r="D180" i="20"/>
  <c r="D181" i="20"/>
  <c r="D182" i="20"/>
  <c r="D183" i="20"/>
  <c r="D184" i="20"/>
  <c r="D185" i="20"/>
  <c r="D186" i="20"/>
  <c r="D187" i="20"/>
  <c r="D188" i="20"/>
  <c r="D189" i="20"/>
  <c r="D190" i="20"/>
  <c r="D191" i="20"/>
  <c r="D192" i="20"/>
  <c r="D193" i="20"/>
  <c r="D194" i="20"/>
  <c r="D195" i="20"/>
  <c r="D196" i="20"/>
  <c r="D197" i="20"/>
  <c r="D198" i="20"/>
  <c r="D199" i="20"/>
  <c r="D200" i="20"/>
  <c r="D201" i="20"/>
  <c r="D202" i="20"/>
  <c r="D203" i="20"/>
  <c r="D204" i="20"/>
  <c r="D205" i="20"/>
  <c r="D206" i="20"/>
  <c r="D207" i="20"/>
  <c r="D208" i="20"/>
  <c r="D209" i="20"/>
  <c r="D210" i="20"/>
  <c r="D211" i="20"/>
  <c r="D212" i="20"/>
  <c r="D213" i="20"/>
  <c r="D214" i="20"/>
  <c r="D215" i="20"/>
  <c r="D216" i="20"/>
  <c r="D217" i="20"/>
  <c r="D218" i="20"/>
  <c r="D219" i="20"/>
  <c r="D220" i="20"/>
  <c r="D221" i="20"/>
  <c r="D222" i="20"/>
  <c r="D223" i="20"/>
  <c r="D224" i="20"/>
  <c r="D225" i="20"/>
  <c r="D226" i="20"/>
  <c r="D227" i="20"/>
  <c r="D228" i="20"/>
  <c r="D229" i="20"/>
  <c r="D230" i="20"/>
  <c r="D231" i="20"/>
  <c r="D232" i="20"/>
  <c r="D233" i="20"/>
  <c r="D234" i="20"/>
  <c r="D235" i="20"/>
  <c r="D236" i="20"/>
  <c r="D237" i="20"/>
  <c r="D238" i="20"/>
  <c r="D239" i="20"/>
  <c r="D240" i="20"/>
  <c r="D241" i="20"/>
  <c r="D242" i="20"/>
  <c r="D243" i="20"/>
  <c r="D244" i="20"/>
  <c r="D245" i="20"/>
  <c r="D246" i="20"/>
  <c r="D247" i="20"/>
  <c r="D248" i="20"/>
  <c r="D249" i="20"/>
  <c r="D250" i="20"/>
  <c r="D251" i="20"/>
  <c r="D252" i="20"/>
  <c r="D253" i="20"/>
  <c r="D254" i="20"/>
  <c r="D255" i="20"/>
  <c r="D256" i="20"/>
  <c r="D257" i="20"/>
  <c r="D258" i="20"/>
  <c r="D259" i="20"/>
  <c r="D260" i="20"/>
  <c r="D261" i="20"/>
  <c r="D262" i="20"/>
  <c r="D263" i="20"/>
  <c r="D264" i="20"/>
  <c r="D265" i="20"/>
  <c r="D266" i="20"/>
  <c r="D267" i="20"/>
  <c r="D268" i="20"/>
  <c r="D269" i="20"/>
  <c r="D270" i="20"/>
  <c r="D271" i="20"/>
  <c r="D272" i="20"/>
  <c r="D273" i="20"/>
  <c r="D274" i="20"/>
  <c r="D275" i="20"/>
  <c r="D276" i="20"/>
  <c r="D277" i="20"/>
  <c r="D278" i="20"/>
  <c r="D279" i="20"/>
  <c r="D280" i="20"/>
  <c r="D281" i="20"/>
  <c r="D282" i="20"/>
  <c r="D283" i="20"/>
  <c r="D284" i="20"/>
  <c r="D285" i="20"/>
  <c r="D286" i="20"/>
  <c r="D287" i="20"/>
  <c r="D288" i="20"/>
  <c r="D289" i="20"/>
  <c r="D290" i="20"/>
  <c r="D291" i="20"/>
  <c r="D292" i="20"/>
  <c r="D293" i="20"/>
  <c r="D294" i="20"/>
  <c r="D295" i="20"/>
  <c r="D296" i="20"/>
  <c r="D297" i="20"/>
  <c r="D298" i="20"/>
  <c r="D299" i="20"/>
  <c r="D300" i="20"/>
  <c r="D301" i="20"/>
  <c r="D302" i="20"/>
  <c r="D303" i="20"/>
  <c r="D304" i="20"/>
  <c r="D305" i="20"/>
  <c r="D306" i="20"/>
  <c r="D307" i="20"/>
  <c r="D308" i="20"/>
  <c r="D309" i="20"/>
  <c r="D310" i="20"/>
  <c r="D311" i="20"/>
  <c r="D312" i="20"/>
  <c r="D313" i="20"/>
  <c r="D314" i="20"/>
  <c r="D315" i="20"/>
  <c r="D316" i="20"/>
  <c r="D317" i="20"/>
  <c r="D318" i="20"/>
  <c r="D319" i="20"/>
  <c r="D320" i="20"/>
  <c r="D321" i="20"/>
  <c r="D322" i="20"/>
  <c r="D323" i="20"/>
  <c r="D324" i="20"/>
  <c r="D325" i="20"/>
  <c r="D326" i="20"/>
  <c r="D327" i="20"/>
  <c r="D328" i="20"/>
  <c r="D329" i="20"/>
  <c r="D330" i="20"/>
  <c r="D331" i="20"/>
  <c r="D332" i="20"/>
  <c r="D333" i="20"/>
  <c r="D334" i="20"/>
  <c r="D335" i="20"/>
  <c r="D336" i="20"/>
  <c r="D337" i="20"/>
  <c r="D338" i="20"/>
  <c r="D339" i="20"/>
  <c r="D340" i="20"/>
  <c r="D341" i="20"/>
  <c r="D342" i="20"/>
  <c r="D343" i="20"/>
  <c r="D344" i="20"/>
  <c r="D345" i="20"/>
  <c r="D346" i="20"/>
  <c r="D347" i="20"/>
  <c r="D348" i="20"/>
  <c r="D349" i="20"/>
  <c r="D350" i="20"/>
  <c r="D351" i="20"/>
  <c r="D352" i="20"/>
  <c r="D353" i="20"/>
  <c r="D354" i="20"/>
  <c r="D355" i="20"/>
  <c r="D356" i="20"/>
  <c r="D357" i="20"/>
  <c r="D358" i="20"/>
  <c r="D359" i="20"/>
  <c r="D360" i="20"/>
  <c r="D361" i="20"/>
  <c r="D362" i="20"/>
  <c r="D363" i="20"/>
  <c r="D364" i="20"/>
  <c r="D365" i="20"/>
  <c r="D366" i="20"/>
  <c r="D367" i="20"/>
  <c r="D368" i="20"/>
  <c r="D369" i="20"/>
  <c r="D370" i="20"/>
  <c r="D371" i="20"/>
  <c r="D372" i="20"/>
  <c r="D373" i="20"/>
  <c r="D374" i="20"/>
  <c r="D375" i="20"/>
  <c r="D376" i="20"/>
  <c r="D377" i="20"/>
  <c r="D378" i="20"/>
  <c r="D379" i="20"/>
  <c r="D380" i="20"/>
  <c r="D381" i="20"/>
  <c r="D382" i="20"/>
  <c r="D383" i="20"/>
  <c r="D384" i="20"/>
  <c r="D385" i="20"/>
  <c r="D386" i="20"/>
  <c r="D387" i="20"/>
  <c r="D388" i="20"/>
  <c r="D389" i="20"/>
  <c r="D390" i="20"/>
  <c r="D391" i="20"/>
  <c r="D392" i="20"/>
  <c r="D393" i="20"/>
  <c r="D394" i="20"/>
  <c r="D395" i="20"/>
  <c r="D396" i="20"/>
  <c r="D397" i="20"/>
  <c r="D398" i="20"/>
  <c r="D399" i="20"/>
  <c r="D400" i="20"/>
  <c r="D401" i="20"/>
  <c r="D402" i="20"/>
  <c r="D403" i="20"/>
  <c r="D404" i="20"/>
  <c r="D405" i="20"/>
  <c r="D406" i="20"/>
  <c r="D407" i="20"/>
  <c r="D408" i="20"/>
  <c r="D409" i="20"/>
  <c r="D410" i="20"/>
  <c r="D411" i="20"/>
  <c r="D412" i="20"/>
  <c r="D413" i="20"/>
  <c r="D414" i="20"/>
  <c r="D415" i="20"/>
  <c r="D416" i="20"/>
  <c r="D417" i="20"/>
  <c r="D418" i="20"/>
  <c r="D419" i="20"/>
  <c r="D420" i="20"/>
  <c r="D421" i="20"/>
  <c r="D422" i="20"/>
  <c r="D423" i="20"/>
  <c r="D424" i="20"/>
  <c r="D425" i="20"/>
  <c r="D426" i="20"/>
  <c r="D427" i="20"/>
  <c r="D428" i="20"/>
  <c r="D429" i="20"/>
  <c r="D430" i="20"/>
  <c r="D431" i="20"/>
  <c r="D432" i="20"/>
  <c r="D433" i="20"/>
  <c r="D434" i="20"/>
  <c r="D435" i="20"/>
  <c r="D436" i="20"/>
  <c r="D437" i="20"/>
  <c r="D438" i="20"/>
  <c r="D439" i="20"/>
  <c r="D440" i="20"/>
  <c r="D441" i="20"/>
  <c r="D442" i="20"/>
  <c r="D443" i="20"/>
  <c r="D444" i="20"/>
  <c r="D445" i="20"/>
  <c r="D446" i="20"/>
  <c r="D447" i="20"/>
  <c r="D448" i="20"/>
  <c r="D449" i="20"/>
  <c r="D450" i="20"/>
  <c r="D451" i="20"/>
  <c r="D452" i="20"/>
  <c r="D453" i="20"/>
  <c r="D454" i="20"/>
  <c r="D455" i="20"/>
  <c r="D456" i="20"/>
  <c r="D457" i="20"/>
  <c r="D458" i="20"/>
  <c r="D459" i="20"/>
  <c r="D460" i="20"/>
  <c r="D461" i="20"/>
  <c r="D462" i="20"/>
  <c r="D463" i="20"/>
  <c r="D464" i="20"/>
  <c r="D465" i="20"/>
  <c r="D466" i="20"/>
  <c r="D467" i="20"/>
  <c r="D468" i="20"/>
  <c r="D469" i="20"/>
  <c r="D470" i="20"/>
  <c r="D471" i="20"/>
  <c r="D472" i="20"/>
  <c r="D473" i="20"/>
  <c r="D474" i="20"/>
  <c r="D475" i="20"/>
  <c r="D476" i="20"/>
  <c r="D477" i="20"/>
  <c r="D478" i="20"/>
  <c r="D479" i="20"/>
  <c r="D480" i="20"/>
  <c r="D481" i="20"/>
  <c r="D482" i="20"/>
  <c r="D483" i="20"/>
  <c r="D484" i="20"/>
  <c r="D485" i="20"/>
  <c r="D486" i="20"/>
  <c r="D487" i="20"/>
  <c r="D488" i="20"/>
  <c r="D489" i="20"/>
  <c r="D490" i="20"/>
  <c r="D491" i="20"/>
  <c r="D492" i="20"/>
  <c r="D493" i="20"/>
  <c r="D494" i="20"/>
  <c r="D495" i="20"/>
  <c r="D496" i="20"/>
  <c r="D497" i="20"/>
  <c r="D498" i="20"/>
  <c r="D499" i="20"/>
  <c r="D500" i="20"/>
  <c r="D501" i="20"/>
  <c r="D502" i="20"/>
  <c r="D503" i="20"/>
  <c r="D5" i="20"/>
  <c r="G5" i="20"/>
  <c r="J6" i="20"/>
  <c r="J7" i="20"/>
  <c r="J8" i="20"/>
  <c r="J9" i="20"/>
  <c r="J10" i="20"/>
  <c r="J11" i="20"/>
  <c r="J12" i="20"/>
  <c r="J13" i="20"/>
  <c r="J14" i="20"/>
  <c r="J15" i="20"/>
  <c r="J16" i="20"/>
  <c r="J17" i="20"/>
  <c r="J18" i="20"/>
  <c r="J19" i="20"/>
  <c r="J20" i="20"/>
  <c r="J21" i="20"/>
  <c r="J22" i="20"/>
  <c r="J23" i="20"/>
  <c r="J24" i="20"/>
  <c r="J25" i="20"/>
  <c r="J26" i="20"/>
  <c r="J27" i="20"/>
  <c r="J28" i="20"/>
  <c r="J29" i="20"/>
  <c r="J30" i="20"/>
  <c r="J31" i="20"/>
  <c r="J32" i="20"/>
  <c r="J33" i="20"/>
  <c r="J34" i="20"/>
  <c r="J35" i="20"/>
  <c r="J36" i="20"/>
  <c r="J37" i="20"/>
  <c r="J38" i="20"/>
  <c r="J39" i="20"/>
  <c r="J40" i="20"/>
  <c r="J41" i="20"/>
  <c r="J42" i="20"/>
  <c r="J43" i="20"/>
  <c r="J44" i="20"/>
  <c r="J45" i="20"/>
  <c r="J46" i="20"/>
  <c r="J47" i="20"/>
  <c r="J48" i="20"/>
  <c r="J49" i="20"/>
  <c r="J50" i="20"/>
  <c r="J51" i="20"/>
  <c r="J52" i="20"/>
  <c r="J53" i="20"/>
  <c r="J54" i="20"/>
  <c r="J55" i="20"/>
  <c r="J56" i="20"/>
  <c r="J57" i="20"/>
  <c r="J58" i="20"/>
  <c r="J59" i="20"/>
  <c r="J60" i="20"/>
  <c r="J61" i="20"/>
  <c r="J62" i="20"/>
  <c r="J63" i="20"/>
  <c r="J64" i="20"/>
  <c r="J65" i="20"/>
  <c r="J66" i="20"/>
  <c r="J67" i="20"/>
  <c r="J68" i="20"/>
  <c r="J69" i="20"/>
  <c r="J70" i="20"/>
  <c r="J71" i="20"/>
  <c r="J72" i="20"/>
  <c r="J73" i="20"/>
  <c r="J74" i="20"/>
  <c r="J75" i="20"/>
  <c r="J76" i="20"/>
  <c r="J77" i="20"/>
  <c r="J78" i="20"/>
  <c r="J79" i="20"/>
  <c r="J80" i="20"/>
  <c r="J81" i="20"/>
  <c r="J82" i="20"/>
  <c r="J83" i="20"/>
  <c r="J84" i="20"/>
  <c r="J85" i="20"/>
  <c r="J86" i="20"/>
  <c r="J87" i="20"/>
  <c r="J88" i="20"/>
  <c r="J89" i="20"/>
  <c r="J90" i="20"/>
  <c r="J91" i="20"/>
  <c r="J92" i="20"/>
  <c r="J93" i="20"/>
  <c r="J94" i="20"/>
  <c r="J95" i="20"/>
  <c r="J96" i="20"/>
  <c r="J97" i="20"/>
  <c r="J98" i="20"/>
  <c r="J99" i="20"/>
  <c r="J100" i="20"/>
  <c r="J101" i="20"/>
  <c r="J102" i="20"/>
  <c r="J103" i="20"/>
  <c r="J104" i="20"/>
  <c r="J105" i="20"/>
  <c r="J106" i="20"/>
  <c r="J107" i="20"/>
  <c r="J108" i="20"/>
  <c r="J109" i="20"/>
  <c r="J110" i="20"/>
  <c r="J111" i="20"/>
  <c r="J112" i="20"/>
  <c r="J113" i="20"/>
  <c r="J114" i="20"/>
  <c r="J115" i="20"/>
  <c r="J116" i="20"/>
  <c r="J117" i="20"/>
  <c r="J118" i="20"/>
  <c r="J119" i="20"/>
  <c r="J120" i="20"/>
  <c r="J121" i="20"/>
  <c r="J122" i="20"/>
  <c r="J123" i="20"/>
  <c r="J124" i="20"/>
  <c r="J125" i="20"/>
  <c r="J126" i="20"/>
  <c r="J127" i="20"/>
  <c r="J128" i="20"/>
  <c r="J129" i="20"/>
  <c r="J130" i="20"/>
  <c r="J131" i="20"/>
  <c r="J132" i="20"/>
  <c r="J133" i="20"/>
  <c r="J134" i="20"/>
  <c r="J135" i="20"/>
  <c r="J136" i="20"/>
  <c r="J137" i="20"/>
  <c r="J138" i="20"/>
  <c r="J139" i="20"/>
  <c r="J140" i="20"/>
  <c r="J141" i="20"/>
  <c r="J142" i="20"/>
  <c r="J143" i="20"/>
  <c r="J144" i="20"/>
  <c r="J145" i="20"/>
  <c r="J146" i="20"/>
  <c r="J147" i="20"/>
  <c r="J148" i="20"/>
  <c r="J149" i="20"/>
  <c r="J150" i="20"/>
  <c r="J151" i="20"/>
  <c r="J152" i="20"/>
  <c r="J153" i="20"/>
  <c r="J154" i="20"/>
  <c r="J155" i="20"/>
  <c r="J156" i="20"/>
  <c r="J157" i="20"/>
  <c r="J158" i="20"/>
  <c r="J159" i="20"/>
  <c r="J160" i="20"/>
  <c r="J161" i="20"/>
  <c r="J162" i="20"/>
  <c r="J163" i="20"/>
  <c r="J164" i="20"/>
  <c r="J165" i="20"/>
  <c r="J166" i="20"/>
  <c r="J167" i="20"/>
  <c r="J168" i="20"/>
  <c r="J169" i="20"/>
  <c r="J170" i="20"/>
  <c r="J171" i="20"/>
  <c r="J172" i="20"/>
  <c r="J173" i="20"/>
  <c r="J174" i="20"/>
  <c r="J175" i="20"/>
  <c r="J176" i="20"/>
  <c r="J177" i="20"/>
  <c r="J178" i="20"/>
  <c r="J179" i="20"/>
  <c r="J180" i="20"/>
  <c r="J181" i="20"/>
  <c r="J182" i="20"/>
  <c r="J183" i="20"/>
  <c r="J184" i="20"/>
  <c r="J185" i="20"/>
  <c r="J186" i="20"/>
  <c r="J187" i="20"/>
  <c r="J188" i="20"/>
  <c r="J189" i="20"/>
  <c r="J190" i="20"/>
  <c r="J191" i="20"/>
  <c r="J192" i="20"/>
  <c r="J193" i="20"/>
  <c r="J194" i="20"/>
  <c r="J195" i="20"/>
  <c r="J196" i="20"/>
  <c r="J197" i="20"/>
  <c r="J198" i="20"/>
  <c r="J199" i="20"/>
  <c r="J200" i="20"/>
  <c r="J201" i="20"/>
  <c r="J202" i="20"/>
  <c r="J203" i="20"/>
  <c r="J204" i="20"/>
  <c r="J205" i="20"/>
  <c r="J206" i="20"/>
  <c r="J207" i="20"/>
  <c r="J208" i="20"/>
  <c r="J209" i="20"/>
  <c r="J210" i="20"/>
  <c r="J211" i="20"/>
  <c r="J212" i="20"/>
  <c r="J213" i="20"/>
  <c r="J214" i="20"/>
  <c r="J215" i="20"/>
  <c r="J216" i="20"/>
  <c r="J217" i="20"/>
  <c r="J218" i="20"/>
  <c r="J219" i="20"/>
  <c r="J220" i="20"/>
  <c r="J221" i="20"/>
  <c r="J222" i="20"/>
  <c r="J223" i="20"/>
  <c r="J224" i="20"/>
  <c r="J225" i="20"/>
  <c r="J226" i="20"/>
  <c r="J227" i="20"/>
  <c r="J228" i="20"/>
  <c r="J229" i="20"/>
  <c r="J230" i="20"/>
  <c r="J231" i="20"/>
  <c r="J232" i="20"/>
  <c r="J233" i="20"/>
  <c r="J234" i="20"/>
  <c r="J235" i="20"/>
  <c r="J236" i="20"/>
  <c r="J237" i="20"/>
  <c r="J238" i="20"/>
  <c r="J239" i="20"/>
  <c r="J240" i="20"/>
  <c r="J241" i="20"/>
  <c r="J242" i="20"/>
  <c r="J243" i="20"/>
  <c r="J244" i="20"/>
  <c r="J245" i="20"/>
  <c r="J246" i="20"/>
  <c r="J247" i="20"/>
  <c r="J248" i="20"/>
  <c r="J249" i="20"/>
  <c r="J250" i="20"/>
  <c r="J251" i="20"/>
  <c r="J252" i="20"/>
  <c r="J253" i="20"/>
  <c r="J254" i="20"/>
  <c r="J255" i="20"/>
  <c r="J256" i="20"/>
  <c r="J257" i="20"/>
  <c r="J258" i="20"/>
  <c r="J259" i="20"/>
  <c r="J260" i="20"/>
  <c r="J261" i="20"/>
  <c r="J262" i="20"/>
  <c r="J263" i="20"/>
  <c r="J264" i="20"/>
  <c r="J265" i="20"/>
  <c r="J266" i="20"/>
  <c r="J267" i="20"/>
  <c r="J268" i="20"/>
  <c r="J269" i="20"/>
  <c r="J270" i="20"/>
  <c r="J271" i="20"/>
  <c r="J272" i="20"/>
  <c r="J273" i="20"/>
  <c r="J274" i="20"/>
  <c r="J275" i="20"/>
  <c r="J276" i="20"/>
  <c r="J277" i="20"/>
  <c r="J278" i="20"/>
  <c r="J279" i="20"/>
  <c r="J280" i="20"/>
  <c r="J281" i="20"/>
  <c r="J282" i="20"/>
  <c r="J283" i="20"/>
  <c r="J284" i="20"/>
  <c r="J285" i="20"/>
  <c r="J286" i="20"/>
  <c r="J287" i="20"/>
  <c r="J288" i="20"/>
  <c r="J289" i="20"/>
  <c r="J290" i="20"/>
  <c r="J291" i="20"/>
  <c r="J292" i="20"/>
  <c r="J293" i="20"/>
  <c r="J294" i="20"/>
  <c r="J295" i="20"/>
  <c r="J296" i="20"/>
  <c r="J297" i="20"/>
  <c r="J298" i="20"/>
  <c r="J299" i="20"/>
  <c r="J300" i="20"/>
  <c r="J301" i="20"/>
  <c r="J302" i="20"/>
  <c r="J303" i="20"/>
  <c r="J304" i="20"/>
  <c r="J305" i="20"/>
  <c r="J306" i="20"/>
  <c r="J307" i="20"/>
  <c r="J308" i="20"/>
  <c r="J309" i="20"/>
  <c r="J310" i="20"/>
  <c r="J311" i="20"/>
  <c r="J312" i="20"/>
  <c r="J313" i="20"/>
  <c r="J314" i="20"/>
  <c r="J315" i="20"/>
  <c r="J316" i="20"/>
  <c r="J317" i="20"/>
  <c r="J318" i="20"/>
  <c r="J319" i="20"/>
  <c r="J320" i="20"/>
  <c r="J321" i="20"/>
  <c r="J322" i="20"/>
  <c r="J323" i="20"/>
  <c r="J324" i="20"/>
  <c r="J325" i="20"/>
  <c r="J326" i="20"/>
  <c r="J327" i="20"/>
  <c r="J328" i="20"/>
  <c r="J329" i="20"/>
  <c r="J330" i="20"/>
  <c r="J331" i="20"/>
  <c r="J332" i="20"/>
  <c r="J333" i="20"/>
  <c r="J334" i="20"/>
  <c r="J335" i="20"/>
  <c r="J336" i="20"/>
  <c r="J337" i="20"/>
  <c r="J338" i="20"/>
  <c r="J339" i="20"/>
  <c r="J340" i="20"/>
  <c r="J341" i="20"/>
  <c r="J342" i="20"/>
  <c r="J343" i="20"/>
  <c r="J344" i="20"/>
  <c r="J345" i="20"/>
  <c r="J346" i="20"/>
  <c r="J347" i="20"/>
  <c r="J348" i="20"/>
  <c r="J349" i="20"/>
  <c r="J350" i="20"/>
  <c r="J351" i="20"/>
  <c r="J352" i="20"/>
  <c r="J353" i="20"/>
  <c r="J354" i="20"/>
  <c r="J355" i="20"/>
  <c r="J356" i="20"/>
  <c r="J357" i="20"/>
  <c r="J358" i="20"/>
  <c r="J359" i="20"/>
  <c r="J360" i="20"/>
  <c r="J361" i="20"/>
  <c r="J362" i="20"/>
  <c r="J363" i="20"/>
  <c r="J364" i="20"/>
  <c r="J365" i="20"/>
  <c r="J366" i="20"/>
  <c r="J367" i="20"/>
  <c r="J368" i="20"/>
  <c r="J369" i="20"/>
  <c r="J370" i="20"/>
  <c r="J371" i="20"/>
  <c r="J372" i="20"/>
  <c r="J373" i="20"/>
  <c r="J374" i="20"/>
  <c r="J375" i="20"/>
  <c r="J376" i="20"/>
  <c r="J377" i="20"/>
  <c r="J378" i="20"/>
  <c r="J379" i="20"/>
  <c r="J380" i="20"/>
  <c r="J381" i="20"/>
  <c r="J382" i="20"/>
  <c r="J383" i="20"/>
  <c r="J384" i="20"/>
  <c r="J385" i="20"/>
  <c r="J386" i="20"/>
  <c r="J387" i="20"/>
  <c r="J388" i="20"/>
  <c r="J389" i="20"/>
  <c r="J390" i="20"/>
  <c r="J391" i="20"/>
  <c r="J392" i="20"/>
  <c r="J393" i="20"/>
  <c r="J394" i="20"/>
  <c r="J395" i="20"/>
  <c r="J396" i="20"/>
  <c r="J397" i="20"/>
  <c r="J398" i="20"/>
  <c r="J399" i="20"/>
  <c r="J400" i="20"/>
  <c r="J401" i="20"/>
  <c r="J402" i="20"/>
  <c r="J403" i="20"/>
  <c r="J404" i="20"/>
  <c r="J405" i="20"/>
  <c r="J406" i="20"/>
  <c r="J407" i="20"/>
  <c r="J408" i="20"/>
  <c r="J409" i="20"/>
  <c r="J410" i="20"/>
  <c r="J411" i="20"/>
  <c r="J412" i="20"/>
  <c r="J413" i="20"/>
  <c r="J414" i="20"/>
  <c r="J415" i="20"/>
  <c r="J416" i="20"/>
  <c r="J417" i="20"/>
  <c r="J418" i="20"/>
  <c r="J419" i="20"/>
  <c r="J420" i="20"/>
  <c r="J421" i="20"/>
  <c r="J422" i="20"/>
  <c r="J423" i="20"/>
  <c r="J424" i="20"/>
  <c r="J425" i="20"/>
  <c r="J426" i="20"/>
  <c r="J427" i="20"/>
  <c r="J428" i="20"/>
  <c r="J429" i="20"/>
  <c r="J430" i="20"/>
  <c r="J431" i="20"/>
  <c r="J432" i="20"/>
  <c r="J433" i="20"/>
  <c r="J434" i="20"/>
  <c r="J435" i="20"/>
  <c r="J436" i="20"/>
  <c r="J437" i="20"/>
  <c r="J438" i="20"/>
  <c r="J439" i="20"/>
  <c r="J440" i="20"/>
  <c r="J441" i="20"/>
  <c r="J442" i="20"/>
  <c r="J443" i="20"/>
  <c r="J444" i="20"/>
  <c r="J445" i="20"/>
  <c r="J446" i="20"/>
  <c r="J447" i="20"/>
  <c r="J448" i="20"/>
  <c r="J449" i="20"/>
  <c r="J450" i="20"/>
  <c r="J451" i="20"/>
  <c r="J452" i="20"/>
  <c r="J453" i="20"/>
  <c r="J454" i="20"/>
  <c r="J455" i="20"/>
  <c r="J456" i="20"/>
  <c r="J457" i="20"/>
  <c r="J458" i="20"/>
  <c r="J459" i="20"/>
  <c r="J460" i="20"/>
  <c r="J461" i="20"/>
  <c r="J462" i="20"/>
  <c r="J463" i="20"/>
  <c r="J464" i="20"/>
  <c r="J465" i="20"/>
  <c r="J466" i="20"/>
  <c r="J467" i="20"/>
  <c r="J468" i="20"/>
  <c r="J469" i="20"/>
  <c r="J470" i="20"/>
  <c r="J471" i="20"/>
  <c r="J472" i="20"/>
  <c r="J473" i="20"/>
  <c r="J474" i="20"/>
  <c r="J475" i="20"/>
  <c r="J476" i="20"/>
  <c r="J477" i="20"/>
  <c r="J478" i="20"/>
  <c r="J479" i="20"/>
  <c r="J480" i="20"/>
  <c r="J481" i="20"/>
  <c r="J482" i="20"/>
  <c r="J483" i="20"/>
  <c r="J484" i="20"/>
  <c r="J485" i="20"/>
  <c r="J486" i="20"/>
  <c r="J487" i="20"/>
  <c r="J488" i="20"/>
  <c r="J489" i="20"/>
  <c r="J490" i="20"/>
  <c r="J491" i="20"/>
  <c r="J492" i="20"/>
  <c r="J493" i="20"/>
  <c r="J494" i="20"/>
  <c r="J495" i="20"/>
  <c r="J496" i="20"/>
  <c r="J497" i="20"/>
  <c r="J498" i="20"/>
  <c r="J499" i="20"/>
  <c r="J500" i="20"/>
  <c r="J501" i="20"/>
  <c r="J502" i="20"/>
  <c r="J503" i="20"/>
  <c r="I6" i="20"/>
  <c r="I7" i="20"/>
  <c r="I8" i="20"/>
  <c r="I9" i="20"/>
  <c r="I10" i="20"/>
  <c r="I11" i="20"/>
  <c r="I12" i="20"/>
  <c r="I13" i="20"/>
  <c r="I14" i="20"/>
  <c r="I15" i="20"/>
  <c r="I16" i="20"/>
  <c r="I17" i="20"/>
  <c r="I18" i="20"/>
  <c r="I19" i="20"/>
  <c r="I20" i="20"/>
  <c r="I21" i="20"/>
  <c r="I22" i="20"/>
  <c r="I23" i="20"/>
  <c r="I24" i="20"/>
  <c r="I25" i="20"/>
  <c r="I26" i="20"/>
  <c r="I27" i="20"/>
  <c r="I28" i="20"/>
  <c r="I29" i="20"/>
  <c r="I30" i="20"/>
  <c r="I31" i="20"/>
  <c r="I32" i="20"/>
  <c r="I33" i="20"/>
  <c r="I34" i="20"/>
  <c r="I35" i="20"/>
  <c r="I36" i="20"/>
  <c r="I37" i="20"/>
  <c r="I38" i="20"/>
  <c r="I39" i="20"/>
  <c r="I40" i="20"/>
  <c r="I41" i="20"/>
  <c r="I42" i="20"/>
  <c r="I43" i="20"/>
  <c r="I44" i="20"/>
  <c r="I45" i="20"/>
  <c r="I46" i="20"/>
  <c r="I47" i="20"/>
  <c r="I48" i="20"/>
  <c r="I49" i="20"/>
  <c r="I50" i="20"/>
  <c r="I51" i="20"/>
  <c r="I52" i="20"/>
  <c r="I53" i="20"/>
  <c r="I54" i="20"/>
  <c r="I55" i="20"/>
  <c r="I56" i="20"/>
  <c r="I57" i="20"/>
  <c r="I58" i="20"/>
  <c r="I59" i="20"/>
  <c r="I60" i="20"/>
  <c r="I61" i="20"/>
  <c r="I62" i="20"/>
  <c r="I63" i="20"/>
  <c r="I64" i="20"/>
  <c r="I65" i="20"/>
  <c r="I66" i="20"/>
  <c r="I67" i="20"/>
  <c r="I68" i="20"/>
  <c r="I69" i="20"/>
  <c r="I70" i="20"/>
  <c r="I71" i="20"/>
  <c r="I72" i="20"/>
  <c r="I73" i="20"/>
  <c r="I74" i="20"/>
  <c r="I75" i="20"/>
  <c r="I76" i="20"/>
  <c r="I77" i="20"/>
  <c r="I78" i="20"/>
  <c r="I79" i="20"/>
  <c r="I80" i="20"/>
  <c r="I81" i="20"/>
  <c r="I82" i="20"/>
  <c r="I83" i="20"/>
  <c r="I84" i="20"/>
  <c r="I85" i="20"/>
  <c r="I86" i="20"/>
  <c r="I87" i="20"/>
  <c r="I88" i="20"/>
  <c r="I89" i="20"/>
  <c r="I90" i="20"/>
  <c r="I91" i="20"/>
  <c r="I92" i="20"/>
  <c r="I93" i="20"/>
  <c r="I94" i="20"/>
  <c r="I95" i="20"/>
  <c r="I96" i="20"/>
  <c r="I97" i="20"/>
  <c r="I98" i="20"/>
  <c r="I99" i="20"/>
  <c r="I100" i="20"/>
  <c r="I101" i="20"/>
  <c r="I102" i="20"/>
  <c r="I103" i="20"/>
  <c r="I104" i="20"/>
  <c r="I105" i="20"/>
  <c r="I106" i="20"/>
  <c r="I107" i="20"/>
  <c r="I108" i="20"/>
  <c r="I109" i="20"/>
  <c r="I110" i="20"/>
  <c r="I111" i="20"/>
  <c r="I112" i="20"/>
  <c r="I113" i="20"/>
  <c r="I114" i="20"/>
  <c r="I115" i="20"/>
  <c r="I116" i="20"/>
  <c r="I117" i="20"/>
  <c r="I118" i="20"/>
  <c r="I119" i="20"/>
  <c r="I120" i="20"/>
  <c r="I121" i="20"/>
  <c r="I122" i="20"/>
  <c r="I123" i="20"/>
  <c r="I124" i="20"/>
  <c r="I125" i="20"/>
  <c r="I126" i="20"/>
  <c r="I127" i="20"/>
  <c r="I128" i="20"/>
  <c r="I129" i="20"/>
  <c r="I130" i="20"/>
  <c r="I131" i="20"/>
  <c r="I132" i="20"/>
  <c r="I133" i="20"/>
  <c r="I134" i="20"/>
  <c r="I135"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233" i="20"/>
  <c r="I234" i="20"/>
  <c r="I235" i="20"/>
  <c r="I236" i="20"/>
  <c r="I237" i="20"/>
  <c r="I238" i="20"/>
  <c r="I239" i="20"/>
  <c r="I240" i="20"/>
  <c r="I241" i="20"/>
  <c r="I242" i="20"/>
  <c r="I243" i="20"/>
  <c r="I244" i="20"/>
  <c r="I245" i="20"/>
  <c r="I246" i="20"/>
  <c r="I247" i="20"/>
  <c r="I248" i="20"/>
  <c r="I249" i="20"/>
  <c r="I250" i="20"/>
  <c r="I251" i="20"/>
  <c r="I252" i="20"/>
  <c r="I253" i="20"/>
  <c r="I254" i="20"/>
  <c r="I255" i="20"/>
  <c r="I256" i="20"/>
  <c r="I257" i="20"/>
  <c r="I258" i="20"/>
  <c r="I259" i="20"/>
  <c r="I260" i="20"/>
  <c r="I261" i="20"/>
  <c r="I262" i="20"/>
  <c r="I263" i="20"/>
  <c r="I264" i="20"/>
  <c r="I265" i="20"/>
  <c r="I266" i="20"/>
  <c r="I267" i="20"/>
  <c r="I268" i="20"/>
  <c r="I269" i="20"/>
  <c r="I270" i="20"/>
  <c r="I271" i="20"/>
  <c r="I272" i="20"/>
  <c r="I273" i="20"/>
  <c r="I274" i="20"/>
  <c r="I275" i="20"/>
  <c r="I276" i="20"/>
  <c r="I277" i="20"/>
  <c r="I278" i="20"/>
  <c r="I279" i="20"/>
  <c r="I280" i="20"/>
  <c r="I281" i="20"/>
  <c r="I282" i="20"/>
  <c r="I283" i="20"/>
  <c r="I284" i="20"/>
  <c r="I285" i="20"/>
  <c r="I286" i="20"/>
  <c r="I287" i="20"/>
  <c r="I288" i="20"/>
  <c r="I289" i="20"/>
  <c r="I290" i="20"/>
  <c r="I291" i="20"/>
  <c r="I292" i="20"/>
  <c r="I293" i="20"/>
  <c r="I294" i="20"/>
  <c r="I295" i="20"/>
  <c r="I296" i="20"/>
  <c r="I297" i="20"/>
  <c r="I298" i="20"/>
  <c r="I299" i="20"/>
  <c r="I300" i="20"/>
  <c r="I301" i="20"/>
  <c r="I302" i="20"/>
  <c r="I303" i="20"/>
  <c r="I304" i="20"/>
  <c r="I305" i="20"/>
  <c r="I306" i="20"/>
  <c r="I307" i="20"/>
  <c r="I308" i="20"/>
  <c r="I309" i="20"/>
  <c r="I310" i="20"/>
  <c r="I311" i="20"/>
  <c r="I312" i="20"/>
  <c r="I313" i="20"/>
  <c r="I314" i="20"/>
  <c r="I315" i="20"/>
  <c r="I316" i="20"/>
  <c r="I317" i="20"/>
  <c r="I318" i="20"/>
  <c r="I319" i="20"/>
  <c r="I320" i="20"/>
  <c r="I321" i="20"/>
  <c r="I322" i="20"/>
  <c r="I323" i="20"/>
  <c r="I324" i="20"/>
  <c r="I325" i="20"/>
  <c r="I326" i="20"/>
  <c r="I327" i="20"/>
  <c r="I328" i="20"/>
  <c r="I329" i="20"/>
  <c r="I330" i="20"/>
  <c r="I331" i="20"/>
  <c r="I332" i="20"/>
  <c r="I333" i="20"/>
  <c r="I334" i="20"/>
  <c r="I335" i="20"/>
  <c r="I336" i="20"/>
  <c r="I337" i="20"/>
  <c r="I338" i="20"/>
  <c r="I339" i="20"/>
  <c r="I340" i="20"/>
  <c r="I341" i="20"/>
  <c r="I342" i="20"/>
  <c r="I343" i="20"/>
  <c r="I344" i="20"/>
  <c r="I345" i="20"/>
  <c r="I346" i="20"/>
  <c r="I347" i="20"/>
  <c r="I348" i="20"/>
  <c r="I349" i="20"/>
  <c r="I350" i="20"/>
  <c r="I351" i="20"/>
  <c r="I352" i="20"/>
  <c r="I353" i="20"/>
  <c r="I354" i="20"/>
  <c r="I355" i="20"/>
  <c r="I356" i="20"/>
  <c r="I357" i="20"/>
  <c r="I358" i="20"/>
  <c r="I359" i="20"/>
  <c r="I360" i="20"/>
  <c r="I361" i="20"/>
  <c r="I362" i="20"/>
  <c r="I363" i="20"/>
  <c r="I364" i="20"/>
  <c r="I365" i="20"/>
  <c r="I366" i="20"/>
  <c r="I367" i="20"/>
  <c r="I368" i="20"/>
  <c r="I369" i="20"/>
  <c r="I370" i="20"/>
  <c r="I371" i="20"/>
  <c r="I372" i="20"/>
  <c r="I373" i="20"/>
  <c r="I374" i="20"/>
  <c r="I375" i="20"/>
  <c r="I376" i="20"/>
  <c r="I377" i="20"/>
  <c r="I378" i="20"/>
  <c r="I379" i="20"/>
  <c r="I380" i="20"/>
  <c r="I381" i="20"/>
  <c r="I382" i="20"/>
  <c r="I383" i="20"/>
  <c r="I384" i="20"/>
  <c r="I385" i="20"/>
  <c r="I386" i="20"/>
  <c r="I387" i="20"/>
  <c r="I388" i="20"/>
  <c r="I389" i="20"/>
  <c r="I390" i="20"/>
  <c r="I391" i="20"/>
  <c r="I392" i="20"/>
  <c r="I393" i="20"/>
  <c r="I394" i="20"/>
  <c r="I395" i="20"/>
  <c r="I396" i="20"/>
  <c r="I397" i="20"/>
  <c r="I398" i="20"/>
  <c r="I399" i="20"/>
  <c r="I400" i="20"/>
  <c r="I401" i="20"/>
  <c r="I402" i="20"/>
  <c r="I403" i="20"/>
  <c r="I404" i="20"/>
  <c r="I405" i="20"/>
  <c r="I406" i="20"/>
  <c r="I407" i="20"/>
  <c r="I408" i="20"/>
  <c r="I409" i="20"/>
  <c r="I410" i="20"/>
  <c r="I411" i="20"/>
  <c r="I412" i="20"/>
  <c r="I413" i="20"/>
  <c r="I414" i="20"/>
  <c r="I415" i="20"/>
  <c r="I416" i="20"/>
  <c r="I417" i="20"/>
  <c r="I418" i="20"/>
  <c r="I419" i="20"/>
  <c r="I420" i="20"/>
  <c r="I421" i="20"/>
  <c r="I422" i="20"/>
  <c r="I423" i="20"/>
  <c r="I424" i="20"/>
  <c r="I425" i="20"/>
  <c r="I426" i="20"/>
  <c r="I427" i="20"/>
  <c r="I428" i="20"/>
  <c r="I429" i="20"/>
  <c r="I430" i="20"/>
  <c r="I431" i="20"/>
  <c r="I432" i="20"/>
  <c r="I433" i="20"/>
  <c r="I434" i="20"/>
  <c r="I435" i="20"/>
  <c r="I436" i="20"/>
  <c r="I437" i="20"/>
  <c r="I438" i="20"/>
  <c r="I439" i="20"/>
  <c r="I440" i="20"/>
  <c r="I441" i="20"/>
  <c r="I442" i="20"/>
  <c r="I443" i="20"/>
  <c r="I444" i="20"/>
  <c r="I445" i="20"/>
  <c r="I446" i="20"/>
  <c r="I447" i="20"/>
  <c r="I448" i="20"/>
  <c r="I449" i="20"/>
  <c r="I450" i="20"/>
  <c r="I451" i="20"/>
  <c r="I452" i="20"/>
  <c r="I453" i="20"/>
  <c r="I454" i="20"/>
  <c r="I455" i="20"/>
  <c r="I456" i="20"/>
  <c r="I457" i="20"/>
  <c r="I458" i="20"/>
  <c r="I459" i="20"/>
  <c r="I460" i="20"/>
  <c r="I461" i="20"/>
  <c r="I462" i="20"/>
  <c r="I463" i="20"/>
  <c r="I464" i="20"/>
  <c r="I465" i="20"/>
  <c r="I466" i="20"/>
  <c r="I467" i="20"/>
  <c r="I468" i="20"/>
  <c r="I469" i="20"/>
  <c r="I470" i="20"/>
  <c r="I471" i="20"/>
  <c r="I472" i="20"/>
  <c r="I473" i="20"/>
  <c r="I474" i="20"/>
  <c r="I475" i="20"/>
  <c r="I476" i="20"/>
  <c r="I477" i="20"/>
  <c r="I478" i="20"/>
  <c r="I479" i="20"/>
  <c r="I480" i="20"/>
  <c r="I481" i="20"/>
  <c r="I482" i="20"/>
  <c r="I483" i="20"/>
  <c r="I484" i="20"/>
  <c r="I485" i="20"/>
  <c r="I486" i="20"/>
  <c r="I487" i="20"/>
  <c r="I488" i="20"/>
  <c r="I489" i="20"/>
  <c r="I490" i="20"/>
  <c r="I491" i="20"/>
  <c r="I492" i="20"/>
  <c r="I493" i="20"/>
  <c r="I494" i="20"/>
  <c r="I495" i="20"/>
  <c r="I496" i="20"/>
  <c r="I497" i="20"/>
  <c r="I498" i="20"/>
  <c r="I499" i="20"/>
  <c r="I500" i="20"/>
  <c r="I501" i="20"/>
  <c r="I502" i="20"/>
  <c r="I503" i="20"/>
  <c r="J5" i="20"/>
  <c r="I5" i="20"/>
  <c r="B12" i="21"/>
  <c r="B10" i="21"/>
  <c r="B9" i="21"/>
  <c r="B8" i="21"/>
  <c r="E64" i="21"/>
  <c r="D64" i="21"/>
  <c r="E63" i="21"/>
  <c r="D63" i="21"/>
  <c r="E62" i="21"/>
  <c r="D62" i="21"/>
  <c r="E61" i="21"/>
  <c r="D61" i="21"/>
  <c r="E60" i="21"/>
  <c r="D60" i="21"/>
  <c r="E59" i="21"/>
  <c r="D59" i="21"/>
  <c r="E58" i="21"/>
  <c r="D58" i="21"/>
  <c r="E57" i="21"/>
  <c r="D57" i="21"/>
  <c r="E56" i="21"/>
  <c r="D56" i="21"/>
  <c r="C55" i="21"/>
  <c r="B55" i="21"/>
  <c r="E53" i="21"/>
  <c r="D53" i="21"/>
  <c r="E52" i="21"/>
  <c r="D52" i="21"/>
  <c r="E51" i="21"/>
  <c r="D51" i="21"/>
  <c r="E50" i="21"/>
  <c r="D50" i="21"/>
  <c r="E49" i="21"/>
  <c r="D49" i="21"/>
  <c r="E48" i="21"/>
  <c r="D48" i="21"/>
  <c r="E47" i="21"/>
  <c r="D47" i="21"/>
  <c r="E46" i="21"/>
  <c r="D46" i="21"/>
  <c r="E45" i="21"/>
  <c r="D45" i="21"/>
  <c r="C44" i="21"/>
  <c r="B44" i="21"/>
  <c r="C42" i="21"/>
  <c r="B42" i="21"/>
  <c r="C41" i="21"/>
  <c r="B41" i="21"/>
  <c r="C40" i="21"/>
  <c r="B40" i="21"/>
  <c r="C39" i="21"/>
  <c r="B39" i="21"/>
  <c r="C38" i="21"/>
  <c r="B38" i="21"/>
  <c r="C37" i="21"/>
  <c r="B37" i="21"/>
  <c r="C36" i="21"/>
  <c r="B36" i="21"/>
  <c r="G35" i="21"/>
  <c r="C35" i="21"/>
  <c r="B35" i="21"/>
  <c r="D55" i="21" l="1"/>
  <c r="E34" i="21"/>
  <c r="E44" i="21"/>
  <c r="E55" i="21"/>
  <c r="C34" i="21"/>
  <c r="B34" i="21"/>
  <c r="D34" i="21"/>
  <c r="D44" i="21"/>
  <c r="H4" i="20"/>
  <c r="E4" i="20"/>
  <c r="E294" i="20"/>
  <c r="F294" i="20" s="1"/>
  <c r="B7" i="21" l="1"/>
  <c r="B6" i="21"/>
  <c r="B5" i="21"/>
  <c r="G5" i="21"/>
  <c r="G6" i="21"/>
  <c r="G7" i="21"/>
  <c r="G8" i="21"/>
  <c r="G9" i="21"/>
  <c r="G10" i="21"/>
  <c r="G11" i="21"/>
  <c r="G12" i="21"/>
  <c r="E32" i="21"/>
  <c r="D32" i="21"/>
  <c r="C32" i="21"/>
  <c r="B32" i="21"/>
  <c r="E31" i="21"/>
  <c r="D31" i="21"/>
  <c r="C31" i="21"/>
  <c r="B31" i="21"/>
  <c r="E30" i="21" l="1"/>
  <c r="B30" i="21"/>
  <c r="C30" i="21"/>
  <c r="D30" i="21"/>
  <c r="B4" i="21"/>
  <c r="H6" i="20" l="1"/>
  <c r="H7" i="20"/>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H236" i="20"/>
  <c r="H237" i="20"/>
  <c r="H238" i="20"/>
  <c r="H239" i="20"/>
  <c r="H240" i="20"/>
  <c r="H241" i="20"/>
  <c r="H242" i="20"/>
  <c r="H243" i="20"/>
  <c r="H244" i="20"/>
  <c r="H245" i="20"/>
  <c r="H246" i="20"/>
  <c r="H247" i="20"/>
  <c r="H248" i="20"/>
  <c r="H249" i="20"/>
  <c r="H250" i="20"/>
  <c r="H251" i="20"/>
  <c r="H252" i="20"/>
  <c r="H253" i="20"/>
  <c r="H254" i="20"/>
  <c r="H255" i="20"/>
  <c r="H256" i="20"/>
  <c r="H257" i="20"/>
  <c r="H258" i="20"/>
  <c r="H259" i="20"/>
  <c r="H260" i="20"/>
  <c r="H261" i="20"/>
  <c r="H262" i="20"/>
  <c r="H263" i="20"/>
  <c r="H264" i="20"/>
  <c r="H265" i="20"/>
  <c r="H266" i="20"/>
  <c r="H267" i="20"/>
  <c r="H268" i="20"/>
  <c r="H269" i="20"/>
  <c r="H270" i="20"/>
  <c r="H271" i="20"/>
  <c r="H272" i="20"/>
  <c r="H273" i="20"/>
  <c r="H274" i="20"/>
  <c r="H275" i="20"/>
  <c r="H276" i="20"/>
  <c r="H277" i="20"/>
  <c r="H278" i="20"/>
  <c r="H279" i="20"/>
  <c r="H280" i="20"/>
  <c r="H281" i="20"/>
  <c r="H282" i="20"/>
  <c r="H283" i="20"/>
  <c r="H284" i="20"/>
  <c r="H285" i="20"/>
  <c r="H286" i="20"/>
  <c r="H287" i="20"/>
  <c r="H288" i="20"/>
  <c r="H289" i="20"/>
  <c r="H290" i="20"/>
  <c r="H291" i="20"/>
  <c r="H292" i="20"/>
  <c r="H293" i="20"/>
  <c r="H294" i="20"/>
  <c r="H295" i="20"/>
  <c r="H296" i="20"/>
  <c r="H297" i="20"/>
  <c r="H298" i="20"/>
  <c r="H299" i="20"/>
  <c r="H300" i="20"/>
  <c r="H301" i="20"/>
  <c r="H302" i="20"/>
  <c r="H303" i="20"/>
  <c r="H304" i="20"/>
  <c r="H305" i="20"/>
  <c r="H306" i="20"/>
  <c r="H307" i="20"/>
  <c r="H308" i="20"/>
  <c r="H309" i="20"/>
  <c r="H310" i="20"/>
  <c r="H311" i="20"/>
  <c r="H312" i="20"/>
  <c r="H313" i="20"/>
  <c r="H314" i="20"/>
  <c r="H315" i="20"/>
  <c r="H316" i="20"/>
  <c r="H317" i="20"/>
  <c r="H318" i="20"/>
  <c r="H319" i="20"/>
  <c r="H320" i="20"/>
  <c r="H321" i="20"/>
  <c r="H322" i="20"/>
  <c r="H323" i="20"/>
  <c r="H324" i="20"/>
  <c r="H325" i="20"/>
  <c r="H326" i="20"/>
  <c r="H327" i="20"/>
  <c r="H328" i="20"/>
  <c r="H329" i="20"/>
  <c r="H330" i="20"/>
  <c r="H331" i="20"/>
  <c r="H332" i="20"/>
  <c r="H333" i="20"/>
  <c r="H334" i="20"/>
  <c r="H335" i="20"/>
  <c r="H336" i="20"/>
  <c r="H337" i="20"/>
  <c r="H338" i="20"/>
  <c r="H339" i="20"/>
  <c r="H340" i="20"/>
  <c r="H341" i="20"/>
  <c r="H342" i="20"/>
  <c r="H343" i="20"/>
  <c r="H344" i="20"/>
  <c r="H345" i="20"/>
  <c r="H346" i="20"/>
  <c r="H347" i="20"/>
  <c r="H348" i="20"/>
  <c r="H349" i="20"/>
  <c r="H350" i="20"/>
  <c r="H351" i="20"/>
  <c r="H352" i="20"/>
  <c r="H353" i="20"/>
  <c r="H354" i="20"/>
  <c r="H355" i="20"/>
  <c r="H356" i="20"/>
  <c r="H357" i="20"/>
  <c r="H358" i="20"/>
  <c r="H359" i="20"/>
  <c r="H360" i="20"/>
  <c r="H361" i="20"/>
  <c r="H362" i="20"/>
  <c r="H363" i="20"/>
  <c r="H364" i="20"/>
  <c r="H365" i="20"/>
  <c r="H366" i="20"/>
  <c r="H367" i="20"/>
  <c r="H368" i="20"/>
  <c r="H369" i="20"/>
  <c r="H370" i="20"/>
  <c r="H371" i="20"/>
  <c r="H372" i="20"/>
  <c r="H373" i="20"/>
  <c r="H374" i="20"/>
  <c r="H375" i="20"/>
  <c r="H376" i="20"/>
  <c r="H377" i="20"/>
  <c r="H378" i="20"/>
  <c r="H379" i="20"/>
  <c r="H380" i="20"/>
  <c r="H381" i="20"/>
  <c r="H382" i="20"/>
  <c r="H383" i="20"/>
  <c r="H384" i="20"/>
  <c r="H385" i="20"/>
  <c r="H386" i="20"/>
  <c r="H387" i="20"/>
  <c r="H388" i="20"/>
  <c r="H389" i="20"/>
  <c r="H390" i="20"/>
  <c r="H391" i="20"/>
  <c r="H392" i="20"/>
  <c r="H393" i="20"/>
  <c r="H394" i="20"/>
  <c r="H395" i="20"/>
  <c r="H396" i="20"/>
  <c r="H397" i="20"/>
  <c r="H398" i="20"/>
  <c r="H399" i="20"/>
  <c r="H400" i="20"/>
  <c r="H401" i="20"/>
  <c r="H402" i="20"/>
  <c r="H403" i="20"/>
  <c r="H404" i="20"/>
  <c r="H405" i="20"/>
  <c r="H406" i="20"/>
  <c r="H407" i="20"/>
  <c r="H408" i="20"/>
  <c r="H409" i="20"/>
  <c r="H410" i="20"/>
  <c r="H411" i="20"/>
  <c r="H412" i="20"/>
  <c r="H413" i="20"/>
  <c r="H414" i="20"/>
  <c r="H415" i="20"/>
  <c r="H416" i="20"/>
  <c r="H417" i="20"/>
  <c r="H418" i="20"/>
  <c r="H419" i="20"/>
  <c r="H420" i="20"/>
  <c r="H421" i="20"/>
  <c r="H422" i="20"/>
  <c r="H423" i="20"/>
  <c r="H424" i="20"/>
  <c r="H425" i="20"/>
  <c r="H426" i="20"/>
  <c r="H427" i="20"/>
  <c r="H428" i="20"/>
  <c r="H429" i="20"/>
  <c r="H430" i="20"/>
  <c r="H431" i="20"/>
  <c r="H432" i="20"/>
  <c r="H433" i="20"/>
  <c r="H434" i="20"/>
  <c r="H435" i="20"/>
  <c r="H436" i="20"/>
  <c r="H437" i="20"/>
  <c r="H438" i="20"/>
  <c r="H439" i="20"/>
  <c r="H440" i="20"/>
  <c r="H441" i="20"/>
  <c r="H442" i="20"/>
  <c r="H443" i="20"/>
  <c r="H444" i="20"/>
  <c r="H445" i="20"/>
  <c r="H446" i="20"/>
  <c r="H447" i="20"/>
  <c r="H448" i="20"/>
  <c r="H449" i="20"/>
  <c r="H450" i="20"/>
  <c r="H451" i="20"/>
  <c r="H452" i="20"/>
  <c r="H453" i="20"/>
  <c r="H454" i="20"/>
  <c r="H455" i="20"/>
  <c r="H456" i="20"/>
  <c r="H457" i="20"/>
  <c r="H458" i="20"/>
  <c r="H459" i="20"/>
  <c r="H460" i="20"/>
  <c r="H461" i="20"/>
  <c r="H462" i="20"/>
  <c r="H463" i="20"/>
  <c r="H464" i="20"/>
  <c r="H465" i="20"/>
  <c r="H466" i="20"/>
  <c r="H467" i="20"/>
  <c r="H468" i="20"/>
  <c r="H469" i="20"/>
  <c r="H470" i="20"/>
  <c r="H471" i="20"/>
  <c r="H472" i="20"/>
  <c r="H473" i="20"/>
  <c r="H474" i="20"/>
  <c r="H475" i="20"/>
  <c r="H476" i="20"/>
  <c r="H477" i="20"/>
  <c r="H478" i="20"/>
  <c r="H479" i="20"/>
  <c r="H480" i="20"/>
  <c r="H481" i="20"/>
  <c r="H482" i="20"/>
  <c r="H483" i="20"/>
  <c r="H484" i="20"/>
  <c r="H485" i="20"/>
  <c r="H486" i="20"/>
  <c r="H487" i="20"/>
  <c r="H488" i="20"/>
  <c r="H489" i="20"/>
  <c r="H490" i="20"/>
  <c r="H491" i="20"/>
  <c r="H492" i="20"/>
  <c r="H493" i="20"/>
  <c r="H494" i="20"/>
  <c r="H495" i="20"/>
  <c r="H496" i="20"/>
  <c r="H497" i="20"/>
  <c r="H498" i="20"/>
  <c r="H499" i="20"/>
  <c r="H500" i="20"/>
  <c r="H501" i="20"/>
  <c r="H502" i="20"/>
  <c r="H503" i="20"/>
  <c r="H5" i="20"/>
  <c r="M6" i="20"/>
  <c r="N6" i="20" s="1"/>
  <c r="M7" i="20"/>
  <c r="N7" i="20" s="1"/>
  <c r="M8" i="20"/>
  <c r="N8" i="20" s="1"/>
  <c r="M9" i="20"/>
  <c r="N9" i="20" s="1"/>
  <c r="M10" i="20"/>
  <c r="N10" i="20" s="1"/>
  <c r="M11" i="20"/>
  <c r="N11" i="20" s="1"/>
  <c r="M12" i="20"/>
  <c r="N12" i="20" s="1"/>
  <c r="M13" i="20"/>
  <c r="N13" i="20" s="1"/>
  <c r="M14" i="20"/>
  <c r="N14" i="20" s="1"/>
  <c r="M15" i="20"/>
  <c r="N15" i="20" s="1"/>
  <c r="M16" i="20"/>
  <c r="N16" i="20" s="1"/>
  <c r="M17" i="20"/>
  <c r="N17" i="20" s="1"/>
  <c r="M18" i="20"/>
  <c r="N18" i="20" s="1"/>
  <c r="M19" i="20"/>
  <c r="N19" i="20" s="1"/>
  <c r="M20" i="20"/>
  <c r="N20" i="20" s="1"/>
  <c r="M21" i="20"/>
  <c r="N21" i="20" s="1"/>
  <c r="M22" i="20"/>
  <c r="N22" i="20" s="1"/>
  <c r="M23" i="20"/>
  <c r="N23" i="20" s="1"/>
  <c r="M24" i="20"/>
  <c r="N24" i="20" s="1"/>
  <c r="M25" i="20"/>
  <c r="N25" i="20" s="1"/>
  <c r="M26" i="20"/>
  <c r="N26" i="20" s="1"/>
  <c r="M27" i="20"/>
  <c r="N27" i="20" s="1"/>
  <c r="M28" i="20"/>
  <c r="N28" i="20" s="1"/>
  <c r="M29" i="20"/>
  <c r="N29" i="20" s="1"/>
  <c r="M30" i="20"/>
  <c r="N30" i="20" s="1"/>
  <c r="M31" i="20"/>
  <c r="N31" i="20" s="1"/>
  <c r="M32" i="20"/>
  <c r="N32" i="20" s="1"/>
  <c r="M33" i="20"/>
  <c r="N33" i="20" s="1"/>
  <c r="M34" i="20"/>
  <c r="N34" i="20" s="1"/>
  <c r="M35" i="20"/>
  <c r="N35" i="20" s="1"/>
  <c r="M36" i="20"/>
  <c r="N36" i="20" s="1"/>
  <c r="M37" i="20"/>
  <c r="N37" i="20" s="1"/>
  <c r="M38" i="20"/>
  <c r="N38" i="20" s="1"/>
  <c r="M39" i="20"/>
  <c r="N39" i="20" s="1"/>
  <c r="M40" i="20"/>
  <c r="N40" i="20" s="1"/>
  <c r="M41" i="20"/>
  <c r="N41" i="20" s="1"/>
  <c r="M42" i="20"/>
  <c r="N42" i="20" s="1"/>
  <c r="M43" i="20"/>
  <c r="N43" i="20" s="1"/>
  <c r="M44" i="20"/>
  <c r="N44" i="20" s="1"/>
  <c r="M45" i="20"/>
  <c r="N45" i="20" s="1"/>
  <c r="M46" i="20"/>
  <c r="N46" i="20" s="1"/>
  <c r="M47" i="20"/>
  <c r="N47" i="20" s="1"/>
  <c r="M48" i="20"/>
  <c r="N48" i="20" s="1"/>
  <c r="M49" i="20"/>
  <c r="N49" i="20" s="1"/>
  <c r="M50" i="20"/>
  <c r="N50" i="20" s="1"/>
  <c r="M51" i="20"/>
  <c r="N51" i="20" s="1"/>
  <c r="M52" i="20"/>
  <c r="N52" i="20" s="1"/>
  <c r="M53" i="20"/>
  <c r="N53" i="20" s="1"/>
  <c r="M54" i="20"/>
  <c r="N54" i="20" s="1"/>
  <c r="M55" i="20"/>
  <c r="N55" i="20" s="1"/>
  <c r="M56" i="20"/>
  <c r="N56" i="20" s="1"/>
  <c r="M57" i="20"/>
  <c r="N57" i="20" s="1"/>
  <c r="M58" i="20"/>
  <c r="N58" i="20" s="1"/>
  <c r="M59" i="20"/>
  <c r="N59" i="20" s="1"/>
  <c r="M60" i="20"/>
  <c r="N60" i="20" s="1"/>
  <c r="M61" i="20"/>
  <c r="N61" i="20" s="1"/>
  <c r="M62" i="20"/>
  <c r="N62" i="20" s="1"/>
  <c r="M63" i="20"/>
  <c r="N63" i="20" s="1"/>
  <c r="M64" i="20"/>
  <c r="N64" i="20" s="1"/>
  <c r="M65" i="20"/>
  <c r="N65" i="20" s="1"/>
  <c r="M66" i="20"/>
  <c r="N66" i="20" s="1"/>
  <c r="M67" i="20"/>
  <c r="N67" i="20" s="1"/>
  <c r="M68" i="20"/>
  <c r="N68" i="20" s="1"/>
  <c r="M69" i="20"/>
  <c r="N69" i="20" s="1"/>
  <c r="M70" i="20"/>
  <c r="N70" i="20" s="1"/>
  <c r="M71" i="20"/>
  <c r="N71" i="20" s="1"/>
  <c r="M72" i="20"/>
  <c r="N72" i="20" s="1"/>
  <c r="M73" i="20"/>
  <c r="N73" i="20" s="1"/>
  <c r="M74" i="20"/>
  <c r="N74" i="20" s="1"/>
  <c r="M75" i="20"/>
  <c r="N75" i="20" s="1"/>
  <c r="M76" i="20"/>
  <c r="N76" i="20" s="1"/>
  <c r="M77" i="20"/>
  <c r="N77" i="20" s="1"/>
  <c r="M78" i="20"/>
  <c r="N78" i="20" s="1"/>
  <c r="M79" i="20"/>
  <c r="N79" i="20" s="1"/>
  <c r="M80" i="20"/>
  <c r="N80" i="20" s="1"/>
  <c r="M81" i="20"/>
  <c r="N81" i="20" s="1"/>
  <c r="M82" i="20"/>
  <c r="N82" i="20" s="1"/>
  <c r="M83" i="20"/>
  <c r="N83" i="20" s="1"/>
  <c r="M84" i="20"/>
  <c r="N84" i="20" s="1"/>
  <c r="M85" i="20"/>
  <c r="N85" i="20" s="1"/>
  <c r="M86" i="20"/>
  <c r="N86" i="20" s="1"/>
  <c r="M87" i="20"/>
  <c r="N87" i="20" s="1"/>
  <c r="M88" i="20"/>
  <c r="N88" i="20" s="1"/>
  <c r="M89" i="20"/>
  <c r="N89" i="20" s="1"/>
  <c r="M90" i="20"/>
  <c r="N90" i="20" s="1"/>
  <c r="M91" i="20"/>
  <c r="N91" i="20" s="1"/>
  <c r="M92" i="20"/>
  <c r="N92" i="20" s="1"/>
  <c r="M93" i="20"/>
  <c r="N93" i="20" s="1"/>
  <c r="M94" i="20"/>
  <c r="N94" i="20" s="1"/>
  <c r="M95" i="20"/>
  <c r="N95" i="20" s="1"/>
  <c r="M96" i="20"/>
  <c r="N96" i="20" s="1"/>
  <c r="M97" i="20"/>
  <c r="N97" i="20" s="1"/>
  <c r="M98" i="20"/>
  <c r="N98" i="20" s="1"/>
  <c r="M99" i="20"/>
  <c r="N99" i="20" s="1"/>
  <c r="M100" i="20"/>
  <c r="N100" i="20" s="1"/>
  <c r="M101" i="20"/>
  <c r="N101" i="20" s="1"/>
  <c r="M102" i="20"/>
  <c r="N102" i="20" s="1"/>
  <c r="M103" i="20"/>
  <c r="N103" i="20" s="1"/>
  <c r="M104" i="20"/>
  <c r="N104" i="20" s="1"/>
  <c r="M105" i="20"/>
  <c r="N105" i="20" s="1"/>
  <c r="M106" i="20"/>
  <c r="N106" i="20" s="1"/>
  <c r="M107" i="20"/>
  <c r="N107" i="20" s="1"/>
  <c r="M108" i="20"/>
  <c r="N108" i="20" s="1"/>
  <c r="M109" i="20"/>
  <c r="N109" i="20" s="1"/>
  <c r="M110" i="20"/>
  <c r="N110" i="20" s="1"/>
  <c r="M111" i="20"/>
  <c r="N111" i="20" s="1"/>
  <c r="M112" i="20"/>
  <c r="N112" i="20" s="1"/>
  <c r="M113" i="20"/>
  <c r="N113" i="20" s="1"/>
  <c r="M114" i="20"/>
  <c r="N114" i="20" s="1"/>
  <c r="M115" i="20"/>
  <c r="N115" i="20" s="1"/>
  <c r="M116" i="20"/>
  <c r="N116" i="20" s="1"/>
  <c r="M117" i="20"/>
  <c r="N117" i="20" s="1"/>
  <c r="M118" i="20"/>
  <c r="N118" i="20" s="1"/>
  <c r="M119" i="20"/>
  <c r="N119" i="20" s="1"/>
  <c r="M120" i="20"/>
  <c r="N120" i="20" s="1"/>
  <c r="M121" i="20"/>
  <c r="N121" i="20" s="1"/>
  <c r="M122" i="20"/>
  <c r="N122" i="20" s="1"/>
  <c r="M123" i="20"/>
  <c r="N123" i="20" s="1"/>
  <c r="M124" i="20"/>
  <c r="N124" i="20" s="1"/>
  <c r="M125" i="20"/>
  <c r="N125" i="20" s="1"/>
  <c r="M126" i="20"/>
  <c r="N126" i="20" s="1"/>
  <c r="M127" i="20"/>
  <c r="N127" i="20" s="1"/>
  <c r="M128" i="20"/>
  <c r="N128" i="20" s="1"/>
  <c r="M129" i="20"/>
  <c r="N129" i="20" s="1"/>
  <c r="M130" i="20"/>
  <c r="N130" i="20" s="1"/>
  <c r="M131" i="20"/>
  <c r="N131" i="20" s="1"/>
  <c r="M132" i="20"/>
  <c r="N132" i="20" s="1"/>
  <c r="M133" i="20"/>
  <c r="N133" i="20" s="1"/>
  <c r="M134" i="20"/>
  <c r="N134" i="20" s="1"/>
  <c r="M135" i="20"/>
  <c r="N135" i="20" s="1"/>
  <c r="M136" i="20"/>
  <c r="N136" i="20" s="1"/>
  <c r="M137" i="20"/>
  <c r="N137" i="20" s="1"/>
  <c r="M138" i="20"/>
  <c r="N138" i="20" s="1"/>
  <c r="M139" i="20"/>
  <c r="N139" i="20" s="1"/>
  <c r="M140" i="20"/>
  <c r="N140" i="20" s="1"/>
  <c r="M141" i="20"/>
  <c r="N141" i="20" s="1"/>
  <c r="M142" i="20"/>
  <c r="N142" i="20" s="1"/>
  <c r="M143" i="20"/>
  <c r="N143" i="20" s="1"/>
  <c r="M144" i="20"/>
  <c r="N144" i="20" s="1"/>
  <c r="M145" i="20"/>
  <c r="N145" i="20" s="1"/>
  <c r="M146" i="20"/>
  <c r="N146" i="20" s="1"/>
  <c r="M147" i="20"/>
  <c r="N147" i="20" s="1"/>
  <c r="M148" i="20"/>
  <c r="N148" i="20" s="1"/>
  <c r="M149" i="20"/>
  <c r="N149" i="20" s="1"/>
  <c r="M150" i="20"/>
  <c r="N150" i="20" s="1"/>
  <c r="M151" i="20"/>
  <c r="N151" i="20" s="1"/>
  <c r="M152" i="20"/>
  <c r="N152" i="20" s="1"/>
  <c r="M153" i="20"/>
  <c r="N153" i="20" s="1"/>
  <c r="M154" i="20"/>
  <c r="N154" i="20" s="1"/>
  <c r="M155" i="20"/>
  <c r="N155" i="20" s="1"/>
  <c r="M156" i="20"/>
  <c r="N156" i="20" s="1"/>
  <c r="M157" i="20"/>
  <c r="N157" i="20" s="1"/>
  <c r="M158" i="20"/>
  <c r="N158" i="20" s="1"/>
  <c r="M159" i="20"/>
  <c r="N159" i="20" s="1"/>
  <c r="M160" i="20"/>
  <c r="N160" i="20" s="1"/>
  <c r="M161" i="20"/>
  <c r="N161" i="20" s="1"/>
  <c r="M162" i="20"/>
  <c r="N162" i="20" s="1"/>
  <c r="M163" i="20"/>
  <c r="N163" i="20" s="1"/>
  <c r="M164" i="20"/>
  <c r="N164" i="20" s="1"/>
  <c r="M165" i="20"/>
  <c r="N165" i="20" s="1"/>
  <c r="M166" i="20"/>
  <c r="N166" i="20" s="1"/>
  <c r="M167" i="20"/>
  <c r="N167" i="20" s="1"/>
  <c r="M168" i="20"/>
  <c r="N168" i="20" s="1"/>
  <c r="M169" i="20"/>
  <c r="N169" i="20" s="1"/>
  <c r="M170" i="20"/>
  <c r="N170" i="20" s="1"/>
  <c r="M171" i="20"/>
  <c r="N171" i="20" s="1"/>
  <c r="M172" i="20"/>
  <c r="N172" i="20" s="1"/>
  <c r="M173" i="20"/>
  <c r="N173" i="20" s="1"/>
  <c r="M174" i="20"/>
  <c r="N174" i="20" s="1"/>
  <c r="M175" i="20"/>
  <c r="N175" i="20" s="1"/>
  <c r="M176" i="20"/>
  <c r="N176" i="20" s="1"/>
  <c r="M177" i="20"/>
  <c r="N177" i="20" s="1"/>
  <c r="M178" i="20"/>
  <c r="N178" i="20" s="1"/>
  <c r="M179" i="20"/>
  <c r="N179" i="20" s="1"/>
  <c r="M180" i="20"/>
  <c r="N180" i="20" s="1"/>
  <c r="M181" i="20"/>
  <c r="N181" i="20" s="1"/>
  <c r="M182" i="20"/>
  <c r="N182" i="20" s="1"/>
  <c r="M183" i="20"/>
  <c r="N183" i="20" s="1"/>
  <c r="M184" i="20"/>
  <c r="N184" i="20" s="1"/>
  <c r="M185" i="20"/>
  <c r="N185" i="20" s="1"/>
  <c r="M186" i="20"/>
  <c r="N186" i="20" s="1"/>
  <c r="M187" i="20"/>
  <c r="N187" i="20" s="1"/>
  <c r="M188" i="20"/>
  <c r="N188" i="20" s="1"/>
  <c r="M189" i="20"/>
  <c r="N189" i="20" s="1"/>
  <c r="M190" i="20"/>
  <c r="N190" i="20" s="1"/>
  <c r="M191" i="20"/>
  <c r="N191" i="20" s="1"/>
  <c r="M192" i="20"/>
  <c r="N192" i="20" s="1"/>
  <c r="M193" i="20"/>
  <c r="N193" i="20" s="1"/>
  <c r="M194" i="20"/>
  <c r="N194" i="20" s="1"/>
  <c r="M195" i="20"/>
  <c r="N195" i="20" s="1"/>
  <c r="M196" i="20"/>
  <c r="N196" i="20" s="1"/>
  <c r="M197" i="20"/>
  <c r="N197" i="20" s="1"/>
  <c r="M198" i="20"/>
  <c r="N198" i="20" s="1"/>
  <c r="M199" i="20"/>
  <c r="N199" i="20" s="1"/>
  <c r="M200" i="20"/>
  <c r="N200" i="20" s="1"/>
  <c r="M201" i="20"/>
  <c r="N201" i="20" s="1"/>
  <c r="M202" i="20"/>
  <c r="N202" i="20" s="1"/>
  <c r="M203" i="20"/>
  <c r="N203" i="20" s="1"/>
  <c r="M204" i="20"/>
  <c r="N204" i="20" s="1"/>
  <c r="M205" i="20"/>
  <c r="N205" i="20" s="1"/>
  <c r="M206" i="20"/>
  <c r="N206" i="20" s="1"/>
  <c r="M207" i="20"/>
  <c r="N207" i="20" s="1"/>
  <c r="M208" i="20"/>
  <c r="N208" i="20" s="1"/>
  <c r="M209" i="20"/>
  <c r="N209" i="20" s="1"/>
  <c r="M210" i="20"/>
  <c r="N210" i="20" s="1"/>
  <c r="M211" i="20"/>
  <c r="N211" i="20" s="1"/>
  <c r="M212" i="20"/>
  <c r="N212" i="20" s="1"/>
  <c r="M213" i="20"/>
  <c r="N213" i="20" s="1"/>
  <c r="M214" i="20"/>
  <c r="N214" i="20" s="1"/>
  <c r="M215" i="20"/>
  <c r="N215" i="20" s="1"/>
  <c r="M216" i="20"/>
  <c r="N216" i="20" s="1"/>
  <c r="M217" i="20"/>
  <c r="N217" i="20" s="1"/>
  <c r="M218" i="20"/>
  <c r="N218" i="20" s="1"/>
  <c r="M219" i="20"/>
  <c r="N219" i="20" s="1"/>
  <c r="M220" i="20"/>
  <c r="N220" i="20" s="1"/>
  <c r="M221" i="20"/>
  <c r="N221" i="20" s="1"/>
  <c r="M222" i="20"/>
  <c r="N222" i="20" s="1"/>
  <c r="M223" i="20"/>
  <c r="N223" i="20" s="1"/>
  <c r="M224" i="20"/>
  <c r="N224" i="20" s="1"/>
  <c r="M225" i="20"/>
  <c r="N225" i="20" s="1"/>
  <c r="M226" i="20"/>
  <c r="N226" i="20" s="1"/>
  <c r="M227" i="20"/>
  <c r="N227" i="20" s="1"/>
  <c r="M228" i="20"/>
  <c r="N228" i="20" s="1"/>
  <c r="M229" i="20"/>
  <c r="N229" i="20" s="1"/>
  <c r="M230" i="20"/>
  <c r="N230" i="20" s="1"/>
  <c r="M231" i="20"/>
  <c r="N231" i="20" s="1"/>
  <c r="M232" i="20"/>
  <c r="N232" i="20" s="1"/>
  <c r="M233" i="20"/>
  <c r="N233" i="20" s="1"/>
  <c r="M234" i="20"/>
  <c r="N234" i="20" s="1"/>
  <c r="M235" i="20"/>
  <c r="N235" i="20" s="1"/>
  <c r="M236" i="20"/>
  <c r="N236" i="20" s="1"/>
  <c r="M237" i="20"/>
  <c r="N237" i="20" s="1"/>
  <c r="M238" i="20"/>
  <c r="N238" i="20" s="1"/>
  <c r="M239" i="20"/>
  <c r="N239" i="20" s="1"/>
  <c r="M240" i="20"/>
  <c r="N240" i="20" s="1"/>
  <c r="M241" i="20"/>
  <c r="N241" i="20" s="1"/>
  <c r="M242" i="20"/>
  <c r="N242" i="20" s="1"/>
  <c r="M243" i="20"/>
  <c r="N243" i="20" s="1"/>
  <c r="M244" i="20"/>
  <c r="N244" i="20" s="1"/>
  <c r="M245" i="20"/>
  <c r="N245" i="20" s="1"/>
  <c r="M246" i="20"/>
  <c r="N246" i="20" s="1"/>
  <c r="M247" i="20"/>
  <c r="N247" i="20" s="1"/>
  <c r="M248" i="20"/>
  <c r="N248" i="20" s="1"/>
  <c r="M249" i="20"/>
  <c r="N249" i="20" s="1"/>
  <c r="M250" i="20"/>
  <c r="N250" i="20" s="1"/>
  <c r="M251" i="20"/>
  <c r="N251" i="20" s="1"/>
  <c r="M252" i="20"/>
  <c r="N252" i="20" s="1"/>
  <c r="M253" i="20"/>
  <c r="N253" i="20" s="1"/>
  <c r="M254" i="20"/>
  <c r="N254" i="20" s="1"/>
  <c r="M255" i="20"/>
  <c r="N255" i="20" s="1"/>
  <c r="M256" i="20"/>
  <c r="N256" i="20" s="1"/>
  <c r="M257" i="20"/>
  <c r="N257" i="20" s="1"/>
  <c r="M258" i="20"/>
  <c r="N258" i="20" s="1"/>
  <c r="M259" i="20"/>
  <c r="N259" i="20" s="1"/>
  <c r="M260" i="20"/>
  <c r="N260" i="20" s="1"/>
  <c r="M261" i="20"/>
  <c r="N261" i="20" s="1"/>
  <c r="M262" i="20"/>
  <c r="N262" i="20" s="1"/>
  <c r="M263" i="20"/>
  <c r="N263" i="20" s="1"/>
  <c r="M264" i="20"/>
  <c r="N264" i="20" s="1"/>
  <c r="M265" i="20"/>
  <c r="N265" i="20" s="1"/>
  <c r="M266" i="20"/>
  <c r="N266" i="20" s="1"/>
  <c r="M267" i="20"/>
  <c r="N267" i="20" s="1"/>
  <c r="M268" i="20"/>
  <c r="N268" i="20" s="1"/>
  <c r="M269" i="20"/>
  <c r="N269" i="20" s="1"/>
  <c r="M270" i="20"/>
  <c r="N270" i="20" s="1"/>
  <c r="M271" i="20"/>
  <c r="N271" i="20" s="1"/>
  <c r="M272" i="20"/>
  <c r="N272" i="20" s="1"/>
  <c r="M273" i="20"/>
  <c r="N273" i="20" s="1"/>
  <c r="M274" i="20"/>
  <c r="N274" i="20" s="1"/>
  <c r="M275" i="20"/>
  <c r="N275" i="20" s="1"/>
  <c r="M276" i="20"/>
  <c r="N276" i="20" s="1"/>
  <c r="M277" i="20"/>
  <c r="N277" i="20" s="1"/>
  <c r="M278" i="20"/>
  <c r="N278" i="20" s="1"/>
  <c r="M279" i="20"/>
  <c r="N279" i="20" s="1"/>
  <c r="M280" i="20"/>
  <c r="N280" i="20" s="1"/>
  <c r="M281" i="20"/>
  <c r="N281" i="20" s="1"/>
  <c r="M282" i="20"/>
  <c r="N282" i="20" s="1"/>
  <c r="M283" i="20"/>
  <c r="N283" i="20" s="1"/>
  <c r="M284" i="20"/>
  <c r="N284" i="20" s="1"/>
  <c r="M285" i="20"/>
  <c r="N285" i="20" s="1"/>
  <c r="M286" i="20"/>
  <c r="N286" i="20" s="1"/>
  <c r="M287" i="20"/>
  <c r="N287" i="20" s="1"/>
  <c r="M288" i="20"/>
  <c r="N288" i="20" s="1"/>
  <c r="M289" i="20"/>
  <c r="N289" i="20" s="1"/>
  <c r="M290" i="20"/>
  <c r="N290" i="20" s="1"/>
  <c r="M291" i="20"/>
  <c r="N291" i="20" s="1"/>
  <c r="M292" i="20"/>
  <c r="N292" i="20" s="1"/>
  <c r="M293" i="20"/>
  <c r="N293" i="20" s="1"/>
  <c r="M294" i="20"/>
  <c r="N294" i="20" s="1"/>
  <c r="M295" i="20"/>
  <c r="N295" i="20" s="1"/>
  <c r="M296" i="20"/>
  <c r="N296" i="20" s="1"/>
  <c r="M297" i="20"/>
  <c r="N297" i="20" s="1"/>
  <c r="M298" i="20"/>
  <c r="N298" i="20" s="1"/>
  <c r="M299" i="20"/>
  <c r="N299" i="20" s="1"/>
  <c r="M300" i="20"/>
  <c r="N300" i="20" s="1"/>
  <c r="M301" i="20"/>
  <c r="N301" i="20" s="1"/>
  <c r="M302" i="20"/>
  <c r="N302" i="20" s="1"/>
  <c r="M303" i="20"/>
  <c r="N303" i="20" s="1"/>
  <c r="M304" i="20"/>
  <c r="N304" i="20" s="1"/>
  <c r="M305" i="20"/>
  <c r="N305" i="20" s="1"/>
  <c r="M306" i="20"/>
  <c r="N306" i="20" s="1"/>
  <c r="M307" i="20"/>
  <c r="N307" i="20" s="1"/>
  <c r="M308" i="20"/>
  <c r="N308" i="20" s="1"/>
  <c r="M309" i="20"/>
  <c r="N309" i="20" s="1"/>
  <c r="M310" i="20"/>
  <c r="N310" i="20" s="1"/>
  <c r="M311" i="20"/>
  <c r="N311" i="20" s="1"/>
  <c r="M312" i="20"/>
  <c r="N312" i="20" s="1"/>
  <c r="M313" i="20"/>
  <c r="N313" i="20" s="1"/>
  <c r="M314" i="20"/>
  <c r="N314" i="20" s="1"/>
  <c r="M315" i="20"/>
  <c r="N315" i="20" s="1"/>
  <c r="M316" i="20"/>
  <c r="N316" i="20" s="1"/>
  <c r="M317" i="20"/>
  <c r="N317" i="20" s="1"/>
  <c r="M318" i="20"/>
  <c r="N318" i="20" s="1"/>
  <c r="M319" i="20"/>
  <c r="N319" i="20" s="1"/>
  <c r="M320" i="20"/>
  <c r="N320" i="20" s="1"/>
  <c r="M321" i="20"/>
  <c r="N321" i="20" s="1"/>
  <c r="M322" i="20"/>
  <c r="N322" i="20" s="1"/>
  <c r="M323" i="20"/>
  <c r="N323" i="20" s="1"/>
  <c r="M324" i="20"/>
  <c r="N324" i="20" s="1"/>
  <c r="M325" i="20"/>
  <c r="N325" i="20" s="1"/>
  <c r="M326" i="20"/>
  <c r="N326" i="20" s="1"/>
  <c r="M327" i="20"/>
  <c r="N327" i="20" s="1"/>
  <c r="M328" i="20"/>
  <c r="N328" i="20" s="1"/>
  <c r="M329" i="20"/>
  <c r="N329" i="20" s="1"/>
  <c r="M330" i="20"/>
  <c r="N330" i="20" s="1"/>
  <c r="M331" i="20"/>
  <c r="N331" i="20" s="1"/>
  <c r="M332" i="20"/>
  <c r="N332" i="20" s="1"/>
  <c r="M333" i="20"/>
  <c r="N333" i="20" s="1"/>
  <c r="M334" i="20"/>
  <c r="N334" i="20" s="1"/>
  <c r="M335" i="20"/>
  <c r="N335" i="20" s="1"/>
  <c r="M336" i="20"/>
  <c r="N336" i="20" s="1"/>
  <c r="M337" i="20"/>
  <c r="N337" i="20" s="1"/>
  <c r="M338" i="20"/>
  <c r="N338" i="20" s="1"/>
  <c r="M339" i="20"/>
  <c r="N339" i="20" s="1"/>
  <c r="M340" i="20"/>
  <c r="N340" i="20" s="1"/>
  <c r="M341" i="20"/>
  <c r="N341" i="20" s="1"/>
  <c r="M342" i="20"/>
  <c r="N342" i="20" s="1"/>
  <c r="M343" i="20"/>
  <c r="N343" i="20" s="1"/>
  <c r="M344" i="20"/>
  <c r="N344" i="20" s="1"/>
  <c r="M345" i="20"/>
  <c r="N345" i="20" s="1"/>
  <c r="M346" i="20"/>
  <c r="N346" i="20" s="1"/>
  <c r="M347" i="20"/>
  <c r="N347" i="20" s="1"/>
  <c r="M348" i="20"/>
  <c r="N348" i="20" s="1"/>
  <c r="M349" i="20"/>
  <c r="N349" i="20" s="1"/>
  <c r="M350" i="20"/>
  <c r="N350" i="20" s="1"/>
  <c r="M351" i="20"/>
  <c r="N351" i="20" s="1"/>
  <c r="M352" i="20"/>
  <c r="N352" i="20" s="1"/>
  <c r="M353" i="20"/>
  <c r="N353" i="20" s="1"/>
  <c r="M354" i="20"/>
  <c r="N354" i="20" s="1"/>
  <c r="M355" i="20"/>
  <c r="N355" i="20" s="1"/>
  <c r="M356" i="20"/>
  <c r="N356" i="20" s="1"/>
  <c r="M357" i="20"/>
  <c r="N357" i="20" s="1"/>
  <c r="M358" i="20"/>
  <c r="N358" i="20" s="1"/>
  <c r="M359" i="20"/>
  <c r="N359" i="20" s="1"/>
  <c r="M360" i="20"/>
  <c r="N360" i="20" s="1"/>
  <c r="M361" i="20"/>
  <c r="N361" i="20" s="1"/>
  <c r="M362" i="20"/>
  <c r="N362" i="20" s="1"/>
  <c r="M363" i="20"/>
  <c r="N363" i="20" s="1"/>
  <c r="M364" i="20"/>
  <c r="N364" i="20" s="1"/>
  <c r="M365" i="20"/>
  <c r="N365" i="20" s="1"/>
  <c r="M366" i="20"/>
  <c r="N366" i="20" s="1"/>
  <c r="M367" i="20"/>
  <c r="N367" i="20" s="1"/>
  <c r="M368" i="20"/>
  <c r="N368" i="20" s="1"/>
  <c r="M369" i="20"/>
  <c r="N369" i="20" s="1"/>
  <c r="M370" i="20"/>
  <c r="N370" i="20" s="1"/>
  <c r="M371" i="20"/>
  <c r="N371" i="20" s="1"/>
  <c r="M372" i="20"/>
  <c r="N372" i="20" s="1"/>
  <c r="M373" i="20"/>
  <c r="N373" i="20" s="1"/>
  <c r="M374" i="20"/>
  <c r="N374" i="20" s="1"/>
  <c r="M375" i="20"/>
  <c r="N375" i="20" s="1"/>
  <c r="M376" i="20"/>
  <c r="N376" i="20" s="1"/>
  <c r="M377" i="20"/>
  <c r="N377" i="20" s="1"/>
  <c r="M378" i="20"/>
  <c r="N378" i="20" s="1"/>
  <c r="M379" i="20"/>
  <c r="N379" i="20" s="1"/>
  <c r="M380" i="20"/>
  <c r="N380" i="20" s="1"/>
  <c r="M381" i="20"/>
  <c r="N381" i="20" s="1"/>
  <c r="M382" i="20"/>
  <c r="N382" i="20" s="1"/>
  <c r="M383" i="20"/>
  <c r="N383" i="20" s="1"/>
  <c r="M384" i="20"/>
  <c r="N384" i="20" s="1"/>
  <c r="M385" i="20"/>
  <c r="N385" i="20" s="1"/>
  <c r="M386" i="20"/>
  <c r="N386" i="20" s="1"/>
  <c r="M387" i="20"/>
  <c r="N387" i="20" s="1"/>
  <c r="M388" i="20"/>
  <c r="N388" i="20" s="1"/>
  <c r="M389" i="20"/>
  <c r="N389" i="20" s="1"/>
  <c r="M390" i="20"/>
  <c r="N390" i="20" s="1"/>
  <c r="M391" i="20"/>
  <c r="N391" i="20" s="1"/>
  <c r="M392" i="20"/>
  <c r="N392" i="20" s="1"/>
  <c r="M393" i="20"/>
  <c r="N393" i="20" s="1"/>
  <c r="M394" i="20"/>
  <c r="N394" i="20" s="1"/>
  <c r="M395" i="20"/>
  <c r="N395" i="20" s="1"/>
  <c r="M396" i="20"/>
  <c r="N396" i="20" s="1"/>
  <c r="M397" i="20"/>
  <c r="N397" i="20" s="1"/>
  <c r="M398" i="20"/>
  <c r="N398" i="20" s="1"/>
  <c r="M399" i="20"/>
  <c r="N399" i="20" s="1"/>
  <c r="M400" i="20"/>
  <c r="N400" i="20" s="1"/>
  <c r="M401" i="20"/>
  <c r="N401" i="20" s="1"/>
  <c r="M402" i="20"/>
  <c r="N402" i="20" s="1"/>
  <c r="M403" i="20"/>
  <c r="N403" i="20" s="1"/>
  <c r="M404" i="20"/>
  <c r="N404" i="20" s="1"/>
  <c r="M405" i="20"/>
  <c r="N405" i="20" s="1"/>
  <c r="M406" i="20"/>
  <c r="N406" i="20" s="1"/>
  <c r="M407" i="20"/>
  <c r="N407" i="20" s="1"/>
  <c r="M408" i="20"/>
  <c r="N408" i="20" s="1"/>
  <c r="M409" i="20"/>
  <c r="N409" i="20" s="1"/>
  <c r="M410" i="20"/>
  <c r="N410" i="20" s="1"/>
  <c r="M411" i="20"/>
  <c r="N411" i="20" s="1"/>
  <c r="M412" i="20"/>
  <c r="N412" i="20" s="1"/>
  <c r="M413" i="20"/>
  <c r="N413" i="20" s="1"/>
  <c r="M414" i="20"/>
  <c r="N414" i="20" s="1"/>
  <c r="M415" i="20"/>
  <c r="N415" i="20" s="1"/>
  <c r="M416" i="20"/>
  <c r="N416" i="20" s="1"/>
  <c r="M417" i="20"/>
  <c r="N417" i="20" s="1"/>
  <c r="M418" i="20"/>
  <c r="N418" i="20" s="1"/>
  <c r="M419" i="20"/>
  <c r="N419" i="20" s="1"/>
  <c r="M420" i="20"/>
  <c r="N420" i="20" s="1"/>
  <c r="M421" i="20"/>
  <c r="N421" i="20" s="1"/>
  <c r="M422" i="20"/>
  <c r="N422" i="20" s="1"/>
  <c r="M423" i="20"/>
  <c r="N423" i="20" s="1"/>
  <c r="M424" i="20"/>
  <c r="N424" i="20" s="1"/>
  <c r="M425" i="20"/>
  <c r="N425" i="20" s="1"/>
  <c r="M426" i="20"/>
  <c r="N426" i="20" s="1"/>
  <c r="M427" i="20"/>
  <c r="N427" i="20" s="1"/>
  <c r="M428" i="20"/>
  <c r="N428" i="20" s="1"/>
  <c r="M429" i="20"/>
  <c r="N429" i="20" s="1"/>
  <c r="M430" i="20"/>
  <c r="N430" i="20" s="1"/>
  <c r="M431" i="20"/>
  <c r="N431" i="20" s="1"/>
  <c r="M432" i="20"/>
  <c r="N432" i="20" s="1"/>
  <c r="M433" i="20"/>
  <c r="N433" i="20" s="1"/>
  <c r="M434" i="20"/>
  <c r="N434" i="20" s="1"/>
  <c r="M435" i="20"/>
  <c r="N435" i="20" s="1"/>
  <c r="M436" i="20"/>
  <c r="N436" i="20" s="1"/>
  <c r="M437" i="20"/>
  <c r="N437" i="20" s="1"/>
  <c r="M438" i="20"/>
  <c r="N438" i="20" s="1"/>
  <c r="M439" i="20"/>
  <c r="N439" i="20" s="1"/>
  <c r="M440" i="20"/>
  <c r="N440" i="20" s="1"/>
  <c r="M441" i="20"/>
  <c r="N441" i="20" s="1"/>
  <c r="M442" i="20"/>
  <c r="N442" i="20" s="1"/>
  <c r="M443" i="20"/>
  <c r="N443" i="20" s="1"/>
  <c r="M444" i="20"/>
  <c r="N444" i="20" s="1"/>
  <c r="M445" i="20"/>
  <c r="N445" i="20" s="1"/>
  <c r="M446" i="20"/>
  <c r="N446" i="20" s="1"/>
  <c r="M447" i="20"/>
  <c r="N447" i="20" s="1"/>
  <c r="M448" i="20"/>
  <c r="N448" i="20" s="1"/>
  <c r="M449" i="20"/>
  <c r="N449" i="20" s="1"/>
  <c r="M450" i="20"/>
  <c r="N450" i="20" s="1"/>
  <c r="M451" i="20"/>
  <c r="N451" i="20" s="1"/>
  <c r="M452" i="20"/>
  <c r="N452" i="20" s="1"/>
  <c r="M453" i="20"/>
  <c r="N453" i="20" s="1"/>
  <c r="M454" i="20"/>
  <c r="N454" i="20" s="1"/>
  <c r="M455" i="20"/>
  <c r="N455" i="20" s="1"/>
  <c r="M456" i="20"/>
  <c r="N456" i="20" s="1"/>
  <c r="M457" i="20"/>
  <c r="N457" i="20" s="1"/>
  <c r="M458" i="20"/>
  <c r="N458" i="20" s="1"/>
  <c r="M459" i="20"/>
  <c r="N459" i="20" s="1"/>
  <c r="M460" i="20"/>
  <c r="N460" i="20" s="1"/>
  <c r="M461" i="20"/>
  <c r="N461" i="20" s="1"/>
  <c r="M462" i="20"/>
  <c r="N462" i="20" s="1"/>
  <c r="M463" i="20"/>
  <c r="N463" i="20" s="1"/>
  <c r="M464" i="20"/>
  <c r="N464" i="20" s="1"/>
  <c r="M465" i="20"/>
  <c r="N465" i="20" s="1"/>
  <c r="M466" i="20"/>
  <c r="N466" i="20" s="1"/>
  <c r="M467" i="20"/>
  <c r="N467" i="20" s="1"/>
  <c r="M468" i="20"/>
  <c r="N468" i="20" s="1"/>
  <c r="M469" i="20"/>
  <c r="N469" i="20" s="1"/>
  <c r="M470" i="20"/>
  <c r="N470" i="20" s="1"/>
  <c r="M471" i="20"/>
  <c r="N471" i="20" s="1"/>
  <c r="M472" i="20"/>
  <c r="N472" i="20" s="1"/>
  <c r="M473" i="20"/>
  <c r="N473" i="20" s="1"/>
  <c r="M474" i="20"/>
  <c r="N474" i="20" s="1"/>
  <c r="M475" i="20"/>
  <c r="N475" i="20" s="1"/>
  <c r="M476" i="20"/>
  <c r="N476" i="20" s="1"/>
  <c r="M477" i="20"/>
  <c r="N477" i="20" s="1"/>
  <c r="M478" i="20"/>
  <c r="N478" i="20" s="1"/>
  <c r="M479" i="20"/>
  <c r="N479" i="20" s="1"/>
  <c r="M480" i="20"/>
  <c r="N480" i="20" s="1"/>
  <c r="M481" i="20"/>
  <c r="N481" i="20" s="1"/>
  <c r="M482" i="20"/>
  <c r="N482" i="20" s="1"/>
  <c r="M483" i="20"/>
  <c r="N483" i="20" s="1"/>
  <c r="M484" i="20"/>
  <c r="N484" i="20" s="1"/>
  <c r="M485" i="20"/>
  <c r="N485" i="20" s="1"/>
  <c r="M486" i="20"/>
  <c r="N486" i="20" s="1"/>
  <c r="M487" i="20"/>
  <c r="N487" i="20" s="1"/>
  <c r="M488" i="20"/>
  <c r="N488" i="20" s="1"/>
  <c r="M489" i="20"/>
  <c r="N489" i="20" s="1"/>
  <c r="M490" i="20"/>
  <c r="N490" i="20" s="1"/>
  <c r="M491" i="20"/>
  <c r="N491" i="20" s="1"/>
  <c r="M492" i="20"/>
  <c r="N492" i="20" s="1"/>
  <c r="M493" i="20"/>
  <c r="N493" i="20" s="1"/>
  <c r="M494" i="20"/>
  <c r="N494" i="20" s="1"/>
  <c r="M495" i="20"/>
  <c r="N495" i="20" s="1"/>
  <c r="M496" i="20"/>
  <c r="N496" i="20" s="1"/>
  <c r="M497" i="20"/>
  <c r="N497" i="20" s="1"/>
  <c r="M498" i="20"/>
  <c r="N498" i="20" s="1"/>
  <c r="M499" i="20"/>
  <c r="N499" i="20" s="1"/>
  <c r="M500" i="20"/>
  <c r="N500" i="20" s="1"/>
  <c r="M501" i="20"/>
  <c r="N501" i="20" s="1"/>
  <c r="M502" i="20"/>
  <c r="N502" i="20" s="1"/>
  <c r="M503" i="20"/>
  <c r="N503" i="20" s="1"/>
  <c r="M5" i="20"/>
  <c r="N5" i="20" s="1"/>
  <c r="M4" i="20"/>
  <c r="G4" i="20"/>
  <c r="B5" i="20"/>
  <c r="C4" i="20"/>
  <c r="B4" i="20"/>
  <c r="A4" i="20"/>
  <c r="E5" i="20"/>
  <c r="F5" i="20" s="1"/>
  <c r="C5" i="20"/>
  <c r="A5" i="20"/>
  <c r="E6" i="20"/>
  <c r="F6" i="20" s="1"/>
  <c r="E7" i="20"/>
  <c r="F7" i="20" s="1"/>
  <c r="E8" i="20"/>
  <c r="F8" i="20" s="1"/>
  <c r="E9" i="20"/>
  <c r="F9" i="20" s="1"/>
  <c r="E10" i="20"/>
  <c r="F10" i="20" s="1"/>
  <c r="E11" i="20"/>
  <c r="F11" i="20" s="1"/>
  <c r="E12" i="20"/>
  <c r="F12" i="20" s="1"/>
  <c r="E13" i="20"/>
  <c r="E14" i="20"/>
  <c r="F14" i="20" s="1"/>
  <c r="E15" i="20"/>
  <c r="F15" i="20" s="1"/>
  <c r="E16" i="20"/>
  <c r="F16" i="20" s="1"/>
  <c r="E17" i="20"/>
  <c r="F17" i="20" s="1"/>
  <c r="E18" i="20"/>
  <c r="F18" i="20" s="1"/>
  <c r="E19" i="20"/>
  <c r="F19" i="20" s="1"/>
  <c r="E20" i="20"/>
  <c r="F20" i="20" s="1"/>
  <c r="E21" i="20"/>
  <c r="F21" i="20" s="1"/>
  <c r="E22" i="20"/>
  <c r="F22" i="20" s="1"/>
  <c r="E23" i="20"/>
  <c r="F23" i="20" s="1"/>
  <c r="E24" i="20"/>
  <c r="F24" i="20" s="1"/>
  <c r="E25" i="20"/>
  <c r="E26" i="20"/>
  <c r="F26" i="20" s="1"/>
  <c r="E27" i="20"/>
  <c r="F27" i="20" s="1"/>
  <c r="E28" i="20"/>
  <c r="F28" i="20" s="1"/>
  <c r="E29" i="20"/>
  <c r="F29" i="20" s="1"/>
  <c r="E30" i="20"/>
  <c r="F30" i="20" s="1"/>
  <c r="E31" i="20"/>
  <c r="F31" i="20" s="1"/>
  <c r="E32" i="20"/>
  <c r="F32" i="20" s="1"/>
  <c r="E33" i="20"/>
  <c r="F33" i="20" s="1"/>
  <c r="E34" i="20"/>
  <c r="E35" i="20"/>
  <c r="F35" i="20" s="1"/>
  <c r="E36" i="20"/>
  <c r="F36" i="20" s="1"/>
  <c r="E37" i="20"/>
  <c r="F37" i="20" s="1"/>
  <c r="E38" i="20"/>
  <c r="F38" i="20" s="1"/>
  <c r="E39" i="20"/>
  <c r="F39" i="20" s="1"/>
  <c r="E40" i="20"/>
  <c r="F40" i="20" s="1"/>
  <c r="E41" i="20"/>
  <c r="F41" i="20" s="1"/>
  <c r="E42" i="20"/>
  <c r="F42" i="20" s="1"/>
  <c r="E43" i="20"/>
  <c r="F43" i="20" s="1"/>
  <c r="E44" i="20"/>
  <c r="F44" i="20" s="1"/>
  <c r="E45" i="20"/>
  <c r="E46" i="20"/>
  <c r="F46" i="20" s="1"/>
  <c r="E47" i="20"/>
  <c r="F47" i="20" s="1"/>
  <c r="E48" i="20"/>
  <c r="F48" i="20" s="1"/>
  <c r="E49" i="20"/>
  <c r="F49" i="20" s="1"/>
  <c r="E50" i="20"/>
  <c r="F50" i="20" s="1"/>
  <c r="E51" i="20"/>
  <c r="E52" i="20"/>
  <c r="F52" i="20" s="1"/>
  <c r="E53" i="20"/>
  <c r="F53" i="20" s="1"/>
  <c r="E54" i="20"/>
  <c r="F54" i="20" s="1"/>
  <c r="E55" i="20"/>
  <c r="E56" i="20"/>
  <c r="F56" i="20" s="1"/>
  <c r="E57" i="20"/>
  <c r="F57" i="20" s="1"/>
  <c r="E58" i="20"/>
  <c r="F58" i="20" s="1"/>
  <c r="E59" i="20"/>
  <c r="F59" i="20" s="1"/>
  <c r="E60" i="20"/>
  <c r="E61" i="20"/>
  <c r="F61" i="20" s="1"/>
  <c r="E62" i="20"/>
  <c r="F62" i="20" s="1"/>
  <c r="E63" i="20"/>
  <c r="F63" i="20" s="1"/>
  <c r="E64" i="20"/>
  <c r="F64" i="20" s="1"/>
  <c r="E65" i="20"/>
  <c r="F65" i="20" s="1"/>
  <c r="E66" i="20"/>
  <c r="F66" i="20" s="1"/>
  <c r="E67" i="20"/>
  <c r="F67" i="20" s="1"/>
  <c r="E68" i="20"/>
  <c r="F68" i="20" s="1"/>
  <c r="E69" i="20"/>
  <c r="F69" i="20" s="1"/>
  <c r="E70" i="20"/>
  <c r="F70" i="20" s="1"/>
  <c r="E71" i="20"/>
  <c r="F71" i="20" s="1"/>
  <c r="E72" i="20"/>
  <c r="E73" i="20"/>
  <c r="F73" i="20" s="1"/>
  <c r="E74" i="20"/>
  <c r="F74" i="20" s="1"/>
  <c r="E75" i="20"/>
  <c r="F75" i="20" s="1"/>
  <c r="E76" i="20"/>
  <c r="F76" i="20" s="1"/>
  <c r="E77" i="20"/>
  <c r="F77" i="20" s="1"/>
  <c r="E78" i="20"/>
  <c r="F78" i="20" s="1"/>
  <c r="E79" i="20"/>
  <c r="F79" i="20" s="1"/>
  <c r="E80" i="20"/>
  <c r="E81" i="20"/>
  <c r="F81" i="20" s="1"/>
  <c r="E82" i="20"/>
  <c r="F82" i="20" s="1"/>
  <c r="E83" i="20"/>
  <c r="F83" i="20" s="1"/>
  <c r="E84" i="20"/>
  <c r="F84" i="20" s="1"/>
  <c r="E85" i="20"/>
  <c r="F85" i="20" s="1"/>
  <c r="E86" i="20"/>
  <c r="F86" i="20" s="1"/>
  <c r="E87" i="20"/>
  <c r="F87" i="20" s="1"/>
  <c r="E88" i="20"/>
  <c r="F88" i="20" s="1"/>
  <c r="E89" i="20"/>
  <c r="F89" i="20" s="1"/>
  <c r="E90" i="20"/>
  <c r="F90" i="20" s="1"/>
  <c r="E91" i="20"/>
  <c r="E92" i="20"/>
  <c r="F92" i="20" s="1"/>
  <c r="E93" i="20"/>
  <c r="E94" i="20"/>
  <c r="E95" i="20"/>
  <c r="E96" i="20"/>
  <c r="F96" i="20" s="1"/>
  <c r="E97" i="20"/>
  <c r="F97" i="20" s="1"/>
  <c r="E98" i="20"/>
  <c r="F98" i="20" s="1"/>
  <c r="E99" i="20"/>
  <c r="F99" i="20" s="1"/>
  <c r="E100" i="20"/>
  <c r="F100" i="20" s="1"/>
  <c r="E101" i="20"/>
  <c r="F101" i="20" s="1"/>
  <c r="E102" i="20"/>
  <c r="F102" i="20" s="1"/>
  <c r="E103" i="20"/>
  <c r="F103" i="20" s="1"/>
  <c r="E104" i="20"/>
  <c r="F104" i="20" s="1"/>
  <c r="E105" i="20"/>
  <c r="F105" i="20" s="1"/>
  <c r="E106" i="20"/>
  <c r="E107" i="20"/>
  <c r="F107" i="20" s="1"/>
  <c r="E108" i="20"/>
  <c r="F108" i="20" s="1"/>
  <c r="E109" i="20"/>
  <c r="F109" i="20" s="1"/>
  <c r="E110" i="20"/>
  <c r="F110" i="20" s="1"/>
  <c r="E111" i="20"/>
  <c r="F111" i="20" s="1"/>
  <c r="E112" i="20"/>
  <c r="F112" i="20" s="1"/>
  <c r="E113" i="20"/>
  <c r="F113" i="20" s="1"/>
  <c r="E114" i="20"/>
  <c r="F114" i="20" s="1"/>
  <c r="E115" i="20"/>
  <c r="F115" i="20" s="1"/>
  <c r="E116" i="20"/>
  <c r="F116" i="20" s="1"/>
  <c r="E117" i="20"/>
  <c r="F117" i="20" s="1"/>
  <c r="E118" i="20"/>
  <c r="F118" i="20" s="1"/>
  <c r="E119" i="20"/>
  <c r="E120" i="20"/>
  <c r="E121" i="20"/>
  <c r="F121" i="20" s="1"/>
  <c r="E122" i="20"/>
  <c r="F122" i="20" s="1"/>
  <c r="E123" i="20"/>
  <c r="F123" i="20" s="1"/>
  <c r="E124" i="20"/>
  <c r="F124" i="20" s="1"/>
  <c r="E125" i="20"/>
  <c r="F125" i="20" s="1"/>
  <c r="E126" i="20"/>
  <c r="F126" i="20" s="1"/>
  <c r="E127" i="20"/>
  <c r="F127" i="20" s="1"/>
  <c r="E128" i="20"/>
  <c r="F128" i="20" s="1"/>
  <c r="E129" i="20"/>
  <c r="F129" i="20" s="1"/>
  <c r="E130" i="20"/>
  <c r="F130" i="20" s="1"/>
  <c r="E131" i="20"/>
  <c r="F131" i="20" s="1"/>
  <c r="E132" i="20"/>
  <c r="E133" i="20"/>
  <c r="E134" i="20"/>
  <c r="F134" i="20" s="1"/>
  <c r="E135" i="20"/>
  <c r="F135" i="20" s="1"/>
  <c r="E136" i="20"/>
  <c r="F136" i="20" s="1"/>
  <c r="E137" i="20"/>
  <c r="F137" i="20" s="1"/>
  <c r="E138" i="20"/>
  <c r="F138" i="20" s="1"/>
  <c r="E139" i="20"/>
  <c r="F139" i="20" s="1"/>
  <c r="E140" i="20"/>
  <c r="F140" i="20" s="1"/>
  <c r="E141" i="20"/>
  <c r="E142" i="20"/>
  <c r="F142" i="20" s="1"/>
  <c r="E143" i="20"/>
  <c r="F143" i="20" s="1"/>
  <c r="E144" i="20"/>
  <c r="F144" i="20" s="1"/>
  <c r="E145" i="20"/>
  <c r="F145" i="20" s="1"/>
  <c r="E146" i="20"/>
  <c r="F146" i="20" s="1"/>
  <c r="E147" i="20"/>
  <c r="F147" i="20" s="1"/>
  <c r="E148" i="20"/>
  <c r="F148" i="20" s="1"/>
  <c r="E149" i="20"/>
  <c r="F149" i="20" s="1"/>
  <c r="E150" i="20"/>
  <c r="F150" i="20" s="1"/>
  <c r="E151" i="20"/>
  <c r="F151" i="20" s="1"/>
  <c r="E152" i="20"/>
  <c r="F152" i="20" s="1"/>
  <c r="E153" i="20"/>
  <c r="F153" i="20" s="1"/>
  <c r="E154" i="20"/>
  <c r="F154" i="20" s="1"/>
  <c r="E155" i="20"/>
  <c r="F155" i="20" s="1"/>
  <c r="E156" i="20"/>
  <c r="F156" i="20" s="1"/>
  <c r="E157" i="20"/>
  <c r="F157" i="20" s="1"/>
  <c r="E158" i="20"/>
  <c r="F158" i="20" s="1"/>
  <c r="E159" i="20"/>
  <c r="F159" i="20" s="1"/>
  <c r="E160" i="20"/>
  <c r="E161" i="20"/>
  <c r="F161" i="20" s="1"/>
  <c r="E162" i="20"/>
  <c r="F162" i="20" s="1"/>
  <c r="E163" i="20"/>
  <c r="F163" i="20" s="1"/>
  <c r="E164" i="20"/>
  <c r="F164" i="20" s="1"/>
  <c r="E165" i="20"/>
  <c r="F165" i="20" s="1"/>
  <c r="E166" i="20"/>
  <c r="F166" i="20" s="1"/>
  <c r="E167" i="20"/>
  <c r="F167" i="20" s="1"/>
  <c r="E168" i="20"/>
  <c r="F168" i="20" s="1"/>
  <c r="E169" i="20"/>
  <c r="F169" i="20" s="1"/>
  <c r="E170" i="20"/>
  <c r="F170" i="20" s="1"/>
  <c r="E171" i="20"/>
  <c r="F171" i="20" s="1"/>
  <c r="E172" i="20"/>
  <c r="E173" i="20"/>
  <c r="F173" i="20" s="1"/>
  <c r="E174" i="20"/>
  <c r="F174" i="20" s="1"/>
  <c r="E175" i="20"/>
  <c r="F175" i="20" s="1"/>
  <c r="E176" i="20"/>
  <c r="F176" i="20" s="1"/>
  <c r="E177" i="20"/>
  <c r="F177" i="20" s="1"/>
  <c r="E178" i="20"/>
  <c r="F178" i="20" s="1"/>
  <c r="E179" i="20"/>
  <c r="E180" i="20"/>
  <c r="F180" i="20" s="1"/>
  <c r="E181" i="20"/>
  <c r="F181" i="20" s="1"/>
  <c r="E182" i="20"/>
  <c r="F182" i="20" s="1"/>
  <c r="E183" i="20"/>
  <c r="F183" i="20" s="1"/>
  <c r="E184" i="20"/>
  <c r="E185" i="20"/>
  <c r="F185" i="20" s="1"/>
  <c r="E186" i="20"/>
  <c r="F186" i="20" s="1"/>
  <c r="E187" i="20"/>
  <c r="F187" i="20" s="1"/>
  <c r="E188" i="20"/>
  <c r="F188" i="20" s="1"/>
  <c r="E189" i="20"/>
  <c r="F189" i="20" s="1"/>
  <c r="E190" i="20"/>
  <c r="F190" i="20" s="1"/>
  <c r="E191" i="20"/>
  <c r="F191" i="20" s="1"/>
  <c r="E192" i="20"/>
  <c r="F192" i="20" s="1"/>
  <c r="E193" i="20"/>
  <c r="F193" i="20" s="1"/>
  <c r="E194" i="20"/>
  <c r="F194" i="20" s="1"/>
  <c r="E195" i="20"/>
  <c r="F195" i="20" s="1"/>
  <c r="E196" i="20"/>
  <c r="F196" i="20" s="1"/>
  <c r="E197" i="20"/>
  <c r="F197" i="20" s="1"/>
  <c r="E198" i="20"/>
  <c r="E199" i="20"/>
  <c r="F199" i="20" s="1"/>
  <c r="E200" i="20"/>
  <c r="F200" i="20" s="1"/>
  <c r="E201" i="20"/>
  <c r="F201" i="20" s="1"/>
  <c r="E202" i="20"/>
  <c r="E203" i="20"/>
  <c r="F203" i="20" s="1"/>
  <c r="E204" i="20"/>
  <c r="F204" i="20" s="1"/>
  <c r="E205" i="20"/>
  <c r="E206" i="20"/>
  <c r="F206" i="20" s="1"/>
  <c r="E207" i="20"/>
  <c r="F207" i="20" s="1"/>
  <c r="E208" i="20"/>
  <c r="E209" i="20"/>
  <c r="F209" i="20" s="1"/>
  <c r="E210" i="20"/>
  <c r="F210" i="20" s="1"/>
  <c r="E211" i="20"/>
  <c r="F211" i="20" s="1"/>
  <c r="E212" i="20"/>
  <c r="F212" i="20" s="1"/>
  <c r="E213" i="20"/>
  <c r="F213" i="20" s="1"/>
  <c r="E214" i="20"/>
  <c r="F214" i="20" s="1"/>
  <c r="E215" i="20"/>
  <c r="F215" i="20" s="1"/>
  <c r="E216" i="20"/>
  <c r="F216" i="20" s="1"/>
  <c r="E217" i="20"/>
  <c r="E218" i="20"/>
  <c r="F218" i="20" s="1"/>
  <c r="E219" i="20"/>
  <c r="F219" i="20" s="1"/>
  <c r="E220" i="20"/>
  <c r="F220" i="20" s="1"/>
  <c r="E221" i="20"/>
  <c r="E222" i="20"/>
  <c r="F222" i="20" s="1"/>
  <c r="E223" i="20"/>
  <c r="F223" i="20" s="1"/>
  <c r="E224" i="20"/>
  <c r="F224" i="20" s="1"/>
  <c r="E225" i="20"/>
  <c r="F225" i="20" s="1"/>
  <c r="E226" i="20"/>
  <c r="F226" i="20" s="1"/>
  <c r="E227" i="20"/>
  <c r="F227" i="20" s="1"/>
  <c r="E228" i="20"/>
  <c r="E229" i="20"/>
  <c r="F229" i="20" s="1"/>
  <c r="E230" i="20"/>
  <c r="F230" i="20" s="1"/>
  <c r="E231" i="20"/>
  <c r="E232" i="20"/>
  <c r="F232" i="20" s="1"/>
  <c r="E233" i="20"/>
  <c r="F233" i="20" s="1"/>
  <c r="E234" i="20"/>
  <c r="F234" i="20" s="1"/>
  <c r="E235" i="20"/>
  <c r="F235" i="20" s="1"/>
  <c r="E236" i="20"/>
  <c r="F236" i="20" s="1"/>
  <c r="E237" i="20"/>
  <c r="F237" i="20" s="1"/>
  <c r="E238" i="20"/>
  <c r="F238" i="20" s="1"/>
  <c r="E239" i="20"/>
  <c r="F239" i="20" s="1"/>
  <c r="E240" i="20"/>
  <c r="F240" i="20" s="1"/>
  <c r="E241" i="20"/>
  <c r="F241" i="20" s="1"/>
  <c r="E242" i="20"/>
  <c r="F242" i="20" s="1"/>
  <c r="E243" i="20"/>
  <c r="F243" i="20" s="1"/>
  <c r="E244" i="20"/>
  <c r="F244" i="20" s="1"/>
  <c r="E245" i="20"/>
  <c r="F245" i="20" s="1"/>
  <c r="E246" i="20"/>
  <c r="F246" i="20" s="1"/>
  <c r="E247" i="20"/>
  <c r="F247" i="20" s="1"/>
  <c r="E248" i="20"/>
  <c r="F248" i="20" s="1"/>
  <c r="E249" i="20"/>
  <c r="F249" i="20" s="1"/>
  <c r="E250" i="20"/>
  <c r="F250" i="20" s="1"/>
  <c r="E251" i="20"/>
  <c r="F251" i="20" s="1"/>
  <c r="E252" i="20"/>
  <c r="E253" i="20"/>
  <c r="F253" i="20" s="1"/>
  <c r="E254" i="20"/>
  <c r="F254" i="20" s="1"/>
  <c r="E255" i="20"/>
  <c r="F255" i="20" s="1"/>
  <c r="E256" i="20"/>
  <c r="F256" i="20" s="1"/>
  <c r="E257" i="20"/>
  <c r="F257" i="20" s="1"/>
  <c r="E258" i="20"/>
  <c r="F258" i="20" s="1"/>
  <c r="E259" i="20"/>
  <c r="F259" i="20" s="1"/>
  <c r="E260" i="20"/>
  <c r="E261" i="20"/>
  <c r="F261" i="20" s="1"/>
  <c r="E262" i="20"/>
  <c r="E263" i="20"/>
  <c r="F263" i="20" s="1"/>
  <c r="E264" i="20"/>
  <c r="E265" i="20"/>
  <c r="F265" i="20" s="1"/>
  <c r="E266" i="20"/>
  <c r="F266" i="20" s="1"/>
  <c r="E267" i="20"/>
  <c r="F267" i="20" s="1"/>
  <c r="E268" i="20"/>
  <c r="F268" i="20" s="1"/>
  <c r="E269" i="20"/>
  <c r="F269" i="20" s="1"/>
  <c r="E270" i="20"/>
  <c r="F270" i="20" s="1"/>
  <c r="E271" i="20"/>
  <c r="E272" i="20"/>
  <c r="F272" i="20" s="1"/>
  <c r="E273" i="20"/>
  <c r="F273" i="20" s="1"/>
  <c r="E274" i="20"/>
  <c r="E275" i="20"/>
  <c r="F275" i="20" s="1"/>
  <c r="E276" i="20"/>
  <c r="E277" i="20"/>
  <c r="F277" i="20" s="1"/>
  <c r="E278" i="20"/>
  <c r="F278" i="20" s="1"/>
  <c r="E279" i="20"/>
  <c r="F279" i="20" s="1"/>
  <c r="E280" i="20"/>
  <c r="F280" i="20" s="1"/>
  <c r="E281" i="20"/>
  <c r="F281" i="20" s="1"/>
  <c r="E282" i="20"/>
  <c r="F282" i="20" s="1"/>
  <c r="E283" i="20"/>
  <c r="F283" i="20" s="1"/>
  <c r="E284" i="20"/>
  <c r="F284" i="20" s="1"/>
  <c r="E285" i="20"/>
  <c r="F285" i="20" s="1"/>
  <c r="E286" i="20"/>
  <c r="F286" i="20" s="1"/>
  <c r="E287" i="20"/>
  <c r="F287" i="20" s="1"/>
  <c r="E288" i="20"/>
  <c r="F288" i="20" s="1"/>
  <c r="E289" i="20"/>
  <c r="E290" i="20"/>
  <c r="F290" i="20" s="1"/>
  <c r="E291" i="20"/>
  <c r="F291" i="20" s="1"/>
  <c r="E292" i="20"/>
  <c r="F292" i="20" s="1"/>
  <c r="E293" i="20"/>
  <c r="F293" i="20" s="1"/>
  <c r="E295" i="20"/>
  <c r="F295" i="20" s="1"/>
  <c r="E296" i="20"/>
  <c r="F296" i="20" s="1"/>
  <c r="E297" i="20"/>
  <c r="F297" i="20" s="1"/>
  <c r="E298" i="20"/>
  <c r="F298" i="20" s="1"/>
  <c r="E299" i="20"/>
  <c r="F299" i="20" s="1"/>
  <c r="E300" i="20"/>
  <c r="F300" i="20" s="1"/>
  <c r="E301" i="20"/>
  <c r="F301" i="20" s="1"/>
  <c r="E302" i="20"/>
  <c r="F302" i="20" s="1"/>
  <c r="E303" i="20"/>
  <c r="F303" i="20" s="1"/>
  <c r="E304" i="20"/>
  <c r="F304" i="20" s="1"/>
  <c r="E305" i="20"/>
  <c r="F305" i="20" s="1"/>
  <c r="E306" i="20"/>
  <c r="F306" i="20" s="1"/>
  <c r="E307" i="20"/>
  <c r="F307" i="20" s="1"/>
  <c r="E308" i="20"/>
  <c r="F308" i="20" s="1"/>
  <c r="E309" i="20"/>
  <c r="F309" i="20" s="1"/>
  <c r="E310" i="20"/>
  <c r="F310" i="20" s="1"/>
  <c r="E311" i="20"/>
  <c r="F311" i="20" s="1"/>
  <c r="E312" i="20"/>
  <c r="F312" i="20" s="1"/>
  <c r="E313" i="20"/>
  <c r="F313" i="20" s="1"/>
  <c r="E314" i="20"/>
  <c r="F314" i="20" s="1"/>
  <c r="E315" i="20"/>
  <c r="F315" i="20" s="1"/>
  <c r="E316" i="20"/>
  <c r="F316" i="20" s="1"/>
  <c r="E317" i="20"/>
  <c r="F317" i="20" s="1"/>
  <c r="E318" i="20"/>
  <c r="F318" i="20" s="1"/>
  <c r="E319" i="20"/>
  <c r="F319" i="20" s="1"/>
  <c r="E320" i="20"/>
  <c r="F320" i="20" s="1"/>
  <c r="E321" i="20"/>
  <c r="F321" i="20" s="1"/>
  <c r="E322" i="20"/>
  <c r="F322" i="20" s="1"/>
  <c r="E323" i="20"/>
  <c r="F323" i="20" s="1"/>
  <c r="E324" i="20"/>
  <c r="F324" i="20" s="1"/>
  <c r="E325" i="20"/>
  <c r="F325" i="20" s="1"/>
  <c r="E326" i="20"/>
  <c r="F326" i="20" s="1"/>
  <c r="E327" i="20"/>
  <c r="F327" i="20" s="1"/>
  <c r="E328" i="20"/>
  <c r="F328" i="20" s="1"/>
  <c r="E329" i="20"/>
  <c r="F329" i="20" s="1"/>
  <c r="E330" i="20"/>
  <c r="F330" i="20" s="1"/>
  <c r="E331" i="20"/>
  <c r="F331" i="20" s="1"/>
  <c r="E332" i="20"/>
  <c r="F332" i="20" s="1"/>
  <c r="E333" i="20"/>
  <c r="F333" i="20" s="1"/>
  <c r="E334" i="20"/>
  <c r="F334" i="20" s="1"/>
  <c r="E335" i="20"/>
  <c r="F335" i="20" s="1"/>
  <c r="E336" i="20"/>
  <c r="F336" i="20" s="1"/>
  <c r="E337" i="20"/>
  <c r="F337" i="20" s="1"/>
  <c r="E338" i="20"/>
  <c r="F338" i="20" s="1"/>
  <c r="E339" i="20"/>
  <c r="F339" i="20" s="1"/>
  <c r="E340" i="20"/>
  <c r="F340" i="20" s="1"/>
  <c r="E341" i="20"/>
  <c r="F341" i="20" s="1"/>
  <c r="E342" i="20"/>
  <c r="F342" i="20" s="1"/>
  <c r="E343" i="20"/>
  <c r="F343" i="20" s="1"/>
  <c r="E344" i="20"/>
  <c r="F344" i="20" s="1"/>
  <c r="E345" i="20"/>
  <c r="F345" i="20" s="1"/>
  <c r="E346" i="20"/>
  <c r="F346" i="20" s="1"/>
  <c r="E347" i="20"/>
  <c r="F347" i="20" s="1"/>
  <c r="E348" i="20"/>
  <c r="F348" i="20" s="1"/>
  <c r="E349" i="20"/>
  <c r="F349" i="20" s="1"/>
  <c r="E350" i="20"/>
  <c r="F350" i="20" s="1"/>
  <c r="E351" i="20"/>
  <c r="F351" i="20" s="1"/>
  <c r="E352" i="20"/>
  <c r="F352" i="20" s="1"/>
  <c r="E353" i="20"/>
  <c r="F353" i="20" s="1"/>
  <c r="E354" i="20"/>
  <c r="F354" i="20" s="1"/>
  <c r="E355" i="20"/>
  <c r="F355" i="20" s="1"/>
  <c r="E356" i="20"/>
  <c r="F356" i="20" s="1"/>
  <c r="E357" i="20"/>
  <c r="F357" i="20" s="1"/>
  <c r="E358" i="20"/>
  <c r="F358" i="20" s="1"/>
  <c r="E359" i="20"/>
  <c r="F359" i="20" s="1"/>
  <c r="E360" i="20"/>
  <c r="F360" i="20" s="1"/>
  <c r="E361" i="20"/>
  <c r="F361" i="20" s="1"/>
  <c r="E362" i="20"/>
  <c r="F362" i="20" s="1"/>
  <c r="E363" i="20"/>
  <c r="F363" i="20" s="1"/>
  <c r="E364" i="20"/>
  <c r="F364" i="20" s="1"/>
  <c r="E365" i="20"/>
  <c r="F365" i="20" s="1"/>
  <c r="E366" i="20"/>
  <c r="F366" i="20" s="1"/>
  <c r="E367" i="20"/>
  <c r="F367" i="20" s="1"/>
  <c r="E368" i="20"/>
  <c r="F368" i="20" s="1"/>
  <c r="E369" i="20"/>
  <c r="F369" i="20" s="1"/>
  <c r="E370" i="20"/>
  <c r="F370" i="20" s="1"/>
  <c r="E371" i="20"/>
  <c r="F371" i="20" s="1"/>
  <c r="E372" i="20"/>
  <c r="F372" i="20" s="1"/>
  <c r="E373" i="20"/>
  <c r="F373" i="20" s="1"/>
  <c r="E374" i="20"/>
  <c r="F374" i="20" s="1"/>
  <c r="E375" i="20"/>
  <c r="F375" i="20" s="1"/>
  <c r="E376" i="20"/>
  <c r="F376" i="20" s="1"/>
  <c r="E377" i="20"/>
  <c r="F377" i="20" s="1"/>
  <c r="E378" i="20"/>
  <c r="F378" i="20" s="1"/>
  <c r="E379" i="20"/>
  <c r="F379" i="20" s="1"/>
  <c r="E380" i="20"/>
  <c r="F380" i="20" s="1"/>
  <c r="E381" i="20"/>
  <c r="F381" i="20" s="1"/>
  <c r="E382" i="20"/>
  <c r="F382" i="20" s="1"/>
  <c r="E383" i="20"/>
  <c r="F383" i="20" s="1"/>
  <c r="E384" i="20"/>
  <c r="F384" i="20" s="1"/>
  <c r="E385" i="20"/>
  <c r="F385" i="20" s="1"/>
  <c r="E386" i="20"/>
  <c r="F386" i="20" s="1"/>
  <c r="E387" i="20"/>
  <c r="F387" i="20" s="1"/>
  <c r="E388" i="20"/>
  <c r="F388" i="20" s="1"/>
  <c r="E389" i="20"/>
  <c r="F389" i="20" s="1"/>
  <c r="E390" i="20"/>
  <c r="F390" i="20" s="1"/>
  <c r="E391" i="20"/>
  <c r="F391" i="20" s="1"/>
  <c r="E392" i="20"/>
  <c r="F392" i="20" s="1"/>
  <c r="E393" i="20"/>
  <c r="F393" i="20" s="1"/>
  <c r="E394" i="20"/>
  <c r="F394" i="20" s="1"/>
  <c r="E395" i="20"/>
  <c r="F395" i="20" s="1"/>
  <c r="E396" i="20"/>
  <c r="F396" i="20" s="1"/>
  <c r="E397" i="20"/>
  <c r="F397" i="20" s="1"/>
  <c r="E398" i="20"/>
  <c r="F398" i="20" s="1"/>
  <c r="E399" i="20"/>
  <c r="F399" i="20" s="1"/>
  <c r="E400" i="20"/>
  <c r="F400" i="20" s="1"/>
  <c r="E401" i="20"/>
  <c r="F401" i="20" s="1"/>
  <c r="E402" i="20"/>
  <c r="F402" i="20" s="1"/>
  <c r="E403" i="20"/>
  <c r="F403" i="20" s="1"/>
  <c r="E404" i="20"/>
  <c r="F404" i="20" s="1"/>
  <c r="E405" i="20"/>
  <c r="F405" i="20" s="1"/>
  <c r="E406" i="20"/>
  <c r="F406" i="20" s="1"/>
  <c r="E407" i="20"/>
  <c r="F407" i="20" s="1"/>
  <c r="E408" i="20"/>
  <c r="F408" i="20" s="1"/>
  <c r="E409" i="20"/>
  <c r="F409" i="20" s="1"/>
  <c r="E410" i="20"/>
  <c r="F410" i="20" s="1"/>
  <c r="E411" i="20"/>
  <c r="F411" i="20" s="1"/>
  <c r="E412" i="20"/>
  <c r="F412" i="20" s="1"/>
  <c r="E413" i="20"/>
  <c r="F413" i="20" s="1"/>
  <c r="E414" i="20"/>
  <c r="F414" i="20" s="1"/>
  <c r="E415" i="20"/>
  <c r="F415" i="20" s="1"/>
  <c r="E416" i="20"/>
  <c r="F416" i="20" s="1"/>
  <c r="E417" i="20"/>
  <c r="F417" i="20" s="1"/>
  <c r="E418" i="20"/>
  <c r="F418" i="20" s="1"/>
  <c r="E419" i="20"/>
  <c r="F419" i="20" s="1"/>
  <c r="E420" i="20"/>
  <c r="F420" i="20" s="1"/>
  <c r="E421" i="20"/>
  <c r="F421" i="20" s="1"/>
  <c r="E422" i="20"/>
  <c r="F422" i="20" s="1"/>
  <c r="E423" i="20"/>
  <c r="F423" i="20" s="1"/>
  <c r="E424" i="20"/>
  <c r="F424" i="20" s="1"/>
  <c r="E425" i="20"/>
  <c r="F425" i="20" s="1"/>
  <c r="E426" i="20"/>
  <c r="F426" i="20" s="1"/>
  <c r="E427" i="20"/>
  <c r="F427" i="20" s="1"/>
  <c r="E428" i="20"/>
  <c r="F428" i="20" s="1"/>
  <c r="E429" i="20"/>
  <c r="F429" i="20" s="1"/>
  <c r="E430" i="20"/>
  <c r="F430" i="20" s="1"/>
  <c r="E431" i="20"/>
  <c r="F431" i="20" s="1"/>
  <c r="E432" i="20"/>
  <c r="F432" i="20" s="1"/>
  <c r="E433" i="20"/>
  <c r="F433" i="20" s="1"/>
  <c r="E434" i="20"/>
  <c r="F434" i="20" s="1"/>
  <c r="E435" i="20"/>
  <c r="F435" i="20" s="1"/>
  <c r="E436" i="20"/>
  <c r="F436" i="20" s="1"/>
  <c r="E437" i="20"/>
  <c r="F437" i="20" s="1"/>
  <c r="E438" i="20"/>
  <c r="F438" i="20" s="1"/>
  <c r="E439" i="20"/>
  <c r="F439" i="20" s="1"/>
  <c r="E440" i="20"/>
  <c r="F440" i="20" s="1"/>
  <c r="E441" i="20"/>
  <c r="F441" i="20" s="1"/>
  <c r="E442" i="20"/>
  <c r="F442" i="20" s="1"/>
  <c r="E443" i="20"/>
  <c r="F443" i="20" s="1"/>
  <c r="E444" i="20"/>
  <c r="F444" i="20" s="1"/>
  <c r="E445" i="20"/>
  <c r="F445" i="20" s="1"/>
  <c r="E446" i="20"/>
  <c r="F446" i="20" s="1"/>
  <c r="E447" i="20"/>
  <c r="F447" i="20" s="1"/>
  <c r="E448" i="20"/>
  <c r="F448" i="20" s="1"/>
  <c r="E449" i="20"/>
  <c r="F449" i="20" s="1"/>
  <c r="E450" i="20"/>
  <c r="F450" i="20" s="1"/>
  <c r="E451" i="20"/>
  <c r="F451" i="20" s="1"/>
  <c r="E452" i="20"/>
  <c r="F452" i="20" s="1"/>
  <c r="E453" i="20"/>
  <c r="F453" i="20" s="1"/>
  <c r="E454" i="20"/>
  <c r="F454" i="20" s="1"/>
  <c r="E455" i="20"/>
  <c r="F455" i="20" s="1"/>
  <c r="E456" i="20"/>
  <c r="F456" i="20" s="1"/>
  <c r="E457" i="20"/>
  <c r="F457" i="20" s="1"/>
  <c r="E458" i="20"/>
  <c r="F458" i="20" s="1"/>
  <c r="E459" i="20"/>
  <c r="F459" i="20" s="1"/>
  <c r="E460" i="20"/>
  <c r="F460" i="20" s="1"/>
  <c r="E461" i="20"/>
  <c r="F461" i="20" s="1"/>
  <c r="E462" i="20"/>
  <c r="F462" i="20" s="1"/>
  <c r="E463" i="20"/>
  <c r="F463" i="20" s="1"/>
  <c r="E464" i="20"/>
  <c r="F464" i="20" s="1"/>
  <c r="E465" i="20"/>
  <c r="F465" i="20" s="1"/>
  <c r="E466" i="20"/>
  <c r="F466" i="20" s="1"/>
  <c r="E467" i="20"/>
  <c r="F467" i="20" s="1"/>
  <c r="E468" i="20"/>
  <c r="F468" i="20" s="1"/>
  <c r="E469" i="20"/>
  <c r="F469" i="20" s="1"/>
  <c r="E470" i="20"/>
  <c r="F470" i="20" s="1"/>
  <c r="E471" i="20"/>
  <c r="F471" i="20" s="1"/>
  <c r="E472" i="20"/>
  <c r="F472" i="20" s="1"/>
  <c r="E473" i="20"/>
  <c r="F473" i="20" s="1"/>
  <c r="E474" i="20"/>
  <c r="F474" i="20" s="1"/>
  <c r="E475" i="20"/>
  <c r="F475" i="20" s="1"/>
  <c r="E476" i="20"/>
  <c r="F476" i="20" s="1"/>
  <c r="E477" i="20"/>
  <c r="F477" i="20" s="1"/>
  <c r="E478" i="20"/>
  <c r="F478" i="20" s="1"/>
  <c r="E479" i="20"/>
  <c r="F479" i="20" s="1"/>
  <c r="E480" i="20"/>
  <c r="F480" i="20" s="1"/>
  <c r="E481" i="20"/>
  <c r="F481" i="20" s="1"/>
  <c r="E482" i="20"/>
  <c r="F482" i="20" s="1"/>
  <c r="E483" i="20"/>
  <c r="F483" i="20" s="1"/>
  <c r="E484" i="20"/>
  <c r="F484" i="20" s="1"/>
  <c r="E485" i="20"/>
  <c r="F485" i="20" s="1"/>
  <c r="E486" i="20"/>
  <c r="F486" i="20" s="1"/>
  <c r="E487" i="20"/>
  <c r="F487" i="20" s="1"/>
  <c r="E488" i="20"/>
  <c r="F488" i="20" s="1"/>
  <c r="E489" i="20"/>
  <c r="F489" i="20" s="1"/>
  <c r="E490" i="20"/>
  <c r="F490" i="20" s="1"/>
  <c r="E491" i="20"/>
  <c r="F491" i="20" s="1"/>
  <c r="E492" i="20"/>
  <c r="F492" i="20" s="1"/>
  <c r="E493" i="20"/>
  <c r="F493" i="20" s="1"/>
  <c r="E494" i="20"/>
  <c r="F494" i="20" s="1"/>
  <c r="E495" i="20"/>
  <c r="F495" i="20" s="1"/>
  <c r="E496" i="20"/>
  <c r="F496" i="20" s="1"/>
  <c r="E497" i="20"/>
  <c r="F497" i="20" s="1"/>
  <c r="E498" i="20"/>
  <c r="F498" i="20" s="1"/>
  <c r="E499" i="20"/>
  <c r="F499" i="20" s="1"/>
  <c r="E500" i="20"/>
  <c r="F500" i="20" s="1"/>
  <c r="E501" i="20"/>
  <c r="F501" i="20" s="1"/>
  <c r="E502" i="20"/>
  <c r="F502" i="20" s="1"/>
  <c r="E503" i="20"/>
  <c r="F503" i="20" s="1"/>
  <c r="G6" i="20"/>
  <c r="G7" i="20"/>
  <c r="G8" i="20"/>
  <c r="G9" i="20"/>
  <c r="G10" i="20"/>
  <c r="G11" i="20"/>
  <c r="G12" i="20"/>
  <c r="G13" i="20"/>
  <c r="G14" i="20"/>
  <c r="G15" i="20"/>
  <c r="G16" i="20"/>
  <c r="G17" i="20"/>
  <c r="G18" i="20"/>
  <c r="G19" i="20"/>
  <c r="G20" i="20"/>
  <c r="G21" i="20"/>
  <c r="G22" i="20"/>
  <c r="G23" i="20"/>
  <c r="G24" i="20"/>
  <c r="G25" i="20"/>
  <c r="G26" i="20"/>
  <c r="G27" i="20"/>
  <c r="G28" i="20"/>
  <c r="G29" i="20"/>
  <c r="G30" i="20"/>
  <c r="G31" i="20"/>
  <c r="G32" i="20"/>
  <c r="G33" i="20"/>
  <c r="G34" i="20"/>
  <c r="G35" i="20"/>
  <c r="G36" i="20"/>
  <c r="G37" i="20"/>
  <c r="G38" i="20"/>
  <c r="G39" i="20"/>
  <c r="G40" i="20"/>
  <c r="G41" i="20"/>
  <c r="G42" i="20"/>
  <c r="G43" i="20"/>
  <c r="G44" i="20"/>
  <c r="G45" i="20"/>
  <c r="G46" i="20"/>
  <c r="G47" i="20"/>
  <c r="G48" i="20"/>
  <c r="G49" i="20"/>
  <c r="G50" i="20"/>
  <c r="G51" i="20"/>
  <c r="G52" i="20"/>
  <c r="G53" i="20"/>
  <c r="G54" i="20"/>
  <c r="G55" i="20"/>
  <c r="G56" i="20"/>
  <c r="G57" i="20"/>
  <c r="G58" i="20"/>
  <c r="G59" i="20"/>
  <c r="G60" i="20"/>
  <c r="G61" i="20"/>
  <c r="G62" i="20"/>
  <c r="G63" i="20"/>
  <c r="G64" i="20"/>
  <c r="G65" i="20"/>
  <c r="G66" i="20"/>
  <c r="G67" i="20"/>
  <c r="G68" i="20"/>
  <c r="G69" i="20"/>
  <c r="G70" i="20"/>
  <c r="G71" i="20"/>
  <c r="G72" i="20"/>
  <c r="G73" i="20"/>
  <c r="G74" i="20"/>
  <c r="G75" i="20"/>
  <c r="G76" i="20"/>
  <c r="G77" i="20"/>
  <c r="G78" i="20"/>
  <c r="G79" i="20"/>
  <c r="G80" i="20"/>
  <c r="G81" i="20"/>
  <c r="G82" i="20"/>
  <c r="G83" i="20"/>
  <c r="G84" i="20"/>
  <c r="G85" i="20"/>
  <c r="G86" i="20"/>
  <c r="G87" i="20"/>
  <c r="G88" i="20"/>
  <c r="G89" i="20"/>
  <c r="G90" i="20"/>
  <c r="G91" i="20"/>
  <c r="G92" i="20"/>
  <c r="G93" i="20"/>
  <c r="G94" i="20"/>
  <c r="G95" i="20"/>
  <c r="G96" i="20"/>
  <c r="G97" i="20"/>
  <c r="G98" i="20"/>
  <c r="G99" i="20"/>
  <c r="G100" i="20"/>
  <c r="G101" i="20"/>
  <c r="G102" i="20"/>
  <c r="G103" i="20"/>
  <c r="G104" i="20"/>
  <c r="G105" i="20"/>
  <c r="G106" i="20"/>
  <c r="G107" i="20"/>
  <c r="G108" i="20"/>
  <c r="G109" i="20"/>
  <c r="G110" i="20"/>
  <c r="G111" i="20"/>
  <c r="G112" i="20"/>
  <c r="G113" i="20"/>
  <c r="G114" i="20"/>
  <c r="G115" i="20"/>
  <c r="G116" i="20"/>
  <c r="G117" i="20"/>
  <c r="G118" i="20"/>
  <c r="G119" i="20"/>
  <c r="G120" i="20"/>
  <c r="G121" i="20"/>
  <c r="G122" i="20"/>
  <c r="G123" i="20"/>
  <c r="G124" i="20"/>
  <c r="G125" i="20"/>
  <c r="G126" i="20"/>
  <c r="G127" i="20"/>
  <c r="G128" i="20"/>
  <c r="G129" i="20"/>
  <c r="G130" i="20"/>
  <c r="G131" i="20"/>
  <c r="G132" i="20"/>
  <c r="G133" i="20"/>
  <c r="G134" i="20"/>
  <c r="G135" i="20"/>
  <c r="G136" i="20"/>
  <c r="G137" i="20"/>
  <c r="G138" i="20"/>
  <c r="G139" i="20"/>
  <c r="G140" i="20"/>
  <c r="G141" i="20"/>
  <c r="G142" i="20"/>
  <c r="G143" i="20"/>
  <c r="G144" i="20"/>
  <c r="G145" i="20"/>
  <c r="G146" i="20"/>
  <c r="G147" i="20"/>
  <c r="G148" i="20"/>
  <c r="G149" i="20"/>
  <c r="G150" i="20"/>
  <c r="G151" i="20"/>
  <c r="G152" i="20"/>
  <c r="G153" i="20"/>
  <c r="G154" i="20"/>
  <c r="G155" i="20"/>
  <c r="G156" i="20"/>
  <c r="G157" i="20"/>
  <c r="G158" i="20"/>
  <c r="G159" i="20"/>
  <c r="G160" i="20"/>
  <c r="G161" i="20"/>
  <c r="G162" i="20"/>
  <c r="G163" i="20"/>
  <c r="G164" i="20"/>
  <c r="G165" i="20"/>
  <c r="G166" i="20"/>
  <c r="G167" i="20"/>
  <c r="G168" i="20"/>
  <c r="G169" i="20"/>
  <c r="G170" i="20"/>
  <c r="G171" i="20"/>
  <c r="G172" i="20"/>
  <c r="G173" i="20"/>
  <c r="G174" i="20"/>
  <c r="G175" i="20"/>
  <c r="G176" i="20"/>
  <c r="G177" i="20"/>
  <c r="G178" i="20"/>
  <c r="G179" i="20"/>
  <c r="G180" i="20"/>
  <c r="G181" i="20"/>
  <c r="G182" i="20"/>
  <c r="G183" i="20"/>
  <c r="G184" i="20"/>
  <c r="G185" i="20"/>
  <c r="G186" i="20"/>
  <c r="G187" i="20"/>
  <c r="G188" i="20"/>
  <c r="G189" i="20"/>
  <c r="G190" i="20"/>
  <c r="G191" i="20"/>
  <c r="G192" i="20"/>
  <c r="G193" i="20"/>
  <c r="G194" i="20"/>
  <c r="G195" i="20"/>
  <c r="G196" i="20"/>
  <c r="G197" i="20"/>
  <c r="G198" i="20"/>
  <c r="G199" i="20"/>
  <c r="G200" i="20"/>
  <c r="G201" i="20"/>
  <c r="G202" i="20"/>
  <c r="G203" i="20"/>
  <c r="G204" i="20"/>
  <c r="G205" i="20"/>
  <c r="G206" i="20"/>
  <c r="G207" i="20"/>
  <c r="G208" i="20"/>
  <c r="G209" i="20"/>
  <c r="G210" i="20"/>
  <c r="G211" i="20"/>
  <c r="G212" i="20"/>
  <c r="G213" i="20"/>
  <c r="G214" i="20"/>
  <c r="G215" i="20"/>
  <c r="G216" i="20"/>
  <c r="G217" i="20"/>
  <c r="G218" i="20"/>
  <c r="G219" i="20"/>
  <c r="G220" i="20"/>
  <c r="G221" i="20"/>
  <c r="G222" i="20"/>
  <c r="G223" i="20"/>
  <c r="G224" i="20"/>
  <c r="G225" i="20"/>
  <c r="G226" i="20"/>
  <c r="G227" i="20"/>
  <c r="G228" i="20"/>
  <c r="G229" i="20"/>
  <c r="G230" i="20"/>
  <c r="G231" i="20"/>
  <c r="G232" i="20"/>
  <c r="G233" i="20"/>
  <c r="G234" i="20"/>
  <c r="G235" i="20"/>
  <c r="G236" i="20"/>
  <c r="G237" i="20"/>
  <c r="G238" i="20"/>
  <c r="G239" i="20"/>
  <c r="G240" i="20"/>
  <c r="G241" i="20"/>
  <c r="G242" i="20"/>
  <c r="G243" i="20"/>
  <c r="G244" i="20"/>
  <c r="G245" i="20"/>
  <c r="G246" i="20"/>
  <c r="G247" i="20"/>
  <c r="G248" i="20"/>
  <c r="G249" i="20"/>
  <c r="G250" i="20"/>
  <c r="G251" i="20"/>
  <c r="G252" i="20"/>
  <c r="G253" i="20"/>
  <c r="G254" i="20"/>
  <c r="G255" i="20"/>
  <c r="G256" i="20"/>
  <c r="G257" i="20"/>
  <c r="G258" i="20"/>
  <c r="G259" i="20"/>
  <c r="G260" i="20"/>
  <c r="G261" i="20"/>
  <c r="G262" i="20"/>
  <c r="G263" i="20"/>
  <c r="G264" i="20"/>
  <c r="G265" i="20"/>
  <c r="G266" i="20"/>
  <c r="G267" i="20"/>
  <c r="G268" i="20"/>
  <c r="G269" i="20"/>
  <c r="G270" i="20"/>
  <c r="G271" i="20"/>
  <c r="G272" i="20"/>
  <c r="G273" i="20"/>
  <c r="G274" i="20"/>
  <c r="G275" i="20"/>
  <c r="G276" i="20"/>
  <c r="G277" i="20"/>
  <c r="G278" i="20"/>
  <c r="G279" i="20"/>
  <c r="G280" i="20"/>
  <c r="G281" i="20"/>
  <c r="G282" i="20"/>
  <c r="G283" i="20"/>
  <c r="G284" i="20"/>
  <c r="G285" i="20"/>
  <c r="G286" i="20"/>
  <c r="G287" i="20"/>
  <c r="G288" i="20"/>
  <c r="G289" i="20"/>
  <c r="G290" i="20"/>
  <c r="G291" i="20"/>
  <c r="G292" i="20"/>
  <c r="G293" i="20"/>
  <c r="G294" i="20"/>
  <c r="G295" i="20"/>
  <c r="G296" i="20"/>
  <c r="G297" i="20"/>
  <c r="G298" i="20"/>
  <c r="G299" i="20"/>
  <c r="G300" i="20"/>
  <c r="G301" i="20"/>
  <c r="G302" i="20"/>
  <c r="G303" i="20"/>
  <c r="G304" i="20"/>
  <c r="G305" i="20"/>
  <c r="G306" i="20"/>
  <c r="G307" i="20"/>
  <c r="G308" i="20"/>
  <c r="G309" i="20"/>
  <c r="G310" i="20"/>
  <c r="G311" i="20"/>
  <c r="G312" i="20"/>
  <c r="G313" i="20"/>
  <c r="G314" i="20"/>
  <c r="G315" i="20"/>
  <c r="G316" i="20"/>
  <c r="G317" i="20"/>
  <c r="G318" i="20"/>
  <c r="G319" i="20"/>
  <c r="G320" i="20"/>
  <c r="G321" i="20"/>
  <c r="G322" i="20"/>
  <c r="G323" i="20"/>
  <c r="G324" i="20"/>
  <c r="G325" i="20"/>
  <c r="G326" i="20"/>
  <c r="G327" i="20"/>
  <c r="G328" i="20"/>
  <c r="G329" i="20"/>
  <c r="G330" i="20"/>
  <c r="G331" i="20"/>
  <c r="G332" i="20"/>
  <c r="G333" i="20"/>
  <c r="G334" i="20"/>
  <c r="G335" i="20"/>
  <c r="G336" i="20"/>
  <c r="G337" i="20"/>
  <c r="G338" i="20"/>
  <c r="G339" i="20"/>
  <c r="G340" i="20"/>
  <c r="G341" i="20"/>
  <c r="G342" i="20"/>
  <c r="G343" i="20"/>
  <c r="G344" i="20"/>
  <c r="G345" i="20"/>
  <c r="G346" i="20"/>
  <c r="G347" i="20"/>
  <c r="G348" i="20"/>
  <c r="G349" i="20"/>
  <c r="G350" i="20"/>
  <c r="G351" i="20"/>
  <c r="G352" i="20"/>
  <c r="G353" i="20"/>
  <c r="G354" i="20"/>
  <c r="G355" i="20"/>
  <c r="G356" i="20"/>
  <c r="G357" i="20"/>
  <c r="G358" i="20"/>
  <c r="G359" i="20"/>
  <c r="G360" i="20"/>
  <c r="G361" i="20"/>
  <c r="G362" i="20"/>
  <c r="G363" i="20"/>
  <c r="G364" i="20"/>
  <c r="G365" i="20"/>
  <c r="G366" i="20"/>
  <c r="G367" i="20"/>
  <c r="G368" i="20"/>
  <c r="G369" i="20"/>
  <c r="G370" i="20"/>
  <c r="G371" i="20"/>
  <c r="G372" i="20"/>
  <c r="G373" i="20"/>
  <c r="G374" i="20"/>
  <c r="G375" i="20"/>
  <c r="G376" i="20"/>
  <c r="G377" i="20"/>
  <c r="G378" i="20"/>
  <c r="G379" i="20"/>
  <c r="G380" i="20"/>
  <c r="G381" i="20"/>
  <c r="G382" i="20"/>
  <c r="G383" i="20"/>
  <c r="G384" i="20"/>
  <c r="G385" i="20"/>
  <c r="G386" i="20"/>
  <c r="G387" i="20"/>
  <c r="G388" i="20"/>
  <c r="G389" i="20"/>
  <c r="G390" i="20"/>
  <c r="G391" i="20"/>
  <c r="G392" i="20"/>
  <c r="G393" i="20"/>
  <c r="G394" i="20"/>
  <c r="G395" i="20"/>
  <c r="G396" i="20"/>
  <c r="G397" i="20"/>
  <c r="G398" i="20"/>
  <c r="G399" i="20"/>
  <c r="G400" i="20"/>
  <c r="G401" i="20"/>
  <c r="G402" i="20"/>
  <c r="G403" i="20"/>
  <c r="G404" i="20"/>
  <c r="G405" i="20"/>
  <c r="G406" i="20"/>
  <c r="G407" i="20"/>
  <c r="G408" i="20"/>
  <c r="G409" i="20"/>
  <c r="G410" i="20"/>
  <c r="G411" i="20"/>
  <c r="G412" i="20"/>
  <c r="G413" i="20"/>
  <c r="G414" i="20"/>
  <c r="G415" i="20"/>
  <c r="G416" i="20"/>
  <c r="G417" i="20"/>
  <c r="G418" i="20"/>
  <c r="G419" i="20"/>
  <c r="G420" i="20"/>
  <c r="G421" i="20"/>
  <c r="G422" i="20"/>
  <c r="G423" i="20"/>
  <c r="G424" i="20"/>
  <c r="G425" i="20"/>
  <c r="G426" i="20"/>
  <c r="G427" i="20"/>
  <c r="G428" i="20"/>
  <c r="G429" i="20"/>
  <c r="G430" i="20"/>
  <c r="G431" i="20"/>
  <c r="G432" i="20"/>
  <c r="G433" i="20"/>
  <c r="G434" i="20"/>
  <c r="G435" i="20"/>
  <c r="G436" i="20"/>
  <c r="G437" i="20"/>
  <c r="G438" i="20"/>
  <c r="G439" i="20"/>
  <c r="G440" i="20"/>
  <c r="G441" i="20"/>
  <c r="G442" i="20"/>
  <c r="G443" i="20"/>
  <c r="G444" i="20"/>
  <c r="G445" i="20"/>
  <c r="G446" i="20"/>
  <c r="G447" i="20"/>
  <c r="G448" i="20"/>
  <c r="G449" i="20"/>
  <c r="G450" i="20"/>
  <c r="G451" i="20"/>
  <c r="G452" i="20"/>
  <c r="G453" i="20"/>
  <c r="G454" i="20"/>
  <c r="G455" i="20"/>
  <c r="G456" i="20"/>
  <c r="G457" i="20"/>
  <c r="G458" i="20"/>
  <c r="G459" i="20"/>
  <c r="G460" i="20"/>
  <c r="G461" i="20"/>
  <c r="G462" i="20"/>
  <c r="G463" i="20"/>
  <c r="G464" i="20"/>
  <c r="G465" i="20"/>
  <c r="G466" i="20"/>
  <c r="G467" i="20"/>
  <c r="G468" i="20"/>
  <c r="G469" i="20"/>
  <c r="G470" i="20"/>
  <c r="G471" i="20"/>
  <c r="G472" i="20"/>
  <c r="G473" i="20"/>
  <c r="G474" i="20"/>
  <c r="G475" i="20"/>
  <c r="G476" i="20"/>
  <c r="G477" i="20"/>
  <c r="G478" i="20"/>
  <c r="G479" i="20"/>
  <c r="G480" i="20"/>
  <c r="G481" i="20"/>
  <c r="G482" i="20"/>
  <c r="G483" i="20"/>
  <c r="G484" i="20"/>
  <c r="G485" i="20"/>
  <c r="G486" i="20"/>
  <c r="G487" i="20"/>
  <c r="G488" i="20"/>
  <c r="G489" i="20"/>
  <c r="G490" i="20"/>
  <c r="G491" i="20"/>
  <c r="G492" i="20"/>
  <c r="G493" i="20"/>
  <c r="G494" i="20"/>
  <c r="G495" i="20"/>
  <c r="G496" i="20"/>
  <c r="G497" i="20"/>
  <c r="G498" i="20"/>
  <c r="G499" i="20"/>
  <c r="G500" i="20"/>
  <c r="G501" i="20"/>
  <c r="G502" i="20"/>
  <c r="G503" i="20"/>
  <c r="C6" i="20"/>
  <c r="C7" i="20"/>
  <c r="C8" i="20"/>
  <c r="C9" i="20"/>
  <c r="C10" i="20"/>
  <c r="C11" i="20"/>
  <c r="C12" i="20"/>
  <c r="C13" i="20"/>
  <c r="C14" i="20"/>
  <c r="C15" i="20"/>
  <c r="C16" i="20"/>
  <c r="C17" i="20"/>
  <c r="C18" i="20"/>
  <c r="C19" i="20"/>
  <c r="C20" i="20"/>
  <c r="C21" i="20"/>
  <c r="C22" i="20"/>
  <c r="C23" i="20"/>
  <c r="C24" i="20"/>
  <c r="C25" i="20"/>
  <c r="C26" i="20"/>
  <c r="C27" i="20"/>
  <c r="C28" i="20"/>
  <c r="C29" i="20"/>
  <c r="C30" i="20"/>
  <c r="C31" i="20"/>
  <c r="C32" i="20"/>
  <c r="C33" i="20"/>
  <c r="C34" i="20"/>
  <c r="C35" i="20"/>
  <c r="C36" i="20"/>
  <c r="C37" i="20"/>
  <c r="C38" i="20"/>
  <c r="C39" i="20"/>
  <c r="C40" i="20"/>
  <c r="C41" i="20"/>
  <c r="C42" i="20"/>
  <c r="C43" i="20"/>
  <c r="C44" i="20"/>
  <c r="C45" i="20"/>
  <c r="C46" i="20"/>
  <c r="C47" i="20"/>
  <c r="C48" i="20"/>
  <c r="C49" i="20"/>
  <c r="C50" i="20"/>
  <c r="C51" i="20"/>
  <c r="C52" i="20"/>
  <c r="C53" i="20"/>
  <c r="C54" i="20"/>
  <c r="C55" i="20"/>
  <c r="C56" i="20"/>
  <c r="C57" i="20"/>
  <c r="C58" i="20"/>
  <c r="C59" i="20"/>
  <c r="C60" i="20"/>
  <c r="C61" i="20"/>
  <c r="C62" i="20"/>
  <c r="C63" i="20"/>
  <c r="C64" i="20"/>
  <c r="C65" i="20"/>
  <c r="C66" i="20"/>
  <c r="C67" i="20"/>
  <c r="C68" i="20"/>
  <c r="C69" i="20"/>
  <c r="C70" i="20"/>
  <c r="C71" i="20"/>
  <c r="C72" i="20"/>
  <c r="C73" i="20"/>
  <c r="C74" i="20"/>
  <c r="C75" i="20"/>
  <c r="C76" i="20"/>
  <c r="C77" i="20"/>
  <c r="C78" i="20"/>
  <c r="C79" i="20"/>
  <c r="C80" i="20"/>
  <c r="C81" i="20"/>
  <c r="C82" i="20"/>
  <c r="C83" i="20"/>
  <c r="C84" i="20"/>
  <c r="C85" i="20"/>
  <c r="C86" i="20"/>
  <c r="C87" i="20"/>
  <c r="C88" i="20"/>
  <c r="C89" i="20"/>
  <c r="C90" i="20"/>
  <c r="C91" i="20"/>
  <c r="C92" i="20"/>
  <c r="C93" i="20"/>
  <c r="C94" i="20"/>
  <c r="C95" i="20"/>
  <c r="C96" i="20"/>
  <c r="C97" i="20"/>
  <c r="C98" i="20"/>
  <c r="C99" i="20"/>
  <c r="C100" i="20"/>
  <c r="C101" i="20"/>
  <c r="C102" i="20"/>
  <c r="C103" i="20"/>
  <c r="C104" i="20"/>
  <c r="C105" i="20"/>
  <c r="C106" i="20"/>
  <c r="C107" i="20"/>
  <c r="C108" i="20"/>
  <c r="C109" i="20"/>
  <c r="C110" i="20"/>
  <c r="C111" i="20"/>
  <c r="C112" i="20"/>
  <c r="C113" i="20"/>
  <c r="C114" i="20"/>
  <c r="C115" i="20"/>
  <c r="C116" i="20"/>
  <c r="C117" i="20"/>
  <c r="C118" i="20"/>
  <c r="C119" i="20"/>
  <c r="C120" i="20"/>
  <c r="C121" i="20"/>
  <c r="C122" i="20"/>
  <c r="C123" i="20"/>
  <c r="C124" i="20"/>
  <c r="C125" i="20"/>
  <c r="C126" i="20"/>
  <c r="C127" i="20"/>
  <c r="C128" i="20"/>
  <c r="C129" i="20"/>
  <c r="C130" i="20"/>
  <c r="C131" i="20"/>
  <c r="C132" i="20"/>
  <c r="C133" i="20"/>
  <c r="C134" i="20"/>
  <c r="C135" i="20"/>
  <c r="C136" i="20"/>
  <c r="C137" i="20"/>
  <c r="C138" i="20"/>
  <c r="C139" i="20"/>
  <c r="C140" i="20"/>
  <c r="C141" i="20"/>
  <c r="C142" i="20"/>
  <c r="C143" i="20"/>
  <c r="C144" i="20"/>
  <c r="C145" i="20"/>
  <c r="C146" i="20"/>
  <c r="C147" i="20"/>
  <c r="C148" i="20"/>
  <c r="C149" i="20"/>
  <c r="C150" i="20"/>
  <c r="C151" i="20"/>
  <c r="C152" i="20"/>
  <c r="C153" i="20"/>
  <c r="C154" i="20"/>
  <c r="C155" i="20"/>
  <c r="C156" i="20"/>
  <c r="C157" i="20"/>
  <c r="C158" i="20"/>
  <c r="C159" i="20"/>
  <c r="C160" i="20"/>
  <c r="C161" i="20"/>
  <c r="C162" i="20"/>
  <c r="C163" i="20"/>
  <c r="C164" i="20"/>
  <c r="C165" i="20"/>
  <c r="C166" i="20"/>
  <c r="C167" i="20"/>
  <c r="C168" i="20"/>
  <c r="C169" i="20"/>
  <c r="C170" i="20"/>
  <c r="C171" i="20"/>
  <c r="C172" i="20"/>
  <c r="C173" i="20"/>
  <c r="C174" i="20"/>
  <c r="C175" i="20"/>
  <c r="C176" i="20"/>
  <c r="C177" i="20"/>
  <c r="C178" i="20"/>
  <c r="C179" i="20"/>
  <c r="C180" i="20"/>
  <c r="C181" i="20"/>
  <c r="C182" i="20"/>
  <c r="C183" i="20"/>
  <c r="C184" i="20"/>
  <c r="C185" i="20"/>
  <c r="C186" i="20"/>
  <c r="C187" i="20"/>
  <c r="C188" i="20"/>
  <c r="C189" i="20"/>
  <c r="C190" i="20"/>
  <c r="C191" i="20"/>
  <c r="C192" i="20"/>
  <c r="C193" i="20"/>
  <c r="C194" i="20"/>
  <c r="C195" i="20"/>
  <c r="C196" i="20"/>
  <c r="C197" i="20"/>
  <c r="C198" i="20"/>
  <c r="C199" i="20"/>
  <c r="C200" i="20"/>
  <c r="C201" i="20"/>
  <c r="C202" i="20"/>
  <c r="C203" i="20"/>
  <c r="C204" i="20"/>
  <c r="C205" i="20"/>
  <c r="C206" i="20"/>
  <c r="C207" i="20"/>
  <c r="C208" i="20"/>
  <c r="C209" i="20"/>
  <c r="C210" i="20"/>
  <c r="C211" i="20"/>
  <c r="C212" i="20"/>
  <c r="C213" i="20"/>
  <c r="C214" i="20"/>
  <c r="C215" i="20"/>
  <c r="C216" i="20"/>
  <c r="C217" i="20"/>
  <c r="C218" i="20"/>
  <c r="C219" i="20"/>
  <c r="C220" i="20"/>
  <c r="C221" i="20"/>
  <c r="C222" i="20"/>
  <c r="C223" i="20"/>
  <c r="C224" i="20"/>
  <c r="C225" i="20"/>
  <c r="C226" i="20"/>
  <c r="C227" i="20"/>
  <c r="C228" i="20"/>
  <c r="C229" i="20"/>
  <c r="C230" i="20"/>
  <c r="C231" i="20"/>
  <c r="C232" i="20"/>
  <c r="C233" i="20"/>
  <c r="C234" i="20"/>
  <c r="C235" i="20"/>
  <c r="C236" i="20"/>
  <c r="C237" i="20"/>
  <c r="C238" i="20"/>
  <c r="C239" i="20"/>
  <c r="C240" i="20"/>
  <c r="C241" i="20"/>
  <c r="C242" i="20"/>
  <c r="C243" i="20"/>
  <c r="C244" i="20"/>
  <c r="C245" i="20"/>
  <c r="C246" i="20"/>
  <c r="C247" i="20"/>
  <c r="C248" i="20"/>
  <c r="C249" i="20"/>
  <c r="C250" i="20"/>
  <c r="C251" i="20"/>
  <c r="C252" i="20"/>
  <c r="C253" i="20"/>
  <c r="C254" i="20"/>
  <c r="C255" i="20"/>
  <c r="C256" i="20"/>
  <c r="C257" i="20"/>
  <c r="C258" i="20"/>
  <c r="C259" i="20"/>
  <c r="C260" i="20"/>
  <c r="C261" i="20"/>
  <c r="C262" i="20"/>
  <c r="C263" i="20"/>
  <c r="C264" i="20"/>
  <c r="C265" i="20"/>
  <c r="C266" i="20"/>
  <c r="C267" i="20"/>
  <c r="C268" i="20"/>
  <c r="C269" i="20"/>
  <c r="C270" i="20"/>
  <c r="C271" i="20"/>
  <c r="C272" i="20"/>
  <c r="C273" i="20"/>
  <c r="C274" i="20"/>
  <c r="C275" i="20"/>
  <c r="C276" i="20"/>
  <c r="C277" i="20"/>
  <c r="C278" i="20"/>
  <c r="C279" i="20"/>
  <c r="C280" i="20"/>
  <c r="C281" i="20"/>
  <c r="C282" i="20"/>
  <c r="C283" i="20"/>
  <c r="C284" i="20"/>
  <c r="C285" i="20"/>
  <c r="C286" i="20"/>
  <c r="C287" i="20"/>
  <c r="C288" i="20"/>
  <c r="C289" i="20"/>
  <c r="C290" i="20"/>
  <c r="C291" i="20"/>
  <c r="C292" i="20"/>
  <c r="C293" i="20"/>
  <c r="C294" i="20"/>
  <c r="C295" i="20"/>
  <c r="C296" i="20"/>
  <c r="C297" i="20"/>
  <c r="C298" i="20"/>
  <c r="C299" i="20"/>
  <c r="C300" i="20"/>
  <c r="C301" i="20"/>
  <c r="C302" i="20"/>
  <c r="C303" i="20"/>
  <c r="C304" i="20"/>
  <c r="C305" i="20"/>
  <c r="C306" i="20"/>
  <c r="C307" i="20"/>
  <c r="C308" i="20"/>
  <c r="C309" i="20"/>
  <c r="C310" i="20"/>
  <c r="C311" i="20"/>
  <c r="C312" i="20"/>
  <c r="C313" i="20"/>
  <c r="C314" i="20"/>
  <c r="C315" i="20"/>
  <c r="C316" i="20"/>
  <c r="C317" i="20"/>
  <c r="C318" i="20"/>
  <c r="C319" i="20"/>
  <c r="C320" i="20"/>
  <c r="C321" i="20"/>
  <c r="C322" i="20"/>
  <c r="C323" i="20"/>
  <c r="C324" i="20"/>
  <c r="C325" i="20"/>
  <c r="C326" i="20"/>
  <c r="C327" i="20"/>
  <c r="C328" i="20"/>
  <c r="C329" i="20"/>
  <c r="C330" i="20"/>
  <c r="C331" i="20"/>
  <c r="C332" i="20"/>
  <c r="C333" i="20"/>
  <c r="C334" i="20"/>
  <c r="C335" i="20"/>
  <c r="C336" i="20"/>
  <c r="C337" i="20"/>
  <c r="C338" i="20"/>
  <c r="C339" i="20"/>
  <c r="C340" i="20"/>
  <c r="C341" i="20"/>
  <c r="C342" i="20"/>
  <c r="C343" i="20"/>
  <c r="C344" i="20"/>
  <c r="C345" i="20"/>
  <c r="C346" i="20"/>
  <c r="C347" i="20"/>
  <c r="C348" i="20"/>
  <c r="C349" i="20"/>
  <c r="C350" i="20"/>
  <c r="C351" i="20"/>
  <c r="C352" i="20"/>
  <c r="C353" i="20"/>
  <c r="C354" i="20"/>
  <c r="C355" i="20"/>
  <c r="C356" i="20"/>
  <c r="C357" i="20"/>
  <c r="C358" i="20"/>
  <c r="C359" i="20"/>
  <c r="C360" i="20"/>
  <c r="C361" i="20"/>
  <c r="C362" i="20"/>
  <c r="C363" i="20"/>
  <c r="C364" i="20"/>
  <c r="C365" i="20"/>
  <c r="C366" i="20"/>
  <c r="C367" i="20"/>
  <c r="C368" i="20"/>
  <c r="C369" i="20"/>
  <c r="C370" i="20"/>
  <c r="C371" i="20"/>
  <c r="C372" i="20"/>
  <c r="C373" i="20"/>
  <c r="C374" i="20"/>
  <c r="C375" i="20"/>
  <c r="C376" i="20"/>
  <c r="C377" i="20"/>
  <c r="C378" i="20"/>
  <c r="C379" i="20"/>
  <c r="C380" i="20"/>
  <c r="C381" i="20"/>
  <c r="C382" i="20"/>
  <c r="C383" i="20"/>
  <c r="C384" i="20"/>
  <c r="C385" i="20"/>
  <c r="C386" i="20"/>
  <c r="C387" i="20"/>
  <c r="C388" i="20"/>
  <c r="C389" i="20"/>
  <c r="C390" i="20"/>
  <c r="C391" i="20"/>
  <c r="C392" i="20"/>
  <c r="C393" i="20"/>
  <c r="C394" i="20"/>
  <c r="C395" i="20"/>
  <c r="C396" i="20"/>
  <c r="C397" i="20"/>
  <c r="C398" i="20"/>
  <c r="C399" i="20"/>
  <c r="C400" i="20"/>
  <c r="C401" i="20"/>
  <c r="C402" i="20"/>
  <c r="C403" i="20"/>
  <c r="C404" i="20"/>
  <c r="C405" i="20"/>
  <c r="C406" i="20"/>
  <c r="C407" i="20"/>
  <c r="C408" i="20"/>
  <c r="C409" i="20"/>
  <c r="C410" i="20"/>
  <c r="C411" i="20"/>
  <c r="C412" i="20"/>
  <c r="C413" i="20"/>
  <c r="C414" i="20"/>
  <c r="C415" i="20"/>
  <c r="C416" i="20"/>
  <c r="C417" i="20"/>
  <c r="C418" i="20"/>
  <c r="C419" i="20"/>
  <c r="C420" i="20"/>
  <c r="C421" i="20"/>
  <c r="C422" i="20"/>
  <c r="C423" i="20"/>
  <c r="C424" i="20"/>
  <c r="C425" i="20"/>
  <c r="C426" i="20"/>
  <c r="C427" i="20"/>
  <c r="C428" i="20"/>
  <c r="C429" i="20"/>
  <c r="C430" i="20"/>
  <c r="C431" i="20"/>
  <c r="C432" i="20"/>
  <c r="C433" i="20"/>
  <c r="C434" i="20"/>
  <c r="C435" i="20"/>
  <c r="C436" i="20"/>
  <c r="C437" i="20"/>
  <c r="C438" i="20"/>
  <c r="C439" i="20"/>
  <c r="C440" i="20"/>
  <c r="C441" i="20"/>
  <c r="C442" i="20"/>
  <c r="C443" i="20"/>
  <c r="C444" i="20"/>
  <c r="C445" i="20"/>
  <c r="C446" i="20"/>
  <c r="C447" i="20"/>
  <c r="C448" i="20"/>
  <c r="C449" i="20"/>
  <c r="C450" i="20"/>
  <c r="C451" i="20"/>
  <c r="C452" i="20"/>
  <c r="C453" i="20"/>
  <c r="C454" i="20"/>
  <c r="C455" i="20"/>
  <c r="C456" i="20"/>
  <c r="C457" i="20"/>
  <c r="C458" i="20"/>
  <c r="C459" i="20"/>
  <c r="C460" i="20"/>
  <c r="C461" i="20"/>
  <c r="C462" i="20"/>
  <c r="C463" i="20"/>
  <c r="C464" i="20"/>
  <c r="C465" i="20"/>
  <c r="C466" i="20"/>
  <c r="C467" i="20"/>
  <c r="C468" i="20"/>
  <c r="C469" i="20"/>
  <c r="C470" i="20"/>
  <c r="C471" i="20"/>
  <c r="C472" i="20"/>
  <c r="C473" i="20"/>
  <c r="C474" i="20"/>
  <c r="C475" i="20"/>
  <c r="C476" i="20"/>
  <c r="C477" i="20"/>
  <c r="C478" i="20"/>
  <c r="C479" i="20"/>
  <c r="C480" i="20"/>
  <c r="C481" i="20"/>
  <c r="C482" i="20"/>
  <c r="C483" i="20"/>
  <c r="C484" i="20"/>
  <c r="C485" i="20"/>
  <c r="C486" i="20"/>
  <c r="C487" i="20"/>
  <c r="C488" i="20"/>
  <c r="C489" i="20"/>
  <c r="C490" i="20"/>
  <c r="C491" i="20"/>
  <c r="C492" i="20"/>
  <c r="C493" i="20"/>
  <c r="C494" i="20"/>
  <c r="C495" i="20"/>
  <c r="C496" i="20"/>
  <c r="C497" i="20"/>
  <c r="C498" i="20"/>
  <c r="C499" i="20"/>
  <c r="C500" i="20"/>
  <c r="C501" i="20"/>
  <c r="C502" i="20"/>
  <c r="C503" i="20"/>
  <c r="B6" i="20"/>
  <c r="B7" i="20"/>
  <c r="B8" i="20"/>
  <c r="B9" i="20"/>
  <c r="B10" i="20"/>
  <c r="B11" i="20"/>
  <c r="B12" i="20"/>
  <c r="B13" i="20"/>
  <c r="B14" i="20"/>
  <c r="B15" i="20"/>
  <c r="B16" i="20"/>
  <c r="B17" i="20"/>
  <c r="B18" i="20"/>
  <c r="B19" i="20"/>
  <c r="B20" i="20"/>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B117" i="20"/>
  <c r="B118" i="20"/>
  <c r="B119" i="20"/>
  <c r="B120" i="20"/>
  <c r="B121" i="20"/>
  <c r="B122" i="20"/>
  <c r="B123" i="20"/>
  <c r="B124" i="20"/>
  <c r="B125" i="20"/>
  <c r="B126" i="20"/>
  <c r="B127" i="20"/>
  <c r="B128" i="20"/>
  <c r="B129" i="20"/>
  <c r="B130" i="20"/>
  <c r="B131" i="20"/>
  <c r="B132" i="20"/>
  <c r="B133" i="20"/>
  <c r="B134" i="20"/>
  <c r="B135" i="20"/>
  <c r="B136" i="20"/>
  <c r="B137" i="20"/>
  <c r="B138" i="20"/>
  <c r="B139" i="20"/>
  <c r="B140" i="20"/>
  <c r="B141" i="20"/>
  <c r="B142" i="20"/>
  <c r="B143" i="20"/>
  <c r="B144" i="20"/>
  <c r="B145" i="20"/>
  <c r="B146" i="20"/>
  <c r="B147" i="20"/>
  <c r="B148" i="20"/>
  <c r="B149" i="20"/>
  <c r="B150" i="20"/>
  <c r="B151" i="20"/>
  <c r="B152" i="20"/>
  <c r="B153" i="20"/>
  <c r="B154" i="20"/>
  <c r="B155" i="20"/>
  <c r="B156" i="20"/>
  <c r="B157" i="20"/>
  <c r="B158" i="20"/>
  <c r="B159" i="20"/>
  <c r="B160" i="20"/>
  <c r="B161" i="20"/>
  <c r="B162" i="20"/>
  <c r="B163" i="20"/>
  <c r="B164" i="20"/>
  <c r="B165" i="20"/>
  <c r="B166" i="20"/>
  <c r="B167" i="20"/>
  <c r="B168" i="20"/>
  <c r="B169" i="20"/>
  <c r="B170" i="20"/>
  <c r="B171" i="20"/>
  <c r="B172" i="20"/>
  <c r="B173" i="20"/>
  <c r="B174" i="20"/>
  <c r="B175" i="20"/>
  <c r="B176" i="20"/>
  <c r="B177" i="20"/>
  <c r="B178" i="20"/>
  <c r="B179" i="20"/>
  <c r="B180" i="20"/>
  <c r="B181" i="20"/>
  <c r="B182" i="20"/>
  <c r="B183" i="20"/>
  <c r="B184" i="20"/>
  <c r="B185" i="20"/>
  <c r="B186" i="20"/>
  <c r="B187" i="20"/>
  <c r="B188" i="20"/>
  <c r="B189" i="20"/>
  <c r="B190" i="20"/>
  <c r="B191" i="20"/>
  <c r="B192" i="20"/>
  <c r="B193" i="20"/>
  <c r="B194" i="20"/>
  <c r="B195" i="20"/>
  <c r="B196" i="20"/>
  <c r="B197" i="20"/>
  <c r="B198" i="20"/>
  <c r="B199" i="20"/>
  <c r="B200" i="20"/>
  <c r="B201" i="20"/>
  <c r="B202" i="20"/>
  <c r="B203" i="20"/>
  <c r="B204" i="20"/>
  <c r="B205" i="20"/>
  <c r="B206" i="20"/>
  <c r="B207" i="20"/>
  <c r="B208" i="20"/>
  <c r="B209" i="20"/>
  <c r="B210" i="20"/>
  <c r="B211" i="20"/>
  <c r="B212" i="20"/>
  <c r="B213" i="20"/>
  <c r="B214" i="20"/>
  <c r="B215" i="20"/>
  <c r="B216" i="20"/>
  <c r="B217" i="20"/>
  <c r="B218" i="20"/>
  <c r="B219" i="20"/>
  <c r="B220" i="20"/>
  <c r="B221" i="20"/>
  <c r="B222" i="20"/>
  <c r="B223" i="20"/>
  <c r="B224" i="20"/>
  <c r="B225" i="20"/>
  <c r="B226" i="20"/>
  <c r="B227" i="20"/>
  <c r="B228" i="20"/>
  <c r="B229" i="20"/>
  <c r="B230" i="20"/>
  <c r="B231" i="20"/>
  <c r="B232" i="20"/>
  <c r="B233" i="20"/>
  <c r="B234" i="20"/>
  <c r="B235" i="20"/>
  <c r="B236" i="20"/>
  <c r="B237" i="20"/>
  <c r="B238" i="20"/>
  <c r="B239" i="20"/>
  <c r="B240" i="20"/>
  <c r="B241" i="20"/>
  <c r="B242" i="20"/>
  <c r="B243" i="20"/>
  <c r="B244" i="20"/>
  <c r="B245" i="20"/>
  <c r="B246" i="20"/>
  <c r="B247" i="20"/>
  <c r="B248" i="20"/>
  <c r="B249" i="20"/>
  <c r="B250" i="20"/>
  <c r="B251" i="20"/>
  <c r="B252" i="20"/>
  <c r="B253" i="20"/>
  <c r="B254" i="20"/>
  <c r="B255" i="20"/>
  <c r="B256" i="20"/>
  <c r="B257" i="20"/>
  <c r="B258" i="20"/>
  <c r="B259" i="20"/>
  <c r="B260" i="20"/>
  <c r="B261" i="20"/>
  <c r="B262" i="20"/>
  <c r="B263" i="20"/>
  <c r="B264" i="20"/>
  <c r="B265" i="20"/>
  <c r="B266" i="20"/>
  <c r="B267" i="20"/>
  <c r="B268" i="20"/>
  <c r="B269" i="20"/>
  <c r="B270" i="20"/>
  <c r="B271" i="20"/>
  <c r="B272" i="20"/>
  <c r="B273" i="20"/>
  <c r="B274" i="20"/>
  <c r="B275" i="20"/>
  <c r="B276" i="20"/>
  <c r="B277" i="20"/>
  <c r="B278" i="20"/>
  <c r="B279" i="20"/>
  <c r="B280" i="20"/>
  <c r="B281" i="20"/>
  <c r="B282" i="20"/>
  <c r="B283" i="20"/>
  <c r="B284" i="20"/>
  <c r="B285" i="20"/>
  <c r="B286" i="20"/>
  <c r="B287" i="20"/>
  <c r="B288" i="20"/>
  <c r="B289" i="20"/>
  <c r="B290" i="20"/>
  <c r="B291" i="20"/>
  <c r="B292" i="20"/>
  <c r="B293" i="20"/>
  <c r="B294" i="20"/>
  <c r="B295" i="20"/>
  <c r="B296" i="20"/>
  <c r="B297" i="20"/>
  <c r="B298" i="20"/>
  <c r="B299" i="20"/>
  <c r="B300" i="20"/>
  <c r="B301" i="20"/>
  <c r="B302" i="20"/>
  <c r="B303" i="20"/>
  <c r="B304" i="20"/>
  <c r="B305" i="20"/>
  <c r="B306" i="20"/>
  <c r="B307" i="20"/>
  <c r="B308" i="20"/>
  <c r="B309" i="20"/>
  <c r="B310" i="20"/>
  <c r="B311" i="20"/>
  <c r="B312" i="20"/>
  <c r="B313" i="20"/>
  <c r="B314" i="20"/>
  <c r="B315" i="20"/>
  <c r="B316" i="20"/>
  <c r="B317" i="20"/>
  <c r="B318" i="20"/>
  <c r="B319" i="20"/>
  <c r="B320" i="20"/>
  <c r="B321" i="20"/>
  <c r="B322" i="20"/>
  <c r="B323" i="20"/>
  <c r="B324" i="20"/>
  <c r="B325" i="20"/>
  <c r="B326" i="20"/>
  <c r="B327" i="20"/>
  <c r="B328" i="20"/>
  <c r="B329" i="20"/>
  <c r="B330" i="20"/>
  <c r="B331" i="20"/>
  <c r="B332" i="20"/>
  <c r="B333" i="20"/>
  <c r="B334" i="20"/>
  <c r="B335" i="20"/>
  <c r="B336" i="20"/>
  <c r="B337" i="20"/>
  <c r="B338" i="20"/>
  <c r="B339" i="20"/>
  <c r="B340" i="20"/>
  <c r="B341" i="20"/>
  <c r="B342" i="20"/>
  <c r="B343" i="20"/>
  <c r="B344" i="20"/>
  <c r="B345" i="20"/>
  <c r="B346" i="20"/>
  <c r="B347" i="20"/>
  <c r="B348" i="20"/>
  <c r="B349" i="20"/>
  <c r="B350" i="20"/>
  <c r="B351" i="20"/>
  <c r="B352" i="20"/>
  <c r="B353" i="20"/>
  <c r="B354" i="20"/>
  <c r="B355" i="20"/>
  <c r="B356" i="20"/>
  <c r="B357" i="20"/>
  <c r="B358" i="20"/>
  <c r="B359" i="20"/>
  <c r="B360" i="20"/>
  <c r="B361" i="20"/>
  <c r="B362" i="20"/>
  <c r="B363" i="20"/>
  <c r="B364" i="20"/>
  <c r="B365" i="20"/>
  <c r="B366" i="20"/>
  <c r="B367" i="20"/>
  <c r="B368" i="20"/>
  <c r="B369" i="20"/>
  <c r="B370" i="20"/>
  <c r="B371" i="20"/>
  <c r="B372" i="20"/>
  <c r="B373" i="20"/>
  <c r="B374" i="20"/>
  <c r="B375" i="20"/>
  <c r="B376" i="20"/>
  <c r="B377" i="20"/>
  <c r="B378" i="20"/>
  <c r="B379" i="20"/>
  <c r="B380" i="20"/>
  <c r="B381" i="20"/>
  <c r="B382" i="20"/>
  <c r="B383" i="20"/>
  <c r="B384" i="20"/>
  <c r="B385" i="20"/>
  <c r="B386" i="20"/>
  <c r="B387" i="20"/>
  <c r="B388" i="20"/>
  <c r="B389" i="20"/>
  <c r="B390" i="20"/>
  <c r="B391" i="20"/>
  <c r="B392" i="20"/>
  <c r="B393" i="20"/>
  <c r="B394" i="20"/>
  <c r="B395" i="20"/>
  <c r="B396" i="20"/>
  <c r="B397" i="20"/>
  <c r="B398" i="20"/>
  <c r="B399" i="20"/>
  <c r="B400" i="20"/>
  <c r="B401" i="20"/>
  <c r="B402" i="20"/>
  <c r="B403" i="20"/>
  <c r="B404" i="20"/>
  <c r="B405" i="20"/>
  <c r="B406" i="20"/>
  <c r="B407" i="20"/>
  <c r="B408" i="20"/>
  <c r="B409" i="20"/>
  <c r="B410" i="20"/>
  <c r="B411" i="20"/>
  <c r="B412" i="20"/>
  <c r="B413" i="20"/>
  <c r="B414" i="20"/>
  <c r="B415" i="20"/>
  <c r="B416" i="20"/>
  <c r="B417" i="20"/>
  <c r="B418" i="20"/>
  <c r="B419" i="20"/>
  <c r="B420" i="20"/>
  <c r="B421" i="20"/>
  <c r="B422" i="20"/>
  <c r="B423" i="20"/>
  <c r="B424" i="20"/>
  <c r="B425" i="20"/>
  <c r="B426" i="20"/>
  <c r="B427" i="20"/>
  <c r="B428" i="20"/>
  <c r="B429" i="20"/>
  <c r="B430" i="20"/>
  <c r="B431" i="20"/>
  <c r="B432" i="20"/>
  <c r="B433" i="20"/>
  <c r="B434" i="20"/>
  <c r="B435" i="20"/>
  <c r="B436" i="20"/>
  <c r="B437" i="20"/>
  <c r="B438" i="20"/>
  <c r="B439" i="20"/>
  <c r="B440" i="20"/>
  <c r="B441" i="20"/>
  <c r="B442" i="20"/>
  <c r="B443" i="20"/>
  <c r="B444" i="20"/>
  <c r="B445" i="20"/>
  <c r="B446" i="20"/>
  <c r="B447" i="20"/>
  <c r="B448" i="20"/>
  <c r="B449" i="20"/>
  <c r="B450" i="20"/>
  <c r="B451" i="20"/>
  <c r="B452" i="20"/>
  <c r="B453" i="20"/>
  <c r="B454" i="20"/>
  <c r="B455" i="20"/>
  <c r="B456" i="20"/>
  <c r="B457" i="20"/>
  <c r="B458" i="20"/>
  <c r="B459" i="20"/>
  <c r="B460" i="20"/>
  <c r="B461" i="20"/>
  <c r="B462" i="20"/>
  <c r="B463" i="20"/>
  <c r="B464" i="20"/>
  <c r="B465" i="20"/>
  <c r="B466" i="20"/>
  <c r="B467" i="20"/>
  <c r="B468" i="20"/>
  <c r="B469" i="20"/>
  <c r="B470" i="20"/>
  <c r="B471" i="20"/>
  <c r="B472" i="20"/>
  <c r="B473" i="20"/>
  <c r="B474" i="20"/>
  <c r="B475" i="20"/>
  <c r="B476" i="20"/>
  <c r="B477" i="20"/>
  <c r="B478" i="20"/>
  <c r="B479" i="20"/>
  <c r="B480" i="20"/>
  <c r="B481" i="20"/>
  <c r="B482" i="20"/>
  <c r="B483" i="20"/>
  <c r="B484" i="20"/>
  <c r="B485" i="20"/>
  <c r="B486" i="20"/>
  <c r="B487" i="20"/>
  <c r="B488" i="20"/>
  <c r="B489" i="20"/>
  <c r="B490" i="20"/>
  <c r="B491" i="20"/>
  <c r="B492" i="20"/>
  <c r="B493" i="20"/>
  <c r="B494" i="20"/>
  <c r="B495" i="20"/>
  <c r="B496" i="20"/>
  <c r="B497" i="20"/>
  <c r="B498" i="20"/>
  <c r="B499" i="20"/>
  <c r="B500" i="20"/>
  <c r="B501" i="20"/>
  <c r="B502" i="20"/>
  <c r="B503" i="20"/>
  <c r="A408" i="20"/>
  <c r="A409" i="20"/>
  <c r="A410" i="20"/>
  <c r="A411" i="20"/>
  <c r="A412" i="20"/>
  <c r="A413" i="20"/>
  <c r="A414" i="20"/>
  <c r="A415" i="20"/>
  <c r="A416" i="20"/>
  <c r="A417" i="20"/>
  <c r="A418" i="20"/>
  <c r="A419" i="20"/>
  <c r="A420" i="20"/>
  <c r="A421" i="20"/>
  <c r="A422" i="20"/>
  <c r="A423" i="20"/>
  <c r="A424" i="20"/>
  <c r="A425" i="20"/>
  <c r="A426" i="20"/>
  <c r="A427" i="20"/>
  <c r="A428" i="20"/>
  <c r="A429" i="20"/>
  <c r="A430" i="20"/>
  <c r="A431" i="20"/>
  <c r="A432" i="20"/>
  <c r="A433" i="20"/>
  <c r="A434" i="20"/>
  <c r="A435" i="20"/>
  <c r="A436" i="20"/>
  <c r="A437" i="20"/>
  <c r="A438" i="20"/>
  <c r="A439" i="20"/>
  <c r="A440" i="20"/>
  <c r="A441" i="20"/>
  <c r="A442" i="20"/>
  <c r="A443" i="20"/>
  <c r="A444" i="20"/>
  <c r="A445" i="20"/>
  <c r="A446" i="20"/>
  <c r="A447" i="20"/>
  <c r="A448" i="20"/>
  <c r="A449" i="20"/>
  <c r="A450" i="20"/>
  <c r="A451" i="20"/>
  <c r="A452" i="20"/>
  <c r="A453" i="20"/>
  <c r="A454" i="20"/>
  <c r="A455" i="20"/>
  <c r="A456" i="20"/>
  <c r="A457" i="20"/>
  <c r="A458" i="20"/>
  <c r="A459" i="20"/>
  <c r="A460" i="20"/>
  <c r="A461" i="20"/>
  <c r="A462" i="20"/>
  <c r="A463" i="20"/>
  <c r="A464" i="20"/>
  <c r="A465" i="20"/>
  <c r="A466" i="20"/>
  <c r="A467" i="20"/>
  <c r="A468" i="20"/>
  <c r="A469" i="20"/>
  <c r="A470" i="20"/>
  <c r="A471" i="20"/>
  <c r="A472" i="20"/>
  <c r="A473" i="20"/>
  <c r="A474" i="20"/>
  <c r="A475" i="20"/>
  <c r="A476" i="20"/>
  <c r="A477" i="20"/>
  <c r="A478" i="20"/>
  <c r="A479" i="20"/>
  <c r="A480" i="20"/>
  <c r="A481" i="20"/>
  <c r="A482" i="20"/>
  <c r="A483" i="20"/>
  <c r="A484" i="20"/>
  <c r="A485" i="20"/>
  <c r="A486" i="20"/>
  <c r="A487" i="20"/>
  <c r="A488" i="20"/>
  <c r="A489" i="20"/>
  <c r="A490" i="20"/>
  <c r="A491" i="20"/>
  <c r="A492" i="20"/>
  <c r="A493" i="20"/>
  <c r="A494" i="20"/>
  <c r="A495" i="20"/>
  <c r="A496" i="20"/>
  <c r="A497" i="20"/>
  <c r="A498" i="20"/>
  <c r="A499" i="20"/>
  <c r="A500" i="20"/>
  <c r="A501" i="20"/>
  <c r="A502" i="20"/>
  <c r="A503" i="20"/>
  <c r="A256" i="20"/>
  <c r="A257" i="20"/>
  <c r="A258" i="20"/>
  <c r="A259" i="20"/>
  <c r="A260" i="20"/>
  <c r="A261" i="20"/>
  <c r="A262" i="20"/>
  <c r="A263" i="20"/>
  <c r="A264" i="20"/>
  <c r="A265" i="20"/>
  <c r="A266" i="20"/>
  <c r="A267" i="20"/>
  <c r="A268" i="20"/>
  <c r="A269" i="20"/>
  <c r="A270" i="20"/>
  <c r="A271" i="20"/>
  <c r="A272" i="20"/>
  <c r="A273" i="20"/>
  <c r="A274" i="20"/>
  <c r="A275" i="20"/>
  <c r="A276" i="20"/>
  <c r="A277" i="20"/>
  <c r="A278" i="20"/>
  <c r="A279" i="20"/>
  <c r="A280" i="20"/>
  <c r="A281" i="20"/>
  <c r="A282" i="20"/>
  <c r="A283" i="20"/>
  <c r="A284" i="20"/>
  <c r="A285" i="20"/>
  <c r="A286" i="20"/>
  <c r="A287" i="20"/>
  <c r="A288" i="20"/>
  <c r="A289" i="20"/>
  <c r="A290" i="20"/>
  <c r="A291" i="20"/>
  <c r="A292" i="20"/>
  <c r="A293" i="20"/>
  <c r="A294" i="20"/>
  <c r="A295" i="20"/>
  <c r="A296" i="20"/>
  <c r="A297" i="20"/>
  <c r="A298" i="20"/>
  <c r="A299" i="20"/>
  <c r="A300" i="20"/>
  <c r="A301" i="20"/>
  <c r="A302" i="20"/>
  <c r="A303" i="20"/>
  <c r="A304" i="20"/>
  <c r="A305" i="20"/>
  <c r="A306" i="20"/>
  <c r="A307" i="20"/>
  <c r="A308" i="20"/>
  <c r="A309" i="20"/>
  <c r="A310" i="20"/>
  <c r="A311" i="20"/>
  <c r="A312" i="20"/>
  <c r="A313" i="20"/>
  <c r="A314" i="20"/>
  <c r="A315" i="20"/>
  <c r="A316" i="20"/>
  <c r="A317" i="20"/>
  <c r="A318" i="20"/>
  <c r="A319" i="20"/>
  <c r="A320" i="20"/>
  <c r="A321" i="20"/>
  <c r="A322" i="20"/>
  <c r="A323" i="20"/>
  <c r="A324" i="20"/>
  <c r="A325" i="20"/>
  <c r="A326" i="20"/>
  <c r="A327" i="20"/>
  <c r="A328" i="20"/>
  <c r="A329" i="20"/>
  <c r="A330" i="20"/>
  <c r="A331" i="20"/>
  <c r="A332" i="20"/>
  <c r="A333" i="20"/>
  <c r="A334" i="20"/>
  <c r="A335" i="20"/>
  <c r="A336" i="20"/>
  <c r="A337" i="20"/>
  <c r="A338" i="20"/>
  <c r="A339" i="20"/>
  <c r="A340" i="20"/>
  <c r="A341" i="20"/>
  <c r="A342" i="20"/>
  <c r="A343" i="20"/>
  <c r="A344" i="20"/>
  <c r="A345" i="20"/>
  <c r="A346" i="20"/>
  <c r="A347" i="20"/>
  <c r="A348" i="20"/>
  <c r="A349" i="20"/>
  <c r="A350" i="20"/>
  <c r="A351" i="20"/>
  <c r="A352" i="20"/>
  <c r="A353" i="20"/>
  <c r="A354" i="20"/>
  <c r="A355" i="20"/>
  <c r="A356" i="20"/>
  <c r="A357" i="20"/>
  <c r="A358" i="20"/>
  <c r="A359" i="20"/>
  <c r="A360" i="20"/>
  <c r="A361" i="20"/>
  <c r="A362" i="20"/>
  <c r="A363" i="20"/>
  <c r="A364" i="20"/>
  <c r="A365" i="20"/>
  <c r="A366" i="20"/>
  <c r="A367" i="20"/>
  <c r="A368" i="20"/>
  <c r="A369" i="20"/>
  <c r="A370" i="20"/>
  <c r="A371" i="20"/>
  <c r="A372" i="20"/>
  <c r="A373" i="20"/>
  <c r="A374" i="20"/>
  <c r="A375" i="20"/>
  <c r="A376" i="20"/>
  <c r="A377" i="20"/>
  <c r="A378" i="20"/>
  <c r="A379" i="20"/>
  <c r="A380" i="20"/>
  <c r="A381" i="20"/>
  <c r="A382" i="20"/>
  <c r="A383" i="20"/>
  <c r="A384" i="20"/>
  <c r="A385" i="20"/>
  <c r="A386" i="20"/>
  <c r="A387" i="20"/>
  <c r="A388" i="20"/>
  <c r="A389" i="20"/>
  <c r="A390" i="20"/>
  <c r="A391" i="20"/>
  <c r="A392" i="20"/>
  <c r="A393" i="20"/>
  <c r="A394" i="20"/>
  <c r="A395" i="20"/>
  <c r="A396" i="20"/>
  <c r="A397" i="20"/>
  <c r="A398" i="20"/>
  <c r="A399" i="20"/>
  <c r="A400" i="20"/>
  <c r="A401" i="20"/>
  <c r="A402" i="20"/>
  <c r="A403" i="20"/>
  <c r="A404" i="20"/>
  <c r="A405" i="20"/>
  <c r="A406" i="20"/>
  <c r="A407" i="20"/>
  <c r="A21" i="20"/>
  <c r="A22" i="20"/>
  <c r="A23" i="20"/>
  <c r="A24" i="20"/>
  <c r="A25" i="20"/>
  <c r="A26" i="20"/>
  <c r="A27" i="20"/>
  <c r="A28" i="20"/>
  <c r="A29" i="20"/>
  <c r="A30" i="20"/>
  <c r="A31" i="20"/>
  <c r="A32" i="20"/>
  <c r="A33" i="20"/>
  <c r="A34" i="20"/>
  <c r="A35" i="20"/>
  <c r="A36" i="20"/>
  <c r="A37" i="20"/>
  <c r="A38" i="20"/>
  <c r="A39" i="20"/>
  <c r="A40" i="20"/>
  <c r="A41" i="20"/>
  <c r="A42" i="20"/>
  <c r="A43" i="20"/>
  <c r="A44" i="20"/>
  <c r="A45" i="20"/>
  <c r="A46" i="20"/>
  <c r="A47" i="20"/>
  <c r="A48" i="20"/>
  <c r="A49" i="20"/>
  <c r="A50" i="20"/>
  <c r="A51" i="20"/>
  <c r="A52" i="20"/>
  <c r="A53" i="20"/>
  <c r="A54" i="20"/>
  <c r="A55" i="20"/>
  <c r="A56" i="20"/>
  <c r="A57" i="20"/>
  <c r="A58" i="20"/>
  <c r="A59" i="20"/>
  <c r="A60" i="20"/>
  <c r="A61" i="20"/>
  <c r="A62" i="20"/>
  <c r="A63" i="20"/>
  <c r="A64" i="20"/>
  <c r="A65" i="20"/>
  <c r="A66" i="20"/>
  <c r="A67" i="20"/>
  <c r="A68" i="20"/>
  <c r="A69" i="20"/>
  <c r="A70" i="20"/>
  <c r="A71" i="20"/>
  <c r="A72" i="20"/>
  <c r="A73" i="20"/>
  <c r="A74" i="20"/>
  <c r="A75" i="20"/>
  <c r="A76" i="20"/>
  <c r="A77" i="20"/>
  <c r="A78" i="20"/>
  <c r="A79" i="20"/>
  <c r="A80" i="20"/>
  <c r="A81" i="20"/>
  <c r="A82" i="20"/>
  <c r="A83" i="20"/>
  <c r="A84" i="20"/>
  <c r="A85" i="20"/>
  <c r="A86" i="20"/>
  <c r="A87" i="20"/>
  <c r="A88" i="20"/>
  <c r="A89" i="20"/>
  <c r="A90" i="20"/>
  <c r="A91" i="20"/>
  <c r="A92" i="20"/>
  <c r="A93" i="20"/>
  <c r="A94" i="20"/>
  <c r="A95" i="20"/>
  <c r="A96" i="20"/>
  <c r="A97" i="20"/>
  <c r="A98" i="20"/>
  <c r="A99" i="20"/>
  <c r="A100" i="20"/>
  <c r="A101" i="20"/>
  <c r="A102" i="20"/>
  <c r="A103" i="20"/>
  <c r="A104" i="20"/>
  <c r="A105" i="20"/>
  <c r="A106" i="20"/>
  <c r="A107" i="20"/>
  <c r="A108" i="20"/>
  <c r="A109" i="20"/>
  <c r="A110" i="20"/>
  <c r="A111" i="20"/>
  <c r="A112" i="20"/>
  <c r="A113" i="20"/>
  <c r="A114" i="20"/>
  <c r="A115" i="20"/>
  <c r="A116" i="20"/>
  <c r="A117" i="20"/>
  <c r="A118" i="20"/>
  <c r="A119" i="20"/>
  <c r="A120" i="20"/>
  <c r="A121" i="20"/>
  <c r="A122" i="20"/>
  <c r="A123" i="20"/>
  <c r="A124" i="20"/>
  <c r="A125" i="20"/>
  <c r="A126" i="20"/>
  <c r="A127" i="20"/>
  <c r="A128" i="20"/>
  <c r="A129" i="20"/>
  <c r="A130" i="20"/>
  <c r="A131" i="20"/>
  <c r="A132" i="20"/>
  <c r="A133" i="20"/>
  <c r="A134" i="20"/>
  <c r="A135" i="20"/>
  <c r="A136" i="20"/>
  <c r="A137" i="20"/>
  <c r="A138" i="20"/>
  <c r="A139" i="20"/>
  <c r="A140" i="20"/>
  <c r="A141" i="20"/>
  <c r="A142" i="20"/>
  <c r="A143" i="20"/>
  <c r="A144" i="20"/>
  <c r="A145" i="20"/>
  <c r="A146" i="20"/>
  <c r="A147" i="20"/>
  <c r="A148" i="20"/>
  <c r="A149" i="20"/>
  <c r="A150" i="20"/>
  <c r="A151" i="20"/>
  <c r="A152" i="20"/>
  <c r="A153" i="20"/>
  <c r="A154" i="20"/>
  <c r="A155" i="20"/>
  <c r="A156" i="20"/>
  <c r="A157" i="20"/>
  <c r="A158" i="20"/>
  <c r="A159" i="20"/>
  <c r="A160" i="20"/>
  <c r="A161" i="20"/>
  <c r="A162" i="20"/>
  <c r="A163" i="20"/>
  <c r="A164" i="20"/>
  <c r="A165" i="20"/>
  <c r="A166" i="20"/>
  <c r="A167" i="20"/>
  <c r="A168" i="20"/>
  <c r="A169" i="20"/>
  <c r="A170" i="20"/>
  <c r="A171" i="20"/>
  <c r="A172" i="20"/>
  <c r="A173" i="20"/>
  <c r="A174" i="20"/>
  <c r="A175" i="20"/>
  <c r="A176" i="20"/>
  <c r="A177" i="20"/>
  <c r="A178" i="20"/>
  <c r="A179" i="20"/>
  <c r="A180" i="20"/>
  <c r="A181" i="20"/>
  <c r="A182" i="20"/>
  <c r="A183" i="20"/>
  <c r="A184" i="20"/>
  <c r="A185" i="20"/>
  <c r="A186" i="20"/>
  <c r="A187" i="20"/>
  <c r="A188" i="20"/>
  <c r="A189" i="20"/>
  <c r="A190" i="20"/>
  <c r="A191" i="20"/>
  <c r="A192" i="20"/>
  <c r="A193" i="20"/>
  <c r="A194" i="20"/>
  <c r="A195" i="20"/>
  <c r="A196" i="20"/>
  <c r="A197" i="20"/>
  <c r="A198" i="20"/>
  <c r="A199" i="20"/>
  <c r="A200" i="20"/>
  <c r="A201" i="20"/>
  <c r="A202" i="20"/>
  <c r="A203" i="20"/>
  <c r="A204" i="20"/>
  <c r="A205" i="20"/>
  <c r="A206" i="20"/>
  <c r="A207" i="20"/>
  <c r="A208" i="20"/>
  <c r="A209" i="20"/>
  <c r="A210" i="20"/>
  <c r="A211" i="20"/>
  <c r="A212" i="20"/>
  <c r="A213" i="20"/>
  <c r="A214" i="20"/>
  <c r="A215" i="20"/>
  <c r="A216" i="20"/>
  <c r="A217" i="20"/>
  <c r="A218" i="20"/>
  <c r="A219" i="20"/>
  <c r="A220" i="20"/>
  <c r="A221" i="20"/>
  <c r="A222" i="20"/>
  <c r="A223" i="20"/>
  <c r="A224" i="20"/>
  <c r="A225" i="20"/>
  <c r="A226" i="20"/>
  <c r="A227" i="20"/>
  <c r="A228" i="20"/>
  <c r="A229" i="20"/>
  <c r="A230" i="20"/>
  <c r="A231" i="20"/>
  <c r="A232" i="20"/>
  <c r="A233" i="20"/>
  <c r="A234" i="20"/>
  <c r="A235" i="20"/>
  <c r="A236" i="20"/>
  <c r="A237" i="20"/>
  <c r="A238" i="20"/>
  <c r="A239" i="20"/>
  <c r="A240" i="20"/>
  <c r="A241" i="20"/>
  <c r="A242" i="20"/>
  <c r="A243" i="20"/>
  <c r="A244" i="20"/>
  <c r="A245" i="20"/>
  <c r="A246" i="20"/>
  <c r="A247" i="20"/>
  <c r="A248" i="20"/>
  <c r="A249" i="20"/>
  <c r="A250" i="20"/>
  <c r="A251" i="20"/>
  <c r="A252" i="20"/>
  <c r="A253" i="20"/>
  <c r="A254" i="20"/>
  <c r="A255" i="20"/>
  <c r="A6" i="20"/>
  <c r="A7" i="20"/>
  <c r="A8" i="20"/>
  <c r="A9" i="20"/>
  <c r="A10" i="20"/>
  <c r="A11" i="20"/>
  <c r="A12" i="20"/>
  <c r="A13" i="20"/>
  <c r="A14" i="20"/>
  <c r="A15" i="20"/>
  <c r="A16" i="20"/>
  <c r="A17" i="20"/>
  <c r="A18" i="20"/>
  <c r="A19" i="20"/>
  <c r="A20" i="20"/>
  <c r="AA3" i="20" l="1"/>
  <c r="W3" i="20"/>
  <c r="S3" i="20"/>
  <c r="AA2" i="20"/>
  <c r="W2" i="20"/>
  <c r="S2" i="20"/>
  <c r="Z1" i="20"/>
  <c r="V1" i="20"/>
  <c r="R1" i="20"/>
  <c r="Z3" i="20"/>
  <c r="V3" i="20"/>
  <c r="R3" i="20"/>
  <c r="Z2" i="20"/>
  <c r="V2" i="20"/>
  <c r="R2" i="20"/>
  <c r="Y1" i="20"/>
  <c r="U1" i="20"/>
  <c r="Q1" i="20"/>
  <c r="Y3" i="20"/>
  <c r="U3" i="20"/>
  <c r="Q3" i="20"/>
  <c r="Y2" i="20"/>
  <c r="U2" i="20"/>
  <c r="Q2" i="20"/>
  <c r="X1" i="20"/>
  <c r="T1" i="20"/>
  <c r="P1" i="20"/>
  <c r="X3" i="20"/>
  <c r="T3" i="20"/>
  <c r="P3" i="20"/>
  <c r="X2" i="20"/>
  <c r="T2" i="20"/>
  <c r="P2" i="20"/>
  <c r="W1" i="20"/>
  <c r="S1" i="20"/>
  <c r="F274" i="20"/>
  <c r="F262" i="20"/>
  <c r="F202" i="20"/>
  <c r="F198" i="20"/>
  <c r="F106" i="20"/>
  <c r="F94" i="20"/>
  <c r="F34" i="20"/>
  <c r="F289" i="20"/>
  <c r="F221" i="20"/>
  <c r="F217" i="20"/>
  <c r="F205" i="20"/>
  <c r="F141" i="20"/>
  <c r="F133" i="20"/>
  <c r="F93" i="20"/>
  <c r="F45" i="20"/>
  <c r="F25" i="20"/>
  <c r="F13" i="20"/>
  <c r="Q15" i="21" s="1"/>
  <c r="F271" i="20"/>
  <c r="F231" i="20"/>
  <c r="F179" i="20"/>
  <c r="F119" i="20"/>
  <c r="F95" i="20"/>
  <c r="F91" i="20"/>
  <c r="F55" i="20"/>
  <c r="F51" i="20"/>
  <c r="F276" i="20"/>
  <c r="F264" i="20"/>
  <c r="F260" i="20"/>
  <c r="F252" i="20"/>
  <c r="F228" i="20"/>
  <c r="F208" i="20"/>
  <c r="F184" i="20"/>
  <c r="F172" i="20"/>
  <c r="F160" i="20"/>
  <c r="F132" i="20"/>
  <c r="F120" i="20"/>
  <c r="F80" i="20"/>
  <c r="F72" i="20"/>
  <c r="F60" i="20"/>
  <c r="Q46" i="21" l="1"/>
  <c r="Q11" i="21"/>
  <c r="Q26" i="21"/>
  <c r="Q52" i="21"/>
  <c r="Q47" i="21"/>
  <c r="Q17" i="21"/>
  <c r="Q32" i="21"/>
  <c r="Q31" i="21"/>
  <c r="Q50" i="21"/>
  <c r="Q12" i="21"/>
  <c r="Q53" i="21"/>
  <c r="Q39" i="21"/>
  <c r="Q49" i="21"/>
  <c r="Q30" i="21"/>
  <c r="Q7" i="21"/>
  <c r="Q42" i="21"/>
  <c r="Q48" i="21"/>
  <c r="Q19" i="21"/>
  <c r="Q40" i="21"/>
  <c r="Q16" i="21"/>
  <c r="Q37" i="21"/>
  <c r="Q23" i="21"/>
  <c r="M15" i="21"/>
  <c r="Q6" i="21"/>
  <c r="Q35" i="21"/>
  <c r="Q45" i="21"/>
  <c r="Q18" i="21"/>
  <c r="Q22" i="21"/>
  <c r="Q10" i="21"/>
  <c r="Q41" i="21"/>
  <c r="Q28" i="21"/>
  <c r="Q36" i="21"/>
  <c r="Q21" i="21"/>
  <c r="Q5" i="21"/>
  <c r="Q9" i="21"/>
  <c r="Q8" i="21"/>
  <c r="Q20" i="21"/>
  <c r="Q51" i="21"/>
  <c r="Q27" i="21"/>
  <c r="Q38" i="21"/>
  <c r="I39" i="21"/>
  <c r="J41" i="21"/>
  <c r="K61" i="21"/>
  <c r="I5" i="21"/>
  <c r="R40" i="21"/>
  <c r="R42" i="21"/>
  <c r="K38" i="21"/>
  <c r="P42" i="21"/>
  <c r="K39" i="21"/>
  <c r="N40" i="21"/>
  <c r="O36" i="21"/>
  <c r="M42" i="21"/>
  <c r="K42" i="21"/>
  <c r="O15" i="21"/>
  <c r="J36" i="21"/>
  <c r="O41" i="21"/>
  <c r="J35" i="21"/>
  <c r="L35" i="21"/>
  <c r="N35" i="21"/>
  <c r="P15" i="21"/>
  <c r="K36" i="21"/>
  <c r="P35" i="21"/>
  <c r="K41" i="21"/>
  <c r="N15" i="21"/>
  <c r="J37" i="21"/>
  <c r="I38" i="21"/>
  <c r="M41" i="21"/>
  <c r="N37" i="21"/>
  <c r="R41" i="21"/>
  <c r="M37" i="21"/>
  <c r="P37" i="21"/>
  <c r="M38" i="21"/>
  <c r="K15" i="21"/>
  <c r="O38" i="21"/>
  <c r="O37" i="21"/>
  <c r="M39" i="21"/>
  <c r="L15" i="21"/>
  <c r="L40" i="21"/>
  <c r="P39" i="21"/>
  <c r="P40" i="21"/>
  <c r="L41" i="21"/>
  <c r="N41" i="21"/>
  <c r="R36" i="21"/>
  <c r="O39" i="21"/>
  <c r="L37" i="21"/>
  <c r="P41" i="21"/>
  <c r="J40" i="21"/>
  <c r="P36" i="21"/>
  <c r="K37" i="21"/>
  <c r="R35" i="21"/>
  <c r="M36" i="21"/>
  <c r="R37" i="21"/>
  <c r="I36" i="21"/>
  <c r="O40" i="21"/>
  <c r="J38" i="21"/>
  <c r="L38" i="21"/>
  <c r="N38" i="21"/>
  <c r="I42" i="21"/>
  <c r="I37" i="21"/>
  <c r="R39" i="21"/>
  <c r="J39" i="21"/>
  <c r="L39" i="21"/>
  <c r="N39" i="21"/>
  <c r="M40" i="21"/>
  <c r="K40" i="21"/>
  <c r="I35" i="21"/>
  <c r="I40" i="21"/>
  <c r="R38" i="21"/>
  <c r="J42" i="21"/>
  <c r="L42" i="21"/>
  <c r="N42" i="21"/>
  <c r="O42" i="21"/>
  <c r="I41" i="21"/>
  <c r="P38" i="21"/>
  <c r="M35" i="21"/>
  <c r="K35" i="21"/>
  <c r="O35" i="21"/>
  <c r="L36" i="21"/>
  <c r="N36" i="21"/>
  <c r="R15" i="21"/>
  <c r="I28" i="21"/>
  <c r="N11" i="21"/>
  <c r="O32" i="21"/>
  <c r="M21" i="21"/>
  <c r="N50" i="21"/>
  <c r="M7" i="21"/>
  <c r="N12" i="21"/>
  <c r="P46" i="21"/>
  <c r="P56" i="21"/>
  <c r="O49" i="21"/>
  <c r="O59" i="21"/>
  <c r="N52" i="21"/>
  <c r="P8" i="21"/>
  <c r="N7" i="21"/>
  <c r="P49" i="21"/>
  <c r="O19" i="21"/>
  <c r="J56" i="21"/>
  <c r="N45" i="21"/>
  <c r="J51" i="21"/>
  <c r="L20" i="21"/>
  <c r="P18" i="21"/>
  <c r="K19" i="21"/>
  <c r="I59" i="21"/>
  <c r="J32" i="21"/>
  <c r="N8" i="21"/>
  <c r="P64" i="21"/>
  <c r="M5" i="21"/>
  <c r="O47" i="21"/>
  <c r="O57" i="21"/>
  <c r="N56" i="21"/>
  <c r="J30" i="21"/>
  <c r="N5" i="21"/>
  <c r="P61" i="21"/>
  <c r="P30" i="21"/>
  <c r="M16" i="21"/>
  <c r="L46" i="21"/>
  <c r="K49" i="21"/>
  <c r="P7" i="21"/>
  <c r="P53" i="21"/>
  <c r="O50" i="21"/>
  <c r="N27" i="21"/>
  <c r="I20" i="21"/>
  <c r="P32" i="21"/>
  <c r="P52" i="21"/>
  <c r="P62" i="21"/>
  <c r="O26" i="21"/>
  <c r="O45" i="21"/>
  <c r="J20" i="21"/>
  <c r="M23" i="21"/>
  <c r="J50" i="21"/>
  <c r="J19" i="21"/>
  <c r="K11" i="21"/>
  <c r="K17" i="21"/>
  <c r="J6" i="21"/>
  <c r="L58" i="21"/>
  <c r="I12" i="21"/>
  <c r="M56" i="21"/>
  <c r="M60" i="21"/>
  <c r="M64" i="21"/>
  <c r="M48" i="21"/>
  <c r="K23" i="21"/>
  <c r="I26" i="21"/>
  <c r="I47" i="21"/>
  <c r="R56" i="21"/>
  <c r="R51" i="21"/>
  <c r="R28" i="21"/>
  <c r="R9" i="21"/>
  <c r="N17" i="21"/>
  <c r="K22" i="21"/>
  <c r="R61" i="21"/>
  <c r="M30" i="21"/>
  <c r="K6" i="21"/>
  <c r="O11" i="21"/>
  <c r="R18" i="21"/>
  <c r="N23" i="21"/>
  <c r="I50" i="21"/>
  <c r="R46" i="21"/>
  <c r="R32" i="21"/>
  <c r="R7" i="21"/>
  <c r="M20" i="21"/>
  <c r="I17" i="21"/>
  <c r="I62" i="21"/>
  <c r="M51" i="21"/>
  <c r="M28" i="21"/>
  <c r="O9" i="21"/>
  <c r="L17" i="21"/>
  <c r="P21" i="21"/>
  <c r="I64" i="21"/>
  <c r="K56" i="21"/>
  <c r="K64" i="21"/>
  <c r="K52" i="21"/>
  <c r="J23" i="21"/>
  <c r="L61" i="21"/>
  <c r="L49" i="21"/>
  <c r="L26" i="21"/>
  <c r="J9" i="21"/>
  <c r="J61" i="21"/>
  <c r="K8" i="21"/>
  <c r="N20" i="21"/>
  <c r="I63" i="21"/>
  <c r="N51" i="21"/>
  <c r="N28" i="21"/>
  <c r="M17" i="21"/>
  <c r="P51" i="21"/>
  <c r="J62" i="21"/>
  <c r="I49" i="21"/>
  <c r="R17" i="21"/>
  <c r="K63" i="21"/>
  <c r="K51" i="21"/>
  <c r="K28" i="21"/>
  <c r="L60" i="21"/>
  <c r="L48" i="21"/>
  <c r="L32" i="21"/>
  <c r="J8" i="21"/>
  <c r="J59" i="21"/>
  <c r="P6" i="21"/>
  <c r="M19" i="21"/>
  <c r="I53" i="21"/>
  <c r="N49" i="21"/>
  <c r="N26" i="21"/>
  <c r="K16" i="21"/>
  <c r="P27" i="21"/>
  <c r="J64" i="21"/>
  <c r="K10" i="21"/>
  <c r="N58" i="21"/>
  <c r="L6" i="21"/>
  <c r="R21" i="21"/>
  <c r="P59" i="21"/>
  <c r="M57" i="21"/>
  <c r="M61" i="21"/>
  <c r="M45" i="21"/>
  <c r="M49" i="21"/>
  <c r="O23" i="21"/>
  <c r="I31" i="21"/>
  <c r="I51" i="21"/>
  <c r="R60" i="21"/>
  <c r="R53" i="21"/>
  <c r="O5" i="21"/>
  <c r="L11" i="21"/>
  <c r="O18" i="21"/>
  <c r="L23" i="21"/>
  <c r="I48" i="21"/>
  <c r="R45" i="21"/>
  <c r="M32" i="21"/>
  <c r="O7" i="21"/>
  <c r="R12" i="21"/>
  <c r="K20" i="21"/>
  <c r="I19" i="21"/>
  <c r="I60" i="21"/>
  <c r="R50" i="21"/>
  <c r="R27" i="21"/>
  <c r="L9" i="21"/>
  <c r="R16" i="21"/>
  <c r="N21" i="21"/>
  <c r="I32" i="21"/>
  <c r="R59" i="21"/>
  <c r="M53" i="21"/>
  <c r="K5" i="21"/>
  <c r="R10" i="21"/>
  <c r="M18" i="21"/>
  <c r="R22" i="21"/>
  <c r="I23" i="21"/>
  <c r="K58" i="21"/>
  <c r="K46" i="21"/>
  <c r="K30" i="21"/>
  <c r="R5" i="21"/>
  <c r="L63" i="21"/>
  <c r="L51" i="21"/>
  <c r="L28" i="21"/>
  <c r="J11" i="21"/>
  <c r="J45" i="21"/>
  <c r="P10" i="21"/>
  <c r="P22" i="21"/>
  <c r="N59" i="21"/>
  <c r="K7" i="21"/>
  <c r="O56" i="21"/>
  <c r="O27" i="21"/>
  <c r="N60" i="21"/>
  <c r="K57" i="21"/>
  <c r="K45" i="21"/>
  <c r="K53" i="21"/>
  <c r="J15" i="21"/>
  <c r="L62" i="21"/>
  <c r="L50" i="21"/>
  <c r="L27" i="21"/>
  <c r="J10" i="21"/>
  <c r="J63" i="21"/>
  <c r="M9" i="21"/>
  <c r="O21" i="21"/>
  <c r="N57" i="21"/>
  <c r="N53" i="21"/>
  <c r="L5" i="21"/>
  <c r="N18" i="21"/>
  <c r="N6" i="21"/>
  <c r="J52" i="21"/>
  <c r="P12" i="21"/>
  <c r="N62" i="21"/>
  <c r="P11" i="21"/>
  <c r="O60" i="21"/>
  <c r="M58" i="21"/>
  <c r="M62" i="21"/>
  <c r="M46" i="21"/>
  <c r="M50" i="21"/>
  <c r="I22" i="21"/>
  <c r="I57" i="21"/>
  <c r="R64" i="21"/>
  <c r="R31" i="21"/>
  <c r="L7" i="21"/>
  <c r="O12" i="21"/>
  <c r="P19" i="21"/>
  <c r="I21" i="21"/>
  <c r="I58" i="21"/>
  <c r="R49" i="21"/>
  <c r="M27" i="21"/>
  <c r="R8" i="21"/>
  <c r="O16" i="21"/>
  <c r="L21" i="21"/>
  <c r="I30" i="21"/>
  <c r="R58" i="21"/>
  <c r="R52" i="21"/>
  <c r="J17" i="21"/>
  <c r="O10" i="21"/>
  <c r="K18" i="21"/>
  <c r="O22" i="21"/>
  <c r="R63" i="21"/>
  <c r="M31" i="21"/>
  <c r="R6" i="21"/>
  <c r="L12" i="21"/>
  <c r="N19" i="21"/>
  <c r="I15" i="21"/>
  <c r="K60" i="21"/>
  <c r="K48" i="21"/>
  <c r="K32" i="21"/>
  <c r="L57" i="21"/>
  <c r="L45" i="21"/>
  <c r="L53" i="21"/>
  <c r="J5" i="21"/>
  <c r="J49" i="21"/>
  <c r="J26" i="21"/>
  <c r="I16" i="21"/>
  <c r="N63" i="21"/>
  <c r="P9" i="21"/>
  <c r="O64" i="21"/>
  <c r="M6" i="21"/>
  <c r="P28" i="21"/>
  <c r="J27" i="21"/>
  <c r="K59" i="21"/>
  <c r="K47" i="21"/>
  <c r="K31" i="21"/>
  <c r="L56" i="21"/>
  <c r="L64" i="21"/>
  <c r="L52" i="21"/>
  <c r="J22" i="21"/>
  <c r="J12" i="21"/>
  <c r="J47" i="21"/>
  <c r="J31" i="21"/>
  <c r="K12" i="21"/>
  <c r="R23" i="21"/>
  <c r="N61" i="21"/>
  <c r="M8" i="21"/>
  <c r="P20" i="21"/>
  <c r="N10" i="21"/>
  <c r="L22" i="21"/>
  <c r="P16" i="21"/>
  <c r="O62" i="21"/>
  <c r="O30" i="21"/>
  <c r="P47" i="21"/>
  <c r="P31" i="21"/>
  <c r="J46" i="21"/>
  <c r="M11" i="21"/>
  <c r="N48" i="21"/>
  <c r="O63" i="21"/>
  <c r="O51" i="21"/>
  <c r="O28" i="21"/>
  <c r="P60" i="21"/>
  <c r="P48" i="21"/>
  <c r="J18" i="21"/>
  <c r="J48" i="21"/>
  <c r="O17" i="21"/>
  <c r="N46" i="21"/>
  <c r="K9" i="21"/>
  <c r="O46" i="21"/>
  <c r="P57" i="21"/>
  <c r="P26" i="21"/>
  <c r="P5" i="21"/>
  <c r="M59" i="21"/>
  <c r="M63" i="21"/>
  <c r="N22" i="21"/>
  <c r="I18" i="21"/>
  <c r="I61" i="21"/>
  <c r="L16" i="21"/>
  <c r="I27" i="21"/>
  <c r="R57" i="21"/>
  <c r="P17" i="21"/>
  <c r="R62" i="21"/>
  <c r="O6" i="21"/>
  <c r="R11" i="21"/>
  <c r="P23" i="21"/>
  <c r="M26" i="21"/>
  <c r="O20" i="21"/>
  <c r="I56" i="21"/>
  <c r="K50" i="21"/>
  <c r="K27" i="21"/>
  <c r="L59" i="21"/>
  <c r="J7" i="21"/>
  <c r="J53" i="21"/>
  <c r="L18" i="21"/>
  <c r="N31" i="21"/>
  <c r="M12" i="21"/>
  <c r="N9" i="21"/>
  <c r="M47" i="21"/>
  <c r="R48" i="21"/>
  <c r="R26" i="21"/>
  <c r="O8" i="21"/>
  <c r="R20" i="21"/>
  <c r="M52" i="21"/>
  <c r="J21" i="21"/>
  <c r="L10" i="21"/>
  <c r="M22" i="21"/>
  <c r="R30" i="21"/>
  <c r="L19" i="21"/>
  <c r="I52" i="21"/>
  <c r="R47" i="21"/>
  <c r="L8" i="21"/>
  <c r="I46" i="21"/>
  <c r="K62" i="21"/>
  <c r="L47" i="21"/>
  <c r="L31" i="21"/>
  <c r="J57" i="21"/>
  <c r="J16" i="21"/>
  <c r="I45" i="21"/>
  <c r="N47" i="21"/>
  <c r="O52" i="21"/>
  <c r="P45" i="21"/>
  <c r="N16" i="21"/>
  <c r="I7" i="21"/>
  <c r="N64" i="21"/>
  <c r="J58" i="21"/>
  <c r="P63" i="21"/>
  <c r="O58" i="21"/>
  <c r="N30" i="21"/>
  <c r="R19" i="21"/>
  <c r="J60" i="21"/>
  <c r="P50" i="21"/>
  <c r="P58" i="21"/>
  <c r="O31" i="21"/>
  <c r="O53" i="21"/>
  <c r="O61" i="21"/>
  <c r="N32" i="21"/>
  <c r="K21" i="21"/>
  <c r="O48" i="21"/>
  <c r="J28" i="21"/>
  <c r="L30" i="21"/>
  <c r="K26" i="21"/>
  <c r="M10" i="21"/>
  <c r="I11" i="21"/>
  <c r="I9" i="21"/>
  <c r="I8" i="21"/>
  <c r="I6" i="21"/>
  <c r="I10" i="21"/>
  <c r="AB1" i="20"/>
  <c r="AB3" i="20"/>
  <c r="AB2" i="20"/>
  <c r="G15" i="21"/>
  <c r="B28" i="21"/>
  <c r="B27" i="21"/>
  <c r="B26" i="21"/>
  <c r="G23" i="21"/>
  <c r="C23" i="21"/>
  <c r="B23" i="21"/>
  <c r="G22" i="21"/>
  <c r="C22" i="21"/>
  <c r="B22" i="21"/>
  <c r="G21" i="21"/>
  <c r="C21" i="21"/>
  <c r="B21" i="21"/>
  <c r="G20" i="21"/>
  <c r="C20" i="21"/>
  <c r="B20" i="21"/>
  <c r="G19" i="21"/>
  <c r="C19" i="21"/>
  <c r="B19" i="21"/>
  <c r="G18" i="21"/>
  <c r="C18" i="21"/>
  <c r="B18" i="21"/>
  <c r="G17" i="21"/>
  <c r="C17" i="21"/>
  <c r="B17" i="21"/>
  <c r="G16" i="21"/>
  <c r="C16" i="21"/>
  <c r="B16" i="21"/>
  <c r="C15" i="21"/>
  <c r="AA505" i="20"/>
  <c r="Z505" i="20"/>
  <c r="Y505" i="20"/>
  <c r="X505" i="20"/>
  <c r="W505" i="20"/>
  <c r="V505" i="20"/>
  <c r="U505" i="20"/>
  <c r="T505" i="20"/>
  <c r="S505" i="20"/>
  <c r="R505" i="20"/>
  <c r="Q505" i="20"/>
  <c r="P505" i="20"/>
  <c r="AB503" i="20"/>
  <c r="AB502" i="20"/>
  <c r="AB501" i="20"/>
  <c r="AB500" i="20"/>
  <c r="AB499" i="20"/>
  <c r="AB498" i="20"/>
  <c r="AB491" i="20"/>
  <c r="AB490" i="20"/>
  <c r="AB489" i="20"/>
  <c r="AB488" i="20"/>
  <c r="AB487" i="20"/>
  <c r="AB486" i="20"/>
  <c r="AB485" i="20"/>
  <c r="AB484" i="20"/>
  <c r="AB483" i="20"/>
  <c r="AB482" i="20"/>
  <c r="AB481" i="20"/>
  <c r="AB480" i="20"/>
  <c r="AB479" i="20"/>
  <c r="AB478" i="20"/>
  <c r="AB477" i="20"/>
  <c r="AB476" i="20"/>
  <c r="AB475" i="20"/>
  <c r="AB474" i="20"/>
  <c r="AB473" i="20"/>
  <c r="AB472" i="20"/>
  <c r="AB255" i="20"/>
  <c r="AB254" i="20"/>
  <c r="AB253" i="20"/>
  <c r="AB252" i="20"/>
  <c r="AB251" i="20"/>
  <c r="AB250" i="20"/>
  <c r="AB249" i="20"/>
  <c r="AB248" i="20"/>
  <c r="AB247" i="20"/>
  <c r="AB246" i="20"/>
  <c r="AB245" i="20"/>
  <c r="AB244" i="20"/>
  <c r="AB243" i="20"/>
  <c r="AB242" i="20"/>
  <c r="AB241" i="20"/>
  <c r="AB240" i="20"/>
  <c r="AB239" i="20"/>
  <c r="AB238" i="20"/>
  <c r="AB237" i="20"/>
  <c r="AB236" i="20"/>
  <c r="AB235" i="20"/>
  <c r="AB234" i="20"/>
  <c r="AB233" i="20"/>
  <c r="AB232" i="20"/>
  <c r="AB231" i="20"/>
  <c r="AB230" i="20"/>
  <c r="AB229" i="20"/>
  <c r="AB228" i="20"/>
  <c r="AB227" i="20"/>
  <c r="AB226" i="20"/>
  <c r="AB225" i="20"/>
  <c r="AB224" i="20"/>
  <c r="AB223" i="20"/>
  <c r="AB222" i="20"/>
  <c r="AB221" i="20"/>
  <c r="AB220" i="20"/>
  <c r="AB219" i="20"/>
  <c r="AB218" i="20"/>
  <c r="AB217" i="20"/>
  <c r="AB216" i="20"/>
  <c r="AB215" i="20"/>
  <c r="AB214" i="20"/>
  <c r="AB213" i="20"/>
  <c r="AB212" i="20"/>
  <c r="AB211" i="20"/>
  <c r="AB210" i="20"/>
  <c r="AB209" i="20"/>
  <c r="AB208" i="20"/>
  <c r="AB207" i="20"/>
  <c r="AB206" i="20"/>
  <c r="AB205" i="20"/>
  <c r="AB204" i="20"/>
  <c r="AB203" i="20"/>
  <c r="AB202" i="20"/>
  <c r="AB201" i="20"/>
  <c r="AB200" i="20"/>
  <c r="AB199" i="20"/>
  <c r="AB198" i="20"/>
  <c r="AB197" i="20"/>
  <c r="AB196" i="20"/>
  <c r="AB195" i="20"/>
  <c r="AB194" i="20"/>
  <c r="AB193" i="20"/>
  <c r="AB192" i="20"/>
  <c r="AB191" i="20"/>
  <c r="AB190" i="20"/>
  <c r="AB189" i="20"/>
  <c r="AB188" i="20"/>
  <c r="AB187" i="20"/>
  <c r="AB186" i="20"/>
  <c r="AB185" i="20"/>
  <c r="AB184" i="20"/>
  <c r="AB183" i="20"/>
  <c r="AB182" i="20"/>
  <c r="AB181" i="20"/>
  <c r="AB180" i="20"/>
  <c r="AB179" i="20"/>
  <c r="AB178" i="20"/>
  <c r="AB177" i="20"/>
  <c r="AB176" i="20"/>
  <c r="AB175" i="20"/>
  <c r="AB174" i="20"/>
  <c r="AB173" i="20"/>
  <c r="AB172" i="20"/>
  <c r="AB171" i="20"/>
  <c r="AB170" i="20"/>
  <c r="AB169" i="20"/>
  <c r="AB168" i="20"/>
  <c r="AB167" i="20"/>
  <c r="AB166" i="20"/>
  <c r="AB165" i="20"/>
  <c r="AB164" i="20"/>
  <c r="AB163" i="20"/>
  <c r="AB162" i="20"/>
  <c r="AB161" i="20"/>
  <c r="AB160" i="20"/>
  <c r="AB159" i="20"/>
  <c r="AB158" i="20"/>
  <c r="AB157" i="20"/>
  <c r="AB156" i="20"/>
  <c r="AB155" i="20"/>
  <c r="AB154" i="20"/>
  <c r="AB153" i="20"/>
  <c r="AB152" i="20"/>
  <c r="AB151" i="20"/>
  <c r="AB150" i="20"/>
  <c r="AB149" i="20"/>
  <c r="AB148" i="20"/>
  <c r="AB147" i="20"/>
  <c r="AB146" i="20"/>
  <c r="AB145" i="20"/>
  <c r="AB144" i="20"/>
  <c r="AB143" i="20"/>
  <c r="AB142" i="20"/>
  <c r="AB141" i="20"/>
  <c r="AB140" i="20"/>
  <c r="AB139" i="20"/>
  <c r="AB138" i="20"/>
  <c r="AB137" i="20"/>
  <c r="AB136" i="20"/>
  <c r="AB135" i="20"/>
  <c r="AB134" i="20"/>
  <c r="AB133" i="20"/>
  <c r="AB132" i="20"/>
  <c r="AB131" i="20"/>
  <c r="AB130" i="20"/>
  <c r="AB129" i="20"/>
  <c r="AB128" i="20"/>
  <c r="AB127" i="20"/>
  <c r="AB126" i="20"/>
  <c r="AB125" i="20"/>
  <c r="AB124" i="20"/>
  <c r="AB123" i="20"/>
  <c r="AB122" i="20"/>
  <c r="AB121" i="20"/>
  <c r="AB120" i="20"/>
  <c r="AB119" i="20"/>
  <c r="AB118" i="20"/>
  <c r="AB117" i="20"/>
  <c r="AB116" i="20"/>
  <c r="AB115" i="20"/>
  <c r="AB114" i="20"/>
  <c r="AB113" i="20"/>
  <c r="AB112" i="20"/>
  <c r="AB111" i="20"/>
  <c r="AB110" i="20"/>
  <c r="AB109" i="20"/>
  <c r="AB108" i="20"/>
  <c r="AB107" i="20"/>
  <c r="AB106" i="20"/>
  <c r="AB105" i="20"/>
  <c r="AB104" i="20"/>
  <c r="AB103" i="20"/>
  <c r="AB102" i="20"/>
  <c r="AB101" i="20"/>
  <c r="AB100" i="20"/>
  <c r="AB99" i="20"/>
  <c r="AB20" i="20"/>
  <c r="AB19" i="20"/>
  <c r="AB18" i="20"/>
  <c r="AB17" i="20"/>
  <c r="AB16" i="20"/>
  <c r="AB15" i="20"/>
  <c r="AB14" i="20"/>
  <c r="AB13" i="20"/>
  <c r="AB6" i="20"/>
  <c r="X507" i="20"/>
  <c r="G14" i="21" l="1"/>
  <c r="C25" i="21"/>
  <c r="D25" i="21"/>
  <c r="D4" i="21"/>
  <c r="E4" i="21"/>
  <c r="E25" i="21"/>
  <c r="E14" i="21"/>
  <c r="C14" i="21"/>
  <c r="C4" i="21"/>
  <c r="D14" i="21"/>
  <c r="B14" i="21"/>
  <c r="B25" i="21"/>
  <c r="P507" i="20"/>
  <c r="Q506" i="20"/>
  <c r="V506" i="20"/>
  <c r="Z507" i="20"/>
  <c r="V507" i="20"/>
  <c r="R507" i="20"/>
  <c r="AA506" i="20"/>
  <c r="W506" i="20"/>
  <c r="S506" i="20"/>
  <c r="Y507" i="20"/>
  <c r="U507" i="20"/>
  <c r="Q507" i="20"/>
  <c r="Z506" i="20"/>
  <c r="T506" i="20"/>
  <c r="Y506" i="20"/>
  <c r="T507" i="20"/>
  <c r="P506" i="20"/>
  <c r="U506" i="20"/>
  <c r="W507" i="20"/>
  <c r="AB505" i="20"/>
  <c r="R506" i="20"/>
  <c r="X506" i="20"/>
  <c r="S507" i="20"/>
  <c r="AA507" i="20"/>
  <c r="AB506" i="20" l="1"/>
  <c r="AB507" i="20"/>
</calcChain>
</file>

<file path=xl/comments1.xml><?xml version="1.0" encoding="utf-8"?>
<comments xmlns="http://schemas.openxmlformats.org/spreadsheetml/2006/main">
  <authors>
    <author>acoignac</author>
  </authors>
  <commentList>
    <comment ref="G4" authorId="0" shapeId="0">
      <text>
        <r>
          <rPr>
            <b/>
            <sz val="9"/>
            <color indexed="81"/>
            <rFont val="Tahoma"/>
            <family val="2"/>
          </rPr>
          <t>acoignac:</t>
        </r>
        <r>
          <rPr>
            <sz val="9"/>
            <color indexed="81"/>
            <rFont val="Tahoma"/>
            <family val="2"/>
          </rPr>
          <t xml:space="preserve">
Réaliser le flitre automatique pour obtenir que les jours d'arrêt soit pour AT soit pour ATJ</t>
        </r>
      </text>
    </comment>
  </commentList>
</comments>
</file>

<file path=xl/sharedStrings.xml><?xml version="1.0" encoding="utf-8"?>
<sst xmlns="http://schemas.openxmlformats.org/spreadsheetml/2006/main" count="8337" uniqueCount="1581">
  <si>
    <t>Nom</t>
  </si>
  <si>
    <t>Prénom</t>
  </si>
  <si>
    <t>Age</t>
  </si>
  <si>
    <t>AT</t>
  </si>
  <si>
    <t>S</t>
  </si>
  <si>
    <t>Non précisé</t>
  </si>
  <si>
    <t>Fracture, fêlure</t>
  </si>
  <si>
    <t>Lésions nerveuses</t>
  </si>
  <si>
    <t>Pieds</t>
  </si>
  <si>
    <t>Mai</t>
  </si>
  <si>
    <t>Janv</t>
  </si>
  <si>
    <t>Fev</t>
  </si>
  <si>
    <t>Mars</t>
  </si>
  <si>
    <t>Avr</t>
  </si>
  <si>
    <t>Juin</t>
  </si>
  <si>
    <t>Juil</t>
  </si>
  <si>
    <t>Août</t>
  </si>
  <si>
    <t>Sept</t>
  </si>
  <si>
    <t>Oct</t>
  </si>
  <si>
    <t>Nov</t>
  </si>
  <si>
    <t>Dec</t>
  </si>
  <si>
    <t>TOTAL DUREE ARRET EN JOURS</t>
  </si>
  <si>
    <t>TOTAL DES JOURS D'ARRET PAR MOIS :</t>
  </si>
  <si>
    <t>TOTAL AT</t>
  </si>
  <si>
    <t>TOTAL ATJ</t>
  </si>
  <si>
    <t>Moins de 20 ans</t>
  </si>
  <si>
    <t>20 à 24 ans</t>
  </si>
  <si>
    <t>25 à 29 ans</t>
  </si>
  <si>
    <t>30 à 34 ans</t>
  </si>
  <si>
    <t>35 à 39 ans</t>
  </si>
  <si>
    <t>50 à 54 ans</t>
  </si>
  <si>
    <t>55 à 59 ans</t>
  </si>
  <si>
    <t>Nombre de jours d'arrêt</t>
  </si>
  <si>
    <t>O</t>
  </si>
  <si>
    <t>N</t>
  </si>
  <si>
    <t>CLICHY</t>
  </si>
  <si>
    <t>Date</t>
  </si>
  <si>
    <t>Heure</t>
  </si>
  <si>
    <t>Entrée</t>
  </si>
  <si>
    <t>Matricule</t>
  </si>
  <si>
    <t>Affectation lors de l'AT</t>
  </si>
  <si>
    <t>Type d'entree</t>
  </si>
  <si>
    <t>Type</t>
  </si>
  <si>
    <t>Flag AT avec arrêt</t>
  </si>
  <si>
    <t>Flag AT. Bénin</t>
  </si>
  <si>
    <t>Nb Jours perdus total</t>
  </si>
  <si>
    <t>Dés. risque type ayant généré l'AT</t>
  </si>
  <si>
    <t>Design nature lésion</t>
  </si>
  <si>
    <t>Désign Famille siège</t>
  </si>
  <si>
    <t>Circonstances détaillées</t>
  </si>
  <si>
    <t>Horaire1</t>
  </si>
  <si>
    <t>Horaire4</t>
  </si>
  <si>
    <t>Réserves</t>
  </si>
  <si>
    <t>Date entretien de ré-accueil</t>
  </si>
  <si>
    <t>Décision SS</t>
  </si>
  <si>
    <t>104722</t>
  </si>
  <si>
    <t>LENGLART</t>
  </si>
  <si>
    <t>OLIVIER</t>
  </si>
  <si>
    <t>32868852</t>
  </si>
  <si>
    <t xml:space="preserve">MT CG PR    </t>
  </si>
  <si>
    <t>Autres risques</t>
  </si>
  <si>
    <t>Douleur</t>
  </si>
  <si>
    <t>Vertèbres</t>
  </si>
  <si>
    <t xml:space="preserve">l'agent déclare que lors de son trajet domicile travail son véhicule serait sorti de la route .Condit ions météo givrantes.                           </t>
  </si>
  <si>
    <t>104797</t>
  </si>
  <si>
    <t>EMEVILLE</t>
  </si>
  <si>
    <t>CHRISTOPHE</t>
  </si>
  <si>
    <t>32837833</t>
  </si>
  <si>
    <t xml:space="preserve">MT HB PR    </t>
  </si>
  <si>
    <t>Risques de chutes de plain-pied ( obstacles, sol glissant, petite marche,trou..)</t>
  </si>
  <si>
    <t>Hématome</t>
  </si>
  <si>
    <t>Jambes</t>
  </si>
  <si>
    <t xml:space="preserve">L'agent déclare avoir trébuché sur la barre de verrouillage en voulant fermer le capot Fan.                            </t>
  </si>
  <si>
    <t>Classement</t>
  </si>
  <si>
    <t>104782</t>
  </si>
  <si>
    <t>COPPRY</t>
  </si>
  <si>
    <t>CHRISTIAN</t>
  </si>
  <si>
    <t>32256944</t>
  </si>
  <si>
    <t>Risques liés aux contraintes physiques,à la manipulation, à la manutention manuelle</t>
  </si>
  <si>
    <t>Tronc</t>
  </si>
  <si>
    <t xml:space="preserve">L'agent déclare qu'il aurait ressenti une vive douleur au dos lors de la manipulation du banc et du ch angement de tenue de travail dans le vestiaire 1 du bâtiment 6430 au CMH.                          </t>
  </si>
  <si>
    <t>Acceptation</t>
  </si>
  <si>
    <t>104795</t>
  </si>
  <si>
    <t>WANG</t>
  </si>
  <si>
    <t>LEI</t>
  </si>
  <si>
    <t>42328776</t>
  </si>
  <si>
    <t xml:space="preserve">BLDPMSVL    </t>
  </si>
  <si>
    <t>Risques routiers et circulations ( voie, manoeuvre dangereuse,zone commune piéton/véhicule..)</t>
  </si>
  <si>
    <t>Entorse</t>
  </si>
  <si>
    <t xml:space="preserve">L'agent déclare qu'il se serait tordu la cheville en se faisant marchersur le pied pendant le spor t au gymnase.                            </t>
  </si>
  <si>
    <t>104805</t>
  </si>
  <si>
    <t xml:space="preserve">La personne déclare qu'elle s'est tordu la cheville en se faisant marcher sur le pied pendant le s port au gymnase.                            </t>
  </si>
  <si>
    <t>104836</t>
  </si>
  <si>
    <t>CALBET</t>
  </si>
  <si>
    <t>JEAN-MARIE</t>
  </si>
  <si>
    <t>31184890</t>
  </si>
  <si>
    <t xml:space="preserve">MT YH TA    </t>
  </si>
  <si>
    <t xml:space="preserve">L'agent déclare que moment où il aurait voulu s�engager sur la bretelle de l�autoroute a SAVIGNY/orge u ne voiture aurait  freine en début de file. .                           </t>
  </si>
  <si>
    <t>104819</t>
  </si>
  <si>
    <t>LE GRASSE</t>
  </si>
  <si>
    <t>JEAN PIERRE</t>
  </si>
  <si>
    <t>09143258</t>
  </si>
  <si>
    <t xml:space="preserve">L'agent déclare que en montant en soute avant sur le GSQK, son pied gauche aurait glissé sur une bille de plancher, réception sur la jambe droite avec claquement et douleurs en arrière de la jambe  .                           </t>
  </si>
  <si>
    <t>104884</t>
  </si>
  <si>
    <t>CHAUDE</t>
  </si>
  <si>
    <t>LAURENT</t>
  </si>
  <si>
    <t>33244021</t>
  </si>
  <si>
    <t>Risques liés aux chutes d'objets( stockage, palettier,objets empilés,toiture,..)</t>
  </si>
  <si>
    <t xml:space="preserve">L'agent déclare qu'il aurai ressenti une forte douleur abdominale en retenant un carton d'huile qui lu i aurait échappé des mains après l'avoir pris en haut de la palette sur le bac de récupération et stock age sous l'auvent.                         </t>
  </si>
  <si>
    <t>104933</t>
  </si>
  <si>
    <t>TARDITI</t>
  </si>
  <si>
    <t>YVAN</t>
  </si>
  <si>
    <t>07745852</t>
  </si>
  <si>
    <t xml:space="preserve">MT UD TE    </t>
  </si>
  <si>
    <t>Bras</t>
  </si>
  <si>
    <t xml:space="preserve">l'agent aurait glissé sur plaque de verglas sous un avion . situé sur les aires de parking.                            </t>
  </si>
  <si>
    <t>104961</t>
  </si>
  <si>
    <t>DAVOUST</t>
  </si>
  <si>
    <t>ROMAIN</t>
  </si>
  <si>
    <t>35653055</t>
  </si>
  <si>
    <t>Risques liés aux ambiances thermiques ( froid, chaud, espaces confinés..)</t>
  </si>
  <si>
    <t>Plaies (coupures)</t>
  </si>
  <si>
    <t>Tête</t>
  </si>
  <si>
    <t xml:space="preserve">L'AGENT DECLARE QUE LORS DU REMPLACEMENT DU FILTRE CARBURANT DU MOTEUR 2 DE L'AVION GRXD AU MOMENT  DE SE RELEVER IL AURAIT GLISSE SUR UNE PLAQUE DE PRODUIT ANTI-GIVRE ET AURAIT HEURTE LE CAPOT FAN AVEC SA TETE.                         </t>
  </si>
  <si>
    <t>105015</t>
  </si>
  <si>
    <t>QERQEB</t>
  </si>
  <si>
    <t>MUSTAPHA</t>
  </si>
  <si>
    <t>34339313</t>
  </si>
  <si>
    <t xml:space="preserve">L'agent déclare que : en sortant de son domicile pour se rendre sur son lieu de travail, il aurait glis sé sur une plaque de verglas et se serait tordu le genou. Il se serait alors rendu aux urgences.                          </t>
  </si>
  <si>
    <t>N'A PAS DE DÉTAIL POUR LE MOM</t>
  </si>
  <si>
    <t>BARRAL</t>
  </si>
  <si>
    <t>PATRICK</t>
  </si>
  <si>
    <t xml:space="preserve">MT HB QO    </t>
  </si>
  <si>
    <t>Risques de chutes de hauteur et dénivelé (quai,escalier,fosses,escabeau..)</t>
  </si>
  <si>
    <t xml:space="preserve">L agent déclare qu'en montant des lots de bords sur un vol il aurait raté une  marche de  la passerelle et aurait ressenti une douleur au genou droit   .                          </t>
  </si>
  <si>
    <t>104988</t>
  </si>
  <si>
    <t>GIRARD</t>
  </si>
  <si>
    <t>XAVIER</t>
  </si>
  <si>
    <t>31113859</t>
  </si>
  <si>
    <t xml:space="preserve">L'agent déclare que: Lors de la préparation d'un dépannage&lt;(&gt;,&lt;)&gt; à la recherche d'un torquemètre a u magasin outillage, au moment où il se serait relevé, il aurait ressenti une douleur, le genou droit se serait  bloqué et il aurait craqué.                         </t>
  </si>
  <si>
    <t>105175</t>
  </si>
  <si>
    <t>BUFFET</t>
  </si>
  <si>
    <t>VINCENT</t>
  </si>
  <si>
    <t>34632232</t>
  </si>
  <si>
    <t>Risques liés aux agents chimiques (par contact direct, par inhalation, par ingestion)</t>
  </si>
  <si>
    <t>Inflammation</t>
  </si>
  <si>
    <t>Yeux</t>
  </si>
  <si>
    <t xml:space="preserve">L'agent déclare qu'en ouvrant un capot moteur pendant une averse  il aurait reçu dans les yeux du liqui de irritant ( certainement un mélange eau liquide de dégivrage)                           </t>
  </si>
  <si>
    <t>105156</t>
  </si>
  <si>
    <t>RAPIN</t>
  </si>
  <si>
    <t>CLAUDE</t>
  </si>
  <si>
    <t>08977853</t>
  </si>
  <si>
    <t xml:space="preserve">MT YC PR    </t>
  </si>
  <si>
    <t xml:space="preserve">"L'agent déclare qu'en sortant de la soute vrac il aurait glissé sur le seuil de porte et serait tombé sur l'e scabeau.                           </t>
  </si>
  <si>
    <t>105130</t>
  </si>
  <si>
    <t>DABRIOU</t>
  </si>
  <si>
    <t>PHILIPPE</t>
  </si>
  <si>
    <t>15991155</t>
  </si>
  <si>
    <t>Mains</t>
  </si>
  <si>
    <t xml:space="preserve">L'agent déclare qu'en desserrant une tuyauterie d'extinction soute dans les plafonds de la soute a vant , l'agent aurait ressenti une vive douleur au poignet gauche .                           </t>
  </si>
  <si>
    <t>105312</t>
  </si>
  <si>
    <t>JULLIAN</t>
  </si>
  <si>
    <t>JEROME</t>
  </si>
  <si>
    <t>15713592</t>
  </si>
  <si>
    <t xml:space="preserve">L'agent déclare qu' il se serait cogné le front en montant sur un moteur .                            </t>
  </si>
  <si>
    <t>105290</t>
  </si>
  <si>
    <t>ROY</t>
  </si>
  <si>
    <t>32255429</t>
  </si>
  <si>
    <t xml:space="preserve">L'agent déclare qu'il aurait glissé en sortant de sa voiture sur une plaque de verglas.                            </t>
  </si>
  <si>
    <t>105411</t>
  </si>
  <si>
    <t>DA COSTA</t>
  </si>
  <si>
    <t>15497970</t>
  </si>
  <si>
    <t xml:space="preserve">MT CA SU    </t>
  </si>
  <si>
    <t>Ecrasement</t>
  </si>
  <si>
    <t xml:space="preserve">L'agent déclare que lors du rangement le long d'un mur d'une table roulante, celle- ci aurait pris de l a vitesse et par inertie serait venu coincer la main gauche entre la table et le mur.                          </t>
  </si>
  <si>
    <t>105561</t>
  </si>
  <si>
    <t>KOITA</t>
  </si>
  <si>
    <t>DJIBRIL</t>
  </si>
  <si>
    <t>40397365</t>
  </si>
  <si>
    <t xml:space="preserve">MT QJ       </t>
  </si>
  <si>
    <t>Autre lésions</t>
  </si>
  <si>
    <t xml:space="preserve">L'agent déclare qu'il aurait déplacé un avion qui aurait subit une fumigation non ventilée .                            </t>
  </si>
  <si>
    <t>LES PREMIERS ÉLÉMENTS SONT CO</t>
  </si>
  <si>
    <t>105516</t>
  </si>
  <si>
    <t>JARDINET</t>
  </si>
  <si>
    <t>JEAN-PAUL</t>
  </si>
  <si>
    <t>09091425</t>
  </si>
  <si>
    <t>Contusion</t>
  </si>
  <si>
    <t xml:space="preserve">L'agent aurait ressenti une douleur sur la phalange de la main droite suite à un choc lors de la  manipulation de la porte cokpit.                           </t>
  </si>
  <si>
    <t>105565</t>
  </si>
  <si>
    <t>VASSEUR</t>
  </si>
  <si>
    <t>EMELINE</t>
  </si>
  <si>
    <t>42333628</t>
  </si>
  <si>
    <t xml:space="preserve">BLDPUDRY    </t>
  </si>
  <si>
    <t xml:space="preserve">l'agent déclare qu'après être descendue du bus elle aurait remontée la rue qui était inondée et bloquée  par la police à cause du verglas. Elle déclare avoir glissé en arrière sur un terre plein.                          </t>
  </si>
  <si>
    <t>Rejet</t>
  </si>
  <si>
    <t>105564</t>
  </si>
  <si>
    <t>SERVANT</t>
  </si>
  <si>
    <t>JEAN PHILIPPE</t>
  </si>
  <si>
    <t>40083632</t>
  </si>
  <si>
    <t xml:space="preserve">MT ME CI    </t>
  </si>
  <si>
    <t xml:space="preserve">L'agent aurait glissé sur les 3 premières marches de la passerelle en quittant l'avion. En glissant il aurait ressenti une douleur dans le genou gauche. .                           </t>
  </si>
  <si>
    <t>105570</t>
  </si>
  <si>
    <t>BAZIN</t>
  </si>
  <si>
    <t>ANTOINE</t>
  </si>
  <si>
    <t>42326049</t>
  </si>
  <si>
    <t>Traumatisme</t>
  </si>
  <si>
    <t xml:space="preserve">L'agent déclare qu'alors qu'il prenait sa voiture après sa vacation, il aurait ouvert la portière, mais  la clé serait restée coincée dans la serrure, et pendant qu'il forçait pour la retirer, la portièr e se serait refermée sur son doigt. .                         </t>
  </si>
  <si>
    <t>107489</t>
  </si>
  <si>
    <t>PERRET</t>
  </si>
  <si>
    <t>PASCAL</t>
  </si>
  <si>
    <t>34338202</t>
  </si>
  <si>
    <t xml:space="preserve">MT HB SL    </t>
  </si>
  <si>
    <t>Commotion</t>
  </si>
  <si>
    <t xml:space="preserve">L'agent déclare qu'il y aurait eu une collision avec un autre véhicule lors de son trajet vers son domicile.                            </t>
  </si>
  <si>
    <t>105667</t>
  </si>
  <si>
    <t>BOUYAT</t>
  </si>
  <si>
    <t>FRANCOIS</t>
  </si>
  <si>
    <t>34706596</t>
  </si>
  <si>
    <t>Brûlure, morsure</t>
  </si>
  <si>
    <t xml:space="preserve">L'agent suite au déplacement sur une SOVAM du point EN21 vers le hangar aurait ressenti une forte gêne à l'Sil droit comme une brûlure.                           </t>
  </si>
  <si>
    <t>105637</t>
  </si>
  <si>
    <t>JUY</t>
  </si>
  <si>
    <t>SEBASTIEN</t>
  </si>
  <si>
    <t>31002210</t>
  </si>
  <si>
    <t xml:space="preserve">MT CC PR    </t>
  </si>
  <si>
    <t xml:space="preserve">L'agent déclare que durant un prélèvement d'une plaque support joint de porte train Av, il aurait marc hé sur un tuyau, ce qui aurait provoqué une violente douleur au genoux gauche.                          </t>
  </si>
  <si>
    <t>105721</t>
  </si>
  <si>
    <t>GARCIA</t>
  </si>
  <si>
    <t>13490979</t>
  </si>
  <si>
    <t xml:space="preserve">MT QX PP    </t>
  </si>
  <si>
    <t xml:space="preserve">L'agent déclare que suite à une perte de connaissance, il aurait chuté. Il aurait été réveillé par les servi ces  d'urgence avec une forte douleur à la cheville gauche et au niveau du genou gauche.                          </t>
  </si>
  <si>
    <t>106099</t>
  </si>
  <si>
    <t>HAMDANI</t>
  </si>
  <si>
    <t>NABIL</t>
  </si>
  <si>
    <t>40216907</t>
  </si>
  <si>
    <t xml:space="preserve">L'agent déclare avoir chuté en scooter lorsqu'il aurait abordé le virage de la route de l'arpenteur dir ection de l'entrée zone entretien vers Goussainville. à hauteur des nouveaux  bâtiments AF.                          </t>
  </si>
  <si>
    <t>FOULNY</t>
  </si>
  <si>
    <t>NORBERT</t>
  </si>
  <si>
    <t xml:space="preserve">L�agent aurait perdu le contrôle de son véhicule sur chaussée verglacée.                             </t>
  </si>
  <si>
    <t>105773</t>
  </si>
  <si>
    <t>JAULIN</t>
  </si>
  <si>
    <t>35741971</t>
  </si>
  <si>
    <t xml:space="preserve">MT IA AV    </t>
  </si>
  <si>
    <t xml:space="preserve">l'agent déclare que, la chute s'est produite le 27-jan-15 vers 7H45  lors mon départ pour le travail  exactement  à la sortie de ma maison en direction de ma voiture .le verglas est la cause.                           </t>
  </si>
  <si>
    <t>105696</t>
  </si>
  <si>
    <t>RAGON</t>
  </si>
  <si>
    <t>STEPHANE</t>
  </si>
  <si>
    <t>13468145</t>
  </si>
  <si>
    <t xml:space="preserve">MT IA ME    </t>
  </si>
  <si>
    <t xml:space="preserve">L'agent déclare qu'il est tombé dans son escalier extérieur en rejoignant son véhicule, à cause de la pluie verglaçante qui l'a rendu glissant.                           </t>
  </si>
  <si>
    <t>NIL.</t>
  </si>
  <si>
    <t>105759</t>
  </si>
  <si>
    <t>BABOUDJIAN</t>
  </si>
  <si>
    <t>KRIKOR</t>
  </si>
  <si>
    <t>34338101</t>
  </si>
  <si>
    <t xml:space="preserve">L'agent déclare qu'en descendant l'escalier de la passerelle ( 1ère marche )i l se serait tordu le pied droit.                           </t>
  </si>
  <si>
    <t>105909</t>
  </si>
  <si>
    <t>MICHEL</t>
  </si>
  <si>
    <t>JEAN-LUC</t>
  </si>
  <si>
    <t>13639513</t>
  </si>
  <si>
    <t xml:space="preserve">MT CA PR    </t>
  </si>
  <si>
    <t xml:space="preserve">L'agent déclare qu' en descendant d'un véhicule il se serait tordu la cheville droite dans un trou .                            </t>
  </si>
  <si>
    <t>105922</t>
  </si>
  <si>
    <t>RAFFANEL</t>
  </si>
  <si>
    <t>AURELIEN</t>
  </si>
  <si>
    <t>33843502</t>
  </si>
  <si>
    <t xml:space="preserve">L'agent déclare qu'il se serait tordu le poignet lors du branchement del'alimentation en eau potab le du banc d'ozone lors de la désinfection d'un vol.                            </t>
  </si>
  <si>
    <t>105944</t>
  </si>
  <si>
    <t>MAYSONNABE</t>
  </si>
  <si>
    <t>ALAIN</t>
  </si>
  <si>
    <t>15993175</t>
  </si>
  <si>
    <t xml:space="preserve">MT YC SU    </t>
  </si>
  <si>
    <t xml:space="preserve">L'agent déclare qu�au moment de son passage, une voiture serait sortie de sa droite de la zone de stationnement. Il n'aurait pas réussi à l'éviter. Il aurait percuté la voiture de face.                           </t>
  </si>
  <si>
    <t>105937</t>
  </si>
  <si>
    <t>KALMES</t>
  </si>
  <si>
    <t>ADRIEN</t>
  </si>
  <si>
    <t>41296031</t>
  </si>
  <si>
    <t xml:space="preserve">MT CG PW    </t>
  </si>
  <si>
    <t xml:space="preserve">L'agent déclare que lors de l'intervention sur le moteur 2 du F-GSQH, en démontant un allumeur gri ppé, celui-ci se serait desserré d'un coup entrainant l'écrasement de l'auriculaire gauche.                          </t>
  </si>
  <si>
    <t>105936</t>
  </si>
  <si>
    <t>LE MERCIER</t>
  </si>
  <si>
    <t>09302401</t>
  </si>
  <si>
    <t xml:space="preserve">MT JK PR    </t>
  </si>
  <si>
    <t xml:space="preserve">L'agent déclare avoir perdu le contrôle de son véhicule dans un virage de manière soudaine.la chaussée était humide. le véhicule était équipé de deux pneus neufs à l'avant et de pneus en état à l'arrière.                           </t>
  </si>
  <si>
    <t>105928</t>
  </si>
  <si>
    <t>LELONG</t>
  </si>
  <si>
    <t>ANTHONY</t>
  </si>
  <si>
    <t>40692611</t>
  </si>
  <si>
    <t>Troubles visuels</t>
  </si>
  <si>
    <t xml:space="preserve">L'agent déclare qu'il aurait reçu une poussière dans l'Sil gauche en passant la porte battante simple entre le h1-3 et le h1-2 après avoir badgé en arrivant au h1-3.                           </t>
  </si>
  <si>
    <t>105996</t>
  </si>
  <si>
    <t>MOREL</t>
  </si>
  <si>
    <t>35100761</t>
  </si>
  <si>
    <t xml:space="preserve">L'agent déclare que² au cours d'une intervention technique consistant à vérifier les panneaux de décompression du poste repos équipage A380, il aurait glissé sur la 1ère marche de l'escalier du PRE, et aurait chuté jusqu'au sol d'une hauteur de 1m50 environ.                          </t>
  </si>
  <si>
    <t>106038</t>
  </si>
  <si>
    <t>SEMBINELLI</t>
  </si>
  <si>
    <t>ERIC</t>
  </si>
  <si>
    <t>08946935</t>
  </si>
  <si>
    <t xml:space="preserve">L'agent aurait ressenti une très violente douleur au dos au moment de se redresser après un e intervention sous le GTR.                           </t>
  </si>
  <si>
    <t>106078</t>
  </si>
  <si>
    <t>ABATE</t>
  </si>
  <si>
    <t>34503203</t>
  </si>
  <si>
    <t xml:space="preserve">l'agent déclare que en descendant la passerelle auto -tracté il aurait raté la dernière marche et en se réceptionnant au sol , il aurait ressenti une vive douleur au bas du dos.                           </t>
  </si>
  <si>
    <t>106183</t>
  </si>
  <si>
    <t>GUISSOUS</t>
  </si>
  <si>
    <t>ABDESSELAM</t>
  </si>
  <si>
    <t>35085102</t>
  </si>
  <si>
    <t xml:space="preserve">2 ème DAT suite information du manager qui nous informe que l'AT a eu lieu le 04 février et non le 05: L'agent déclare avoir eu un accident de voiture. Collision à un carrefour dans Paris en rentrant du travail à son domicile.                          </t>
  </si>
  <si>
    <t>INFORMATION SUCCINCTES DE L'AG</t>
  </si>
  <si>
    <t>106019</t>
  </si>
  <si>
    <t>MARNIER</t>
  </si>
  <si>
    <t>PATRICE</t>
  </si>
  <si>
    <t>13467640</t>
  </si>
  <si>
    <t xml:space="preserve">L'agent déclare qu'il aurait chuté alors qu'il était sur la porte TP droite du F-GZCK en train de faire une inspection zonale. Son pied aurait accroché une ferrure et il serait tombé au sol en se recevant sur le coté de la cheville gauche ainsi que le bras gauche .                          </t>
  </si>
  <si>
    <t>106049</t>
  </si>
  <si>
    <t>LAFAYE</t>
  </si>
  <si>
    <t>GAETAN</t>
  </si>
  <si>
    <t>34343858</t>
  </si>
  <si>
    <t xml:space="preserve">l'agent déclare que lors de l'accès a la trappe électronique de l'avion F-GZNS en F03 il se serait heurté violemment le genou gauche sur l'encadrement de la porte .   .                           </t>
  </si>
  <si>
    <t>NON .</t>
  </si>
  <si>
    <t>106034</t>
  </si>
  <si>
    <t>FONTANILLE</t>
  </si>
  <si>
    <t>DAVID</t>
  </si>
  <si>
    <t>32838742</t>
  </si>
  <si>
    <t xml:space="preserve">MT HB QU    </t>
  </si>
  <si>
    <t xml:space="preserve">L'agent déclare qu'il s'est pris les pieds dans le paillasson en entrant dans son bâtiment, il aurait glissé car ses semelles étaient mouillées. Il se serait heurté le genou gauche en tombant sur le sol. .                          </t>
  </si>
  <si>
    <t>106122</t>
  </si>
  <si>
    <t>LAUNAY</t>
  </si>
  <si>
    <t>MARC</t>
  </si>
  <si>
    <t>15010950</t>
  </si>
  <si>
    <t xml:space="preserve">l'agent déclare qu'en montant dans un engin de piste sa tête aurait heurté le rail de la porte coulissante. .                           </t>
  </si>
  <si>
    <t>106194</t>
  </si>
  <si>
    <t>ANDRE</t>
  </si>
  <si>
    <t>40430509</t>
  </si>
  <si>
    <t xml:space="preserve">L'agent déclare qu'il aurait ressenti une douleur dans le bas du dos lorsqu'il aurait soulevé une trappe aus ol en fonte (alimentation 400Hz), au H2 en préparation d'un déplacement avion. La douleur aurait persis té lors du rangement du câble 400Hz.                         </t>
  </si>
  <si>
    <t>106223</t>
  </si>
  <si>
    <t>DUFOUR</t>
  </si>
  <si>
    <t>QUENTIN</t>
  </si>
  <si>
    <t>42347671</t>
  </si>
  <si>
    <t xml:space="preserve">BLDPMSLB    </t>
  </si>
  <si>
    <t xml:space="preserve">L'agent déclare qu'en arrivant sur un rond point il n'aurait pas eu le temps de freiner suffisamment tôt pour éviter de percuter un motard qui le précédait.                           </t>
  </si>
  <si>
    <t>AUCUNE RÉSERVE.</t>
  </si>
  <si>
    <t>106176</t>
  </si>
  <si>
    <t>GARCON</t>
  </si>
  <si>
    <t>FRANCK</t>
  </si>
  <si>
    <t>09008064</t>
  </si>
  <si>
    <t xml:space="preserve">l'agent déclare que en enlevant la prise du cable 400hz gpu sur le 777 f-gsqn il aurait ressenti une vive douleur dans l'épaule .                            </t>
  </si>
  <si>
    <t>106277</t>
  </si>
  <si>
    <t>CANARD</t>
  </si>
  <si>
    <t>DIDIER</t>
  </si>
  <si>
    <t>13605359</t>
  </si>
  <si>
    <t xml:space="preserve">L'agent déclare que en se déplaçant en soute électronique, il aurait heurté avec son crâne, un support fixé sur une poutre de plancher. L'agent portait un bonnet car les températures extérieurs étaient très basses.                         </t>
  </si>
  <si>
    <t>106253</t>
  </si>
  <si>
    <t>MORICEAU</t>
  </si>
  <si>
    <t>13475118</t>
  </si>
  <si>
    <t xml:space="preserve">en refermant la porte du vehicule de service.il se serait coince l'index droit.                            </t>
  </si>
  <si>
    <t>106318</t>
  </si>
  <si>
    <t>LANDAS</t>
  </si>
  <si>
    <t>JEAN-MARC</t>
  </si>
  <si>
    <t>15521717</t>
  </si>
  <si>
    <t xml:space="preserve">L'agent déclare que sa tête aurait percuté le volet de sortie de l'Out Flow Valve du F-GTAT, alors qu'il se trouvait sur le camion servicing toilette pour faire un essai de vidange.                           </t>
  </si>
  <si>
    <t>106403</t>
  </si>
  <si>
    <t>LANNAUD</t>
  </si>
  <si>
    <t>MICKAEL</t>
  </si>
  <si>
    <t>34344060</t>
  </si>
  <si>
    <t xml:space="preserve">L 'agent déclare qu'en voulant dépanner un repose pied d'un  siège passager il se serait fait écraser le doigt par une pièce avion.                            </t>
  </si>
  <si>
    <t>106527</t>
  </si>
  <si>
    <t>LEFEVRE</t>
  </si>
  <si>
    <t>LUDOVIC</t>
  </si>
  <si>
    <t>41197213</t>
  </si>
  <si>
    <t xml:space="preserve">L'agent déclare que en ouvrant les portes d'accès a l'engin de piste, inquiété par des cris provena nt de l'avant et du sol, il se serait brusquement retourné et aurait percuté avec le front la porte d'acc ès lgt batterie APU.                         </t>
  </si>
  <si>
    <t>106562</t>
  </si>
  <si>
    <t>MANASSE</t>
  </si>
  <si>
    <t>DJEYENDIRANE</t>
  </si>
  <si>
    <t>14457444</t>
  </si>
  <si>
    <t xml:space="preserve">L'agent déclare qu'après la manutention de colis en zone Gros Volume du CMH (caisse Siège PNT), il aurait ressenti une violente douleur au dos --&gt; lombalgie.                           </t>
  </si>
  <si>
    <t>106626</t>
  </si>
  <si>
    <t>DESMEULES</t>
  </si>
  <si>
    <t>13495932</t>
  </si>
  <si>
    <t xml:space="preserve">L'agent déclare que lors du remplacement du train d'atterrissage gauche de l'avion immatriculé F-ONOU, il aurait eu recours à l'utilisation d'une grosse cale en bois pour sortir l'axe central du boggie .                          </t>
  </si>
  <si>
    <t>MIENAGATA</t>
  </si>
  <si>
    <t>AURCHINY</t>
  </si>
  <si>
    <t xml:space="preserve">L'agent déclare dans un courrier adressé le 30/05/2017 à son Manager qu'il souhaitait que nous reconnaissions son arrêt maladie du 23/02/2017 en arrêt de travail. Aucune circonstance de temps de lieu et la cause n'ont été décrites par notre salarié.                          </t>
  </si>
  <si>
    <t>UNE LETTRE DE RÉSERVES A ÉTÉ</t>
  </si>
  <si>
    <t>106606</t>
  </si>
  <si>
    <t>IDER</t>
  </si>
  <si>
    <t>ABDELAZIZ</t>
  </si>
  <si>
    <t>34088426</t>
  </si>
  <si>
    <t xml:space="preserve">L'agent déclare que lors du passage de la barre de seuil dans le couloir aux 3 étages au niveau du bureau administratif de la cantine, il se serait tordu la cheville du pied droit. Passage a l�infirmerie Orly Ouest.                          </t>
  </si>
  <si>
    <t>106661</t>
  </si>
  <si>
    <t>STOCLET</t>
  </si>
  <si>
    <t>JACKY</t>
  </si>
  <si>
    <t>15495041</t>
  </si>
  <si>
    <t xml:space="preserve">L'AGENT DECLARE QUE LA PORTE DE SOUTE ELECTRONIQUE SERAIT RETOMBEE SECTIONNANT SON POUCE GAUCHE.                            </t>
  </si>
  <si>
    <t>106727</t>
  </si>
  <si>
    <t>ESNAULT</t>
  </si>
  <si>
    <t>MAXIME</t>
  </si>
  <si>
    <t>42127096</t>
  </si>
  <si>
    <t xml:space="preserve">BLDPMMOR    </t>
  </si>
  <si>
    <t xml:space="preserve">L'apprenti déclare qu'en cours de sport , en jouant au football, il se serait la cheville d roite.                           </t>
  </si>
  <si>
    <t>106718</t>
  </si>
  <si>
    <t>GROULT</t>
  </si>
  <si>
    <t>NICOLAS</t>
  </si>
  <si>
    <t>35103993</t>
  </si>
  <si>
    <t>Risques liés aux moyens de manutention mécanique ( palan, transpalette,,,)</t>
  </si>
  <si>
    <t xml:space="preserve">L'agent déclare que le palan de la chaine aurait heurté sa main gauche. C'est pendant l'installation du  vérin de relevage du train droit que la corde aurait cédé, ce qui aurait provoqué le basculement d u palan à chaine qui est venu finir sa course sur sa main.                         </t>
  </si>
  <si>
    <t>GRAND</t>
  </si>
  <si>
    <t>CYRIL</t>
  </si>
  <si>
    <t xml:space="preserve">L�agent déclare qu�en voulant prendre le rond-point situe entre  Vémars et Mauregard un véhicule était engagé en sens inverse. . L�agent a donc dû traverser le rond-point tout droit pour finir dans les champs.                           </t>
  </si>
  <si>
    <t>106762</t>
  </si>
  <si>
    <t>LEBOSSE</t>
  </si>
  <si>
    <t>32045463</t>
  </si>
  <si>
    <t xml:space="preserve">l' agent declare qu' il se serait fait coincrt l' index droit par un outillage moteur lors de la depose gtr4 sur le F-HPJD.                            </t>
  </si>
  <si>
    <t>107148</t>
  </si>
  <si>
    <t>DUPUY</t>
  </si>
  <si>
    <t>MATHILDE</t>
  </si>
  <si>
    <t>42324433</t>
  </si>
  <si>
    <t xml:space="preserve">"L'agent déclare: j'ai glissé en sortant de la douche à l'internat à 22h."                             </t>
  </si>
  <si>
    <t>107096</t>
  </si>
  <si>
    <t>LEFEBVRE</t>
  </si>
  <si>
    <t>15502115</t>
  </si>
  <si>
    <t xml:space="preserve">MT QP       </t>
  </si>
  <si>
    <t>Malaises</t>
  </si>
  <si>
    <t xml:space="preserve">L'agent aurait eu un malaise avec  incapacité de se déplacer.                             </t>
  </si>
  <si>
    <t>NON.</t>
  </si>
  <si>
    <t>106867</t>
  </si>
  <si>
    <t>MARTINEZ</t>
  </si>
  <si>
    <t>33498342</t>
  </si>
  <si>
    <t>Rougeur / Eruption</t>
  </si>
  <si>
    <t xml:space="preserve">L'agent déclare qu'il aurait constaté en fin de vacation la présence de bouton sur son corps.                            </t>
  </si>
  <si>
    <t>L'AGENT N'A PAS DÉCLARÉ SON É</t>
  </si>
  <si>
    <t>106866</t>
  </si>
  <si>
    <t>GIL</t>
  </si>
  <si>
    <t>35020131</t>
  </si>
  <si>
    <t xml:space="preserve">L'agent déclare que lors de la descente de l'escalier du H21-2 pour aller au vestiaire chercher son repas ,il se serait tordu la cheville gauche.                           </t>
  </si>
  <si>
    <t>106894</t>
  </si>
  <si>
    <t>BILLET</t>
  </si>
  <si>
    <t>41303812</t>
  </si>
  <si>
    <t xml:space="preserve">l'agent déclare que, suite a un début de chute dans un escalier et , en voulant se rattraper il aurait loupé une marche et aurait ressenti une douleur au genou gauche.                           </t>
  </si>
  <si>
    <t>107021</t>
  </si>
  <si>
    <t>AVRILA</t>
  </si>
  <si>
    <t>RODRIGUE</t>
  </si>
  <si>
    <t>33268067</t>
  </si>
  <si>
    <t xml:space="preserve">L'agent déclare qu'il s'est coincé le doigt entre le câble et le logement du câble lors de son ran gement.                            </t>
  </si>
  <si>
    <t>106997</t>
  </si>
  <si>
    <t>LIOTTIN</t>
  </si>
  <si>
    <t>MATTHIEU</t>
  </si>
  <si>
    <t>35104603</t>
  </si>
  <si>
    <t xml:space="preserve">L'agent déclare que lors de l'utilisation d'un outil pneumatique, type set X, pour l'extraction d'un axe grippé, l'outil aurait ripé venant heurter la main droite entre le pouce et l'index.                           </t>
  </si>
  <si>
    <t>107097</t>
  </si>
  <si>
    <t>FAVRE</t>
  </si>
  <si>
    <t>GREGORY</t>
  </si>
  <si>
    <t>33443475</t>
  </si>
  <si>
    <t xml:space="preserve">L'agent déclare qu'en reposant l'IDG du GTR2 du F-GUGC, il se serait coincé le doigt avec le cliquet d e la sangle de l'outillage dépose/repose IDG. .                           </t>
  </si>
  <si>
    <t>107049</t>
  </si>
  <si>
    <t>ROQUE</t>
  </si>
  <si>
    <t>09385455</t>
  </si>
  <si>
    <t xml:space="preserve">l'agent déclare qu'en descendant l'escabeau dans le sens normal, son pied droit aurait glissé sur l'avant dernière marche de l'escabeau .cette marche était déformée au bord d'attaque. vive douleur ressentie au genou droit.                          </t>
  </si>
  <si>
    <t>107218</t>
  </si>
  <si>
    <t>COHEN</t>
  </si>
  <si>
    <t>35261015</t>
  </si>
  <si>
    <t xml:space="preserve">MT YC AD    </t>
  </si>
  <si>
    <t xml:space="preserve">L'agent déclare qu'au niveau du feu tricolore situé à l'intersection de la rue des Mares Juliennes à Chilly Mazarin et la route de Wissous, il aurait  percuté un camion devant lui. .                           </t>
  </si>
  <si>
    <t>107301</t>
  </si>
  <si>
    <t xml:space="preserve">L'agent déclare qu' en voulant extraire un composant de la piècemaitresse par choc répétés, il aur ait ressenti une douleur à l'intérieurde la main droite  .                            </t>
  </si>
  <si>
    <t>107302</t>
  </si>
  <si>
    <t>BONNEAU</t>
  </si>
  <si>
    <t>02767732</t>
  </si>
  <si>
    <t xml:space="preserve">L'agent déclare qu'il aurait été pris d'un étourdissement accompagnée d'une perte d'équilibre  .                            </t>
  </si>
  <si>
    <t>L'AGENT, EN ARRIVANT, SE SENT</t>
  </si>
  <si>
    <t>107412</t>
  </si>
  <si>
    <t>PASQUIER</t>
  </si>
  <si>
    <t>YVES</t>
  </si>
  <si>
    <t>15706320</t>
  </si>
  <si>
    <t xml:space="preserve">L'agent déclare avoir fait plusieurs tonneaux avec son véhicule alors qu'il retournait à son domicile après le travail. . Il a été pris en charge par les pompiers de Pont-Sainte-Maxence pour examens complémentaires.                          </t>
  </si>
  <si>
    <t>107372</t>
  </si>
  <si>
    <t>ETORE</t>
  </si>
  <si>
    <t>34341535</t>
  </si>
  <si>
    <t xml:space="preserve">L AGENT DECLARE QUE LORS DE LA PRESSURISATION MANUELLE DU RESERVOIR DE KATHON,A L AIDE DE LA POIRE  UNE DES TUYAUTERIE SE SERAIT DECONNECTEE ET L AURAIT ASPERGE AU VISAGE ET AUX YEUX.                          </t>
  </si>
  <si>
    <t>107374</t>
  </si>
  <si>
    <t>DANTON</t>
  </si>
  <si>
    <t>32794686</t>
  </si>
  <si>
    <t xml:space="preserve">L AGENT DECLARE QU'EN VOULANT RAMASSER SON STYLO SOUS UN SIEGE ,SON FLANC GAUCHE AURAIT APPUYE FORTEM ENT SUR L ACCOUDOIR DU SIEGE PASSAGER.                           </t>
  </si>
  <si>
    <t>107392</t>
  </si>
  <si>
    <t>LEBON</t>
  </si>
  <si>
    <t>ARNAUD</t>
  </si>
  <si>
    <t>35653762</t>
  </si>
  <si>
    <t>Déchirures musculaires</t>
  </si>
  <si>
    <t xml:space="preserve">L'agent déclare qu'assis en poussant un tuyau (conduit pneumatique )à bout de bras , aurait ressenti une forte douleur dan s le bas du dos.                           </t>
  </si>
  <si>
    <t>107446</t>
  </si>
  <si>
    <t>LE BEC</t>
  </si>
  <si>
    <t>09066163</t>
  </si>
  <si>
    <t>Luxation</t>
  </si>
  <si>
    <t xml:space="preserve">L'agent déclare qu il se serait tordu le pied gauche. devant la zone gros volume en marchant sur la grille de récupération d'eau pluviale.                            </t>
  </si>
  <si>
    <t>107500</t>
  </si>
  <si>
    <t>FAUGERE</t>
  </si>
  <si>
    <t>40462235</t>
  </si>
  <si>
    <t xml:space="preserve">L'agent déclare qu'il aurait chuté entre la sortie du hangar H1 côté nord et le passage piéton côté BER  en direction de son lieu de travail ( bâtiment 4410 ).                           </t>
  </si>
  <si>
    <t>NOUS ÉMETTONS UNE RÉSERVE SUI</t>
  </si>
  <si>
    <t>107605</t>
  </si>
  <si>
    <t xml:space="preserve">L'agent déclare qu'il se serait coupé le cuir chevelu en passant sous le capot GTR FTR droit .                            </t>
  </si>
  <si>
    <t>AUCUNE.</t>
  </si>
  <si>
    <t>107587</t>
  </si>
  <si>
    <t>MIDOL MONNET</t>
  </si>
  <si>
    <t>30452643</t>
  </si>
  <si>
    <t>Lésions multiples</t>
  </si>
  <si>
    <t xml:space="preserve">L'agent déclare qu'il aurait glissé avec sa moto pour éviter une voiture qui sortait d'un parking.                            </t>
  </si>
  <si>
    <t>107610</t>
  </si>
  <si>
    <t>MARTINS</t>
  </si>
  <si>
    <t>32835510</t>
  </si>
  <si>
    <t xml:space="preserve">L'agent déclare qu'en descendant de l'escabeau il aurait ressenti une douleur au genou droit.                            </t>
  </si>
  <si>
    <t>107663</t>
  </si>
  <si>
    <t>HALLIEZ</t>
  </si>
  <si>
    <t>40231253</t>
  </si>
  <si>
    <t xml:space="preserve">L'agent déclare qu'en manipulant une glace coulissante afin de procéder à son remplacement(environ 60 kgs) il aurtait ressenti une douleur dans la phalange de l'index droit. .                          </t>
  </si>
  <si>
    <t>107672</t>
  </si>
  <si>
    <t>BOURGEOIS</t>
  </si>
  <si>
    <t>08325933</t>
  </si>
  <si>
    <t xml:space="preserve">Cette DAT annule et remplace celle du 300317 suite erreur sur la date de l'AT(20 mars au lieu du 27 mars) :l' agent déclare s' être fait agresser suite au blocage de sa voiture par 2 individus.                           </t>
  </si>
  <si>
    <t>107671</t>
  </si>
  <si>
    <t>ANTHEAUME</t>
  </si>
  <si>
    <t>RENAUD</t>
  </si>
  <si>
    <t>35578283</t>
  </si>
  <si>
    <t xml:space="preserve">l' agent declare que pendant la manipulation du slide raft M4R ,il aurait ressenti une vive douleur dans le bas du dos.                            </t>
  </si>
  <si>
    <t>107651</t>
  </si>
  <si>
    <t>LAUTRU</t>
  </si>
  <si>
    <t>15777452</t>
  </si>
  <si>
    <t xml:space="preserve">L�agent déclare qu�en ouvrant une trappe en fonte afin de ranger un câble dans une fosse il  aurait senti  une forte douleur dans le bas du dos côté gauche.                           </t>
  </si>
  <si>
    <t>107640</t>
  </si>
  <si>
    <t>DELAMARRE</t>
  </si>
  <si>
    <t>HERVE</t>
  </si>
  <si>
    <t>13024066</t>
  </si>
  <si>
    <t xml:space="preserve">BODKI       </t>
  </si>
  <si>
    <t xml:space="preserve">L'agent déclare s'être cogné la tête sur une attache de capot moteur lors de son intervention suite à appel équipage.                            </t>
  </si>
  <si>
    <t>107748</t>
  </si>
  <si>
    <t>BERTRAND</t>
  </si>
  <si>
    <t>13931119</t>
  </si>
  <si>
    <t xml:space="preserve">L'agent déclare avoir reçu du skydrol lors du complément de niveau hydraulique.                             </t>
  </si>
  <si>
    <t>107679</t>
  </si>
  <si>
    <t>BENSALEM</t>
  </si>
  <si>
    <t>NACER</t>
  </si>
  <si>
    <t>42376367</t>
  </si>
  <si>
    <t xml:space="preserve">L'agent déclare que en doublant un véhicule, l'autre véhicule aurait fait une queue de poisson. Il se serait retrouvé projeté sur la rambarde de sécurité. .                           </t>
  </si>
  <si>
    <t>107879</t>
  </si>
  <si>
    <t>LE BIDAN</t>
  </si>
  <si>
    <t>ERICK</t>
  </si>
  <si>
    <t>36278101</t>
  </si>
  <si>
    <t xml:space="preserve">MT LK PR    </t>
  </si>
  <si>
    <t xml:space="preserve">L'agent déclare qu'à 1h00 du matin il aurait été réveillé par une douleur accompagnée de sifflements à l 'oreille gauche et de légers vertiges. La réception de l'hôtel qui aurait appelé le service des urgence s de l'aéroport de FRA qui l'aurait amené à l'hôpital. .                         </t>
  </si>
  <si>
    <t>107742</t>
  </si>
  <si>
    <t>BRIOT</t>
  </si>
  <si>
    <t>15639127</t>
  </si>
  <si>
    <t xml:space="preserve">L'agent déclare que en descendant les escaliers du CMH au niveau du PIF pour descendre aux vestiai res, il aurait glissé sur la première marche et se serait  tordu la cheville droite à la réception.  .                          </t>
  </si>
  <si>
    <t>107804</t>
  </si>
  <si>
    <t>LAROQUE</t>
  </si>
  <si>
    <t>GILLES</t>
  </si>
  <si>
    <t>15499687</t>
  </si>
  <si>
    <t xml:space="preserve">en voulant sortir un siège d'un A330, l'agent se serait relevé et cogné sa tête sur la cloison de la cabine .                            </t>
  </si>
  <si>
    <t>107789</t>
  </si>
  <si>
    <t>ECOLASSE</t>
  </si>
  <si>
    <t>GEOFFREY</t>
  </si>
  <si>
    <t>42384350</t>
  </si>
  <si>
    <t xml:space="preserve">L'agent déclare que "je roulais à basse vitesse lorsque j'ai été victime d'un malaise  et j'ai heurté le trottoir côté droit de la chaussée "                            </t>
  </si>
  <si>
    <t>107835</t>
  </si>
  <si>
    <t>MAZEL</t>
  </si>
  <si>
    <t>15694091</t>
  </si>
  <si>
    <t xml:space="preserve">L'agent LORS DU TOUR AVION AURAIT RECU UNE GOUTTE D'HYDRAULIQUE DANS OEIL GAUCHE.                            </t>
  </si>
  <si>
    <t>107895</t>
  </si>
  <si>
    <t>ZANCANARO</t>
  </si>
  <si>
    <t>MATHIEU</t>
  </si>
  <si>
    <t>40876608</t>
  </si>
  <si>
    <t xml:space="preserve">En passant à coté du chariot de compression tool sur le train gauche du F-GLZJ, pour faire le serv icing hydraulique du Train Principale Gauche, au H4, le timon se serait décroché et aurait heurté le front coté droit de l'agent.                         </t>
  </si>
  <si>
    <t>107982</t>
  </si>
  <si>
    <t>SIDER</t>
  </si>
  <si>
    <t>AKIM</t>
  </si>
  <si>
    <t>31472153</t>
  </si>
  <si>
    <t xml:space="preserve">L'AGENT DECLARE AVOIR RESENTI UNE DOULEUR DANS LA REGION LOMBAIRE GAUCHE . PENDANT LA MANIPULATION  DE LA BARIERE DE SECURITE D'ESCABEAU AUTOTRACTE.                            </t>
  </si>
  <si>
    <t>108091</t>
  </si>
  <si>
    <t>CHODOROWICZ</t>
  </si>
  <si>
    <t>FABIEN</t>
  </si>
  <si>
    <t>31133562</t>
  </si>
  <si>
    <t xml:space="preserve">TLSKI       </t>
  </si>
  <si>
    <t xml:space="preserve">l'agent déclare s'être bloqué le genou gauche en s'installant au poste de pilotage entre le siège du commandant de bord et le pylon.                            </t>
  </si>
  <si>
    <t>108089</t>
  </si>
  <si>
    <t>PALMA</t>
  </si>
  <si>
    <t>SERGIO</t>
  </si>
  <si>
    <t>30961487</t>
  </si>
  <si>
    <t xml:space="preserve">L'agent déclare qu' il serait tombé de sa moto sur son lieu de garage à son domicile en rentrant du t ravail. .                           </t>
  </si>
  <si>
    <t>108109</t>
  </si>
  <si>
    <t>ARROJA</t>
  </si>
  <si>
    <t>JOSE</t>
  </si>
  <si>
    <t>02749948</t>
  </si>
  <si>
    <t xml:space="preserve">l agent déclare que lors du deplacement d un escabeau  en E20 choc au niveau de la cheville coté g auche niveau tendon d achille .                            </t>
  </si>
  <si>
    <t>108129</t>
  </si>
  <si>
    <t>BRETECHER</t>
  </si>
  <si>
    <t>07796372</t>
  </si>
  <si>
    <t>Risques liés aux machines, bancs d'essai et équipements de travail</t>
  </si>
  <si>
    <t xml:space="preserve">Lors des essais de la Ram Air Turbine sur l'avion F-GKXR, la tuyauterie retour du banc hydraulique  qui était connectée à la RAT a littéralement explosé et aspergé le contrôleur Mr BRETECHER Stépha ne qui participait aux essais de la RAT. .                           </t>
  </si>
  <si>
    <t>108130</t>
  </si>
  <si>
    <t>PIQUET</t>
  </si>
  <si>
    <t>09142248</t>
  </si>
  <si>
    <t xml:space="preserve">Lors des essais de fonctionnement de la Ram Air Turbine sur l'avion F-GKXR, la tuyauterie retour d u banc d'essai qui était connecté à la RAT a explosé et a aspergé Mr PIQUET Patrick.                            </t>
  </si>
  <si>
    <t>108139</t>
  </si>
  <si>
    <t>JONATHAN</t>
  </si>
  <si>
    <t>40564184</t>
  </si>
  <si>
    <t xml:space="preserve">L'agent déclare qu'en voulant mettre en place une servocommande direction  il aurait pris une projection d' hydraulique da ns l' Sil gauche.                           </t>
  </si>
  <si>
    <t>108267</t>
  </si>
  <si>
    <t>GALANTI</t>
  </si>
  <si>
    <t>33440546</t>
  </si>
  <si>
    <t xml:space="preserve">L'agent déclare qu'il se serait tordu la cheville droite en descendant de la passerelle d'accès à l'a vion pour se rendre à la cantine pour diner.                           </t>
  </si>
  <si>
    <t>108402</t>
  </si>
  <si>
    <t>BOUDOUANI</t>
  </si>
  <si>
    <t>AHMED</t>
  </si>
  <si>
    <t>34339919</t>
  </si>
  <si>
    <t>Dermite</t>
  </si>
  <si>
    <t xml:space="preserve">L'agent déclare qu'en portant des gants type "Jackson", des lésions cutanées aux mains droite et gauche seraient apparues.                           </t>
  </si>
  <si>
    <t>108412</t>
  </si>
  <si>
    <t>JEANNIN</t>
  </si>
  <si>
    <t>LOIC</t>
  </si>
  <si>
    <t>35257779</t>
  </si>
  <si>
    <t xml:space="preserve">L'agent déclare que lors du remplacement d'une roue sur A380 le vérin de l'abattant du chariot a r oue lui serait tombé sur le dessus du pied droit.                           </t>
  </si>
  <si>
    <t>108797</t>
  </si>
  <si>
    <t>JOURNO</t>
  </si>
  <si>
    <t>42264213</t>
  </si>
  <si>
    <t xml:space="preserve">BLDPMSRY    </t>
  </si>
  <si>
    <t xml:space="preserve">L'agent déclare que " en léger virage&lt;(&gt;,&lt;)&gt; la chaussée étant glissante &lt;(&gt;,&lt;)&gt; la roue arrière de sa moto aurait gl issé. Il serait tombé et se serait fait mal à la cheville droite".                           </t>
  </si>
  <si>
    <t>108613</t>
  </si>
  <si>
    <t>CHARLET</t>
  </si>
  <si>
    <t>33190467</t>
  </si>
  <si>
    <t xml:space="preserve">L'agent se serait retourné le pouce de la main gauche en remontant le panneau central du 80VU sur l'avion                           </t>
  </si>
  <si>
    <t>108684</t>
  </si>
  <si>
    <t>KECHICH</t>
  </si>
  <si>
    <t>NOR</t>
  </si>
  <si>
    <t>31128007</t>
  </si>
  <si>
    <t xml:space="preserve">l'agent déclare que lors du replacement d'un verrou de soute il aurait glissé sur un plancher à billes  provoquant sa chute.                           </t>
  </si>
  <si>
    <t>108629</t>
  </si>
  <si>
    <t>MARMOITON</t>
  </si>
  <si>
    <t>32839853</t>
  </si>
  <si>
    <t xml:space="preserve">L'AGENT DECLARE QU'IL ETAIT EN TRAIN DE NETTOYER LE COMPARTIMENT ARRIERE D'UN VEHICULE DE SERVICE AVEC U N NETTOYANT TYPE MEK SUITE A UN DEVERSEMENT DE COLLE. . LORS DE SON INTERVENTION IL A RECU DANS SO N OEIL DROIT DEUX GOUTTES DE PRODUITS NETTOYANT.                         </t>
  </si>
  <si>
    <t>108736</t>
  </si>
  <si>
    <t>DABOUDET</t>
  </si>
  <si>
    <t>JEAN-FRANCOIS</t>
  </si>
  <si>
    <t>40855790</t>
  </si>
  <si>
    <t xml:space="preserve">L'agent déclare qu' une goutte de skydrol venant des tuyauteries hydrauliques déposées est tombée dans s on Sil droit.                           </t>
  </si>
  <si>
    <t>108683</t>
  </si>
  <si>
    <t>JOHAN</t>
  </si>
  <si>
    <t>13458647</t>
  </si>
  <si>
    <t xml:space="preserve">l'agent déclare qu'il aurait ressenti des douleurs au dos en roulant dans un trou alors qu'il était sur un engin pour aller effectuer un plein d'huile .                           </t>
  </si>
  <si>
    <t>108710</t>
  </si>
  <si>
    <t>BERTHIER</t>
  </si>
  <si>
    <t>13618089</t>
  </si>
  <si>
    <t xml:space="preserve">L'agent déclare qu'au passage du sas piéton des portes de hangar, l'agent aurait glissé sur la marche h aute et se serait réceptionné fortement .                           </t>
  </si>
  <si>
    <t>108732</t>
  </si>
  <si>
    <t>FLUTEAUX</t>
  </si>
  <si>
    <t>08398883</t>
  </si>
  <si>
    <t xml:space="preserve">LYSKI       </t>
  </si>
  <si>
    <t xml:space="preserve">L'agent déclare qu'en voulant détacher un chariot accroché à un  véhicule, il se serait coincé la main entre  le  coffre du véhicule et le timon.                           </t>
  </si>
  <si>
    <t>108725</t>
  </si>
  <si>
    <t>BROUTIN</t>
  </si>
  <si>
    <t>FREDERIC</t>
  </si>
  <si>
    <t>14450673</t>
  </si>
  <si>
    <t xml:space="preserve">MT CC SM    </t>
  </si>
  <si>
    <t xml:space="preserve">L'agent déclare qu'en effectuant une inspection sur un moteur avion pour recher che de fixations flottantes, il se serait coupé à l'auriculaire gauche.                           </t>
  </si>
  <si>
    <t>108749</t>
  </si>
  <si>
    <t>DENIS</t>
  </si>
  <si>
    <t>JEAN EMMANUEL</t>
  </si>
  <si>
    <t>41304014</t>
  </si>
  <si>
    <t xml:space="preserve">L'agent déclare que lorsqu'il aurait ouvert la porte galley arrière droite, il se serait écrasé l'index ent re l'outillage adaptateur "torquemètre" et l'encadrement arrière de la porte.                          </t>
  </si>
  <si>
    <t>109164</t>
  </si>
  <si>
    <t>DUSSEY</t>
  </si>
  <si>
    <t>NOUNAM</t>
  </si>
  <si>
    <t>35685185</t>
  </si>
  <si>
    <t xml:space="preserve">MT LK SU    </t>
  </si>
  <si>
    <t xml:space="preserve">L'agent déclare que sur la D309 son véhicule était à l'arrêt lorsqu' un véhicule l'aurait percuté par l 'arrière.                           </t>
  </si>
  <si>
    <t>108900</t>
  </si>
  <si>
    <t>APATOUT</t>
  </si>
  <si>
    <t>31544602</t>
  </si>
  <si>
    <t xml:space="preserve">L'agent déclare qu'il se serait coincé le pied droit dans le tourniquet du contrôle de sécurité lors de son passage pour se rendr e sur son lieux de travail au Bat4400.                           </t>
  </si>
  <si>
    <t>108936</t>
  </si>
  <si>
    <t>MOULIN</t>
  </si>
  <si>
    <t>42129827</t>
  </si>
  <si>
    <t xml:space="preserve">"L'agent déclare qu'en circulant en moto, sur son trajet retour entre l'usine d'Eole et son domicile situé à Trilbardou(77), il aurait été percuté par une voiture qui changeait de file et l'aurait fait chuté sur la chaussée.                          </t>
  </si>
  <si>
    <t>109006</t>
  </si>
  <si>
    <t>SOUDANT</t>
  </si>
  <si>
    <t>30274912</t>
  </si>
  <si>
    <t xml:space="preserve">l'agent déclare qu'en voulant brancher la paluche 400hrz il aurait ressenti une douleur dans le dos quand il a fallu tirer le câble au sol .                           </t>
  </si>
  <si>
    <t>108987</t>
  </si>
  <si>
    <t>ABDEDAIM</t>
  </si>
  <si>
    <t>34580803</t>
  </si>
  <si>
    <t xml:space="preserve">L'agent déclare que lors de son intervention sur une fuite d'acide sur le circuit d'eau usée , lel iquide aurait coulé et il aurait reçu une goutte d'acide dans l'Sil gauche. .                          </t>
  </si>
  <si>
    <t>108989</t>
  </si>
  <si>
    <t>FLENNER</t>
  </si>
  <si>
    <t>15204748</t>
  </si>
  <si>
    <t xml:space="preserve">L'agent déclare qu'en sortant de la soute "vrac", une lance Karcher entre les mains, il aurait glissé s ur la première marche et serait tombé sur le dos en trainant une blessure au coude droit en heurtant une marche.                         </t>
  </si>
  <si>
    <t>109015</t>
  </si>
  <si>
    <t>LECANU</t>
  </si>
  <si>
    <t>15485846</t>
  </si>
  <si>
    <t xml:space="preserve">L'agent déclare qu'en rentrant à son domicile au volant de sa voiture , lors d'un ralentissement v iolent sur l'autoroute A3, le camion le suivant n'aurait pas maîtrisé son freinage  et il serait venu embo utir la voiture sur le véhicule précédent.                         </t>
  </si>
  <si>
    <t>SLIMANE</t>
  </si>
  <si>
    <t>SAID</t>
  </si>
  <si>
    <t xml:space="preserve">L�agent déclare qu'il se serait cogné le haut du crane contre le rack à bagages pendant son intervention de  démontage de civière.                           </t>
  </si>
  <si>
    <t>PAUVRE</t>
  </si>
  <si>
    <t xml:space="preserve">L�agent déclare qu'il aurait ressenti une douleur à l�épaule gauche suite au déchargement d�une caisse de  civière (charge lourde).                           </t>
  </si>
  <si>
    <t>109084</t>
  </si>
  <si>
    <t>HOARAU</t>
  </si>
  <si>
    <t>08338562</t>
  </si>
  <si>
    <t xml:space="preserve">MT YH AR    </t>
  </si>
  <si>
    <t xml:space="preserve">L'agent déclare qu'en soulevant la caisse de la civière , il aurait ressenti une douleur musculaire de  type déchirure qui ne l'aurait pas quitté de la matinée.                           </t>
  </si>
  <si>
    <t>109154</t>
  </si>
  <si>
    <t>GAILLARD</t>
  </si>
  <si>
    <t>02795216</t>
  </si>
  <si>
    <t xml:space="preserve">MT LK SI    </t>
  </si>
  <si>
    <t xml:space="preserve">L'agent déclare avoir percuté violemment par l'arrière le véhicule qu'il suivait. Gendarmerie de Sa int Soupplets sur place mais pas de constat de gendarmerie établi.                           </t>
  </si>
  <si>
    <t>109089</t>
  </si>
  <si>
    <t>JEANJEAN</t>
  </si>
  <si>
    <t>THIBAULT</t>
  </si>
  <si>
    <t>40890146</t>
  </si>
  <si>
    <t xml:space="preserve">L'agent déclare qu'il se serait cogné la tête sur des racks de relais.                             </t>
  </si>
  <si>
    <t>109160</t>
  </si>
  <si>
    <t>PICQUOT</t>
  </si>
  <si>
    <t>DOMINIQUE</t>
  </si>
  <si>
    <t>34337996</t>
  </si>
  <si>
    <t xml:space="preserve">L agent déclare que lors de la manipulation au poste pilotage pour repose glace coulissante sur f- gspi il se serait fait une blessure en torsion du coude gauche avec vive douleur.                          </t>
  </si>
  <si>
    <t>109204</t>
  </si>
  <si>
    <t>LEONARD</t>
  </si>
  <si>
    <t>31896428</t>
  </si>
  <si>
    <t xml:space="preserve">L'agent déclare avoir ressenti une douleur dans la main gauche en prenant une cale qui n'avait pas de corde.                            </t>
  </si>
  <si>
    <t>109218</t>
  </si>
  <si>
    <t>LE HIR</t>
  </si>
  <si>
    <t>15989943</t>
  </si>
  <si>
    <t xml:space="preserve">l'agent déclare qu'en descendant la passerelle accès A321, il aurait ressenti une douleur entre le mollet et la cheville droite.                            </t>
  </si>
  <si>
    <t>109248</t>
  </si>
  <si>
    <t>SIMONNEAU</t>
  </si>
  <si>
    <t>REGIS</t>
  </si>
  <si>
    <t>34651935</t>
  </si>
  <si>
    <t xml:space="preserve">L'AGENT DECLARE QUE LORS DE L'INTERVENTION SUR AVION FGZNN POUR LE REMPLACEMENT DE LA TRIM AIR ZON E A DANS LE PACK GAUCHE, IL SE SERAIT BRULE L'AVANT BRAS DROIT FACE INTERNE AU CONTACT D'UNE TUYAUTERIE D'AIR CHAUD.                         </t>
  </si>
  <si>
    <t>109472</t>
  </si>
  <si>
    <t>vomissement</t>
  </si>
  <si>
    <t xml:space="preserve">L'AGENT DECLARE QUE APRES AVOIR PLUSIEURS FOIS VOMI, IL AURAIT VOMI DU SANG.                            </t>
  </si>
  <si>
    <t>ENVOI PAR COURRIER SÉPARÉ</t>
  </si>
  <si>
    <t>109344</t>
  </si>
  <si>
    <t>CAUSSIGNAC</t>
  </si>
  <si>
    <t>13632944</t>
  </si>
  <si>
    <t xml:space="preserve">l'agent déclare qu'en voulant desserrer une vis&lt;(&gt;,&lt;)&gt; il aurait ressenti une douleur à l'avant-bras droit.                            </t>
  </si>
  <si>
    <t>UNE LETTRE DE RÉSERVES SUIVRA</t>
  </si>
  <si>
    <t>FOURNIER</t>
  </si>
  <si>
    <t>JEAN LUC</t>
  </si>
  <si>
    <t xml:space="preserve">l'agent déclare qu'il se serait fait mal au dos en voulant manipuler 1 kit oxygène thérapeutique  3250 L.                           </t>
  </si>
  <si>
    <t>109296</t>
  </si>
  <si>
    <t>FOUSSET</t>
  </si>
  <si>
    <t>30453148</t>
  </si>
  <si>
    <t xml:space="preserve">L'agent déclare qu'il aurait perdu l'équilibre et son genou gauche aurait heurté la rambarde de l'escabeau s ur lequel il était, lorsque le raccord de la tuyauterie qu'il desserrait se serait brusquement dégripp é.                         </t>
  </si>
  <si>
    <t>109395</t>
  </si>
  <si>
    <t>GAUFFRE</t>
  </si>
  <si>
    <t>42290784</t>
  </si>
  <si>
    <t xml:space="preserve">MT UD TO    </t>
  </si>
  <si>
    <t xml:space="preserve">L'agent déclare qu'en voulant accéder à sa zone de travail pour statuersur un dommage, il aurait m is la main sur une vis avec la tête abimée cequi lui aurait entaillé profondément l'index de la ma in gauche.                           </t>
  </si>
  <si>
    <t>109452</t>
  </si>
  <si>
    <t>MOUTTOU-GOUGEON</t>
  </si>
  <si>
    <t>DYLAN</t>
  </si>
  <si>
    <t>41930268</t>
  </si>
  <si>
    <t xml:space="preserve">BLDPMERY    </t>
  </si>
  <si>
    <t xml:space="preserve">L'agent déclare avoir eu un accident de moto sur son trajet domicile-travail en arrivant sur la zone de CDG. Sa moto a glissé sur une flaque d'huile et est retombée sur sa cheville.                           </t>
  </si>
  <si>
    <t>109445</t>
  </si>
  <si>
    <t>DESERT</t>
  </si>
  <si>
    <t>GUILLAUME</t>
  </si>
  <si>
    <t>15701569</t>
  </si>
  <si>
    <t xml:space="preserve">l'agent déclare qu'en prenant l'ouvre boite de la caisse à outil aurait ressenti une forte douleur en  bas du dos .                           </t>
  </si>
  <si>
    <t>109465</t>
  </si>
  <si>
    <t>BICHARD</t>
  </si>
  <si>
    <t>34337693</t>
  </si>
  <si>
    <t xml:space="preserve">l' agent déclare que lors de la descente dans le poste repos équipage , l' échelle n' étant pas fi xée , il aurait chuté en bas de l' échelle.                           </t>
  </si>
  <si>
    <t>109493</t>
  </si>
  <si>
    <t>BOUCHAOUR RAMASAMY</t>
  </si>
  <si>
    <t>ANNA</t>
  </si>
  <si>
    <t>31546925</t>
  </si>
  <si>
    <t xml:space="preserve">MT QF RG    </t>
  </si>
  <si>
    <t xml:space="preserve">L'agent déclare qu'après sa prise de fonction à 15h10 elle aurait ressenti une forte douleur au niveau de la cheville gauche en montant les escaliers pour rejoindre son lieu de travail.                          </t>
  </si>
  <si>
    <t>109516</t>
  </si>
  <si>
    <t>LECOCQ</t>
  </si>
  <si>
    <t>BENJAMIN</t>
  </si>
  <si>
    <t>33316870</t>
  </si>
  <si>
    <t xml:space="preserve">L'AGENT DECLARE QU 'IL AURAIT SENTI UNE VIVE DOULEUR DANS LE BAS DU DOS ALORS QU'IL SE SERAIT BAISSE POUR PR ENDRE LES CAISSES A OUTIL ANTI-FOD RANGEES DANS LEURS CASIERS.                           </t>
  </si>
  <si>
    <t>109530</t>
  </si>
  <si>
    <t>BASTAREAUD</t>
  </si>
  <si>
    <t>YOEL</t>
  </si>
  <si>
    <t>42374145</t>
  </si>
  <si>
    <t xml:space="preserve">L'agent déclare qu'en utilisant la perceuse à colonne, le gant aurait été entraîné par le foret. L'agen t tenait avec sa main gauche une carte électronique afin de la détruire.                           </t>
  </si>
  <si>
    <t>109676</t>
  </si>
  <si>
    <t>PIVERT</t>
  </si>
  <si>
    <t>34888573</t>
  </si>
  <si>
    <t xml:space="preserve">l'agent déclare que lors de la phase d'asséchement du réservoir central et en en ressortant du logement, a ressenti une forte douleur au bas du dos.                           </t>
  </si>
  <si>
    <t>109566</t>
  </si>
  <si>
    <t>DASPRES</t>
  </si>
  <si>
    <t>CEDRIC</t>
  </si>
  <si>
    <t>34342040</t>
  </si>
  <si>
    <t xml:space="preserve">L'AGENT DECLARE QU'IL S'EST TORDU LE DOS EN ACCEDANT AU BIDON TOILETTE DE LA SOUTE BULK(SOUTE AVION)                            </t>
  </si>
  <si>
    <t>109651</t>
  </si>
  <si>
    <t>PINSARD</t>
  </si>
  <si>
    <t>32835813</t>
  </si>
  <si>
    <t xml:space="preserve">L'AGENT DECLARE QU'AU MOMENT DE DEPLACER LE TOBOGGAN DU CAMION VERS L'AVION AVOIR RESSENTI UNE DO ULEUR DANS LE GENOU DROIT AVANT LA TORSION.                           </t>
  </si>
  <si>
    <t>109645</t>
  </si>
  <si>
    <t>JACQUELINE</t>
  </si>
  <si>
    <t>12524417</t>
  </si>
  <si>
    <t xml:space="preserve">MT QS UG    </t>
  </si>
  <si>
    <t xml:space="preserve">L'agent déclare avoir glissé avec son plateau repas au restaurant du personnel et s'être mal récep tionnée.La chute aurait occasionné une blessure à la main droite et genou gauche. .                          </t>
  </si>
  <si>
    <t>109664</t>
  </si>
  <si>
    <t>ALEXANDRE</t>
  </si>
  <si>
    <t>13228372</t>
  </si>
  <si>
    <t xml:space="preserve">MT UD QU    </t>
  </si>
  <si>
    <t xml:space="preserve">DDDDDD.                             </t>
  </si>
  <si>
    <t>109638</t>
  </si>
  <si>
    <t>DEGONDE</t>
  </si>
  <si>
    <t>15985192</t>
  </si>
  <si>
    <t xml:space="preserve">l'agent declare s'etre fait mal au dos en deverrouillant un escabeau.                             </t>
  </si>
  <si>
    <t>109650</t>
  </si>
  <si>
    <t>DARCILLON</t>
  </si>
  <si>
    <t>BASTIEN</t>
  </si>
  <si>
    <t>40856703</t>
  </si>
  <si>
    <t xml:space="preserve">L'agent déclare que lors d'une intervention sur le GSPY, il a ressenti une vive douleur dans le bras alors qu'il refermait un verrou sur les capots GTR2.                           </t>
  </si>
  <si>
    <t>109677</t>
  </si>
  <si>
    <t>BINARD</t>
  </si>
  <si>
    <t>32023841</t>
  </si>
  <si>
    <t xml:space="preserve">L'agent déclare que lors de la dépose d'un winglet sur l'aile gauche du F-GZCA, en voulant desserrer l'axe de fixation le cliquet à ripé et est venu frappé violement le visage de l'agent.                           </t>
  </si>
  <si>
    <t>109780</t>
  </si>
  <si>
    <t>BAILLET</t>
  </si>
  <si>
    <t>33842589</t>
  </si>
  <si>
    <t xml:space="preserve">DAT faite ce jour suite réception de la demande de DAT de la Cpam 91:L'agent déclare qu'il se serait fait percuter alors qu'il était arrêté en moto suite à un freinage d'ur gence par le véhicule arrivant derrière lui. Il aurait ensuite été transporté aux urgences d'Arpajon pa r les pompiers.                        </t>
  </si>
  <si>
    <t>109718</t>
  </si>
  <si>
    <t>DEKEE</t>
  </si>
  <si>
    <t>THIERRY</t>
  </si>
  <si>
    <t>31919363</t>
  </si>
  <si>
    <t>Risques liés à l'ambiance lumineuse( sous éclairage, suréclairage, éblouissement,..)</t>
  </si>
  <si>
    <t xml:space="preserve">L'agent déclare que en montant les escaliers du hangar H6 menant à l'atelier plasturgie il à raté la marche et c'est réceptionné sur sa main droite .                           </t>
  </si>
  <si>
    <t>109758</t>
  </si>
  <si>
    <t>LANG</t>
  </si>
  <si>
    <t>09135679</t>
  </si>
  <si>
    <t xml:space="preserve">L'agent déclare s'être tordu la cheville gauche en butant sur le carrelage de la salle de travail en prenant son service  évitant une chute .                            </t>
  </si>
  <si>
    <t>109851</t>
  </si>
  <si>
    <t>PERRIN</t>
  </si>
  <si>
    <t>40074235</t>
  </si>
  <si>
    <t xml:space="preserve">L'agent déclare En sortant du parking à moto, j'ai perdu le contrôle de ma moto, entraînant une chute sur plusieurs mètres .De là, ma moto a percuté la moto de monsieur Eraville qui se trouvait devant la barrière pour sortir  .                          </t>
  </si>
  <si>
    <t>109852</t>
  </si>
  <si>
    <t>ERAVILLE</t>
  </si>
  <si>
    <t>BRICE</t>
  </si>
  <si>
    <t>34328300</t>
  </si>
  <si>
    <t xml:space="preserve">  L'agent déclare En attente devant la barrière de sortie su PKG H1 J'ai été percuté par l'arrière par la moto de Mr Perrin qui en a perdu le contrôle.                           </t>
  </si>
  <si>
    <t>109775</t>
  </si>
  <si>
    <t>MEARD</t>
  </si>
  <si>
    <t>33458936</t>
  </si>
  <si>
    <t xml:space="preserve">L'agent déclare avoir reçu un réglet dans l'Sil gauche.                             </t>
  </si>
  <si>
    <t>109789</t>
  </si>
  <si>
    <t>ALEXIA</t>
  </si>
  <si>
    <t>RAPHAEL</t>
  </si>
  <si>
    <t>09605525</t>
  </si>
  <si>
    <t xml:space="preserve">L'agent déclare que lors du retour du H6 vers H1 , dans le véhicule 17506 en reculant le fauteuilp assager , il se serait coincé l'annulaire dans le mécanisme du fauteuil.                           </t>
  </si>
  <si>
    <t>109902</t>
  </si>
  <si>
    <t>FLOCHER</t>
  </si>
  <si>
    <t>33315860</t>
  </si>
  <si>
    <t xml:space="preserve">L'agent déclare qu'il aurait pris dans l'Sil droit une projection de savon microbille lors du lavage de s mais au CMH.                           </t>
  </si>
  <si>
    <t>110028</t>
  </si>
  <si>
    <t>BLANDIN</t>
  </si>
  <si>
    <t>GILDAS</t>
  </si>
  <si>
    <t>15498677</t>
  </si>
  <si>
    <t xml:space="preserve">L'agent déclare qu'il aurait été subit une collision frontale avec une chanlatte lors de son retour en VITAE vers le CMH au niveau du BAT 6410 et du PARIF I29 - le choc a déclenché l'AIRBAG.                          </t>
  </si>
  <si>
    <t>110029</t>
  </si>
  <si>
    <t>DAVIAUD</t>
  </si>
  <si>
    <t>15658426</t>
  </si>
  <si>
    <t xml:space="preserve">L'agent déclare qu'il aurait subi une collision frontale avec un engin de piste lors de son retour en VITAE vers le CMH au niveau du BAT 6410 et du PARIF I29 - le choc aurait déclenché l'AIRBAG.                           </t>
  </si>
  <si>
    <t>109940</t>
  </si>
  <si>
    <t>THOMAS</t>
  </si>
  <si>
    <t>JULIEN</t>
  </si>
  <si>
    <t>35256971</t>
  </si>
  <si>
    <t xml:space="preserve">L'agent déclare que lors de la sortie passerelle au point LIMA 53 qu'il aurait été raté les premières marches l'agent déclare aurait été  ressenti une douleur au niveau de son adducteur gauche. Et s'être égratigné le tibia gauche.                          </t>
  </si>
  <si>
    <t>110099</t>
  </si>
  <si>
    <t>BRULARD</t>
  </si>
  <si>
    <t>JEAN CHARLES</t>
  </si>
  <si>
    <t>34083776</t>
  </si>
  <si>
    <t xml:space="preserve">L'agent déclare qu'en allant faire une visualisation d'un dommage sur un avion, il se serait cogné la tête sur un raccord hydraulique au niveau du train d'atterrissage droit. Ce choc lui aurait fait une entaille de 35mm de long.                          </t>
  </si>
  <si>
    <t>110066</t>
  </si>
  <si>
    <t>FARLET</t>
  </si>
  <si>
    <t>41195088</t>
  </si>
  <si>
    <t xml:space="preserve">L'agent déclare que en se hissant pour accéder à l'intérieur de la cathédrale du F-GLZP il aurait ressenti une vive douleur au pectoral droit.                           </t>
  </si>
  <si>
    <t>110056</t>
  </si>
  <si>
    <t>DRAI</t>
  </si>
  <si>
    <t>32838641</t>
  </si>
  <si>
    <t xml:space="preserve">l'agent déclare qu'il se serait cogné le genoux gauche sur le pylône du poste de pilotage.                            </t>
  </si>
  <si>
    <t>110145</t>
  </si>
  <si>
    <t>JULLY</t>
  </si>
  <si>
    <t>13618190</t>
  </si>
  <si>
    <t xml:space="preserve">MPLKI       </t>
  </si>
  <si>
    <t xml:space="preserve">L'agent déclare qu'en changeant la roue du train principal sur avion  en manipulant  le lève roue avec la roue dessus il se serait fait mal au dos.                           </t>
  </si>
  <si>
    <t>110059</t>
  </si>
  <si>
    <t>BUORS</t>
  </si>
  <si>
    <t>40238327</t>
  </si>
  <si>
    <t xml:space="preserve">L'AGENT DECLARE QU'UNE DOULEUR SERAIT SURVENUE LORS DE LA SORTIE DE L'OUTILLAGE (ECHAFFAUDAGE D'ESCALIER ARRIERE) DE SA BOITE DE  STOCKAGE.                           </t>
  </si>
  <si>
    <t>110153</t>
  </si>
  <si>
    <t>LORANTI</t>
  </si>
  <si>
    <t>32873805</t>
  </si>
  <si>
    <t xml:space="preserve">L'agent déclare qu'il se serait fait mal au mollet en voulant ramasser une cale .Il aurait ressenti un double claquement.                            </t>
  </si>
  <si>
    <t>110336</t>
  </si>
  <si>
    <t>MELOU</t>
  </si>
  <si>
    <t>YANNICK</t>
  </si>
  <si>
    <t>30973615</t>
  </si>
  <si>
    <t xml:space="preserve">L'agent déclare que pendant le remplacement du robinet d eau dans le galley arriere&lt;(&gt;,&lt;)&gt; en desserrant l'écrou, la clé anglaise aurait ripé et il se serait retourné le doigt.                           </t>
  </si>
  <si>
    <t>110398</t>
  </si>
  <si>
    <t xml:space="preserve">l'agent déclare qu'il aurait été percuté à l'arrière  par un véhicule ce qui aurait eu pour conséquence de le projeter sur un autre véhicule.                            </t>
  </si>
  <si>
    <t>AUCUNE RESERVE. MR LORIDAN MA</t>
  </si>
  <si>
    <t>110395</t>
  </si>
  <si>
    <t>AUBERT</t>
  </si>
  <si>
    <t>REMI</t>
  </si>
  <si>
    <t>40221553</t>
  </si>
  <si>
    <t xml:space="preserve">L'agent déclare qu'il se serait brulé la partie interne de son avant bras droit lors de la réactivation de l'engin anti ice valve du moteur 2.                           </t>
  </si>
  <si>
    <t>110583</t>
  </si>
  <si>
    <t>CHARPENTIER</t>
  </si>
  <si>
    <t>JEAN-YVES</t>
  </si>
  <si>
    <t>09069092</t>
  </si>
  <si>
    <t xml:space="preserve">L'agent déclare qu'il aurait perdu le contrôle de son véhicule : celui ci serait monté sur un trottoir et aurait percuté un lampadaire.                            </t>
  </si>
  <si>
    <t>BOUARD</t>
  </si>
  <si>
    <t xml:space="preserve">L'AGENT DECLARE QU EN MONTANT L'ESCABEAU POUR ACCEDER A L'AVION AF7688 F HEPE UNE RAFALE DE VENT LUI Aurait PROJETER DES PROJECTILES DANS L OEIL.                            </t>
  </si>
  <si>
    <t>110641</t>
  </si>
  <si>
    <t>BALCERZAK</t>
  </si>
  <si>
    <t>PIERRE</t>
  </si>
  <si>
    <t>40230445</t>
  </si>
  <si>
    <t>Risques spécifiques au travail aérien (otalgies,turbulences,rayonnements..)</t>
  </si>
  <si>
    <t xml:space="preserve">L'agent déclare qu'il aurait percuté avec le dessus de la tête le tranchant équipé d'un joint de la porte du train avant du B777 F-GZNO en montant sur un escabeau pour accès au remplacement d'un phare de roulage.                          </t>
  </si>
  <si>
    <t>110623</t>
  </si>
  <si>
    <t>AMAR</t>
  </si>
  <si>
    <t>34651127</t>
  </si>
  <si>
    <t xml:space="preserve">MT QS FT    </t>
  </si>
  <si>
    <t xml:space="preserve">L'agent déclare qu'il aurait chuté suite à perte d'adhérence de la roue  arrière, suivi d'une éjection à  la reprise de l'adhérence. .                            </t>
  </si>
  <si>
    <t>110761</t>
  </si>
  <si>
    <t>GIRONCEL</t>
  </si>
  <si>
    <t>FLORIAN</t>
  </si>
  <si>
    <t>42365253</t>
  </si>
  <si>
    <t xml:space="preserve">BLDPVDOR    </t>
  </si>
  <si>
    <t xml:space="preserve">L'agent déclare qu'il s'est tordu le genou en prenant un appui lors d'une course.                             </t>
  </si>
  <si>
    <t>110782</t>
  </si>
  <si>
    <t>PIQUEMAL</t>
  </si>
  <si>
    <t>FABRICE</t>
  </si>
  <si>
    <t>33441657</t>
  </si>
  <si>
    <t xml:space="preserve">L'agent déclare qu'il aurait eu le pied écrasé durant la mise en place d'un escabeau avion.                            </t>
  </si>
  <si>
    <t>110842</t>
  </si>
  <si>
    <t>SABUCO</t>
  </si>
  <si>
    <t>12732359</t>
  </si>
  <si>
    <t xml:space="preserve">L'agent déclare s'être cogné la tête à une marche en se baissant pour attraper une pièce avion tom bée au sol.                           </t>
  </si>
  <si>
    <t>110966</t>
  </si>
  <si>
    <t>HELLIN</t>
  </si>
  <si>
    <t>40551858</t>
  </si>
  <si>
    <t xml:space="preserve">L'agent déclare que lors de l'inspection des boitiers  qui gèrent lesceintures airbag sûr les faut euils Business, il aurait effectué un fauxmouvement et aurait tout de suite ressenti une douleur d orsale.                           </t>
  </si>
  <si>
    <t>110894</t>
  </si>
  <si>
    <t>MULIER</t>
  </si>
  <si>
    <t>35104805</t>
  </si>
  <si>
    <t xml:space="preserve">L'agent déclare que lors qu'il est entré dans la soute électronique, porte ouverte, il se serait cogné la tête sur une pièce de la porte.                           </t>
  </si>
  <si>
    <t>114057</t>
  </si>
  <si>
    <t>GUIMARAES</t>
  </si>
  <si>
    <t>31897842</t>
  </si>
  <si>
    <t>Risques psycho-sociaux ( agression verbales,physique, stress,alcool,harcélement,..)</t>
  </si>
  <si>
    <t xml:space="preserve">L'agent déclare que suite à une altercation avec sa hiérarchie il aurait eu une crise d'angoisse .                             </t>
  </si>
  <si>
    <t>NOUS ÉMETTONS NOS PLUS VIVES R</t>
  </si>
  <si>
    <t>110977</t>
  </si>
  <si>
    <t>LEE-BOUSSANT</t>
  </si>
  <si>
    <t>LYDIA</t>
  </si>
  <si>
    <t>31939874</t>
  </si>
  <si>
    <t xml:space="preserve">L'agent déclare qu'en sortant du véhicule de fonction en position de chauffeur, la porte se serait ref ermée sur sa main gauche.                           </t>
  </si>
  <si>
    <t>111022</t>
  </si>
  <si>
    <t>ZEMMAM</t>
  </si>
  <si>
    <t>WALID</t>
  </si>
  <si>
    <t>42381219</t>
  </si>
  <si>
    <t xml:space="preserve">L'agent déclare "Coup sur oeil droit, j'ai reçu le capot de l'avion en le portant sur l'oeil droit .Ensuite à l'infirmerie confus. produit serum physiologique  / eau oxygénée "                            </t>
  </si>
  <si>
    <t>111065</t>
  </si>
  <si>
    <t>SCHMITT</t>
  </si>
  <si>
    <t>40120816</t>
  </si>
  <si>
    <t xml:space="preserve">L'agent déclare qu'après avoir décroché la passerelle avion d'un engin de piste(Charlatte) en remontant le timon&lt;(&gt;,&lt;)&gt;l'engin aurait avancé tout seul. Sa jambe gauche se serait retrouvé coincée entre la passerelle et l'engin.                          </t>
  </si>
  <si>
    <t>NAUDET</t>
  </si>
  <si>
    <t xml:space="preserve">L AGENT DECLARE QU EN MANIPULANT UNE CIVIERE SUR UN AVION IL AURAIT RESSENTI UNE DOULEU R DANS LE BAS DU DOS QUI IRRADIAIT JUSQU AU BRAS ET UNE DOULEUR AUX JAMBES EN MARCHANT.                          </t>
  </si>
  <si>
    <t>111125</t>
  </si>
  <si>
    <t>TOUSSAINT</t>
  </si>
  <si>
    <t>GERARD</t>
  </si>
  <si>
    <t>13642543</t>
  </si>
  <si>
    <t xml:space="preserve">L'agent déclare qu'il s'est foulé la cheville en descendant du bus.                             </t>
  </si>
  <si>
    <t>111146</t>
  </si>
  <si>
    <t>TESSIER</t>
  </si>
  <si>
    <t>15695408</t>
  </si>
  <si>
    <t xml:space="preserve">L'agent déclare qu'en effectuant la Dépose d'une Civière sur un avion Air Austral il aurait ressenti un e vive douleur dans le bas du dos.                           </t>
  </si>
  <si>
    <t>111119</t>
  </si>
  <si>
    <t>RAJERISON</t>
  </si>
  <si>
    <t>ZO GABRIEL</t>
  </si>
  <si>
    <t>30961689</t>
  </si>
  <si>
    <t xml:space="preserve">L'agent déclare qu'il aurait glissé sur le sol mouillé et aurait chuté sur la poignée de verrouillage de l'e scabeau duquel il descendait .                           </t>
  </si>
  <si>
    <t>111205</t>
  </si>
  <si>
    <t>FUHRER</t>
  </si>
  <si>
    <t>13488252</t>
  </si>
  <si>
    <t xml:space="preserve">L'agent déclare qu'il s'est écrasé deux doigts à la main droite ( annulaire et majeur) lors du tor quage des attaches moteur sur un avion. L'ongle de son annulaire aurait noirci rapidement ,d ouleur présente et lancinante.                         </t>
  </si>
  <si>
    <t>LA DOULEUR EST PRÉSENTE AU NI</t>
  </si>
  <si>
    <t>111177</t>
  </si>
  <si>
    <t>LECOQ</t>
  </si>
  <si>
    <t>LUCIANEAU</t>
  </si>
  <si>
    <t>32035864</t>
  </si>
  <si>
    <t xml:space="preserve">L'agent déclare qu'en revenant de sa pause il se serait prit le pied dans une bordure longue sur le tr ottoir niveau accès magasin h1/2 côté route et serait tombé sur le coude droit .                          </t>
  </si>
  <si>
    <t>ZAGO</t>
  </si>
  <si>
    <t xml:space="preserve">L�agent déclare qu'il se serait cogné lors de son déplacement en cabine avion contre la porte restée ouverte de  l�accès au poste repos équipage.                           </t>
  </si>
  <si>
    <t>111234</t>
  </si>
  <si>
    <t>FUSTEC</t>
  </si>
  <si>
    <t>34778944</t>
  </si>
  <si>
    <t xml:space="preserve">MT QS OU    </t>
  </si>
  <si>
    <t xml:space="preserve">L'agent déclare qu'en portant un carton de documents, une violente douleur se serait produite au niveau de la ceinture lombaire. AT bénin du 12 juillet 2014 déclaré ce jour, suite remise de feuille de soins.                           </t>
  </si>
  <si>
    <t>PAS DE RÉSERVE.</t>
  </si>
  <si>
    <t>111168</t>
  </si>
  <si>
    <t>HILBRUNNER</t>
  </si>
  <si>
    <t>33508648</t>
  </si>
  <si>
    <t xml:space="preserve">L AGENT DECLARE QUE EN DESCENDANT D UN  ESCABEAU IL  AURAIT HEURTE LE CAPOT MOTEUR AVEC SON DOS .                            </t>
  </si>
  <si>
    <t>111271</t>
  </si>
  <si>
    <t>13484313</t>
  </si>
  <si>
    <t>Nausées</t>
  </si>
  <si>
    <t xml:space="preserve">L'AGENT DECLARE QUE  SUITE PASSAGE DE FUMEE  SUITE INCENDIE ZONE MESNIL AMELOT, IL SE SERAIT SENTI  NAUSEEUX.                            </t>
  </si>
  <si>
    <t>111272</t>
  </si>
  <si>
    <t xml:space="preserve">L AGENT DECLARE QUE  SUITE PASSAGE DE FUMEE  SUITE INCENDIE ZONE MESNIL AMELOT , IL SE SERAIT SENTI N AUSEEUX.                           </t>
  </si>
  <si>
    <t>111273</t>
  </si>
  <si>
    <t>LECLERCQ</t>
  </si>
  <si>
    <t>02765914</t>
  </si>
  <si>
    <t>111285</t>
  </si>
  <si>
    <t>DEDAIN</t>
  </si>
  <si>
    <t>09007963</t>
  </si>
  <si>
    <t xml:space="preserve">L'agent déclare qu'en déplaçant légèrement un banc devant son placard, celui-ci serait venu buter sur un carrelage dépassant des autres.                            </t>
  </si>
  <si>
    <t>111456</t>
  </si>
  <si>
    <t>CHEVALLIER</t>
  </si>
  <si>
    <t>33312123</t>
  </si>
  <si>
    <t xml:space="preserve">"L'agent déclare qu'il se serait coincé le doigt sous le chauffe-eau en remplaçant un water boiler                            </t>
  </si>
  <si>
    <t>111594</t>
  </si>
  <si>
    <t>PERIOU</t>
  </si>
  <si>
    <t>12782576</t>
  </si>
  <si>
    <t xml:space="preserve">l'agent déclare qu'A L'ARRIVEE EN V06 APRES AVOIR CALE L'AVION&lt;(&gt;,&lt;)&gt; il aurait voulu DEBRANCHER SON IPF A TREBUCHE SUR L'ESCALIER DU TRACTEUR ET Aurait CHUTE SUR LE SOL EN SE RECEPTIONNANT SUR LE POIGNET GAUCHE   .                          </t>
  </si>
  <si>
    <t>111626</t>
  </si>
  <si>
    <t>DELHAYE</t>
  </si>
  <si>
    <t>41197516</t>
  </si>
  <si>
    <t xml:space="preserve">L'agent déclare qu'en se relevant d'inspection baignoire 4 dx &lt;(&gt;,&lt;)&gt;il aurait ressentie forte douleur au niveau lombaire.                            </t>
  </si>
  <si>
    <t>111700</t>
  </si>
  <si>
    <t>COQUENTIN</t>
  </si>
  <si>
    <t>33316062</t>
  </si>
  <si>
    <t xml:space="preserve">L'agent déclare qu'il aurait ressenti une  vive douleur lombaire lors du remplacement d'une batterie avion.                            </t>
  </si>
  <si>
    <t>LOGNONE</t>
  </si>
  <si>
    <t xml:space="preserve">L�agent déclare que suite à des difficultés pour installer  une civière il aurait forcé et aurait ressenti une douleur dans le bas du dos côté gauche.                           </t>
  </si>
  <si>
    <t>111760</t>
  </si>
  <si>
    <t>TORKHANI</t>
  </si>
  <si>
    <t>DALAL</t>
  </si>
  <si>
    <t>33472272</t>
  </si>
  <si>
    <t xml:space="preserve">L'agent déclare qu'en cours d'échange d'un accoudoir siège business sur le B777 F-GSQP  allongé au  sol pour le travail,  l'accoudoir lui aurait basculé sur le visage.                           </t>
  </si>
  <si>
    <t>111769</t>
  </si>
  <si>
    <t>LAVERSIN</t>
  </si>
  <si>
    <t>36244553</t>
  </si>
  <si>
    <t xml:space="preserve">Suite à un mauvais freinage de l'escabeau, l'agent voulant forcer sur la dernière vis à dévisser d u panneaux emplanture mât moteur 2, à vu son escabeau s'effacer sous ses pieds et en est tombé.                            </t>
  </si>
  <si>
    <t>111865</t>
  </si>
  <si>
    <t>MEIGNIER</t>
  </si>
  <si>
    <t>MARTIAL</t>
  </si>
  <si>
    <t>13621123</t>
  </si>
  <si>
    <t xml:space="preserve">L'agent déclare qu'il aurait ressenti une douleur à la jambe et à l'épaule gauches en travaillant sur un avion.                            </t>
  </si>
  <si>
    <t>111916</t>
  </si>
  <si>
    <t>LEJAY</t>
  </si>
  <si>
    <t>32864307</t>
  </si>
  <si>
    <t xml:space="preserve">L'agent déclare qu'il se serait écrasé le doigt en manipulant le tube télescopique de la tonne à carburant lui provoquant une plaie sur l'index de la main gauche.                           </t>
  </si>
  <si>
    <t>111943</t>
  </si>
  <si>
    <t>ROGER</t>
  </si>
  <si>
    <t>VALENTIN</t>
  </si>
  <si>
    <t>42140335</t>
  </si>
  <si>
    <t xml:space="preserve">BLDPTDTL    </t>
  </si>
  <si>
    <t xml:space="preserve">L'agent déclare que lors de la sortie du train avant, venant d'installer les sécurités, il s'est c ogné contre l'une des antennes ATC ( situées à l'arrière du logement de train avant)                            </t>
  </si>
  <si>
    <t>111975</t>
  </si>
  <si>
    <t>PRIGENT</t>
  </si>
  <si>
    <t>09140531</t>
  </si>
  <si>
    <t xml:space="preserve">L'agent déclare qu'en sortant de la douche il aurait glissé sur le sol de la salle de bain de L'appartement mis à disposition des techniciens itinérants à ALG.                           </t>
  </si>
  <si>
    <t>111987</t>
  </si>
  <si>
    <t>KOURI</t>
  </si>
  <si>
    <t>ABDALLAH</t>
  </si>
  <si>
    <t>35926271</t>
  </si>
  <si>
    <t>Risques liés aux bruits (moteurs,compresseurs,choc, ultrason,infrason..)</t>
  </si>
  <si>
    <t>Troubles auditifs</t>
  </si>
  <si>
    <t xml:space="preserve">L'agent déclare qu'il serait sorti de son véhicule garé en E24 lorsque le tracteur avion et serait passé près de lui faisant un bruit anormal et strident. Il aurait ressenti une douleur aux deux oreilles.                           </t>
  </si>
  <si>
    <t>112086</t>
  </si>
  <si>
    <t>KUYPERS</t>
  </si>
  <si>
    <t>16003380</t>
  </si>
  <si>
    <t xml:space="preserve">L'agent déclare qu'il aurait heurté un drain avec la tête sur l'avion, alors qu'il intervenait sur celui-ci.                            </t>
  </si>
  <si>
    <t>112113</t>
  </si>
  <si>
    <t>LEROUX</t>
  </si>
  <si>
    <t>J-LOUIS</t>
  </si>
  <si>
    <t>13642644</t>
  </si>
  <si>
    <t xml:space="preserve">L'agent déclare que lors de sa descente d'un escabeau, il aurait perdu l'équilibre et en voulant se rattraper à la rambarde, il se serait fait mal à la main.                           </t>
  </si>
  <si>
    <t>112151</t>
  </si>
  <si>
    <t>CANGE</t>
  </si>
  <si>
    <t>34340323</t>
  </si>
  <si>
    <t xml:space="preserve">L'agent déclare que, lors de l'ouverture du capot moteur d'un avion, il aurait ressenti une douleur dans le dos.                            </t>
  </si>
  <si>
    <t>112030</t>
  </si>
  <si>
    <t xml:space="preserve">L'agent déclare qu'il aurait été déséquilibré lors du branchement d'un câble électrique.                            </t>
  </si>
  <si>
    <t>DEFEVER</t>
  </si>
  <si>
    <t>STEEVE</t>
  </si>
  <si>
    <t xml:space="preserve">L'agent déclare que lors de la manutention du toboggan dans l'avion il se serait blessé au niveau du b as du dos (coupure suite à un accrochage avec un élément du galley)                           </t>
  </si>
  <si>
    <t>112378</t>
  </si>
  <si>
    <t>MELI</t>
  </si>
  <si>
    <t>08954413</t>
  </si>
  <si>
    <t xml:space="preserve">L'agent déclare que lors de la manipulation d'un chariot à roue, la manivelle servant au levage serait décrochée et aurait heurtée l'arcade sourcilière gauche. Provoquant une blessure et un saignement.                          </t>
  </si>
  <si>
    <t>112458</t>
  </si>
  <si>
    <t xml:space="preserve">L'agent déclare que le fil de son casque serait venu heurter son Sil droit. Cela aurait engendré une blessure importante à l'Sil nécessitant passage au médical suivi expertise aux urgences ADP.                           </t>
  </si>
  <si>
    <t>BAYOUD</t>
  </si>
  <si>
    <t>ABDELLAH</t>
  </si>
  <si>
    <t xml:space="preserve">L'agent déclare qu'il aurait ressenti une douleur au dos en manipulant  un équipement.                            </t>
  </si>
  <si>
    <t>112492</t>
  </si>
  <si>
    <t>RANCE</t>
  </si>
  <si>
    <t>40858521</t>
  </si>
  <si>
    <t xml:space="preserve">L'agent déclare que suite à la manutention d'un siège PNC (personnel navigant), il aurait ressenti une  douleur au niveau lombaire toujours présente en fin de vacation.                           </t>
  </si>
  <si>
    <t>112565</t>
  </si>
  <si>
    <t>BLANCHONG</t>
  </si>
  <si>
    <t>15719959</t>
  </si>
  <si>
    <t xml:space="preserve">l agent declare que en debut de vacation lors du chargement du préhenseur (bras manipulateur) dans le vitae l'agent aurait Ressenti une vive douleur dans le genou droit.                           </t>
  </si>
  <si>
    <t>PAS DE RESERVE .</t>
  </si>
  <si>
    <t>112664</t>
  </si>
  <si>
    <t>DESPRE</t>
  </si>
  <si>
    <t>34342242</t>
  </si>
  <si>
    <t xml:space="preserve">L'agent déclare que lors de la fermeture de porte de soute avant en manuel&lt;(&gt;,&lt;)&gt; le sélecteur hydraulique étant en défaut, il aurait ressenti une vive douleur aux vertèbres lombaires.                           </t>
  </si>
  <si>
    <t>112666</t>
  </si>
  <si>
    <t>ZAMMIT</t>
  </si>
  <si>
    <t>JOCELYN</t>
  </si>
  <si>
    <t>33102258</t>
  </si>
  <si>
    <t xml:space="preserve">L'agent déclare que lors du retrait de la prise de parc, celle ci serait tombée sur son pied droit entrainant une vive douleur.                            </t>
  </si>
  <si>
    <t>112696</t>
  </si>
  <si>
    <t>PACIONE</t>
  </si>
  <si>
    <t>13928792</t>
  </si>
  <si>
    <t xml:space="preserve">MRSKI       </t>
  </si>
  <si>
    <t xml:space="preserve">A L'ARRET SUR SA MOTO IL AURAIT ETE PERCUTE A L'ARRIERE DE SA MOTO PAR UN VEHICULE .                            </t>
  </si>
  <si>
    <t>112876</t>
  </si>
  <si>
    <t>DAUPRAT</t>
  </si>
  <si>
    <t>14477450</t>
  </si>
  <si>
    <t>Risques liés aux vibrations</t>
  </si>
  <si>
    <t xml:space="preserve">L'agent déclare que lors de l'exécution du rivetage d'une pièce avec un pistolet de rivetage et un tas l'agent aurait ressenti une douleur dans le coude et l'avant-bras gauche.                           </t>
  </si>
  <si>
    <t xml:space="preserve">L�agent déclare qu'il se serait cogné au niveau de la tempe gauche pendant l�installation d�une civière en cabine sur un avion                           </t>
  </si>
  <si>
    <t>112856</t>
  </si>
  <si>
    <t>SERVERIAN</t>
  </si>
  <si>
    <t>07674720</t>
  </si>
  <si>
    <t xml:space="preserve">MT HB SA    </t>
  </si>
  <si>
    <t xml:space="preserve">L'agent déclare qu'il ne se serait pas senti bien et penserait faire une baisse de tension.                            </t>
  </si>
  <si>
    <t>L'ÉVÈNEMENT SURVENU CE MATIN</t>
  </si>
  <si>
    <t>112877</t>
  </si>
  <si>
    <t>CARREL</t>
  </si>
  <si>
    <t>15638824</t>
  </si>
  <si>
    <t xml:space="preserve">L'agent déclare que lors de la manipulation d'un grand escabeau, celui-ci aurait percuté son talon droit. Il aurait ressenti une torsion au niveau de sa cheville.                           </t>
  </si>
  <si>
    <t>112921</t>
  </si>
  <si>
    <t>CHAUMETTE</t>
  </si>
  <si>
    <t>13473296</t>
  </si>
  <si>
    <t xml:space="preserve">L AGENT DECLARE QUE LORS DE LA DESCENTE DE LA PASSERELLE AVION SON GENOU Se serait VRILLE ET Aurait RESSENTI  UNE DOULEUR VIVE.                            </t>
  </si>
  <si>
    <t>112945</t>
  </si>
  <si>
    <t>SELLIER</t>
  </si>
  <si>
    <t>33319500</t>
  </si>
  <si>
    <t xml:space="preserve">l'agent déclare qu'il se serait coupé l'avant bras droit lors du torquage (serrage) d'écrous sur un avion alors qu'il faisait une rotation du corps pour se repositionner. .                          </t>
  </si>
  <si>
    <t>BLESSURE CONSTATÉE VISUELLEM</t>
  </si>
  <si>
    <t>113003</t>
  </si>
  <si>
    <t>SENEZ</t>
  </si>
  <si>
    <t>33779844</t>
  </si>
  <si>
    <t xml:space="preserve">L'agent déclare qu'en voulant extraire un axe corrodé sur une ferrure avec un marteau, celui-ci aurait dérapé et il aurait pris le coup sur la main gauche.                           </t>
  </si>
  <si>
    <t>113050</t>
  </si>
  <si>
    <t>D'AGOSTINI</t>
  </si>
  <si>
    <t>42339486</t>
  </si>
  <si>
    <t xml:space="preserve">L'agent déclare qu'une pièce en cours de remontage serait tombée sur son épaule droite.                            </t>
  </si>
  <si>
    <t>113035</t>
  </si>
  <si>
    <t>POURRE</t>
  </si>
  <si>
    <t>MATHIAS</t>
  </si>
  <si>
    <t>31119418</t>
  </si>
  <si>
    <t xml:space="preserve">l'agent déclare qu'il se serait coupé l'index gauche avec la meuleuse rapide .                            </t>
  </si>
  <si>
    <t>113072</t>
  </si>
  <si>
    <t>14421977</t>
  </si>
  <si>
    <t xml:space="preserve">L'agent déclare qu'il aurait ressenti une gêne subite dans l'Sil gauche lors de la visite de l'avion F-GRHL dans le hangar H2.                            </t>
  </si>
  <si>
    <t>MR FRANCOIS M'A SIGNALÉ AVOIR</t>
  </si>
  <si>
    <t>113121</t>
  </si>
  <si>
    <t>DERTOROSSIAN</t>
  </si>
  <si>
    <t>32870468</t>
  </si>
  <si>
    <t xml:space="preserve">L'agent déclare que lors du remplacement d'une roue sur un avion, il se serait coincé le genou entre 2 chariots.                            </t>
  </si>
  <si>
    <t>113154</t>
  </si>
  <si>
    <t>KERAMBLOCH</t>
  </si>
  <si>
    <t>41296132</t>
  </si>
  <si>
    <t xml:space="preserve">L'agent déclare que en démontant les baignoires de l'aile gauche, il aurait fait un faux mouvement et il aurait ressenti une vive douleur au niveau des cervicales.                           </t>
  </si>
  <si>
    <t>113323</t>
  </si>
  <si>
    <t>GESLIN</t>
  </si>
  <si>
    <t>41301081</t>
  </si>
  <si>
    <t>Présence d'un corps étranger</t>
  </si>
  <si>
    <t xml:space="preserve">L'agent déclare qu'il était allongé sur le caisson de stab awacs et aurait ressenti une chose à l'Sil Gauche. il est passé au service médicale le lendemain après midi.                           </t>
  </si>
  <si>
    <t>113119</t>
  </si>
  <si>
    <t>DA SILVA</t>
  </si>
  <si>
    <t>GEORGES</t>
  </si>
  <si>
    <t>13645674</t>
  </si>
  <si>
    <t xml:space="preserve">L'agent déclare qu'il aurait percuté un troupeau de sanglier sur la départementale 1324 entre Crépy en Valois et Senlis à hauteur de Barbery.                           </t>
  </si>
  <si>
    <t>113018</t>
  </si>
  <si>
    <t>GRISARD</t>
  </si>
  <si>
    <t>40588638</t>
  </si>
  <si>
    <t xml:space="preserve">L'agent déclare qu'il aurait ressenti une douleur au dos en branchant le câble du 400hz sur avion en E22.                            </t>
  </si>
  <si>
    <t>113147</t>
  </si>
  <si>
    <t>CONDAT</t>
  </si>
  <si>
    <t>07789807</t>
  </si>
  <si>
    <t xml:space="preserve">l'agent declare que en descendant du dock moteur 2 l'agent se serait blessé a la main gauche avec un tyrap de maintien de panneau de sécurité qui ont été mal coupé                           </t>
  </si>
  <si>
    <t>113020</t>
  </si>
  <si>
    <t>COUBLE</t>
  </si>
  <si>
    <t>13469357</t>
  </si>
  <si>
    <t xml:space="preserve">L'AGENT DECLARE QUE UNE DOULEUR EST SURVENUE DANS LE BAS DU DOS LORSQU IL AURAIT VERROUILLE UN ESCABEAU  POUR EFFECTUER LE PLEIN D'HUILE AVION.                           </t>
  </si>
  <si>
    <t>113158</t>
  </si>
  <si>
    <t>GUILLIN</t>
  </si>
  <si>
    <t>32873704</t>
  </si>
  <si>
    <t xml:space="preserve">L'agent déclare qu'en débranchant le prise 115/400 connecté a l'avion aurait senti une douleur au thorax et dans le dos.                            </t>
  </si>
  <si>
    <t>113205</t>
  </si>
  <si>
    <t>BOUDON</t>
  </si>
  <si>
    <t>40498813</t>
  </si>
  <si>
    <t xml:space="preserve">L'agent déclare de s'être blessé en manipulant le câble 400hz pour le connecté à l'avion.                             </t>
  </si>
  <si>
    <t>113150</t>
  </si>
  <si>
    <t>ARIBI</t>
  </si>
  <si>
    <t>MOHAMED</t>
  </si>
  <si>
    <t>31703640</t>
  </si>
  <si>
    <t xml:space="preserve">La sangle était bloquée au niveau du palier d'ajustement et en voulant la débloquer l'agent aurait effectué un mouvement en force qui aurait entrainé un choc et une torsion sur une articulation du pouce gauche.                           </t>
  </si>
  <si>
    <t>113195</t>
  </si>
  <si>
    <t>RAULINE</t>
  </si>
  <si>
    <t>JEREMY</t>
  </si>
  <si>
    <t>34083069</t>
  </si>
  <si>
    <t xml:space="preserve">l'agent déclare qu'il aurait ressenti une vive douleur au niveau des épaules et du cou lors de la mise  en caisse du VFG déposé                           </t>
  </si>
  <si>
    <t>113187</t>
  </si>
  <si>
    <t>GRANIER</t>
  </si>
  <si>
    <t>33267663</t>
  </si>
  <si>
    <t xml:space="preserve">MT HB TH    </t>
  </si>
  <si>
    <t xml:space="preserve">L'agent déclare se serait retourné le pouce gauche en manipulant, en poussant un des cartons  lors du  traitement des réceptions de commande d'EPI.                           </t>
  </si>
  <si>
    <t>113238</t>
  </si>
  <si>
    <t>LELIEVRE</t>
  </si>
  <si>
    <t>32835308</t>
  </si>
  <si>
    <t xml:space="preserve">L'agent déclare que lors qu'il a voulu couper un morceau de boltaron en plastique qui dépassait d'un siège passager, la lame du leatherman aurait ripée et à coupé assez profondément son majeur droit sous la base de l'ongle.                          </t>
  </si>
  <si>
    <t>113337</t>
  </si>
  <si>
    <t>NICCOLAI</t>
  </si>
  <si>
    <t>13602632</t>
  </si>
  <si>
    <t xml:space="preserve">L'agent déclare qu'il aurait trébuché en se rendant à son véhicule garé devant son domicile. Il aurait chuté de sa hauteur sur le sol et aurait ressenti une vive douleur au poignet droit.                           </t>
  </si>
  <si>
    <t>113340</t>
  </si>
  <si>
    <t>FRABOULET</t>
  </si>
  <si>
    <t>MIKAEL</t>
  </si>
  <si>
    <t>34334259</t>
  </si>
  <si>
    <t xml:space="preserve">L'agent déclare avoir été renversé par une voiture à proximité d'AF alors qu'il se rendait à vélo à son lieu de travail pour démarrer sa vacation. .                            </t>
  </si>
  <si>
    <t>113288</t>
  </si>
  <si>
    <t>RAFFRAY</t>
  </si>
  <si>
    <t>J FRANCOIS</t>
  </si>
  <si>
    <t>30962295</t>
  </si>
  <si>
    <t xml:space="preserve">l'agent déclare que pendant une opération de perçage d'un "prisonnier", en voulant maintenir la pièce pendant le perçage, son doigt aurait été transpercé de part en part  .                           </t>
  </si>
  <si>
    <t>113565</t>
  </si>
  <si>
    <t xml:space="preserve">L'agent déclare qu'en effectuant la dépose du module 4GG dans le puit detrain coté droit, du skydr ol sous pression résiduelle aurait giclé surson visage et son torse. Il avait dépressurisé le circ uit hydrauliqueprécédemment.                           </t>
  </si>
  <si>
    <t>114385</t>
  </si>
  <si>
    <t>ROUQUET</t>
  </si>
  <si>
    <t>34629909</t>
  </si>
  <si>
    <t xml:space="preserve">MT IC AV    </t>
  </si>
  <si>
    <t xml:space="preserve">L'agent déclare que suite à l'apparition d'un  "néovaisseau" sur son Sil droit, son acuité visuelle serait passée à 1.6/10, sans douleur ressentie.                           </t>
  </si>
  <si>
    <t>LA CAUSE DE L'ACCIDENT N'A PA</t>
  </si>
  <si>
    <t>BUI</t>
  </si>
  <si>
    <t>HENRI</t>
  </si>
  <si>
    <t xml:space="preserve">L'agent déclare qu'alors qu'il était dans son véhicule à l'arrêt, il aurait été percuté par un conteneur qui s'est détaché de la remorque du véhicule qui le tractait.                           </t>
  </si>
  <si>
    <t>113670</t>
  </si>
  <si>
    <t xml:space="preserve">"L'agent déclare que" en dévissant une vis sous une plaque d'accès pour le graissage des trunions TP, il aurait ressenti une vive douleur, persistante et forte .                           </t>
  </si>
  <si>
    <t>113905</t>
  </si>
  <si>
    <t>LAFFARGUE</t>
  </si>
  <si>
    <t>09015037</t>
  </si>
  <si>
    <t xml:space="preserve">L'agent déclare que en exécutant AEO 20 27 0155 1 01 qui demande a travaillé dans la zone dite la chapelle et n'ayant pas d'escabeau adapté aurait glissé et c'est tordu le genou gauche car l'escabeau était trop loin de la zone de travail .                          </t>
  </si>
  <si>
    <t>113984</t>
  </si>
  <si>
    <t>ARNAUDON</t>
  </si>
  <si>
    <t>JEAN-PHILIPPE</t>
  </si>
  <si>
    <t>13626577</t>
  </si>
  <si>
    <t xml:space="preserve">L'agent déclare qu'il a ressenti une douleur à l'épaule droite lorsqu'il aurait relevé le timon d'une p asserelle d'accès avion polyvalente gros porteurs.                           </t>
  </si>
  <si>
    <t>114059</t>
  </si>
  <si>
    <t>DREYFUS</t>
  </si>
  <si>
    <t>34151171</t>
  </si>
  <si>
    <t xml:space="preserve">L'agent déclare une perte de vision de l'Sil gauche. vision très très flou.                             </t>
  </si>
  <si>
    <t>114058</t>
  </si>
  <si>
    <t>MENDEZ</t>
  </si>
  <si>
    <t>HORACE</t>
  </si>
  <si>
    <t>09105367</t>
  </si>
  <si>
    <t xml:space="preserve">L'agent déclare qu'en chargeant la boite "boroscope" dans le coffre de la voiture de service, la cai sse aurait heurté son genou gauche.                           </t>
  </si>
  <si>
    <t>113967</t>
  </si>
  <si>
    <t>DELAYEN</t>
  </si>
  <si>
    <t>32754371</t>
  </si>
  <si>
    <t xml:space="preserve">L'agent déclare avoir reçus le crochet du câble 400hrz en le manSuvrant  .                             </t>
  </si>
  <si>
    <t>114074</t>
  </si>
  <si>
    <t>POTHIER</t>
  </si>
  <si>
    <t>08337350</t>
  </si>
  <si>
    <t xml:space="preserve">L'agent déclare que : il aurait été percuté par l'arrière de son véhicule, sur la nationale 2, en venant prendre sa vacation au travail.                            </t>
  </si>
  <si>
    <t>114081</t>
  </si>
  <si>
    <t xml:space="preserve">L'agent déclare que lorsqu'il aurait monté l'escalier montant au dock le genou gauche aurait craqué et il aurait  ressenti une douleur.                           </t>
  </si>
  <si>
    <t>114082</t>
  </si>
  <si>
    <t>BILLARD</t>
  </si>
  <si>
    <t>OCEANE</t>
  </si>
  <si>
    <t>42573502</t>
  </si>
  <si>
    <t xml:space="preserve">L�agent mineur déclare avoir été agressé dans le RER C sur le trajet Villeneuve le Roy- Choisy le Roy. Assise, seule dans le wagon avec son agresseur, elle aurait reçu un coup sur la tempe gauche alors qu'elle écoutait de la musique avec un casque. Alors qu'elle aurait tenté de se dégager, son agresseur l�aurait agrippé par les cheveux. Se délivrant il l'aurait poursuivi dans le wagon jusqu�à la prochaine gare.                        </t>
  </si>
  <si>
    <t>114117</t>
  </si>
  <si>
    <t>RABATE</t>
  </si>
  <si>
    <t>15682876</t>
  </si>
  <si>
    <t xml:space="preserve">L'agent déclare que lors de la vidange du circuit d'eau potable d'un  avion, il aurait déplacé un escabeau et se serait fait mal au dos. Il  s'agissait d'un escabeau à deux roues qu'il fallait basculer pour  déplacer.                          </t>
  </si>
  <si>
    <t>114242</t>
  </si>
  <si>
    <t>BUFFETEAU</t>
  </si>
  <si>
    <t>33453983</t>
  </si>
  <si>
    <t xml:space="preserve">L'agent déclare qu'il se serait blessé le pouce gauche(Hématome sous l'ongle et peau arrachée) alors qu'il utilisait un outil (emporte pièce)pour effectuer des perçages sur un joint de joue.                           </t>
  </si>
  <si>
    <t>114386</t>
  </si>
  <si>
    <t>CASTANO</t>
  </si>
  <si>
    <t>ENZO</t>
  </si>
  <si>
    <t>42328271</t>
  </si>
  <si>
    <t xml:space="preserve">L'agent déclare que lors d'un cours d'EPS un camarade lui aurait mis un coup de tête involontaire:  L'élève déclare n'avoir rien dit à son formateur et n'avoir pas déclaré cet incident à son centre  de formation.  .                           </t>
  </si>
  <si>
    <t>LATRILLE</t>
  </si>
  <si>
    <t xml:space="preserve">L'agent déclare que vers 06h00 le matin sur le trajet domicile travail en approche d'un rond-point, il aurait percuté un sanglier qui traversait la route.                           </t>
  </si>
  <si>
    <t>114341</t>
  </si>
  <si>
    <t xml:space="preserve">L'agent déclare qu'en entrant dans l'avion suite à une demande d'intervention de la part de l'équi page, il a trébuché sur le seuil d'entrée de porte et s'est cogné la main gauche sur la porte au n iveau du petit doigt.                           </t>
  </si>
  <si>
    <t>114326</t>
  </si>
  <si>
    <t>BIAS</t>
  </si>
  <si>
    <t>30259653</t>
  </si>
  <si>
    <t xml:space="preserve">L'agent déclare avoir ressentie une douleur dans le bas du dos.l'agent aurait glissé en descendant de l'escalier de la passerelle en K65 .                            </t>
  </si>
  <si>
    <t>114441</t>
  </si>
  <si>
    <t>LOUISY-DUFER</t>
  </si>
  <si>
    <t>31728902</t>
  </si>
  <si>
    <t xml:space="preserve">Le salarié déclare qu'il aurait ressenti un pincement entre les côtes du côté gauche en branchant un câble électrique à l'avion. .                            </t>
  </si>
  <si>
    <t>114419</t>
  </si>
  <si>
    <t>DURAND</t>
  </si>
  <si>
    <t>13997706</t>
  </si>
  <si>
    <t xml:space="preserve">CHUTE DE L'ESCABEAU 777 400HZ LORS DE L'OPERATION DE RETRAIT DU CABLE D'ALIMENTATION ELECTRIQUE DE  L'AVION  .                            </t>
  </si>
  <si>
    <t>114512</t>
  </si>
  <si>
    <t>MENDY</t>
  </si>
  <si>
    <t>FERNAND</t>
  </si>
  <si>
    <t>42385865</t>
  </si>
  <si>
    <t xml:space="preserve">DAT faite ce jour suite réception du CMI:L'agent déclare qu'il se serait déboité l'épaule en  retirant son sac à dos sur le trajet du lyc ée. Il aurait fait appel aux pompiers pour se rendre aux urgences et aurait prévenu le proviseur du C FA.                         </t>
  </si>
  <si>
    <t>114453</t>
  </si>
  <si>
    <t>POMA</t>
  </si>
  <si>
    <t>JEAN-CLAUDE</t>
  </si>
  <si>
    <t>32020508</t>
  </si>
  <si>
    <t xml:space="preserve">L'agent déclare que en voulant détorquer un axe, sa main aurait ripé et aurait tapé sur l'avion violement.                            </t>
  </si>
  <si>
    <t>114632</t>
  </si>
  <si>
    <t>CHANTHERY</t>
  </si>
  <si>
    <t>STEVEN</t>
  </si>
  <si>
    <t>42631500</t>
  </si>
  <si>
    <t xml:space="preserve">L'agent déclare qu'il s'est tordu la cheville gauche en ramassant une balle. L'agent est tombé dan s un creux.                            </t>
  </si>
  <si>
    <t>114478</t>
  </si>
  <si>
    <t>15503125</t>
  </si>
  <si>
    <t xml:space="preserve">L'agent déclare qu'il aurait trébuché sur une marche de la passerelle avion.                            </t>
  </si>
  <si>
    <t>114633</t>
  </si>
  <si>
    <t>KORE</t>
  </si>
  <si>
    <t>ROMARIC</t>
  </si>
  <si>
    <t>42366869</t>
  </si>
  <si>
    <t xml:space="preserve">L'agent déclare  que lors d'une course, il aurait ressenti une vive douleur derrière le genou de la jambe droite"                            </t>
  </si>
  <si>
    <t>114675</t>
  </si>
  <si>
    <t>32835207</t>
  </si>
  <si>
    <t xml:space="preserve">L'agent déclare qu'il aurait raté une marche en montant dans la passerelle pour accéder à l'avion. Il aurait chuté et aurait heurté la marche au niveau du thorax côté gauche. Il n'aurait pas pu se rattraper car il portait une sacoche.                          </t>
  </si>
  <si>
    <t>114781</t>
  </si>
  <si>
    <t>LARBI</t>
  </si>
  <si>
    <t>MOUMTAZ</t>
  </si>
  <si>
    <t>14414907</t>
  </si>
  <si>
    <t xml:space="preserve">L'agent déclare que lors de la coupure repas, il serait tombé dans l'escalier menant au restaurant d'entreprise                            </t>
  </si>
  <si>
    <t>114916</t>
  </si>
  <si>
    <t>BROSSARD</t>
  </si>
  <si>
    <t>LOUIS</t>
  </si>
  <si>
    <t>42608359</t>
  </si>
  <si>
    <t xml:space="preserve">L'agent déclare que pendant une séance de sport le matin aurait ressenti une douleur au pied droit.                            </t>
  </si>
  <si>
    <t>115007</t>
  </si>
  <si>
    <t>VEILLEROT</t>
  </si>
  <si>
    <t>41302701</t>
  </si>
  <si>
    <t xml:space="preserve">L'agent déclare qu'il se serait fait mal au doigt en démontant une pièce sur un avion. Samain aurait ripé et son pouce aurait heurté le meuble sous lavabo.                           </t>
  </si>
  <si>
    <t>114993</t>
  </si>
  <si>
    <t>LEFAUCHEUX</t>
  </si>
  <si>
    <t>34134401</t>
  </si>
  <si>
    <t xml:space="preserve">L'agent déclare qu'il se serait  tordu la cheville droite sur le trottoir en fermant son portail.                            </t>
  </si>
  <si>
    <t>115002</t>
  </si>
  <si>
    <t>CHAMEREAU</t>
  </si>
  <si>
    <t>TONY</t>
  </si>
  <si>
    <t>35435312</t>
  </si>
  <si>
    <t xml:space="preserve">L'agent déclare qu'il aurait ressenti une douleur vive au niveau du fessier descendant jusqu'au talon, après avoir travaillé dans le réservoir avion pendant toute sa vacation. La douleur serait arrivée  lorsque les muscles auraient été refroidis.                          </t>
  </si>
  <si>
    <t>115036</t>
  </si>
  <si>
    <t>LE TREQUESSER</t>
  </si>
  <si>
    <t>15713693</t>
  </si>
  <si>
    <t xml:space="preserve">l'agent déclare qu'il aurait ressenti une vive douleur dans le bas du dos en déplaçant un escabeau.                            </t>
  </si>
  <si>
    <t>115062</t>
  </si>
  <si>
    <t>LEMASSON</t>
  </si>
  <si>
    <t>34332542</t>
  </si>
  <si>
    <t xml:space="preserve">L'agent déclare qu'en travaillant sur un siège dans la cabine d'un avion, il aurait reçu un corps étranger dans l'Sil gauche, provoquant l'irritation de celui-ci .                           </t>
  </si>
  <si>
    <t>PAS DE RESERVE.</t>
  </si>
  <si>
    <t>115071</t>
  </si>
  <si>
    <t>AURIER</t>
  </si>
  <si>
    <t>CYRILLE</t>
  </si>
  <si>
    <t>30971288</t>
  </si>
  <si>
    <t xml:space="preserve">L'agent déclare qu'en montant la passerelle avion de l'A319, il aurait glissé et se serait  tordu le pouce de la main droite en voulant se rattraper.                           </t>
  </si>
  <si>
    <t>115134</t>
  </si>
  <si>
    <t>CIRON</t>
  </si>
  <si>
    <t>HUBERT</t>
  </si>
  <si>
    <t>13641331</t>
  </si>
  <si>
    <t xml:space="preserve">L'agent déclare qu'en sortant du véhicule, elle aurait pris son sac et la lanière du sac serait coincé et la porte serait refermée sur son pouce.                           </t>
  </si>
  <si>
    <t>115346</t>
  </si>
  <si>
    <t xml:space="preserve">L'agent déclare qu'en déposant un fauteuil, il se serait coincé l'auriculaire droit dans l'assise.                            </t>
  </si>
  <si>
    <t>115406</t>
  </si>
  <si>
    <t>OYEZ</t>
  </si>
  <si>
    <t>13634560</t>
  </si>
  <si>
    <t xml:space="preserve">L'agent déclare qu'en sortant de vacation de nuit  à 06h10 en allant prendre mon véhicule  à pied stationné au PKG H2 il se serait tombé à terre sur le genoux droit ( il aurait marché sur un cailloux ).                          </t>
  </si>
  <si>
    <t>115541</t>
  </si>
  <si>
    <t>LANDRIEAU</t>
  </si>
  <si>
    <t>34591614</t>
  </si>
  <si>
    <t xml:space="preserve">L'agent déclare que lors de la manipulation d'une grille GTR. .                             </t>
  </si>
  <si>
    <t>115555</t>
  </si>
  <si>
    <t>CERRITO</t>
  </si>
  <si>
    <t>32965953</t>
  </si>
  <si>
    <t xml:space="preserve">l'agent déclare que lors du remplacement équipement sur GTR il a ressenti une douleur vive au nive au des lombaires+fessiers.                            </t>
  </si>
  <si>
    <t>SERVICES</t>
  </si>
  <si>
    <t>Nombre d'accidents Bénins</t>
  </si>
  <si>
    <t>Nombre d'accidents Avec arrêt</t>
  </si>
  <si>
    <t>Nombre d'accidents Sans arrêt</t>
  </si>
  <si>
    <t>MT CG PR</t>
  </si>
  <si>
    <t>T</t>
  </si>
  <si>
    <t>MT HB PR</t>
  </si>
  <si>
    <t>BLDPMSVL</t>
  </si>
  <si>
    <t/>
  </si>
  <si>
    <t>MT YH TA</t>
  </si>
  <si>
    <t>MT UD TE</t>
  </si>
  <si>
    <t>MT HB QO</t>
  </si>
  <si>
    <t>MT YC PR</t>
  </si>
  <si>
    <t>MT CA SU</t>
  </si>
  <si>
    <t>MT QJ</t>
  </si>
  <si>
    <t>BLDPUDRY</t>
  </si>
  <si>
    <t>MT ME CI</t>
  </si>
  <si>
    <t>MT HB SL</t>
  </si>
  <si>
    <t>MT CC PR</t>
  </si>
  <si>
    <t>MT QX PP</t>
  </si>
  <si>
    <t>MT IA AV</t>
  </si>
  <si>
    <t>MT IA ME</t>
  </si>
  <si>
    <t>MT CA PR</t>
  </si>
  <si>
    <t>MT YC SU</t>
  </si>
  <si>
    <t>MT CG PW</t>
  </si>
  <si>
    <t>MT JK PR</t>
  </si>
  <si>
    <t>MT HB QU</t>
  </si>
  <si>
    <t>BLDPMSLB</t>
  </si>
  <si>
    <t>BLDPMMOR</t>
  </si>
  <si>
    <t>MT QP</t>
  </si>
  <si>
    <t>MT YC AD</t>
  </si>
  <si>
    <t>BODKI</t>
  </si>
  <si>
    <t>MT LK PR</t>
  </si>
  <si>
    <t>TLSKI</t>
  </si>
  <si>
    <t>BLDPMSRY</t>
  </si>
  <si>
    <t>LYSKI</t>
  </si>
  <si>
    <t>MT CC SM</t>
  </si>
  <si>
    <t>MT LK SU</t>
  </si>
  <si>
    <t>MT YH AR</t>
  </si>
  <si>
    <t>MT LK SI</t>
  </si>
  <si>
    <t>MT UD TO</t>
  </si>
  <si>
    <t>BLDPMERY</t>
  </si>
  <si>
    <t>MT QF RG</t>
  </si>
  <si>
    <t>MT QS UG</t>
  </si>
  <si>
    <t>MT UD QU</t>
  </si>
  <si>
    <t>MPLKI</t>
  </si>
  <si>
    <t>MT QS FT</t>
  </si>
  <si>
    <t>BLDPVDOR</t>
  </si>
  <si>
    <t>MT QS OU</t>
  </si>
  <si>
    <t>BLDPTDTL</t>
  </si>
  <si>
    <t>MRSKI</t>
  </si>
  <si>
    <t>MT HB SA</t>
  </si>
  <si>
    <t>MT HB TH</t>
  </si>
  <si>
    <t>MT IC AV</t>
  </si>
  <si>
    <t>105100</t>
  </si>
  <si>
    <t>13631126</t>
  </si>
  <si>
    <t>105675</t>
  </si>
  <si>
    <t>07722816</t>
  </si>
  <si>
    <t>111694</t>
  </si>
  <si>
    <t>40509119</t>
  </si>
  <si>
    <t>106721</t>
  </si>
  <si>
    <t>32750634</t>
  </si>
  <si>
    <t>109086</t>
  </si>
  <si>
    <t>30776278</t>
  </si>
  <si>
    <t>109085</t>
  </si>
  <si>
    <t>32869660</t>
  </si>
  <si>
    <t>109295</t>
  </si>
  <si>
    <t>13925863</t>
  </si>
  <si>
    <t>110476</t>
  </si>
  <si>
    <t>15461901</t>
  </si>
  <si>
    <t>111083</t>
  </si>
  <si>
    <t>40672504</t>
  </si>
  <si>
    <t>111193</t>
  </si>
  <si>
    <t>33777117</t>
  </si>
  <si>
    <t>111752</t>
  </si>
  <si>
    <t>02775513</t>
  </si>
  <si>
    <t>112185</t>
  </si>
  <si>
    <t>41461335</t>
  </si>
  <si>
    <t>112419</t>
  </si>
  <si>
    <t>32950492</t>
  </si>
  <si>
    <t>112911</t>
  </si>
  <si>
    <t>113590</t>
  </si>
  <si>
    <t>32335049</t>
  </si>
  <si>
    <t>114314</t>
  </si>
  <si>
    <t>15822821</t>
  </si>
  <si>
    <t>Tranche d'age</t>
  </si>
  <si>
    <t>Mois</t>
  </si>
  <si>
    <t>Jours perdus total</t>
  </si>
  <si>
    <t>Jours perdus AT S</t>
  </si>
  <si>
    <t>Jours perdus AT T</t>
  </si>
  <si>
    <t xml:space="preserve">REPARTITION DES ACCIDENTS EN FONCTION DE LA NATURE DE L'ARRET </t>
  </si>
  <si>
    <t xml:space="preserve">40 à 44 ans </t>
  </si>
  <si>
    <t xml:space="preserve">45 à 49 ans </t>
  </si>
  <si>
    <t>60 ans et +</t>
  </si>
  <si>
    <t>AT BENIN</t>
  </si>
  <si>
    <t>AT AVEC OU SANS ARRET</t>
  </si>
  <si>
    <t>REPARTITION DES ACCIDENTS EN FONCTION DE L'AGE</t>
  </si>
  <si>
    <t>115860</t>
  </si>
  <si>
    <t>BRETTENACHER</t>
  </si>
  <si>
    <t>13473094</t>
  </si>
  <si>
    <t xml:space="preserve">L'agent déclare qu'un véhicule aurait stoppé brutalement devant lui, il n'aurait pas eu le temps de freiner et l'aurait percuté.                            </t>
  </si>
  <si>
    <t>115654</t>
  </si>
  <si>
    <t>DAOUDI</t>
  </si>
  <si>
    <t>KRIM</t>
  </si>
  <si>
    <t>33324752</t>
  </si>
  <si>
    <t xml:space="preserve">L'agent déclare qu'il aurait été poussé par son collègue ce qui aurait entrainé sa chute sur son bureau.                            </t>
  </si>
  <si>
    <t>115653</t>
  </si>
  <si>
    <t>EUSEBIO DOURADO</t>
  </si>
  <si>
    <t>34637181</t>
  </si>
  <si>
    <t xml:space="preserve">L'AGENT DECLARE QU'EN DEMONTANT UNE SONDE DE TEMPERATURE COCKPIT IL AURAIT RECU DE LA POUSSIERE DANS L'OEIL DROIT.                            </t>
  </si>
  <si>
    <t>115556</t>
  </si>
  <si>
    <t>30971894</t>
  </si>
  <si>
    <t xml:space="preserve">l'agent déclare que après la mise en piste de l'a340, F-GLZU, et aprèsla mise en place de la passe relle, il aurait  voulu brancher le câble400 HZ à l'avion il aurait ressenti une vive douleur à l' avant brasdroit.                           </t>
  </si>
  <si>
    <t>115569</t>
  </si>
  <si>
    <t xml:space="preserve">L'agent déclare qu'en travaillant sur une fixation il se serait mis un coup de marteau sur le pouce gauche.                            </t>
  </si>
  <si>
    <t>M. CHAMEREAU A ÉTÉ TRANSPORTÉ</t>
  </si>
  <si>
    <t xml:space="preserve">L'agent déclare que lors du remplacement d'équipement sur un avion, il aurait ressenti une douleur vive au niveau des lombaires et fessiers.                            </t>
  </si>
  <si>
    <t>115909</t>
  </si>
  <si>
    <t>GRENARD</t>
  </si>
  <si>
    <t>34635868</t>
  </si>
  <si>
    <t xml:space="preserve">L'agent déclare qu'il aurait ressenti une douleur dans le dos lors de la manipulation du vérin de relevage de train principal gauche de l'avion A340.                           </t>
  </si>
  <si>
    <t>115766</t>
  </si>
  <si>
    <t>PROTIN</t>
  </si>
  <si>
    <t>07724432</t>
  </si>
  <si>
    <t xml:space="preserve">L'agent déclare qu'il aurait ressenti un malaise.                             </t>
  </si>
  <si>
    <t>115874</t>
  </si>
  <si>
    <t xml:space="preserve">L'agent déclare qu'il aurait heurté la trappe auxiliaire de train avant côté gauche alors qu'il effectuait l'inspection du logement de train avant.                           </t>
  </si>
  <si>
    <t>115743</t>
  </si>
  <si>
    <t>QUENTEL</t>
  </si>
  <si>
    <t>15996007</t>
  </si>
  <si>
    <t xml:space="preserve">L'agent déclare que lors de l'ouverture capot la biellette (tige d'acier) serait sortie de son emplacement et aurait percuté la bouche lui cassant une dent.                           </t>
  </si>
  <si>
    <t>115773</t>
  </si>
  <si>
    <t>GAREL</t>
  </si>
  <si>
    <t>07736354</t>
  </si>
  <si>
    <t xml:space="preserve">L'agent déclare qu'il aurait glissé sur une flaque d'huile et aurait chuté sur le coude et l'épaule gauche . .                           </t>
  </si>
  <si>
    <t>115747</t>
  </si>
  <si>
    <t>SELOIVE</t>
  </si>
  <si>
    <t>13483101</t>
  </si>
  <si>
    <t xml:space="preserve">L'agent déclare qu'en effectuant un servicing hydraulique, il se serait coupé avec la poignée de la pompe à main.                            </t>
  </si>
  <si>
    <t>116048</t>
  </si>
  <si>
    <t>BORDELAI</t>
  </si>
  <si>
    <t>MARIO</t>
  </si>
  <si>
    <t>30971389</t>
  </si>
  <si>
    <t xml:space="preserve">L'agent déclare que" lors du rangement des outils dans la caisse anti fod située près du dock GTR 2 pose bloc H1/3&lt;(&gt;,&lt;)&gt;il aurait trébuché sur le rail guide dock GTR,la visseuse électrique dans la main droite, son bras droit aurait pivoté et il aurait ressenti une douleur.                         </t>
  </si>
  <si>
    <t>115999</t>
  </si>
  <si>
    <t>VAAST</t>
  </si>
  <si>
    <t>42363233</t>
  </si>
  <si>
    <t xml:space="preserve">L'agent déclare qu'il a reçu un ballon dans le poignet gauche lors d'une séance de gym à Vilgénis.                            </t>
  </si>
  <si>
    <t>116127</t>
  </si>
  <si>
    <t>GAZZOLA</t>
  </si>
  <si>
    <t>07707254</t>
  </si>
  <si>
    <t xml:space="preserve">L'agent déclare que lors de son déplacement en véhicule en empruntant les voies de circulation entre le H4 et le H1, il serait entré en collision avec un tracteur avion type TPX.                          </t>
  </si>
  <si>
    <t>116195</t>
  </si>
  <si>
    <t xml:space="preserve">L'agent déclare qu'il se serait tordu la cheville en montant l'escalier du dock d'aile droite dans le hangar H1-2.  .                            </t>
  </si>
  <si>
    <t>116259</t>
  </si>
  <si>
    <t>POLLICELLA</t>
  </si>
  <si>
    <t>32872589</t>
  </si>
  <si>
    <t xml:space="preserve">l'agent déclare s'etre fait mal au bas du dos en manipulant le frein 2 lors de la repose.il a ress enti une vive douleur qui augmente depuis ce moment. .                            </t>
  </si>
  <si>
    <t>116268</t>
  </si>
  <si>
    <t>GUSINAC</t>
  </si>
  <si>
    <t>DJEMIL</t>
  </si>
  <si>
    <t>34630717</t>
  </si>
  <si>
    <t xml:space="preserve">l'agent déclare s'être coincer les doigts de la main gauche lors de la manipulation du frein qu'il  remplaçait  .                            </t>
  </si>
  <si>
    <t>NON PAS DE RESERVE.</t>
  </si>
  <si>
    <t>116354</t>
  </si>
  <si>
    <t>MENDES</t>
  </si>
  <si>
    <t>CESAR</t>
  </si>
  <si>
    <t>09458510</t>
  </si>
  <si>
    <t xml:space="preserve">En effectuant la vérification du moteur lors du tour avion à l'arrivée du vol A5 4208 l'agent décl are s'est baissé et a ressenti une douleur au niveau des lombaires. L'agent a terminé son tour avi on et a prévenu sa hiérarchie.                           </t>
  </si>
  <si>
    <t>=COUNTIF(TABLEAU AT GLOBAL DEA!B2:B309,B2)=0</t>
  </si>
  <si>
    <t>MT FB PR</t>
  </si>
  <si>
    <t>MT CA</t>
  </si>
  <si>
    <t>NCEKI</t>
  </si>
  <si>
    <t>Nombre d'accidents de Trajet avec Arret</t>
  </si>
  <si>
    <t>Nombre d'accidents de Trajet sans Arret</t>
  </si>
  <si>
    <t>APPRENTI TOTAL</t>
  </si>
  <si>
    <t>MT-UD TOTAL</t>
  </si>
  <si>
    <t>MT-YC TOTAL</t>
  </si>
  <si>
    <t>MT-ME TOTAL</t>
  </si>
  <si>
    <t>MT-LK TOTAL</t>
  </si>
  <si>
    <t>MT-QX TOTAL</t>
  </si>
  <si>
    <t>MT-YH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</si>
</sst>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29" x14ac:knownFonts="1">
    <font>
      <sz val="11"/>
      <color theme="1"/>
      <name val="Calibri"/>
      <family val="2"/>
      <scheme val="minor"/>
    </font>
    <font>
      <sz val="10"/>
      <name val="Arial"/>
      <family val="2"/>
    </font>
    <font>
      <sz val="10"/>
      <name val="Arial"/>
      <family val="2"/>
    </font>
    <font>
      <sz val="9"/>
      <color indexed="81"/>
      <name val="Tahoma"/>
      <family val="2"/>
    </font>
    <font>
      <b/>
      <sz val="9"/>
      <color indexed="81"/>
      <name val="Tahoma"/>
      <family val="2"/>
    </font>
    <font>
      <b/>
      <sz val="11"/>
      <color indexed="8"/>
      <name val="Calibri"/>
      <family val="2"/>
    </font>
    <font>
      <b/>
      <sz val="11"/>
      <color indexed="10"/>
      <name val="Calibri"/>
      <family val="2"/>
    </font>
    <font>
      <sz val="8"/>
      <name val="Calibri"/>
      <family val="2"/>
    </font>
    <font>
      <sz val="11"/>
      <color theme="0"/>
      <name val="Calibri"/>
      <family val="2"/>
      <scheme val="minor"/>
    </font>
    <font>
      <b/>
      <sz val="11"/>
      <color theme="1"/>
      <name val="Calibri"/>
      <family val="2"/>
      <scheme val="minor"/>
    </font>
    <font>
      <b/>
      <sz val="11"/>
      <color theme="0"/>
      <name val="Calibri"/>
      <family val="2"/>
      <scheme val="minor"/>
    </font>
    <font>
      <sz val="9"/>
      <color rgb="FF333333"/>
      <name val="Arial"/>
      <family val="2"/>
    </font>
    <font>
      <b/>
      <sz val="9"/>
      <color rgb="FFFFFFFF"/>
      <name val="Arial"/>
      <family val="2"/>
    </font>
    <font>
      <b/>
      <sz val="9"/>
      <color theme="0"/>
      <name val="Arial"/>
      <family val="2"/>
    </font>
    <font>
      <b/>
      <sz val="12"/>
      <color theme="0"/>
      <name val="Calibri"/>
      <family val="2"/>
      <scheme val="minor"/>
    </font>
    <font>
      <b/>
      <sz val="14"/>
      <color theme="0"/>
      <name val="Calibri"/>
      <family val="2"/>
      <scheme val="minor"/>
    </font>
    <font>
      <sz val="12"/>
      <color theme="1"/>
      <name val="Calibri"/>
      <family val="2"/>
      <scheme val="minor"/>
    </font>
    <font>
      <sz val="12"/>
      <color rgb="FF333333"/>
      <name val="Arial"/>
      <family val="2"/>
    </font>
    <font>
      <b/>
      <sz val="12"/>
      <color theme="1"/>
      <name val="Calibri"/>
      <family val="2"/>
      <scheme val="minor"/>
    </font>
    <font>
      <sz val="10"/>
      <color rgb="FF000000"/>
      <name val="Arial"/>
      <family val="2"/>
    </font>
    <font>
      <b/>
      <sz val="9"/>
      <color rgb="FF333333"/>
      <name val="Arial"/>
      <family val="2"/>
    </font>
    <font>
      <b/>
      <sz val="9"/>
      <color rgb="FFFF0000"/>
      <name val="Arial"/>
      <family val="2"/>
    </font>
    <font>
      <b/>
      <sz val="9"/>
      <color theme="1"/>
      <name val="Arial"/>
      <family val="2"/>
    </font>
    <font>
      <b/>
      <sz val="10"/>
      <color rgb="FF000000"/>
      <name val="Arial"/>
      <family val="2"/>
    </font>
    <font>
      <b/>
      <sz val="10"/>
      <color rgb="FFFF0000"/>
      <name val="Arial"/>
      <family val="2"/>
    </font>
    <font>
      <b/>
      <sz val="11"/>
      <color theme="0"/>
      <name val="Calibri"/>
      <family val="2"/>
    </font>
    <font>
      <b/>
      <sz val="14"/>
      <color indexed="30"/>
      <name val="Calibri"/>
      <family val="2"/>
    </font>
    <font>
      <b/>
      <sz val="12"/>
      <color rgb="FFFF0000"/>
      <name val="Calibri"/>
      <family val="2"/>
      <scheme val="minor"/>
    </font>
    <font>
      <sz val="9"/>
      <color theme="1"/>
      <name val="Arial"/>
      <family val="2"/>
    </font>
  </fonts>
  <fills count="23">
    <fill>
      <patternFill patternType="none"/>
    </fill>
    <fill>
      <patternFill patternType="gray125"/>
    </fill>
    <fill>
      <patternFill patternType="solid">
        <fgColor indexed="13"/>
        <bgColor indexed="64"/>
      </patternFill>
    </fill>
    <fill>
      <patternFill patternType="solid">
        <fgColor indexed="22"/>
        <bgColor indexed="64"/>
      </patternFill>
    </fill>
    <fill>
      <patternFill patternType="solid">
        <fgColor indexed="42"/>
        <bgColor indexed="64"/>
      </patternFill>
    </fill>
    <fill>
      <patternFill patternType="solid">
        <fgColor rgb="FF0070C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FFFF"/>
        <bgColor rgb="FFFFFFFF"/>
      </patternFill>
    </fill>
    <fill>
      <patternFill patternType="solid">
        <fgColor rgb="FF0B64A0"/>
        <bgColor rgb="FFFFFFFF"/>
      </patternFill>
    </fill>
    <fill>
      <patternFill patternType="solid">
        <fgColor rgb="FFF8FBFC"/>
        <bgColor rgb="FFFFFFFF"/>
      </patternFill>
    </fill>
    <fill>
      <patternFill patternType="solid">
        <fgColor rgb="FF00B050"/>
        <bgColor indexed="64"/>
      </patternFill>
    </fill>
    <fill>
      <patternFill patternType="solid">
        <fgColor rgb="FFFF0000"/>
        <bgColor indexed="64"/>
      </patternFill>
    </fill>
    <fill>
      <patternFill patternType="solid">
        <fgColor theme="3" tint="0.39997558519241921"/>
        <bgColor indexed="64"/>
      </patternFill>
    </fill>
    <fill>
      <patternFill patternType="solid">
        <fgColor theme="0" tint="-0.14999847407452621"/>
        <bgColor indexed="64"/>
      </patternFill>
    </fill>
    <fill>
      <patternFill patternType="solid">
        <fgColor theme="1" tint="0.34998626667073579"/>
        <bgColor indexed="64"/>
      </patternFill>
    </fill>
    <fill>
      <patternFill patternType="mediumGray">
        <fgColor rgb="FFFF0000"/>
        <bgColor auto="1"/>
      </patternFill>
    </fill>
    <fill>
      <patternFill patternType="mediumGray">
        <fgColor rgb="FF00B050"/>
        <bgColor auto="1"/>
      </patternFill>
    </fill>
    <fill>
      <patternFill patternType="mediumGray">
        <fgColor theme="3" tint="0.39991454817346722"/>
        <bgColor auto="1"/>
      </patternFill>
    </fill>
    <fill>
      <patternFill patternType="mediumGray">
        <fgColor rgb="FFFFFF00"/>
        <bgColor auto="1"/>
      </patternFill>
    </fill>
    <fill>
      <patternFill patternType="solid">
        <fgColor indexed="11"/>
        <bgColor indexed="64"/>
      </patternFill>
    </fill>
    <fill>
      <patternFill patternType="solid">
        <fgColor indexed="10"/>
        <bgColor indexed="64"/>
      </patternFill>
    </fill>
    <fill>
      <patternFill patternType="solid">
        <fgColor indexed="4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style="dotted">
        <color rgb="FF000000"/>
      </left>
      <right style="thin">
        <color indexed="64"/>
      </right>
      <top style="thin">
        <color rgb="FF000000"/>
      </top>
      <bottom style="thin">
        <color rgb="FF000000"/>
      </bottom>
      <diagonal/>
    </border>
    <border>
      <left style="thin">
        <color indexed="64"/>
      </left>
      <right/>
      <top/>
      <bottom/>
      <diagonal/>
    </border>
    <border>
      <left style="dotted">
        <color rgb="FF000000"/>
      </left>
      <right style="thin">
        <color rgb="FF000000"/>
      </right>
      <top style="thin">
        <color rgb="FF000000"/>
      </top>
      <bottom style="thin">
        <color rgb="FF000000"/>
      </bottom>
      <diagonal/>
    </border>
  </borders>
  <cellStyleXfs count="5">
    <xf numFmtId="0" fontId="0" fillId="0" borderId="0"/>
    <xf numFmtId="0" fontId="1" fillId="0" borderId="0"/>
    <xf numFmtId="0" fontId="2" fillId="0" borderId="0"/>
    <xf numFmtId="0" fontId="2" fillId="0" borderId="0"/>
    <xf numFmtId="0" fontId="19" fillId="0" borderId="0"/>
  </cellStyleXfs>
  <cellXfs count="114">
    <xf numFmtId="0" fontId="0" fillId="0" borderId="0" xfId="0"/>
    <xf numFmtId="0" fontId="0" fillId="0" borderId="0" xfId="0" applyAlignment="1">
      <alignment horizontal="center" vertical="center"/>
    </xf>
    <xf numFmtId="0" fontId="6" fillId="0" borderId="0" xfId="0" applyFont="1"/>
    <xf numFmtId="0" fontId="6" fillId="0" borderId="0" xfId="0" applyFont="1" applyAlignment="1">
      <alignment horizontal="center" vertical="center"/>
    </xf>
    <xf numFmtId="0" fontId="0" fillId="4" borderId="0" xfId="0" applyFill="1"/>
    <xf numFmtId="0" fontId="0" fillId="2" borderId="0" xfId="0" applyFill="1"/>
    <xf numFmtId="0" fontId="0" fillId="4" borderId="0" xfId="0" applyFill="1" applyAlignment="1">
      <alignment horizontal="center" vertical="center"/>
    </xf>
    <xf numFmtId="0" fontId="0" fillId="2" borderId="0" xfId="0" applyFill="1" applyAlignment="1">
      <alignment horizontal="center" vertical="center"/>
    </xf>
    <xf numFmtId="0" fontId="0" fillId="0" borderId="0" xfId="0" applyNumberFormat="1"/>
    <xf numFmtId="0" fontId="15" fillId="5" borderId="1" xfId="0" applyNumberFormat="1" applyFont="1" applyFill="1" applyBorder="1" applyAlignment="1">
      <alignment horizontal="center" vertical="center" wrapText="1"/>
    </xf>
    <xf numFmtId="0" fontId="14" fillId="5" borderId="1" xfId="0" applyNumberFormat="1" applyFont="1" applyFill="1" applyBorder="1" applyAlignment="1">
      <alignment horizontal="center" vertical="center" wrapText="1"/>
    </xf>
    <xf numFmtId="0" fontId="0" fillId="6" borderId="0" xfId="0" applyNumberFormat="1" applyFill="1"/>
    <xf numFmtId="0" fontId="14" fillId="11" borderId="1" xfId="0" applyNumberFormat="1" applyFont="1" applyFill="1" applyBorder="1" applyAlignment="1">
      <alignment horizontal="center" vertical="center" wrapText="1"/>
    </xf>
    <xf numFmtId="0" fontId="16" fillId="6" borderId="0" xfId="0" applyNumberFormat="1" applyFont="1" applyFill="1"/>
    <xf numFmtId="0" fontId="17" fillId="8" borderId="1" xfId="0" applyNumberFormat="1" applyFont="1" applyFill="1" applyBorder="1" applyAlignment="1">
      <alignment horizontal="center" vertical="center"/>
    </xf>
    <xf numFmtId="0" fontId="17" fillId="10" borderId="1" xfId="0" applyNumberFormat="1" applyFont="1" applyFill="1" applyBorder="1" applyAlignment="1">
      <alignment horizontal="center" vertical="center"/>
    </xf>
    <xf numFmtId="0" fontId="11" fillId="8" borderId="0" xfId="4" applyFont="1" applyFill="1" applyAlignment="1">
      <alignment horizontal="left"/>
    </xf>
    <xf numFmtId="49" fontId="12" fillId="9" borderId="3" xfId="4" applyNumberFormat="1" applyFont="1" applyFill="1" applyBorder="1" applyAlignment="1">
      <alignment horizontal="center" vertical="center" wrapText="1"/>
    </xf>
    <xf numFmtId="49" fontId="13" fillId="9" borderId="3" xfId="4" applyNumberFormat="1" applyFont="1" applyFill="1" applyBorder="1" applyAlignment="1">
      <alignment horizontal="center" vertical="center" wrapText="1"/>
    </xf>
    <xf numFmtId="14" fontId="11" fillId="10" borderId="4" xfId="4" applyNumberFormat="1" applyFont="1" applyFill="1" applyBorder="1" applyAlignment="1">
      <alignment horizontal="center" vertical="top"/>
    </xf>
    <xf numFmtId="20" fontId="11" fillId="10" borderId="5" xfId="4" applyNumberFormat="1" applyFont="1" applyFill="1" applyBorder="1" applyAlignment="1">
      <alignment horizontal="center" vertical="top"/>
    </xf>
    <xf numFmtId="49" fontId="11" fillId="10" borderId="5" xfId="4" applyNumberFormat="1" applyFont="1" applyFill="1" applyBorder="1" applyAlignment="1">
      <alignment horizontal="center" vertical="top"/>
    </xf>
    <xf numFmtId="49" fontId="11" fillId="10" borderId="5" xfId="4" applyNumberFormat="1" applyFont="1" applyFill="1" applyBorder="1" applyAlignment="1">
      <alignment horizontal="left" vertical="top"/>
    </xf>
    <xf numFmtId="1" fontId="11" fillId="10" borderId="5" xfId="4" applyNumberFormat="1" applyFont="1" applyFill="1" applyBorder="1" applyAlignment="1">
      <alignment horizontal="center" vertical="top"/>
    </xf>
    <xf numFmtId="49" fontId="11" fillId="10" borderId="5" xfId="4" applyNumberFormat="1" applyFont="1" applyFill="1" applyBorder="1" applyAlignment="1">
      <alignment horizontal="left" vertical="top" wrapText="1"/>
    </xf>
    <xf numFmtId="14" fontId="11" fillId="10" borderId="5" xfId="4" applyNumberFormat="1" applyFont="1" applyFill="1" applyBorder="1" applyAlignment="1">
      <alignment horizontal="center" vertical="top"/>
    </xf>
    <xf numFmtId="14" fontId="11" fillId="8" borderId="4" xfId="4" applyNumberFormat="1" applyFont="1" applyFill="1" applyBorder="1" applyAlignment="1">
      <alignment horizontal="center" vertical="top"/>
    </xf>
    <xf numFmtId="20" fontId="11" fillId="8" borderId="5" xfId="4" applyNumberFormat="1" applyFont="1" applyFill="1" applyBorder="1" applyAlignment="1">
      <alignment horizontal="center" vertical="top"/>
    </xf>
    <xf numFmtId="49" fontId="11" fillId="8" borderId="5" xfId="4" applyNumberFormat="1" applyFont="1" applyFill="1" applyBorder="1" applyAlignment="1">
      <alignment horizontal="center" vertical="top"/>
    </xf>
    <xf numFmtId="49" fontId="11" fillId="8" borderId="5" xfId="4" applyNumberFormat="1" applyFont="1" applyFill="1" applyBorder="1" applyAlignment="1">
      <alignment horizontal="left" vertical="top"/>
    </xf>
    <xf numFmtId="1" fontId="11" fillId="8" borderId="5" xfId="4" applyNumberFormat="1" applyFont="1" applyFill="1" applyBorder="1" applyAlignment="1">
      <alignment horizontal="center" vertical="top"/>
    </xf>
    <xf numFmtId="49" fontId="11" fillId="8" borderId="5" xfId="4" applyNumberFormat="1" applyFont="1" applyFill="1" applyBorder="1" applyAlignment="1">
      <alignment horizontal="left" vertical="top" wrapText="1"/>
    </xf>
    <xf numFmtId="14" fontId="11" fillId="8" borderId="5" xfId="4" applyNumberFormat="1" applyFont="1" applyFill="1" applyBorder="1" applyAlignment="1">
      <alignment horizontal="center" vertical="top"/>
    </xf>
    <xf numFmtId="0" fontId="11" fillId="10" borderId="5" xfId="4" applyFont="1" applyFill="1" applyBorder="1" applyAlignment="1">
      <alignment horizontal="left" vertical="top" wrapText="1"/>
    </xf>
    <xf numFmtId="0" fontId="11" fillId="8" borderId="5" xfId="4" applyFont="1" applyFill="1" applyBorder="1" applyAlignment="1">
      <alignment horizontal="left" vertical="top" wrapText="1"/>
    </xf>
    <xf numFmtId="0" fontId="19" fillId="0" borderId="0" xfId="4"/>
    <xf numFmtId="0" fontId="18" fillId="15" borderId="1" xfId="0" applyNumberFormat="1" applyFont="1" applyFill="1" applyBorder="1" applyAlignment="1">
      <alignment horizontal="center" vertical="center" wrapText="1"/>
    </xf>
    <xf numFmtId="0" fontId="18" fillId="12" borderId="1" xfId="0" applyNumberFormat="1" applyFont="1" applyFill="1" applyBorder="1" applyAlignment="1">
      <alignment horizontal="center" vertical="center" wrapText="1"/>
    </xf>
    <xf numFmtId="0" fontId="18" fillId="11" borderId="1" xfId="0" applyNumberFormat="1" applyFont="1" applyFill="1" applyBorder="1" applyAlignment="1">
      <alignment horizontal="center" vertical="center" wrapText="1"/>
    </xf>
    <xf numFmtId="0" fontId="18" fillId="13" borderId="1" xfId="0" applyNumberFormat="1" applyFont="1" applyFill="1" applyBorder="1" applyAlignment="1">
      <alignment horizontal="center" vertical="center" wrapText="1"/>
    </xf>
    <xf numFmtId="0" fontId="18" fillId="7" borderId="1" xfId="0" applyNumberFormat="1" applyFont="1" applyFill="1" applyBorder="1" applyAlignment="1">
      <alignment horizontal="center" vertical="center" wrapText="1"/>
    </xf>
    <xf numFmtId="0" fontId="18" fillId="16" borderId="1" xfId="0" quotePrefix="1" applyNumberFormat="1" applyFont="1" applyFill="1" applyBorder="1" applyAlignment="1">
      <alignment horizontal="center" vertical="center"/>
    </xf>
    <xf numFmtId="0" fontId="18" fillId="17" borderId="1" xfId="0" quotePrefix="1" applyNumberFormat="1" applyFont="1" applyFill="1" applyBorder="1" applyAlignment="1">
      <alignment horizontal="center" vertical="center"/>
    </xf>
    <xf numFmtId="0" fontId="18" fillId="18" borderId="1" xfId="0" quotePrefix="1" applyNumberFormat="1" applyFont="1" applyFill="1" applyBorder="1" applyAlignment="1">
      <alignment horizontal="center" vertical="center"/>
    </xf>
    <xf numFmtId="0" fontId="18" fillId="19" borderId="1" xfId="0" applyNumberFormat="1" applyFont="1" applyFill="1" applyBorder="1" applyAlignment="1">
      <alignment horizontal="center" vertical="center"/>
    </xf>
    <xf numFmtId="0" fontId="16" fillId="0" borderId="1" xfId="0" applyNumberFormat="1" applyFont="1" applyFill="1" applyBorder="1" applyAlignment="1">
      <alignment horizontal="center" vertical="center"/>
    </xf>
    <xf numFmtId="0" fontId="16" fillId="14" borderId="1" xfId="0" applyNumberFormat="1" applyFont="1" applyFill="1" applyBorder="1" applyAlignment="1">
      <alignment horizontal="center" vertical="center"/>
    </xf>
    <xf numFmtId="0" fontId="17" fillId="0" borderId="6" xfId="0" applyNumberFormat="1" applyFont="1" applyFill="1" applyBorder="1" applyAlignment="1">
      <alignment horizontal="center" vertical="center"/>
    </xf>
    <xf numFmtId="0" fontId="16" fillId="0" borderId="7" xfId="0" quotePrefix="1"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6" fillId="0" borderId="2" xfId="0" applyNumberFormat="1" applyFont="1" applyFill="1" applyBorder="1" applyAlignment="1">
      <alignment horizontal="center" vertical="center"/>
    </xf>
    <xf numFmtId="0" fontId="14" fillId="0" borderId="7" xfId="0" quotePrefix="1" applyNumberFormat="1" applyFont="1" applyFill="1" applyBorder="1" applyAlignment="1">
      <alignment horizontal="center" vertical="center"/>
    </xf>
    <xf numFmtId="0" fontId="18" fillId="0" borderId="7" xfId="0" applyNumberFormat="1" applyFont="1" applyFill="1" applyBorder="1" applyAlignment="1">
      <alignment horizontal="center" vertical="center"/>
    </xf>
    <xf numFmtId="49" fontId="20" fillId="10" borderId="5" xfId="4" applyNumberFormat="1" applyFont="1" applyFill="1" applyBorder="1" applyAlignment="1">
      <alignment horizontal="left" vertical="top" wrapText="1"/>
    </xf>
    <xf numFmtId="1" fontId="21" fillId="0" borderId="5" xfId="4" applyNumberFormat="1" applyFont="1" applyFill="1" applyBorder="1" applyAlignment="1">
      <alignment horizontal="center" vertical="top"/>
    </xf>
    <xf numFmtId="1" fontId="22" fillId="0" borderId="5" xfId="4" applyNumberFormat="1" applyFont="1" applyFill="1" applyBorder="1" applyAlignment="1">
      <alignment horizontal="center" vertical="top"/>
    </xf>
    <xf numFmtId="49" fontId="22" fillId="0" borderId="5" xfId="4" applyNumberFormat="1" applyFont="1" applyFill="1" applyBorder="1" applyAlignment="1">
      <alignment horizontal="center" vertical="top"/>
    </xf>
    <xf numFmtId="1" fontId="22" fillId="2" borderId="5" xfId="4" applyNumberFormat="1" applyFont="1" applyFill="1" applyBorder="1" applyAlignment="1">
      <alignment horizontal="center" vertical="top"/>
    </xf>
    <xf numFmtId="49" fontId="22" fillId="20" borderId="5" xfId="4" applyNumberFormat="1" applyFont="1" applyFill="1" applyBorder="1" applyAlignment="1">
      <alignment horizontal="center" vertical="top"/>
    </xf>
    <xf numFmtId="49" fontId="22" fillId="21" borderId="5" xfId="4" applyNumberFormat="1" applyFont="1" applyFill="1" applyBorder="1" applyAlignment="1">
      <alignment horizontal="center" vertical="top"/>
    </xf>
    <xf numFmtId="49" fontId="22" fillId="22" borderId="5" xfId="4" applyNumberFormat="1" applyFont="1" applyFill="1" applyBorder="1" applyAlignment="1">
      <alignment horizontal="center" vertical="top"/>
    </xf>
    <xf numFmtId="0" fontId="20" fillId="8" borderId="0" xfId="4" applyFont="1" applyFill="1" applyAlignment="1">
      <alignment horizontal="left"/>
    </xf>
    <xf numFmtId="0" fontId="23" fillId="0" borderId="0" xfId="4" applyFont="1"/>
    <xf numFmtId="0" fontId="21" fillId="8" borderId="0" xfId="4" applyFont="1" applyFill="1" applyAlignment="1">
      <alignment horizontal="left"/>
    </xf>
    <xf numFmtId="0" fontId="24" fillId="0" borderId="0" xfId="4" applyFont="1"/>
    <xf numFmtId="164" fontId="0" fillId="3" borderId="1" xfId="0" applyNumberFormat="1" applyFill="1" applyBorder="1" applyAlignment="1" applyProtection="1">
      <alignment horizontal="center" vertical="center"/>
    </xf>
    <xf numFmtId="164" fontId="5" fillId="14" borderId="1" xfId="0" applyNumberFormat="1" applyFont="1" applyFill="1" applyBorder="1" applyAlignment="1">
      <alignment horizontal="center" vertical="center"/>
    </xf>
    <xf numFmtId="164" fontId="0" fillId="0" borderId="1" xfId="0" applyNumberFormat="1" applyBorder="1" applyAlignment="1">
      <alignment horizontal="center" vertical="center"/>
    </xf>
    <xf numFmtId="164" fontId="0" fillId="3" borderId="1" xfId="0" applyNumberFormat="1" applyFill="1" applyBorder="1" applyAlignment="1">
      <alignment horizontal="center" vertical="center"/>
    </xf>
    <xf numFmtId="164" fontId="0" fillId="0" borderId="1" xfId="0" applyNumberFormat="1" applyFill="1" applyBorder="1" applyAlignment="1">
      <alignment horizontal="center" vertical="center"/>
    </xf>
    <xf numFmtId="49" fontId="12" fillId="9" borderId="8" xfId="4" applyNumberFormat="1" applyFont="1" applyFill="1" applyBorder="1" applyAlignment="1">
      <alignment horizontal="center" vertical="center" wrapText="1"/>
    </xf>
    <xf numFmtId="49" fontId="11" fillId="10" borderId="9" xfId="4" applyNumberFormat="1" applyFont="1" applyFill="1" applyBorder="1" applyAlignment="1">
      <alignment horizontal="center" vertical="top"/>
    </xf>
    <xf numFmtId="49" fontId="11" fillId="8" borderId="9" xfId="4" applyNumberFormat="1" applyFont="1" applyFill="1" applyBorder="1" applyAlignment="1">
      <alignment horizontal="center" vertical="top"/>
    </xf>
    <xf numFmtId="164" fontId="10" fillId="12" borderId="1" xfId="0" applyNumberFormat="1" applyFont="1" applyFill="1" applyBorder="1" applyAlignment="1" applyProtection="1">
      <alignment horizontal="center" vertical="center"/>
    </xf>
    <xf numFmtId="164" fontId="10" fillId="12" borderId="1" xfId="0" applyNumberFormat="1" applyFont="1" applyFill="1" applyBorder="1" applyAlignment="1">
      <alignment horizontal="center" vertical="center"/>
    </xf>
    <xf numFmtId="164" fontId="9" fillId="7" borderId="1" xfId="0" applyNumberFormat="1" applyFont="1" applyFill="1" applyBorder="1" applyAlignment="1" applyProtection="1">
      <alignment horizontal="center" vertical="center"/>
    </xf>
    <xf numFmtId="164" fontId="9" fillId="7" borderId="1" xfId="0" applyNumberFormat="1" applyFont="1" applyFill="1" applyBorder="1" applyAlignment="1">
      <alignment horizontal="center" vertical="center"/>
    </xf>
    <xf numFmtId="164" fontId="0" fillId="14" borderId="1" xfId="0" applyNumberFormat="1" applyFill="1" applyBorder="1" applyAlignment="1" applyProtection="1">
      <alignment horizontal="center" vertical="center"/>
    </xf>
    <xf numFmtId="14" fontId="0" fillId="14" borderId="1" xfId="0" applyNumberFormat="1" applyFill="1" applyBorder="1" applyAlignment="1" applyProtection="1">
      <alignment horizontal="center" vertical="center"/>
    </xf>
    <xf numFmtId="0" fontId="8" fillId="5" borderId="1" xfId="0" applyNumberFormat="1" applyFont="1" applyFill="1" applyBorder="1" applyAlignment="1" applyProtection="1">
      <alignment horizontal="center" vertical="center"/>
    </xf>
    <xf numFmtId="49" fontId="25" fillId="5" borderId="1" xfId="0" applyNumberFormat="1" applyFont="1" applyFill="1" applyBorder="1" applyAlignment="1">
      <alignment horizontal="center" vertical="center"/>
    </xf>
    <xf numFmtId="0" fontId="25" fillId="5" borderId="1" xfId="0" applyNumberFormat="1" applyFont="1" applyFill="1" applyBorder="1" applyAlignment="1">
      <alignment horizontal="center" vertical="center"/>
    </xf>
    <xf numFmtId="49" fontId="25" fillId="5" borderId="1" xfId="0" applyNumberFormat="1" applyFont="1" applyFill="1" applyBorder="1" applyAlignment="1">
      <alignment horizontal="center" vertical="center" wrapText="1"/>
    </xf>
    <xf numFmtId="0" fontId="25" fillId="5" borderId="1" xfId="0" applyNumberFormat="1" applyFont="1" applyFill="1" applyBorder="1" applyAlignment="1">
      <alignment horizontal="center" vertical="center" wrapText="1"/>
    </xf>
    <xf numFmtId="0" fontId="5" fillId="14" borderId="1" xfId="0" applyNumberFormat="1" applyFont="1" applyFill="1" applyBorder="1" applyAlignment="1">
      <alignment horizontal="center" vertical="center"/>
    </xf>
    <xf numFmtId="0" fontId="0" fillId="0" borderId="0" xfId="0" applyNumberFormat="1" applyAlignment="1">
      <alignment horizontal="center"/>
    </xf>
    <xf numFmtId="0" fontId="14" fillId="5" borderId="10" xfId="0" applyNumberFormat="1" applyFont="1" applyFill="1" applyBorder="1" applyAlignment="1">
      <alignment horizontal="center" vertical="center" wrapText="1"/>
    </xf>
    <xf numFmtId="164" fontId="10" fillId="0" borderId="1" xfId="0" applyNumberFormat="1" applyFont="1" applyFill="1" applyBorder="1" applyAlignment="1" applyProtection="1">
      <alignment horizontal="center" vertical="center"/>
    </xf>
    <xf numFmtId="164" fontId="10" fillId="0" borderId="1" xfId="0" applyNumberFormat="1" applyFont="1" applyFill="1" applyBorder="1" applyAlignment="1">
      <alignment horizontal="center" vertical="center"/>
    </xf>
    <xf numFmtId="164" fontId="0" fillId="0" borderId="1" xfId="0" applyNumberFormat="1" applyFill="1" applyBorder="1" applyAlignment="1" applyProtection="1">
      <alignment horizontal="center" vertical="center"/>
    </xf>
    <xf numFmtId="164" fontId="9" fillId="0" borderId="1" xfId="0" applyNumberFormat="1" applyFont="1" applyFill="1" applyBorder="1" applyAlignment="1" applyProtection="1">
      <alignment horizontal="center" vertical="center"/>
    </xf>
    <xf numFmtId="164" fontId="9" fillId="0" borderId="1" xfId="0" applyNumberFormat="1" applyFont="1" applyFill="1" applyBorder="1" applyAlignment="1">
      <alignment horizontal="center" vertical="center"/>
    </xf>
    <xf numFmtId="0" fontId="9" fillId="0" borderId="0" xfId="0" applyNumberFormat="1" applyFont="1" applyAlignment="1">
      <alignment horizontal="center"/>
    </xf>
    <xf numFmtId="0" fontId="11" fillId="8" borderId="0" xfId="4" applyFont="1" applyFill="1" applyAlignment="1">
      <alignment horizontal="left" wrapText="1"/>
    </xf>
    <xf numFmtId="0" fontId="19" fillId="0" borderId="0" xfId="4" applyAlignment="1">
      <alignment wrapText="1"/>
    </xf>
    <xf numFmtId="49" fontId="11" fillId="10" borderId="11" xfId="4" applyNumberFormat="1" applyFont="1" applyFill="1" applyBorder="1" applyAlignment="1">
      <alignment horizontal="center" vertical="top" wrapText="1"/>
    </xf>
    <xf numFmtId="14" fontId="11" fillId="10" borderId="5" xfId="4" applyNumberFormat="1" applyFont="1" applyFill="1" applyBorder="1" applyAlignment="1">
      <alignment horizontal="center" vertical="top" wrapText="1"/>
    </xf>
    <xf numFmtId="20" fontId="11" fillId="10" borderId="5" xfId="4" applyNumberFormat="1" applyFont="1" applyFill="1" applyBorder="1" applyAlignment="1">
      <alignment horizontal="center" vertical="top" wrapText="1"/>
    </xf>
    <xf numFmtId="1" fontId="11" fillId="10" borderId="5" xfId="4" applyNumberFormat="1" applyFont="1" applyFill="1" applyBorder="1" applyAlignment="1">
      <alignment horizontal="center" vertical="top" wrapText="1"/>
    </xf>
    <xf numFmtId="49" fontId="11" fillId="10" borderId="5" xfId="4" applyNumberFormat="1" applyFont="1" applyFill="1" applyBorder="1" applyAlignment="1">
      <alignment horizontal="center" vertical="top" wrapText="1"/>
    </xf>
    <xf numFmtId="14" fontId="11" fillId="10" borderId="4" xfId="4" applyNumberFormat="1" applyFont="1" applyFill="1" applyBorder="1" applyAlignment="1">
      <alignment horizontal="center" vertical="top" wrapText="1"/>
    </xf>
    <xf numFmtId="49" fontId="11" fillId="8" borderId="11" xfId="4" applyNumberFormat="1" applyFont="1" applyFill="1" applyBorder="1" applyAlignment="1">
      <alignment horizontal="center" vertical="top" wrapText="1"/>
    </xf>
    <xf numFmtId="14" fontId="11" fillId="8" borderId="5" xfId="4" applyNumberFormat="1" applyFont="1" applyFill="1" applyBorder="1" applyAlignment="1">
      <alignment horizontal="center" vertical="top" wrapText="1"/>
    </xf>
    <xf numFmtId="20" fontId="11" fillId="8" borderId="5" xfId="4" applyNumberFormat="1" applyFont="1" applyFill="1" applyBorder="1" applyAlignment="1">
      <alignment horizontal="center" vertical="top" wrapText="1"/>
    </xf>
    <xf numFmtId="1" fontId="11" fillId="8" borderId="5" xfId="4" applyNumberFormat="1" applyFont="1" applyFill="1" applyBorder="1" applyAlignment="1">
      <alignment horizontal="center" vertical="top" wrapText="1"/>
    </xf>
    <xf numFmtId="49" fontId="11" fillId="8" borderId="5" xfId="4" applyNumberFormat="1" applyFont="1" applyFill="1" applyBorder="1" applyAlignment="1">
      <alignment horizontal="center" vertical="top" wrapText="1"/>
    </xf>
    <xf numFmtId="14" fontId="11" fillId="8" borderId="4" xfId="4" applyNumberFormat="1" applyFont="1" applyFill="1" applyBorder="1" applyAlignment="1">
      <alignment horizontal="center" vertical="top" wrapText="1"/>
    </xf>
    <xf numFmtId="0" fontId="27" fillId="7" borderId="1" xfId="0" applyNumberFormat="1" applyFont="1" applyFill="1" applyBorder="1" applyAlignment="1">
      <alignment horizontal="center" vertical="center" wrapText="1"/>
    </xf>
    <xf numFmtId="0" fontId="18" fillId="14" borderId="1" xfId="0" applyNumberFormat="1" applyFont="1" applyFill="1" applyBorder="1" applyAlignment="1">
      <alignment horizontal="center" vertical="center"/>
    </xf>
    <xf numFmtId="0" fontId="14" fillId="15" borderId="1" xfId="0" applyNumberFormat="1" applyFont="1" applyFill="1" applyBorder="1" applyAlignment="1">
      <alignment horizontal="center" vertical="center" wrapText="1"/>
    </xf>
    <xf numFmtId="0" fontId="27" fillId="19" borderId="1" xfId="0" applyNumberFormat="1" applyFont="1" applyFill="1" applyBorder="1" applyAlignment="1">
      <alignment horizontal="center" vertical="center"/>
    </xf>
    <xf numFmtId="0" fontId="26" fillId="0" borderId="0" xfId="0" applyNumberFormat="1" applyFont="1" applyAlignment="1">
      <alignment horizontal="center" vertical="center" wrapText="1"/>
    </xf>
    <xf numFmtId="49" fontId="28" fillId="0" borderId="5" xfId="4" applyNumberFormat="1" applyFont="1" applyFill="1" applyBorder="1" applyAlignment="1">
      <alignment horizontal="center" vertical="top" wrapText="1"/>
    </xf>
    <xf numFmtId="1" fontId="28" fillId="0" borderId="5" xfId="4" applyNumberFormat="1" applyFont="1" applyFill="1" applyBorder="1" applyAlignment="1">
      <alignment horizontal="center" vertical="top" wrapText="1"/>
    </xf>
  </cellXfs>
  <cellStyles count="5">
    <cellStyle name="Normal" xfId="0" builtinId="0"/>
    <cellStyle name="Normal 2" xfId="1"/>
    <cellStyle name="Normal 2 2" xfId="2"/>
    <cellStyle name="Normal 3" xfId="3"/>
    <cellStyle name="Normal 4" xfId="4"/>
  </cellStyles>
  <dxfs count="0"/>
  <tableStyles count="0" defaultTableStyle="TableStyleMedium2" defaultPivotStyle="PivotStyleLight16"/>
  <colors>
    <mruColors>
      <color rgb="FF54FE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B1:W500"/>
  <sheetViews>
    <sheetView tabSelected="1" workbookViewId="0">
      <selection activeCell="N4" sqref="N4"/>
    </sheetView>
  </sheetViews>
  <sheetFormatPr baseColWidth="10" defaultRowHeight="12.75" x14ac:dyDescent="0.2"/>
  <cols>
    <col min="1" max="1" width="2.42578125" style="35" customWidth="1"/>
    <col min="2" max="2" width="11.42578125" style="35" customWidth="1"/>
    <col min="3" max="3" width="8.28515625" style="35" customWidth="1"/>
    <col min="4" max="4" width="8.7109375" style="35" customWidth="1"/>
    <col min="5" max="5" width="20.140625" style="35" customWidth="1"/>
    <col min="6" max="6" width="20.42578125" style="35" customWidth="1"/>
    <col min="7" max="7" width="7.42578125" style="35" customWidth="1"/>
    <col min="8" max="8" width="10.7109375" style="35" customWidth="1"/>
    <col min="9" max="9" width="12.42578125" style="35" customWidth="1"/>
    <col min="10" max="10" width="10.7109375" style="35" customWidth="1"/>
    <col min="11" max="11" width="8.7109375" style="35" customWidth="1"/>
    <col min="12" max="12" width="9" style="35" customWidth="1"/>
    <col min="13" max="13" width="9.42578125" style="35" customWidth="1"/>
    <col min="14" max="14" width="10.7109375" style="35" customWidth="1"/>
    <col min="15" max="15" width="29.28515625" style="35" customWidth="1"/>
    <col min="16" max="16" width="13.85546875" style="35" customWidth="1"/>
    <col min="17" max="17" width="10.7109375" style="35" customWidth="1"/>
    <col min="18" max="18" width="40.7109375" style="35" customWidth="1"/>
    <col min="19" max="20" width="10.7109375" style="35" customWidth="1"/>
    <col min="21" max="21" width="15.7109375" style="35" customWidth="1"/>
    <col min="22" max="22" width="13" style="35" customWidth="1"/>
    <col min="23" max="23" width="10.7109375" style="35" customWidth="1"/>
    <col min="24" max="24" width="5" style="35" customWidth="1"/>
    <col min="25" max="16384" width="11.42578125" style="35"/>
  </cols>
  <sheetData>
    <row r="1" spans="2:23" s="16" customFormat="1" ht="5.85" customHeight="1" x14ac:dyDescent="0.2"/>
    <row r="2" spans="2:23" s="16" customFormat="1" ht="45.4" customHeight="1" x14ac:dyDescent="0.2">
      <c r="B2" s="17" t="s">
        <v>36</v>
      </c>
      <c r="C2" s="17" t="s">
        <v>37</v>
      </c>
      <c r="D2" s="17" t="s">
        <v>38</v>
      </c>
      <c r="E2" s="17" t="s">
        <v>0</v>
      </c>
      <c r="F2" s="17" t="s">
        <v>1</v>
      </c>
      <c r="G2" s="17" t="s">
        <v>2</v>
      </c>
      <c r="H2" s="17" t="s">
        <v>39</v>
      </c>
      <c r="I2" s="17" t="s">
        <v>40</v>
      </c>
      <c r="J2" s="17" t="s">
        <v>41</v>
      </c>
      <c r="K2" s="17" t="s">
        <v>42</v>
      </c>
      <c r="L2" s="17" t="s">
        <v>43</v>
      </c>
      <c r="M2" s="17" t="s">
        <v>44</v>
      </c>
      <c r="N2" s="17" t="s">
        <v>45</v>
      </c>
      <c r="O2" s="17" t="s">
        <v>1568</v>
      </c>
      <c r="P2" s="17" t="s">
        <v>47</v>
      </c>
      <c r="Q2" s="17" t="s">
        <v>48</v>
      </c>
      <c r="R2" s="17" t="s">
        <v>49</v>
      </c>
      <c r="S2" s="17" t="s">
        <v>50</v>
      </c>
      <c r="T2" s="17" t="s">
        <v>51</v>
      </c>
      <c r="U2" s="17" t="s">
        <v>52</v>
      </c>
      <c r="V2" s="17" t="s">
        <v>53</v>
      </c>
      <c r="W2" s="17" t="s">
        <v>54</v>
      </c>
    </row>
    <row r="3" spans="2:23" s="16" customFormat="1" ht="41.1" customHeight="1" x14ac:dyDescent="0.2">
      <c r="B3" s="100">
        <v>42736</v>
      </c>
      <c r="C3" s="97">
        <v>25569.902777777799</v>
      </c>
      <c r="D3" s="99" t="s">
        <v>55</v>
      </c>
      <c r="E3" s="24" t="s">
        <v>56</v>
      </c>
      <c r="F3" s="24" t="s">
        <v>57</v>
      </c>
      <c r="G3" s="98">
        <v>46</v>
      </c>
      <c r="H3" s="99" t="s">
        <v>58</v>
      </c>
      <c r="I3" s="99" t="s">
        <v>1403</v>
      </c>
      <c r="J3" s="99" t="s">
        <v>3</v>
      </c>
      <c r="K3" s="112" t="s">
        <v>1404</v>
      </c>
      <c r="L3" s="112" t="s">
        <v>34</v>
      </c>
      <c r="M3" s="112" t="s">
        <v>34</v>
      </c>
      <c r="N3" s="113"/>
      <c r="O3" s="24" t="s">
        <v>60</v>
      </c>
      <c r="P3" s="24" t="s">
        <v>61</v>
      </c>
      <c r="Q3" s="24" t="s">
        <v>62</v>
      </c>
      <c r="R3" s="24" t="s">
        <v>63</v>
      </c>
      <c r="S3" s="97">
        <v>25569.916666666701</v>
      </c>
      <c r="T3" s="97">
        <v>25569.260416666701</v>
      </c>
      <c r="U3" s="24"/>
      <c r="V3" s="96"/>
      <c r="W3" s="95"/>
    </row>
    <row r="4" spans="2:23" s="16" customFormat="1" ht="41.1" customHeight="1" x14ac:dyDescent="0.2">
      <c r="B4" s="106">
        <v>42737</v>
      </c>
      <c r="C4" s="103">
        <v>25569.791666666701</v>
      </c>
      <c r="D4" s="105" t="s">
        <v>64</v>
      </c>
      <c r="E4" s="31" t="s">
        <v>65</v>
      </c>
      <c r="F4" s="31" t="s">
        <v>66</v>
      </c>
      <c r="G4" s="104">
        <v>39</v>
      </c>
      <c r="H4" s="105" t="s">
        <v>67</v>
      </c>
      <c r="I4" s="105" t="s">
        <v>1405</v>
      </c>
      <c r="J4" s="105" t="s">
        <v>3</v>
      </c>
      <c r="K4" s="112" t="s">
        <v>4</v>
      </c>
      <c r="L4" s="112" t="s">
        <v>34</v>
      </c>
      <c r="M4" s="112" t="s">
        <v>34</v>
      </c>
      <c r="N4" s="113"/>
      <c r="O4" s="31" t="s">
        <v>69</v>
      </c>
      <c r="P4" s="31" t="s">
        <v>70</v>
      </c>
      <c r="Q4" s="31" t="s">
        <v>71</v>
      </c>
      <c r="R4" s="31" t="s">
        <v>72</v>
      </c>
      <c r="S4" s="103">
        <v>25569.604166666701</v>
      </c>
      <c r="T4" s="103">
        <v>25569.972222222201</v>
      </c>
      <c r="U4" s="31"/>
      <c r="V4" s="102"/>
      <c r="W4" s="101" t="s">
        <v>73</v>
      </c>
    </row>
    <row r="5" spans="2:23" s="16" customFormat="1" ht="51.75" customHeight="1" x14ac:dyDescent="0.2">
      <c r="B5" s="100">
        <v>42737</v>
      </c>
      <c r="C5" s="97">
        <v>25569.909722222201</v>
      </c>
      <c r="D5" s="99" t="s">
        <v>74</v>
      </c>
      <c r="E5" s="24" t="s">
        <v>75</v>
      </c>
      <c r="F5" s="24" t="s">
        <v>76</v>
      </c>
      <c r="G5" s="98">
        <v>49</v>
      </c>
      <c r="H5" s="99" t="s">
        <v>77</v>
      </c>
      <c r="I5" s="99" t="s">
        <v>1405</v>
      </c>
      <c r="J5" s="99" t="s">
        <v>3</v>
      </c>
      <c r="K5" s="112" t="s">
        <v>4</v>
      </c>
      <c r="L5" s="112" t="s">
        <v>33</v>
      </c>
      <c r="M5" s="112" t="s">
        <v>34</v>
      </c>
      <c r="N5" s="113">
        <v>27</v>
      </c>
      <c r="O5" s="24" t="s">
        <v>78</v>
      </c>
      <c r="P5" s="24" t="s">
        <v>61</v>
      </c>
      <c r="Q5" s="24" t="s">
        <v>79</v>
      </c>
      <c r="R5" s="24" t="s">
        <v>80</v>
      </c>
      <c r="S5" s="97">
        <v>25569.875</v>
      </c>
      <c r="T5" s="97">
        <v>25569.261805555601</v>
      </c>
      <c r="U5" s="24"/>
      <c r="V5" s="96"/>
      <c r="W5" s="95" t="s">
        <v>81</v>
      </c>
    </row>
    <row r="6" spans="2:23" s="16" customFormat="1" ht="51.75" customHeight="1" x14ac:dyDescent="0.2">
      <c r="B6" s="106">
        <v>42738</v>
      </c>
      <c r="C6" s="103">
        <v>25569.479166666701</v>
      </c>
      <c r="D6" s="105" t="s">
        <v>82</v>
      </c>
      <c r="E6" s="31" t="s">
        <v>83</v>
      </c>
      <c r="F6" s="31" t="s">
        <v>84</v>
      </c>
      <c r="G6" s="104">
        <v>18</v>
      </c>
      <c r="H6" s="105" t="s">
        <v>85</v>
      </c>
      <c r="I6" s="105" t="s">
        <v>1406</v>
      </c>
      <c r="J6" s="105" t="s">
        <v>3</v>
      </c>
      <c r="K6" s="112" t="s">
        <v>4</v>
      </c>
      <c r="L6" s="112" t="s">
        <v>34</v>
      </c>
      <c r="M6" s="112" t="s">
        <v>34</v>
      </c>
      <c r="N6" s="113"/>
      <c r="O6" s="31" t="s">
        <v>87</v>
      </c>
      <c r="P6" s="31" t="s">
        <v>88</v>
      </c>
      <c r="Q6" s="31" t="s">
        <v>8</v>
      </c>
      <c r="R6" s="31" t="s">
        <v>89</v>
      </c>
      <c r="S6" s="103">
        <v>25569.333333333299</v>
      </c>
      <c r="T6" s="103">
        <v>25569.6944444445</v>
      </c>
      <c r="U6" s="31"/>
      <c r="V6" s="102"/>
      <c r="W6" s="101"/>
    </row>
    <row r="7" spans="2:23" s="16" customFormat="1" ht="41.1" customHeight="1" x14ac:dyDescent="0.2">
      <c r="B7" s="100">
        <v>42738</v>
      </c>
      <c r="C7" s="97">
        <v>25569.479166666701</v>
      </c>
      <c r="D7" s="99" t="s">
        <v>90</v>
      </c>
      <c r="E7" s="24" t="s">
        <v>83</v>
      </c>
      <c r="F7" s="24" t="s">
        <v>84</v>
      </c>
      <c r="G7" s="98">
        <v>18</v>
      </c>
      <c r="H7" s="99" t="s">
        <v>85</v>
      </c>
      <c r="I7" s="99" t="s">
        <v>1406</v>
      </c>
      <c r="J7" s="99" t="s">
        <v>3</v>
      </c>
      <c r="K7" s="112" t="s">
        <v>4</v>
      </c>
      <c r="L7" s="112" t="s">
        <v>34</v>
      </c>
      <c r="M7" s="112" t="s">
        <v>34</v>
      </c>
      <c r="N7" s="113"/>
      <c r="O7" s="24" t="s">
        <v>69</v>
      </c>
      <c r="P7" s="24" t="s">
        <v>5</v>
      </c>
      <c r="Q7" s="24" t="s">
        <v>1407</v>
      </c>
      <c r="R7" s="24" t="s">
        <v>91</v>
      </c>
      <c r="S7" s="97">
        <v>25569.333333333299</v>
      </c>
      <c r="T7" s="97">
        <v>25569.6944444445</v>
      </c>
      <c r="U7" s="24"/>
      <c r="V7" s="96"/>
      <c r="W7" s="95" t="s">
        <v>81</v>
      </c>
    </row>
    <row r="8" spans="2:23" s="16" customFormat="1" ht="51.75" customHeight="1" x14ac:dyDescent="0.2">
      <c r="B8" s="106">
        <v>42738</v>
      </c>
      <c r="C8" s="103">
        <v>25569.53125</v>
      </c>
      <c r="D8" s="105" t="s">
        <v>92</v>
      </c>
      <c r="E8" s="31" t="s">
        <v>93</v>
      </c>
      <c r="F8" s="31" t="s">
        <v>94</v>
      </c>
      <c r="G8" s="104">
        <v>48</v>
      </c>
      <c r="H8" s="105" t="s">
        <v>95</v>
      </c>
      <c r="I8" s="105" t="s">
        <v>1408</v>
      </c>
      <c r="J8" s="105" t="s">
        <v>3</v>
      </c>
      <c r="K8" s="112" t="s">
        <v>1404</v>
      </c>
      <c r="L8" s="112" t="s">
        <v>34</v>
      </c>
      <c r="M8" s="112" t="s">
        <v>34</v>
      </c>
      <c r="N8" s="113"/>
      <c r="O8" s="31" t="s">
        <v>87</v>
      </c>
      <c r="P8" s="31" t="s">
        <v>61</v>
      </c>
      <c r="Q8" s="31" t="s">
        <v>79</v>
      </c>
      <c r="R8" s="31" t="s">
        <v>97</v>
      </c>
      <c r="S8" s="103">
        <v>25569.5625</v>
      </c>
      <c r="T8" s="103">
        <v>25569.922916666699</v>
      </c>
      <c r="U8" s="31"/>
      <c r="V8" s="102"/>
      <c r="W8" s="101" t="s">
        <v>73</v>
      </c>
    </row>
    <row r="9" spans="2:23" s="16" customFormat="1" ht="62.45" customHeight="1" x14ac:dyDescent="0.2">
      <c r="B9" s="100">
        <v>42739</v>
      </c>
      <c r="C9" s="97">
        <v>25569.354166666701</v>
      </c>
      <c r="D9" s="99" t="s">
        <v>98</v>
      </c>
      <c r="E9" s="24" t="s">
        <v>99</v>
      </c>
      <c r="F9" s="24" t="s">
        <v>100</v>
      </c>
      <c r="G9" s="98">
        <v>52</v>
      </c>
      <c r="H9" s="99" t="s">
        <v>101</v>
      </c>
      <c r="I9" s="99" t="s">
        <v>1403</v>
      </c>
      <c r="J9" s="99" t="s">
        <v>3</v>
      </c>
      <c r="K9" s="112" t="s">
        <v>4</v>
      </c>
      <c r="L9" s="112" t="s">
        <v>33</v>
      </c>
      <c r="M9" s="112" t="s">
        <v>34</v>
      </c>
      <c r="N9" s="113">
        <v>82</v>
      </c>
      <c r="O9" s="24" t="s">
        <v>60</v>
      </c>
      <c r="P9" s="24" t="s">
        <v>1407</v>
      </c>
      <c r="Q9" s="24" t="s">
        <v>71</v>
      </c>
      <c r="R9" s="24" t="s">
        <v>102</v>
      </c>
      <c r="S9" s="97">
        <v>25569.253472222201</v>
      </c>
      <c r="T9" s="97">
        <v>25569.604166666701</v>
      </c>
      <c r="U9" s="24"/>
      <c r="V9" s="96"/>
      <c r="W9" s="95" t="s">
        <v>81</v>
      </c>
    </row>
    <row r="10" spans="2:23" s="16" customFormat="1" ht="62.45" customHeight="1" x14ac:dyDescent="0.2">
      <c r="B10" s="106">
        <v>42740</v>
      </c>
      <c r="C10" s="103">
        <v>25569.270833333299</v>
      </c>
      <c r="D10" s="105" t="s">
        <v>103</v>
      </c>
      <c r="E10" s="31" t="s">
        <v>104</v>
      </c>
      <c r="F10" s="31" t="s">
        <v>105</v>
      </c>
      <c r="G10" s="104">
        <v>35</v>
      </c>
      <c r="H10" s="105" t="s">
        <v>106</v>
      </c>
      <c r="I10" s="105" t="s">
        <v>1405</v>
      </c>
      <c r="J10" s="105" t="s">
        <v>3</v>
      </c>
      <c r="K10" s="112" t="s">
        <v>4</v>
      </c>
      <c r="L10" s="112" t="s">
        <v>33</v>
      </c>
      <c r="M10" s="112" t="s">
        <v>34</v>
      </c>
      <c r="N10" s="113">
        <v>24</v>
      </c>
      <c r="O10" s="31" t="s">
        <v>107</v>
      </c>
      <c r="P10" s="31" t="s">
        <v>61</v>
      </c>
      <c r="Q10" s="31" t="s">
        <v>79</v>
      </c>
      <c r="R10" s="31" t="s">
        <v>108</v>
      </c>
      <c r="S10" s="103">
        <v>25569.25</v>
      </c>
      <c r="T10" s="103">
        <v>25569.617361111101</v>
      </c>
      <c r="U10" s="31"/>
      <c r="V10" s="102"/>
      <c r="W10" s="101" t="s">
        <v>81</v>
      </c>
    </row>
    <row r="11" spans="2:23" s="16" customFormat="1" ht="41.1" customHeight="1" x14ac:dyDescent="0.2">
      <c r="B11" s="100">
        <v>42741</v>
      </c>
      <c r="C11" s="97">
        <v>25569.458333333299</v>
      </c>
      <c r="D11" s="99" t="s">
        <v>109</v>
      </c>
      <c r="E11" s="24" t="s">
        <v>110</v>
      </c>
      <c r="F11" s="24" t="s">
        <v>111</v>
      </c>
      <c r="G11" s="98">
        <v>56</v>
      </c>
      <c r="H11" s="99" t="s">
        <v>112</v>
      </c>
      <c r="I11" s="99" t="s">
        <v>1409</v>
      </c>
      <c r="J11" s="99" t="s">
        <v>3</v>
      </c>
      <c r="K11" s="112" t="s">
        <v>4</v>
      </c>
      <c r="L11" s="112" t="s">
        <v>34</v>
      </c>
      <c r="M11" s="112" t="s">
        <v>33</v>
      </c>
      <c r="N11" s="113"/>
      <c r="O11" s="24" t="s">
        <v>69</v>
      </c>
      <c r="P11" s="24" t="s">
        <v>61</v>
      </c>
      <c r="Q11" s="24" t="s">
        <v>114</v>
      </c>
      <c r="R11" s="24" t="s">
        <v>115</v>
      </c>
      <c r="S11" s="97">
        <v>25569.291666666701</v>
      </c>
      <c r="T11" s="97">
        <v>25569.791666666701</v>
      </c>
      <c r="U11" s="24"/>
      <c r="V11" s="96"/>
      <c r="W11" s="95"/>
    </row>
    <row r="12" spans="2:23" s="16" customFormat="1" ht="83.65" customHeight="1" x14ac:dyDescent="0.2">
      <c r="B12" s="106">
        <v>42741</v>
      </c>
      <c r="C12" s="103">
        <v>25569.986111111099</v>
      </c>
      <c r="D12" s="105" t="s">
        <v>116</v>
      </c>
      <c r="E12" s="31" t="s">
        <v>117</v>
      </c>
      <c r="F12" s="31" t="s">
        <v>118</v>
      </c>
      <c r="G12" s="104">
        <v>31</v>
      </c>
      <c r="H12" s="105" t="s">
        <v>119</v>
      </c>
      <c r="I12" s="105" t="s">
        <v>1405</v>
      </c>
      <c r="J12" s="105" t="s">
        <v>3</v>
      </c>
      <c r="K12" s="112" t="s">
        <v>4</v>
      </c>
      <c r="L12" s="112" t="s">
        <v>34</v>
      </c>
      <c r="M12" s="112" t="s">
        <v>34</v>
      </c>
      <c r="N12" s="113"/>
      <c r="O12" s="31" t="s">
        <v>120</v>
      </c>
      <c r="P12" s="31" t="s">
        <v>121</v>
      </c>
      <c r="Q12" s="31" t="s">
        <v>122</v>
      </c>
      <c r="R12" s="31" t="s">
        <v>123</v>
      </c>
      <c r="S12" s="103">
        <v>25569.916666666701</v>
      </c>
      <c r="T12" s="103">
        <v>25569.261805555601</v>
      </c>
      <c r="U12" s="31"/>
      <c r="V12" s="102"/>
      <c r="W12" s="101" t="s">
        <v>81</v>
      </c>
    </row>
    <row r="13" spans="2:23" s="16" customFormat="1" ht="62.45" customHeight="1" x14ac:dyDescent="0.2">
      <c r="B13" s="100">
        <v>42742</v>
      </c>
      <c r="C13" s="97">
        <v>25569.891666666699</v>
      </c>
      <c r="D13" s="99" t="s">
        <v>124</v>
      </c>
      <c r="E13" s="24" t="s">
        <v>125</v>
      </c>
      <c r="F13" s="24" t="s">
        <v>126</v>
      </c>
      <c r="G13" s="98">
        <v>46</v>
      </c>
      <c r="H13" s="99" t="s">
        <v>127</v>
      </c>
      <c r="I13" s="99" t="s">
        <v>1405</v>
      </c>
      <c r="J13" s="99" t="s">
        <v>3</v>
      </c>
      <c r="K13" s="112" t="s">
        <v>1404</v>
      </c>
      <c r="L13" s="112" t="s">
        <v>33</v>
      </c>
      <c r="M13" s="112" t="s">
        <v>34</v>
      </c>
      <c r="N13" s="113">
        <v>78</v>
      </c>
      <c r="O13" s="24" t="s">
        <v>120</v>
      </c>
      <c r="P13" s="24" t="s">
        <v>88</v>
      </c>
      <c r="Q13" s="24" t="s">
        <v>71</v>
      </c>
      <c r="R13" s="24" t="s">
        <v>128</v>
      </c>
      <c r="S13" s="97">
        <v>25569.916666666701</v>
      </c>
      <c r="T13" s="97">
        <v>25569.261805555601</v>
      </c>
      <c r="U13" s="24" t="s">
        <v>129</v>
      </c>
      <c r="V13" s="96"/>
      <c r="W13" s="95" t="s">
        <v>81</v>
      </c>
    </row>
    <row r="14" spans="2:23" s="16" customFormat="1" ht="51.75" customHeight="1" x14ac:dyDescent="0.2">
      <c r="B14" s="106">
        <v>42743</v>
      </c>
      <c r="C14" s="103">
        <v>25569.416666666701</v>
      </c>
      <c r="D14" s="105" t="s">
        <v>1453</v>
      </c>
      <c r="E14" s="31" t="s">
        <v>130</v>
      </c>
      <c r="F14" s="31" t="s">
        <v>131</v>
      </c>
      <c r="G14" s="104">
        <v>53</v>
      </c>
      <c r="H14" s="105" t="s">
        <v>1454</v>
      </c>
      <c r="I14" s="105" t="s">
        <v>1410</v>
      </c>
      <c r="J14" s="105" t="s">
        <v>3</v>
      </c>
      <c r="K14" s="112" t="s">
        <v>4</v>
      </c>
      <c r="L14" s="112" t="s">
        <v>33</v>
      </c>
      <c r="M14" s="112" t="s">
        <v>34</v>
      </c>
      <c r="N14" s="113">
        <v>104</v>
      </c>
      <c r="O14" s="31" t="s">
        <v>133</v>
      </c>
      <c r="P14" s="31" t="s">
        <v>61</v>
      </c>
      <c r="Q14" s="31" t="s">
        <v>71</v>
      </c>
      <c r="R14" s="31" t="s">
        <v>134</v>
      </c>
      <c r="S14" s="103">
        <v>25569.25</v>
      </c>
      <c r="T14" s="103">
        <v>25569.590277777799</v>
      </c>
      <c r="U14" s="31"/>
      <c r="V14" s="102"/>
      <c r="W14" s="101" t="s">
        <v>81</v>
      </c>
    </row>
    <row r="15" spans="2:23" s="16" customFormat="1" ht="73.150000000000006" customHeight="1" x14ac:dyDescent="0.2">
      <c r="B15" s="100">
        <v>42744</v>
      </c>
      <c r="C15" s="97">
        <v>25569.055555555598</v>
      </c>
      <c r="D15" s="99" t="s">
        <v>135</v>
      </c>
      <c r="E15" s="24" t="s">
        <v>136</v>
      </c>
      <c r="F15" s="24" t="s">
        <v>137</v>
      </c>
      <c r="G15" s="98">
        <v>44</v>
      </c>
      <c r="H15" s="99" t="s">
        <v>138</v>
      </c>
      <c r="I15" s="99" t="s">
        <v>1405</v>
      </c>
      <c r="J15" s="99" t="s">
        <v>3</v>
      </c>
      <c r="K15" s="112" t="s">
        <v>4</v>
      </c>
      <c r="L15" s="112" t="s">
        <v>33</v>
      </c>
      <c r="M15" s="112" t="s">
        <v>34</v>
      </c>
      <c r="N15" s="113">
        <v>3</v>
      </c>
      <c r="O15" s="24" t="s">
        <v>78</v>
      </c>
      <c r="P15" s="24" t="s">
        <v>1407</v>
      </c>
      <c r="Q15" s="24" t="s">
        <v>71</v>
      </c>
      <c r="R15" s="33" t="s">
        <v>139</v>
      </c>
      <c r="S15" s="97">
        <v>25569.893749999999</v>
      </c>
      <c r="T15" s="97">
        <v>25569.261805555601</v>
      </c>
      <c r="U15" s="24"/>
      <c r="V15" s="96"/>
      <c r="W15" s="95" t="s">
        <v>81</v>
      </c>
    </row>
    <row r="16" spans="2:23" s="16" customFormat="1" ht="51.75" customHeight="1" x14ac:dyDescent="0.2">
      <c r="B16" s="106">
        <v>42745</v>
      </c>
      <c r="C16" s="103">
        <v>25569.041666666701</v>
      </c>
      <c r="D16" s="105" t="s">
        <v>140</v>
      </c>
      <c r="E16" s="31" t="s">
        <v>141</v>
      </c>
      <c r="F16" s="31" t="s">
        <v>142</v>
      </c>
      <c r="G16" s="104">
        <v>33</v>
      </c>
      <c r="H16" s="105" t="s">
        <v>143</v>
      </c>
      <c r="I16" s="105" t="s">
        <v>1405</v>
      </c>
      <c r="J16" s="105" t="s">
        <v>3</v>
      </c>
      <c r="K16" s="112" t="s">
        <v>4</v>
      </c>
      <c r="L16" s="112" t="s">
        <v>34</v>
      </c>
      <c r="M16" s="112" t="s">
        <v>34</v>
      </c>
      <c r="N16" s="113"/>
      <c r="O16" s="31" t="s">
        <v>144</v>
      </c>
      <c r="P16" s="31" t="s">
        <v>145</v>
      </c>
      <c r="Q16" s="31" t="s">
        <v>146</v>
      </c>
      <c r="R16" s="31" t="s">
        <v>147</v>
      </c>
      <c r="S16" s="103">
        <v>25569.916666666701</v>
      </c>
      <c r="T16" s="103">
        <v>25569.261805555601</v>
      </c>
      <c r="U16" s="31"/>
      <c r="V16" s="102"/>
      <c r="W16" s="101"/>
    </row>
    <row r="17" spans="2:23" s="16" customFormat="1" ht="41.1" customHeight="1" x14ac:dyDescent="0.2">
      <c r="B17" s="100">
        <v>42745</v>
      </c>
      <c r="C17" s="97">
        <v>25569.625</v>
      </c>
      <c r="D17" s="99" t="s">
        <v>148</v>
      </c>
      <c r="E17" s="24" t="s">
        <v>149</v>
      </c>
      <c r="F17" s="24" t="s">
        <v>150</v>
      </c>
      <c r="G17" s="98">
        <v>52</v>
      </c>
      <c r="H17" s="99" t="s">
        <v>151</v>
      </c>
      <c r="I17" s="99" t="s">
        <v>1411</v>
      </c>
      <c r="J17" s="99" t="s">
        <v>3</v>
      </c>
      <c r="K17" s="112" t="s">
        <v>4</v>
      </c>
      <c r="L17" s="112" t="s">
        <v>34</v>
      </c>
      <c r="M17" s="112" t="s">
        <v>34</v>
      </c>
      <c r="N17" s="113"/>
      <c r="O17" s="24" t="s">
        <v>133</v>
      </c>
      <c r="P17" s="24" t="s">
        <v>70</v>
      </c>
      <c r="Q17" s="24" t="s">
        <v>71</v>
      </c>
      <c r="R17" s="24" t="s">
        <v>153</v>
      </c>
      <c r="S17" s="97">
        <v>25569.583333333299</v>
      </c>
      <c r="T17" s="97">
        <v>25569.947916666701</v>
      </c>
      <c r="U17" s="24"/>
      <c r="V17" s="96"/>
      <c r="W17" s="95"/>
    </row>
    <row r="18" spans="2:23" s="16" customFormat="1" ht="51.75" customHeight="1" x14ac:dyDescent="0.2">
      <c r="B18" s="106">
        <v>42745</v>
      </c>
      <c r="C18" s="103">
        <v>25569.833333333299</v>
      </c>
      <c r="D18" s="105" t="s">
        <v>154</v>
      </c>
      <c r="E18" s="31" t="s">
        <v>155</v>
      </c>
      <c r="F18" s="31" t="s">
        <v>156</v>
      </c>
      <c r="G18" s="104">
        <v>49</v>
      </c>
      <c r="H18" s="105" t="s">
        <v>157</v>
      </c>
      <c r="I18" s="105" t="s">
        <v>1403</v>
      </c>
      <c r="J18" s="105" t="s">
        <v>3</v>
      </c>
      <c r="K18" s="112" t="s">
        <v>4</v>
      </c>
      <c r="L18" s="112" t="s">
        <v>33</v>
      </c>
      <c r="M18" s="112" t="s">
        <v>34</v>
      </c>
      <c r="N18" s="113">
        <v>5</v>
      </c>
      <c r="O18" s="31" t="s">
        <v>78</v>
      </c>
      <c r="P18" s="31" t="s">
        <v>88</v>
      </c>
      <c r="Q18" s="31" t="s">
        <v>158</v>
      </c>
      <c r="R18" s="31" t="s">
        <v>159</v>
      </c>
      <c r="S18" s="103">
        <v>25569.590277777799</v>
      </c>
      <c r="T18" s="103">
        <v>25569.940972222201</v>
      </c>
      <c r="U18" s="31"/>
      <c r="V18" s="102"/>
      <c r="W18" s="101" t="s">
        <v>81</v>
      </c>
    </row>
    <row r="19" spans="2:23" s="16" customFormat="1" ht="30.4" customHeight="1" x14ac:dyDescent="0.2">
      <c r="B19" s="100">
        <v>42751</v>
      </c>
      <c r="C19" s="97">
        <v>25569.177083333299</v>
      </c>
      <c r="D19" s="99" t="s">
        <v>160</v>
      </c>
      <c r="E19" s="24" t="s">
        <v>161</v>
      </c>
      <c r="F19" s="24" t="s">
        <v>162</v>
      </c>
      <c r="G19" s="98">
        <v>41</v>
      </c>
      <c r="H19" s="99" t="s">
        <v>163</v>
      </c>
      <c r="I19" s="99" t="s">
        <v>1403</v>
      </c>
      <c r="J19" s="99" t="s">
        <v>3</v>
      </c>
      <c r="K19" s="112" t="s">
        <v>4</v>
      </c>
      <c r="L19" s="112" t="s">
        <v>34</v>
      </c>
      <c r="M19" s="112" t="s">
        <v>34</v>
      </c>
      <c r="N19" s="113"/>
      <c r="O19" s="24" t="s">
        <v>60</v>
      </c>
      <c r="P19" s="24" t="s">
        <v>121</v>
      </c>
      <c r="Q19" s="24" t="s">
        <v>122</v>
      </c>
      <c r="R19" s="24" t="s">
        <v>164</v>
      </c>
      <c r="S19" s="97">
        <v>25569.916666666701</v>
      </c>
      <c r="T19" s="97">
        <v>25569.260416666701</v>
      </c>
      <c r="U19" s="24"/>
      <c r="V19" s="96"/>
      <c r="W19" s="95"/>
    </row>
    <row r="20" spans="2:23" s="16" customFormat="1" ht="30.4" customHeight="1" x14ac:dyDescent="0.2">
      <c r="B20" s="106">
        <v>42751</v>
      </c>
      <c r="C20" s="103">
        <v>25569.239583333299</v>
      </c>
      <c r="D20" s="105" t="s">
        <v>165</v>
      </c>
      <c r="E20" s="31" t="s">
        <v>166</v>
      </c>
      <c r="F20" s="31" t="s">
        <v>66</v>
      </c>
      <c r="G20" s="104">
        <v>41</v>
      </c>
      <c r="H20" s="105" t="s">
        <v>167</v>
      </c>
      <c r="I20" s="105" t="s">
        <v>1403</v>
      </c>
      <c r="J20" s="105" t="s">
        <v>3</v>
      </c>
      <c r="K20" s="112" t="s">
        <v>1404</v>
      </c>
      <c r="L20" s="112" t="s">
        <v>34</v>
      </c>
      <c r="M20" s="112" t="s">
        <v>34</v>
      </c>
      <c r="N20" s="113"/>
      <c r="O20" s="31" t="s">
        <v>60</v>
      </c>
      <c r="P20" s="31" t="s">
        <v>70</v>
      </c>
      <c r="Q20" s="31" t="s">
        <v>71</v>
      </c>
      <c r="R20" s="31" t="s">
        <v>168</v>
      </c>
      <c r="S20" s="103">
        <v>25569.253472222201</v>
      </c>
      <c r="T20" s="103">
        <v>25569.604166666701</v>
      </c>
      <c r="U20" s="31"/>
      <c r="V20" s="102"/>
      <c r="W20" s="101" t="s">
        <v>73</v>
      </c>
    </row>
    <row r="21" spans="2:23" s="16" customFormat="1" ht="51.75" customHeight="1" x14ac:dyDescent="0.2">
      <c r="B21" s="100">
        <v>42753</v>
      </c>
      <c r="C21" s="97">
        <v>25569.458333333299</v>
      </c>
      <c r="D21" s="99" t="s">
        <v>169</v>
      </c>
      <c r="E21" s="24" t="s">
        <v>170</v>
      </c>
      <c r="F21" s="24" t="s">
        <v>57</v>
      </c>
      <c r="G21" s="98">
        <v>49</v>
      </c>
      <c r="H21" s="99" t="s">
        <v>171</v>
      </c>
      <c r="I21" s="99" t="s">
        <v>1412</v>
      </c>
      <c r="J21" s="99" t="s">
        <v>3</v>
      </c>
      <c r="K21" s="112" t="s">
        <v>4</v>
      </c>
      <c r="L21" s="112" t="s">
        <v>34</v>
      </c>
      <c r="M21" s="112" t="s">
        <v>34</v>
      </c>
      <c r="N21" s="113"/>
      <c r="O21" s="24" t="s">
        <v>78</v>
      </c>
      <c r="P21" s="24" t="s">
        <v>173</v>
      </c>
      <c r="Q21" s="24" t="s">
        <v>158</v>
      </c>
      <c r="R21" s="24" t="s">
        <v>174</v>
      </c>
      <c r="S21" s="97">
        <v>25569.302083333299</v>
      </c>
      <c r="T21" s="97">
        <v>25569.645833333299</v>
      </c>
      <c r="U21" s="24"/>
      <c r="V21" s="96"/>
      <c r="W21" s="95" t="s">
        <v>81</v>
      </c>
    </row>
    <row r="22" spans="2:23" s="16" customFormat="1" ht="41.1" customHeight="1" x14ac:dyDescent="0.2">
      <c r="B22" s="106">
        <v>42755</v>
      </c>
      <c r="C22" s="103">
        <v>25569.458333333299</v>
      </c>
      <c r="D22" s="105" t="s">
        <v>175</v>
      </c>
      <c r="E22" s="31" t="s">
        <v>176</v>
      </c>
      <c r="F22" s="31" t="s">
        <v>177</v>
      </c>
      <c r="G22" s="104">
        <v>36</v>
      </c>
      <c r="H22" s="105" t="s">
        <v>178</v>
      </c>
      <c r="I22" s="105" t="s">
        <v>1413</v>
      </c>
      <c r="J22" s="105" t="s">
        <v>3</v>
      </c>
      <c r="K22" s="112" t="s">
        <v>4</v>
      </c>
      <c r="L22" s="112" t="s">
        <v>34</v>
      </c>
      <c r="M22" s="112" t="s">
        <v>34</v>
      </c>
      <c r="N22" s="113"/>
      <c r="O22" s="31" t="s">
        <v>144</v>
      </c>
      <c r="P22" s="31" t="s">
        <v>180</v>
      </c>
      <c r="Q22" s="31" t="s">
        <v>1407</v>
      </c>
      <c r="R22" s="31" t="s">
        <v>181</v>
      </c>
      <c r="S22" s="103">
        <v>25569.21875</v>
      </c>
      <c r="T22" s="103">
        <v>25569.570138888899</v>
      </c>
      <c r="U22" s="31" t="s">
        <v>182</v>
      </c>
      <c r="V22" s="102"/>
      <c r="W22" s="101" t="s">
        <v>73</v>
      </c>
    </row>
    <row r="23" spans="2:23" s="16" customFormat="1" ht="41.1" customHeight="1" x14ac:dyDescent="0.2">
      <c r="B23" s="100">
        <v>42756</v>
      </c>
      <c r="C23" s="97">
        <v>25569.458333333299</v>
      </c>
      <c r="D23" s="99" t="s">
        <v>183</v>
      </c>
      <c r="E23" s="24" t="s">
        <v>184</v>
      </c>
      <c r="F23" s="24" t="s">
        <v>185</v>
      </c>
      <c r="G23" s="98">
        <v>57</v>
      </c>
      <c r="H23" s="99" t="s">
        <v>186</v>
      </c>
      <c r="I23" s="99" t="s">
        <v>1411</v>
      </c>
      <c r="J23" s="99" t="s">
        <v>3</v>
      </c>
      <c r="K23" s="112" t="s">
        <v>4</v>
      </c>
      <c r="L23" s="112" t="s">
        <v>34</v>
      </c>
      <c r="M23" s="112" t="s">
        <v>34</v>
      </c>
      <c r="N23" s="113"/>
      <c r="O23" s="24" t="s">
        <v>78</v>
      </c>
      <c r="P23" s="24" t="s">
        <v>187</v>
      </c>
      <c r="Q23" s="24" t="s">
        <v>158</v>
      </c>
      <c r="R23" s="24" t="s">
        <v>188</v>
      </c>
      <c r="S23" s="97">
        <v>25569.260416666701</v>
      </c>
      <c r="T23" s="97">
        <v>25569.59375</v>
      </c>
      <c r="U23" s="24"/>
      <c r="V23" s="96"/>
      <c r="W23" s="95" t="s">
        <v>81</v>
      </c>
    </row>
    <row r="24" spans="2:23" s="16" customFormat="1" ht="51.75" customHeight="1" x14ac:dyDescent="0.2">
      <c r="B24" s="106">
        <v>42758</v>
      </c>
      <c r="C24" s="103">
        <v>25569.336805555598</v>
      </c>
      <c r="D24" s="105" t="s">
        <v>189</v>
      </c>
      <c r="E24" s="31" t="s">
        <v>190</v>
      </c>
      <c r="F24" s="31" t="s">
        <v>191</v>
      </c>
      <c r="G24" s="104">
        <v>25</v>
      </c>
      <c r="H24" s="105" t="s">
        <v>192</v>
      </c>
      <c r="I24" s="105" t="s">
        <v>1414</v>
      </c>
      <c r="J24" s="105" t="s">
        <v>3</v>
      </c>
      <c r="K24" s="112" t="s">
        <v>1404</v>
      </c>
      <c r="L24" s="112" t="s">
        <v>33</v>
      </c>
      <c r="M24" s="112" t="s">
        <v>34</v>
      </c>
      <c r="N24" s="113">
        <v>0</v>
      </c>
      <c r="O24" s="31" t="s">
        <v>60</v>
      </c>
      <c r="P24" s="31" t="s">
        <v>61</v>
      </c>
      <c r="Q24" s="31" t="s">
        <v>62</v>
      </c>
      <c r="R24" s="31" t="s">
        <v>194</v>
      </c>
      <c r="S24" s="103">
        <v>25569.333333333299</v>
      </c>
      <c r="T24" s="103">
        <v>25569.666666666701</v>
      </c>
      <c r="U24" s="31"/>
      <c r="V24" s="102"/>
      <c r="W24" s="101" t="s">
        <v>195</v>
      </c>
    </row>
    <row r="25" spans="2:23" s="16" customFormat="1" ht="51.75" customHeight="1" x14ac:dyDescent="0.2">
      <c r="B25" s="100">
        <v>42759</v>
      </c>
      <c r="C25" s="97">
        <v>25569.416666666701</v>
      </c>
      <c r="D25" s="99" t="s">
        <v>196</v>
      </c>
      <c r="E25" s="24" t="s">
        <v>197</v>
      </c>
      <c r="F25" s="24" t="s">
        <v>198</v>
      </c>
      <c r="G25" s="98">
        <v>35</v>
      </c>
      <c r="H25" s="99" t="s">
        <v>199</v>
      </c>
      <c r="I25" s="99" t="s">
        <v>1415</v>
      </c>
      <c r="J25" s="99" t="s">
        <v>3</v>
      </c>
      <c r="K25" s="112" t="s">
        <v>4</v>
      </c>
      <c r="L25" s="112" t="s">
        <v>33</v>
      </c>
      <c r="M25" s="112" t="s">
        <v>34</v>
      </c>
      <c r="N25" s="113">
        <v>3</v>
      </c>
      <c r="O25" s="24" t="s">
        <v>133</v>
      </c>
      <c r="P25" s="24" t="s">
        <v>88</v>
      </c>
      <c r="Q25" s="24" t="s">
        <v>71</v>
      </c>
      <c r="R25" s="24" t="s">
        <v>201</v>
      </c>
      <c r="S25" s="97">
        <v>25569.2791666667</v>
      </c>
      <c r="T25" s="97">
        <v>25569.611111111099</v>
      </c>
      <c r="U25" s="24"/>
      <c r="V25" s="96">
        <v>42942</v>
      </c>
      <c r="W25" s="95" t="s">
        <v>81</v>
      </c>
    </row>
    <row r="26" spans="2:23" s="16" customFormat="1" ht="62.45" customHeight="1" x14ac:dyDescent="0.2">
      <c r="B26" s="106">
        <v>42759</v>
      </c>
      <c r="C26" s="103">
        <v>25569.645833333299</v>
      </c>
      <c r="D26" s="105" t="s">
        <v>202</v>
      </c>
      <c r="E26" s="31" t="s">
        <v>203</v>
      </c>
      <c r="F26" s="31" t="s">
        <v>204</v>
      </c>
      <c r="G26" s="104">
        <v>18</v>
      </c>
      <c r="H26" s="105" t="s">
        <v>205</v>
      </c>
      <c r="I26" s="105" t="s">
        <v>1406</v>
      </c>
      <c r="J26" s="105" t="s">
        <v>3</v>
      </c>
      <c r="K26" s="112" t="s">
        <v>4</v>
      </c>
      <c r="L26" s="112" t="s">
        <v>34</v>
      </c>
      <c r="M26" s="112" t="s">
        <v>34</v>
      </c>
      <c r="N26" s="113"/>
      <c r="O26" s="31" t="s">
        <v>60</v>
      </c>
      <c r="P26" s="31" t="s">
        <v>206</v>
      </c>
      <c r="Q26" s="31" t="s">
        <v>158</v>
      </c>
      <c r="R26" s="34" t="s">
        <v>207</v>
      </c>
      <c r="S26" s="103">
        <v>25569.3125</v>
      </c>
      <c r="T26" s="103">
        <v>25569.645833333299</v>
      </c>
      <c r="U26" s="31"/>
      <c r="V26" s="102"/>
      <c r="W26" s="101" t="s">
        <v>73</v>
      </c>
    </row>
    <row r="27" spans="2:23" s="16" customFormat="1" ht="51.75" customHeight="1" x14ac:dyDescent="0.2">
      <c r="B27" s="100">
        <v>42759</v>
      </c>
      <c r="C27" s="97">
        <v>25569.9375</v>
      </c>
      <c r="D27" s="99" t="s">
        <v>208</v>
      </c>
      <c r="E27" s="24" t="s">
        <v>209</v>
      </c>
      <c r="F27" s="24" t="s">
        <v>210</v>
      </c>
      <c r="G27" s="98">
        <v>38</v>
      </c>
      <c r="H27" s="99" t="s">
        <v>211</v>
      </c>
      <c r="I27" s="99" t="s">
        <v>1416</v>
      </c>
      <c r="J27" s="99" t="s">
        <v>3</v>
      </c>
      <c r="K27" s="112" t="s">
        <v>1404</v>
      </c>
      <c r="L27" s="112" t="s">
        <v>34</v>
      </c>
      <c r="M27" s="112" t="s">
        <v>34</v>
      </c>
      <c r="N27" s="113"/>
      <c r="O27" s="24" t="s">
        <v>87</v>
      </c>
      <c r="P27" s="24" t="s">
        <v>213</v>
      </c>
      <c r="Q27" s="24" t="s">
        <v>122</v>
      </c>
      <c r="R27" s="24" t="s">
        <v>214</v>
      </c>
      <c r="S27" s="97">
        <v>25569.583333333299</v>
      </c>
      <c r="T27" s="97">
        <v>25569.929861111101</v>
      </c>
      <c r="U27" s="24"/>
      <c r="V27" s="96"/>
      <c r="W27" s="95" t="s">
        <v>195</v>
      </c>
    </row>
    <row r="28" spans="2:23" s="16" customFormat="1" ht="41.1" customHeight="1" x14ac:dyDescent="0.2">
      <c r="B28" s="106">
        <v>42761</v>
      </c>
      <c r="C28" s="103">
        <v>25569.041666666701</v>
      </c>
      <c r="D28" s="105" t="s">
        <v>215</v>
      </c>
      <c r="E28" s="31" t="s">
        <v>216</v>
      </c>
      <c r="F28" s="31" t="s">
        <v>217</v>
      </c>
      <c r="G28" s="104">
        <v>44</v>
      </c>
      <c r="H28" s="105" t="s">
        <v>218</v>
      </c>
      <c r="I28" s="105" t="s">
        <v>1403</v>
      </c>
      <c r="J28" s="105" t="s">
        <v>3</v>
      </c>
      <c r="K28" s="112" t="s">
        <v>4</v>
      </c>
      <c r="L28" s="112" t="s">
        <v>34</v>
      </c>
      <c r="M28" s="112" t="s">
        <v>34</v>
      </c>
      <c r="N28" s="113"/>
      <c r="O28" s="31" t="s">
        <v>60</v>
      </c>
      <c r="P28" s="31" t="s">
        <v>219</v>
      </c>
      <c r="Q28" s="31" t="s">
        <v>146</v>
      </c>
      <c r="R28" s="31" t="s">
        <v>220</v>
      </c>
      <c r="S28" s="103">
        <v>25569.916666666701</v>
      </c>
      <c r="T28" s="103">
        <v>25569.260416666701</v>
      </c>
      <c r="U28" s="31"/>
      <c r="V28" s="102"/>
      <c r="W28" s="101" t="s">
        <v>73</v>
      </c>
    </row>
    <row r="29" spans="2:23" s="16" customFormat="1" ht="62.45" customHeight="1" x14ac:dyDescent="0.2">
      <c r="B29" s="100">
        <v>42761</v>
      </c>
      <c r="C29" s="97">
        <v>25569.75</v>
      </c>
      <c r="D29" s="99" t="s">
        <v>221</v>
      </c>
      <c r="E29" s="24" t="s">
        <v>222</v>
      </c>
      <c r="F29" s="24" t="s">
        <v>223</v>
      </c>
      <c r="G29" s="98">
        <v>43</v>
      </c>
      <c r="H29" s="99" t="s">
        <v>224</v>
      </c>
      <c r="I29" s="99" t="s">
        <v>1417</v>
      </c>
      <c r="J29" s="99" t="s">
        <v>3</v>
      </c>
      <c r="K29" s="112" t="s">
        <v>4</v>
      </c>
      <c r="L29" s="112" t="s">
        <v>33</v>
      </c>
      <c r="M29" s="112" t="s">
        <v>34</v>
      </c>
      <c r="N29" s="113">
        <v>14</v>
      </c>
      <c r="O29" s="24" t="s">
        <v>69</v>
      </c>
      <c r="P29" s="24" t="s">
        <v>1407</v>
      </c>
      <c r="Q29" s="24" t="s">
        <v>71</v>
      </c>
      <c r="R29" s="24" t="s">
        <v>226</v>
      </c>
      <c r="S29" s="97">
        <v>25569.583333333299</v>
      </c>
      <c r="T29" s="97">
        <v>25569.927083333299</v>
      </c>
      <c r="U29" s="24"/>
      <c r="V29" s="96"/>
      <c r="W29" s="95" t="s">
        <v>73</v>
      </c>
    </row>
    <row r="30" spans="2:23" s="16" customFormat="1" ht="62.45" customHeight="1" x14ac:dyDescent="0.2">
      <c r="B30" s="106">
        <v>42761</v>
      </c>
      <c r="C30" s="103">
        <v>25569.833333333299</v>
      </c>
      <c r="D30" s="105" t="s">
        <v>227</v>
      </c>
      <c r="E30" s="31" t="s">
        <v>228</v>
      </c>
      <c r="F30" s="31" t="s">
        <v>66</v>
      </c>
      <c r="G30" s="104">
        <v>44</v>
      </c>
      <c r="H30" s="105" t="s">
        <v>229</v>
      </c>
      <c r="I30" s="105" t="s">
        <v>1418</v>
      </c>
      <c r="J30" s="105" t="s">
        <v>3</v>
      </c>
      <c r="K30" s="112" t="s">
        <v>4</v>
      </c>
      <c r="L30" s="112" t="s">
        <v>33</v>
      </c>
      <c r="M30" s="112" t="s">
        <v>34</v>
      </c>
      <c r="N30" s="113">
        <v>70</v>
      </c>
      <c r="O30" s="31" t="s">
        <v>69</v>
      </c>
      <c r="P30" s="31" t="s">
        <v>6</v>
      </c>
      <c r="Q30" s="31" t="s">
        <v>71</v>
      </c>
      <c r="R30" s="31" t="s">
        <v>231</v>
      </c>
      <c r="S30" s="103">
        <v>25569.375</v>
      </c>
      <c r="T30" s="103">
        <v>25569.708333333299</v>
      </c>
      <c r="U30" s="31"/>
      <c r="V30" s="102"/>
      <c r="W30" s="101" t="s">
        <v>81</v>
      </c>
    </row>
    <row r="31" spans="2:23" s="16" customFormat="1" ht="62.45" customHeight="1" x14ac:dyDescent="0.2">
      <c r="B31" s="100">
        <v>42762</v>
      </c>
      <c r="C31" s="97">
        <v>25569.197916666701</v>
      </c>
      <c r="D31" s="99" t="s">
        <v>232</v>
      </c>
      <c r="E31" s="24" t="s">
        <v>233</v>
      </c>
      <c r="F31" s="24" t="s">
        <v>234</v>
      </c>
      <c r="G31" s="98">
        <v>32</v>
      </c>
      <c r="H31" s="99" t="s">
        <v>235</v>
      </c>
      <c r="I31" s="99" t="s">
        <v>1413</v>
      </c>
      <c r="J31" s="99" t="s">
        <v>3</v>
      </c>
      <c r="K31" s="112" t="s">
        <v>1404</v>
      </c>
      <c r="L31" s="112" t="s">
        <v>34</v>
      </c>
      <c r="M31" s="112" t="s">
        <v>34</v>
      </c>
      <c r="N31" s="113"/>
      <c r="O31" s="24" t="s">
        <v>87</v>
      </c>
      <c r="P31" s="24" t="s">
        <v>61</v>
      </c>
      <c r="Q31" s="24" t="s">
        <v>71</v>
      </c>
      <c r="R31" s="24" t="s">
        <v>236</v>
      </c>
      <c r="S31" s="97">
        <v>25569.21875</v>
      </c>
      <c r="T31" s="97">
        <v>25569.570138888899</v>
      </c>
      <c r="U31" s="24"/>
      <c r="V31" s="96"/>
      <c r="W31" s="95" t="s">
        <v>73</v>
      </c>
    </row>
    <row r="32" spans="2:23" s="16" customFormat="1" ht="51.75" customHeight="1" x14ac:dyDescent="0.2">
      <c r="B32" s="106">
        <v>42762</v>
      </c>
      <c r="C32" s="103">
        <v>25569.222222222201</v>
      </c>
      <c r="D32" s="105" t="s">
        <v>1455</v>
      </c>
      <c r="E32" s="31" t="s">
        <v>237</v>
      </c>
      <c r="F32" s="31" t="s">
        <v>238</v>
      </c>
      <c r="G32" s="104">
        <v>58</v>
      </c>
      <c r="H32" s="105" t="s">
        <v>1456</v>
      </c>
      <c r="I32" s="105" t="s">
        <v>1410</v>
      </c>
      <c r="J32" s="105" t="s">
        <v>3</v>
      </c>
      <c r="K32" s="112" t="s">
        <v>1404</v>
      </c>
      <c r="L32" s="112" t="s">
        <v>34</v>
      </c>
      <c r="M32" s="112" t="s">
        <v>34</v>
      </c>
      <c r="N32" s="113"/>
      <c r="O32" s="31" t="s">
        <v>87</v>
      </c>
      <c r="P32" s="31" t="s">
        <v>5</v>
      </c>
      <c r="Q32" s="31" t="s">
        <v>1407</v>
      </c>
      <c r="R32" s="31" t="s">
        <v>239</v>
      </c>
      <c r="S32" s="103">
        <v>25569.25</v>
      </c>
      <c r="T32" s="103">
        <v>25569.6430555556</v>
      </c>
      <c r="U32" s="31"/>
      <c r="V32" s="102"/>
      <c r="W32" s="101" t="s">
        <v>73</v>
      </c>
    </row>
    <row r="33" spans="2:23" s="16" customFormat="1" ht="51.75" customHeight="1" x14ac:dyDescent="0.2">
      <c r="B33" s="100">
        <v>42762</v>
      </c>
      <c r="C33" s="97">
        <v>25569.302083333299</v>
      </c>
      <c r="D33" s="99" t="s">
        <v>240</v>
      </c>
      <c r="E33" s="24" t="s">
        <v>241</v>
      </c>
      <c r="F33" s="24" t="s">
        <v>210</v>
      </c>
      <c r="G33" s="98">
        <v>51</v>
      </c>
      <c r="H33" s="99" t="s">
        <v>242</v>
      </c>
      <c r="I33" s="99" t="s">
        <v>1419</v>
      </c>
      <c r="J33" s="99" t="s">
        <v>3</v>
      </c>
      <c r="K33" s="112" t="s">
        <v>1404</v>
      </c>
      <c r="L33" s="112" t="s">
        <v>34</v>
      </c>
      <c r="M33" s="112" t="s">
        <v>34</v>
      </c>
      <c r="N33" s="113"/>
      <c r="O33" s="24" t="s">
        <v>69</v>
      </c>
      <c r="P33" s="24" t="s">
        <v>1407</v>
      </c>
      <c r="Q33" s="24" t="s">
        <v>62</v>
      </c>
      <c r="R33" s="24" t="s">
        <v>244</v>
      </c>
      <c r="S33" s="97">
        <v>25569.333333333299</v>
      </c>
      <c r="T33" s="97">
        <v>25569.510416666701</v>
      </c>
      <c r="U33" s="24"/>
      <c r="V33" s="96"/>
      <c r="W33" s="95" t="s">
        <v>73</v>
      </c>
    </row>
    <row r="34" spans="2:23" s="16" customFormat="1" ht="51.75" customHeight="1" x14ac:dyDescent="0.2">
      <c r="B34" s="106">
        <v>42762</v>
      </c>
      <c r="C34" s="103">
        <v>25569.3125</v>
      </c>
      <c r="D34" s="105" t="s">
        <v>245</v>
      </c>
      <c r="E34" s="31" t="s">
        <v>246</v>
      </c>
      <c r="F34" s="31" t="s">
        <v>247</v>
      </c>
      <c r="G34" s="104">
        <v>48</v>
      </c>
      <c r="H34" s="105" t="s">
        <v>248</v>
      </c>
      <c r="I34" s="105" t="s">
        <v>1420</v>
      </c>
      <c r="J34" s="105" t="s">
        <v>3</v>
      </c>
      <c r="K34" s="112" t="s">
        <v>1404</v>
      </c>
      <c r="L34" s="112" t="s">
        <v>34</v>
      </c>
      <c r="M34" s="112" t="s">
        <v>34</v>
      </c>
      <c r="N34" s="113"/>
      <c r="O34" s="31" t="s">
        <v>60</v>
      </c>
      <c r="P34" s="31" t="s">
        <v>61</v>
      </c>
      <c r="Q34" s="31" t="s">
        <v>62</v>
      </c>
      <c r="R34" s="31" t="s">
        <v>250</v>
      </c>
      <c r="S34" s="103">
        <v>25569.333333333299</v>
      </c>
      <c r="T34" s="103">
        <v>25569.663888888899</v>
      </c>
      <c r="U34" s="31" t="s">
        <v>251</v>
      </c>
      <c r="V34" s="102"/>
      <c r="W34" s="101" t="s">
        <v>73</v>
      </c>
    </row>
    <row r="35" spans="2:23" s="16" customFormat="1" ht="41.1" customHeight="1" x14ac:dyDescent="0.2">
      <c r="B35" s="100">
        <v>42763</v>
      </c>
      <c r="C35" s="97">
        <v>25569.583333333299</v>
      </c>
      <c r="D35" s="99" t="s">
        <v>252</v>
      </c>
      <c r="E35" s="24" t="s">
        <v>253</v>
      </c>
      <c r="F35" s="24" t="s">
        <v>254</v>
      </c>
      <c r="G35" s="98">
        <v>37</v>
      </c>
      <c r="H35" s="99" t="s">
        <v>255</v>
      </c>
      <c r="I35" s="99" t="s">
        <v>1405</v>
      </c>
      <c r="J35" s="99" t="s">
        <v>3</v>
      </c>
      <c r="K35" s="112" t="s">
        <v>4</v>
      </c>
      <c r="L35" s="112" t="s">
        <v>33</v>
      </c>
      <c r="M35" s="112" t="s">
        <v>34</v>
      </c>
      <c r="N35" s="113">
        <v>120</v>
      </c>
      <c r="O35" s="24" t="s">
        <v>69</v>
      </c>
      <c r="P35" s="24" t="s">
        <v>88</v>
      </c>
      <c r="Q35" s="24" t="s">
        <v>8</v>
      </c>
      <c r="R35" s="24" t="s">
        <v>256</v>
      </c>
      <c r="S35" s="97">
        <v>25569.28125</v>
      </c>
      <c r="T35" s="97">
        <v>25569.649305555598</v>
      </c>
      <c r="U35" s="24"/>
      <c r="V35" s="96"/>
      <c r="W35" s="95" t="s">
        <v>81</v>
      </c>
    </row>
    <row r="36" spans="2:23" s="16" customFormat="1" ht="41.1" customHeight="1" x14ac:dyDescent="0.2">
      <c r="B36" s="106">
        <v>42764</v>
      </c>
      <c r="C36" s="103">
        <v>25569.208333333299</v>
      </c>
      <c r="D36" s="105" t="s">
        <v>257</v>
      </c>
      <c r="E36" s="31" t="s">
        <v>258</v>
      </c>
      <c r="F36" s="31" t="s">
        <v>259</v>
      </c>
      <c r="G36" s="104">
        <v>51</v>
      </c>
      <c r="H36" s="105" t="s">
        <v>260</v>
      </c>
      <c r="I36" s="105" t="s">
        <v>1421</v>
      </c>
      <c r="J36" s="105" t="s">
        <v>3</v>
      </c>
      <c r="K36" s="112" t="s">
        <v>4</v>
      </c>
      <c r="L36" s="112" t="s">
        <v>34</v>
      </c>
      <c r="M36" s="112" t="s">
        <v>34</v>
      </c>
      <c r="N36" s="113"/>
      <c r="O36" s="31" t="s">
        <v>69</v>
      </c>
      <c r="P36" s="31" t="s">
        <v>88</v>
      </c>
      <c r="Q36" s="31" t="s">
        <v>8</v>
      </c>
      <c r="R36" s="31" t="s">
        <v>262</v>
      </c>
      <c r="S36" s="103">
        <v>25569.916666666701</v>
      </c>
      <c r="T36" s="103">
        <v>25569.259722222199</v>
      </c>
      <c r="U36" s="31"/>
      <c r="V36" s="102"/>
      <c r="W36" s="101" t="s">
        <v>81</v>
      </c>
    </row>
    <row r="37" spans="2:23" s="16" customFormat="1" ht="51.75" customHeight="1" x14ac:dyDescent="0.2">
      <c r="B37" s="100">
        <v>42765</v>
      </c>
      <c r="C37" s="97">
        <v>25569.395833333299</v>
      </c>
      <c r="D37" s="99" t="s">
        <v>263</v>
      </c>
      <c r="E37" s="24" t="s">
        <v>264</v>
      </c>
      <c r="F37" s="24" t="s">
        <v>265</v>
      </c>
      <c r="G37" s="98">
        <v>37</v>
      </c>
      <c r="H37" s="99" t="s">
        <v>266</v>
      </c>
      <c r="I37" s="99" t="s">
        <v>1417</v>
      </c>
      <c r="J37" s="99" t="s">
        <v>3</v>
      </c>
      <c r="K37" s="112" t="s">
        <v>4</v>
      </c>
      <c r="L37" s="112" t="s">
        <v>33</v>
      </c>
      <c r="M37" s="112" t="s">
        <v>34</v>
      </c>
      <c r="N37" s="113">
        <v>17</v>
      </c>
      <c r="O37" s="24" t="s">
        <v>78</v>
      </c>
      <c r="P37" s="24" t="s">
        <v>61</v>
      </c>
      <c r="Q37" s="24" t="s">
        <v>158</v>
      </c>
      <c r="R37" s="24" t="s">
        <v>267</v>
      </c>
      <c r="S37" s="97">
        <v>25569.25</v>
      </c>
      <c r="T37" s="97">
        <v>25569.601388888899</v>
      </c>
      <c r="U37" s="24"/>
      <c r="V37" s="96"/>
      <c r="W37" s="95" t="s">
        <v>81</v>
      </c>
    </row>
    <row r="38" spans="2:23" s="16" customFormat="1" ht="51.75" customHeight="1" x14ac:dyDescent="0.2">
      <c r="B38" s="106">
        <v>42767</v>
      </c>
      <c r="C38" s="103">
        <v>25569.236111111099</v>
      </c>
      <c r="D38" s="105" t="s">
        <v>268</v>
      </c>
      <c r="E38" s="31" t="s">
        <v>269</v>
      </c>
      <c r="F38" s="31" t="s">
        <v>270</v>
      </c>
      <c r="G38" s="104">
        <v>47</v>
      </c>
      <c r="H38" s="105" t="s">
        <v>271</v>
      </c>
      <c r="I38" s="105" t="s">
        <v>1422</v>
      </c>
      <c r="J38" s="105" t="s">
        <v>3</v>
      </c>
      <c r="K38" s="112" t="s">
        <v>1404</v>
      </c>
      <c r="L38" s="112" t="s">
        <v>34</v>
      </c>
      <c r="M38" s="112" t="s">
        <v>34</v>
      </c>
      <c r="N38" s="113"/>
      <c r="O38" s="31" t="s">
        <v>87</v>
      </c>
      <c r="P38" s="31" t="s">
        <v>206</v>
      </c>
      <c r="Q38" s="31" t="s">
        <v>122</v>
      </c>
      <c r="R38" s="31" t="s">
        <v>273</v>
      </c>
      <c r="S38" s="103">
        <v>25569.239583333299</v>
      </c>
      <c r="T38" s="103">
        <v>25569.614583333299</v>
      </c>
      <c r="U38" s="31"/>
      <c r="V38" s="102"/>
      <c r="W38" s="101" t="s">
        <v>73</v>
      </c>
    </row>
    <row r="39" spans="2:23" s="16" customFormat="1" ht="62.45" customHeight="1" x14ac:dyDescent="0.2">
      <c r="B39" s="100">
        <v>42767</v>
      </c>
      <c r="C39" s="97">
        <v>25569.5</v>
      </c>
      <c r="D39" s="99" t="s">
        <v>274</v>
      </c>
      <c r="E39" s="24" t="s">
        <v>275</v>
      </c>
      <c r="F39" s="24" t="s">
        <v>276</v>
      </c>
      <c r="G39" s="98">
        <v>27</v>
      </c>
      <c r="H39" s="99" t="s">
        <v>277</v>
      </c>
      <c r="I39" s="99" t="s">
        <v>1423</v>
      </c>
      <c r="J39" s="99" t="s">
        <v>3</v>
      </c>
      <c r="K39" s="112" t="s">
        <v>4</v>
      </c>
      <c r="L39" s="112" t="s">
        <v>34</v>
      </c>
      <c r="M39" s="112" t="s">
        <v>34</v>
      </c>
      <c r="N39" s="113"/>
      <c r="O39" s="24" t="s">
        <v>78</v>
      </c>
      <c r="P39" s="24" t="s">
        <v>173</v>
      </c>
      <c r="Q39" s="24" t="s">
        <v>158</v>
      </c>
      <c r="R39" s="24" t="s">
        <v>279</v>
      </c>
      <c r="S39" s="97">
        <v>25569.253472222201</v>
      </c>
      <c r="T39" s="97">
        <v>25569.604166666701</v>
      </c>
      <c r="U39" s="24"/>
      <c r="V39" s="96"/>
      <c r="W39" s="95" t="s">
        <v>73</v>
      </c>
    </row>
    <row r="40" spans="2:23" s="16" customFormat="1" ht="62.45" customHeight="1" x14ac:dyDescent="0.2">
      <c r="B40" s="106">
        <v>42768</v>
      </c>
      <c r="C40" s="103">
        <v>25569.197916666701</v>
      </c>
      <c r="D40" s="105" t="s">
        <v>280</v>
      </c>
      <c r="E40" s="31" t="s">
        <v>281</v>
      </c>
      <c r="F40" s="31" t="s">
        <v>66</v>
      </c>
      <c r="G40" s="104">
        <v>51</v>
      </c>
      <c r="H40" s="105" t="s">
        <v>282</v>
      </c>
      <c r="I40" s="105" t="s">
        <v>1424</v>
      </c>
      <c r="J40" s="105" t="s">
        <v>3</v>
      </c>
      <c r="K40" s="112" t="s">
        <v>1404</v>
      </c>
      <c r="L40" s="112" t="s">
        <v>34</v>
      </c>
      <c r="M40" s="112" t="s">
        <v>33</v>
      </c>
      <c r="N40" s="113"/>
      <c r="O40" s="31" t="s">
        <v>87</v>
      </c>
      <c r="P40" s="31" t="s">
        <v>1407</v>
      </c>
      <c r="Q40" s="31" t="s">
        <v>114</v>
      </c>
      <c r="R40" s="31" t="s">
        <v>284</v>
      </c>
      <c r="S40" s="103">
        <v>25569.208333333299</v>
      </c>
      <c r="T40" s="103">
        <v>25569.6138888889</v>
      </c>
      <c r="U40" s="31"/>
      <c r="V40" s="102"/>
      <c r="W40" s="101"/>
    </row>
    <row r="41" spans="2:23" s="16" customFormat="1" ht="51.75" customHeight="1" x14ac:dyDescent="0.2">
      <c r="B41" s="100">
        <v>42768</v>
      </c>
      <c r="C41" s="97">
        <v>25569.248611111099</v>
      </c>
      <c r="D41" s="99" t="s">
        <v>285</v>
      </c>
      <c r="E41" s="24" t="s">
        <v>286</v>
      </c>
      <c r="F41" s="24" t="s">
        <v>287</v>
      </c>
      <c r="G41" s="98">
        <v>29</v>
      </c>
      <c r="H41" s="99" t="s">
        <v>288</v>
      </c>
      <c r="I41" s="99" t="s">
        <v>1417</v>
      </c>
      <c r="J41" s="99" t="s">
        <v>3</v>
      </c>
      <c r="K41" s="112" t="s">
        <v>1404</v>
      </c>
      <c r="L41" s="112" t="s">
        <v>33</v>
      </c>
      <c r="M41" s="112" t="s">
        <v>34</v>
      </c>
      <c r="N41" s="113">
        <v>1</v>
      </c>
      <c r="O41" s="24" t="s">
        <v>60</v>
      </c>
      <c r="P41" s="24" t="s">
        <v>289</v>
      </c>
      <c r="Q41" s="24" t="s">
        <v>146</v>
      </c>
      <c r="R41" s="24" t="s">
        <v>290</v>
      </c>
      <c r="S41" s="97">
        <v>25569.25</v>
      </c>
      <c r="T41" s="97">
        <v>25569.601388888899</v>
      </c>
      <c r="U41" s="24"/>
      <c r="V41" s="96"/>
      <c r="W41" s="95" t="s">
        <v>81</v>
      </c>
    </row>
    <row r="42" spans="2:23" s="16" customFormat="1" ht="73.150000000000006" customHeight="1" x14ac:dyDescent="0.2">
      <c r="B42" s="106">
        <v>42768</v>
      </c>
      <c r="C42" s="103">
        <v>25569.770833333299</v>
      </c>
      <c r="D42" s="105" t="s">
        <v>291</v>
      </c>
      <c r="E42" s="31" t="s">
        <v>292</v>
      </c>
      <c r="F42" s="31" t="s">
        <v>247</v>
      </c>
      <c r="G42" s="104">
        <v>34</v>
      </c>
      <c r="H42" s="105" t="s">
        <v>293</v>
      </c>
      <c r="I42" s="105" t="s">
        <v>1405</v>
      </c>
      <c r="J42" s="105" t="s">
        <v>3</v>
      </c>
      <c r="K42" s="112" t="s">
        <v>4</v>
      </c>
      <c r="L42" s="112" t="s">
        <v>33</v>
      </c>
      <c r="M42" s="112" t="s">
        <v>34</v>
      </c>
      <c r="N42" s="113">
        <v>19</v>
      </c>
      <c r="O42" s="31" t="s">
        <v>133</v>
      </c>
      <c r="P42" s="31" t="s">
        <v>1407</v>
      </c>
      <c r="Q42" s="31" t="s">
        <v>79</v>
      </c>
      <c r="R42" s="34" t="s">
        <v>294</v>
      </c>
      <c r="S42" s="103">
        <v>25569.604166666701</v>
      </c>
      <c r="T42" s="103">
        <v>25569.999305555601</v>
      </c>
      <c r="U42" s="31"/>
      <c r="V42" s="102"/>
      <c r="W42" s="101" t="s">
        <v>81</v>
      </c>
    </row>
    <row r="43" spans="2:23" s="16" customFormat="1" ht="41.1" customHeight="1" x14ac:dyDescent="0.2">
      <c r="B43" s="100">
        <v>42769</v>
      </c>
      <c r="C43" s="97">
        <v>25569.020833333299</v>
      </c>
      <c r="D43" s="99" t="s">
        <v>295</v>
      </c>
      <c r="E43" s="24" t="s">
        <v>296</v>
      </c>
      <c r="F43" s="24" t="s">
        <v>297</v>
      </c>
      <c r="G43" s="98">
        <v>56</v>
      </c>
      <c r="H43" s="99" t="s">
        <v>298</v>
      </c>
      <c r="I43" s="99" t="s">
        <v>1411</v>
      </c>
      <c r="J43" s="99" t="s">
        <v>3</v>
      </c>
      <c r="K43" s="112" t="s">
        <v>4</v>
      </c>
      <c r="L43" s="112" t="s">
        <v>33</v>
      </c>
      <c r="M43" s="112" t="s">
        <v>34</v>
      </c>
      <c r="N43" s="113">
        <v>37</v>
      </c>
      <c r="O43" s="24" t="s">
        <v>78</v>
      </c>
      <c r="P43" s="24" t="s">
        <v>61</v>
      </c>
      <c r="Q43" s="24" t="s">
        <v>62</v>
      </c>
      <c r="R43" s="24" t="s">
        <v>299</v>
      </c>
      <c r="S43" s="97">
        <v>25569.916666666701</v>
      </c>
      <c r="T43" s="97">
        <v>25569.25</v>
      </c>
      <c r="U43" s="24"/>
      <c r="V43" s="96"/>
      <c r="W43" s="95" t="s">
        <v>81</v>
      </c>
    </row>
    <row r="44" spans="2:23" s="16" customFormat="1" ht="51.75" customHeight="1" x14ac:dyDescent="0.2">
      <c r="B44" s="106">
        <v>42770</v>
      </c>
      <c r="C44" s="103">
        <v>25569.166666666701</v>
      </c>
      <c r="D44" s="105" t="s">
        <v>300</v>
      </c>
      <c r="E44" s="31" t="s">
        <v>301</v>
      </c>
      <c r="F44" s="31" t="s">
        <v>247</v>
      </c>
      <c r="G44" s="104">
        <v>44</v>
      </c>
      <c r="H44" s="105" t="s">
        <v>302</v>
      </c>
      <c r="I44" s="105" t="s">
        <v>1411</v>
      </c>
      <c r="J44" s="105" t="s">
        <v>3</v>
      </c>
      <c r="K44" s="112" t="s">
        <v>4</v>
      </c>
      <c r="L44" s="112" t="s">
        <v>34</v>
      </c>
      <c r="M44" s="112" t="s">
        <v>34</v>
      </c>
      <c r="N44" s="113"/>
      <c r="O44" s="31" t="s">
        <v>133</v>
      </c>
      <c r="P44" s="31" t="s">
        <v>61</v>
      </c>
      <c r="Q44" s="31" t="s">
        <v>62</v>
      </c>
      <c r="R44" s="31" t="s">
        <v>303</v>
      </c>
      <c r="S44" s="103">
        <v>25569.916666666701</v>
      </c>
      <c r="T44" s="103">
        <v>25569.25</v>
      </c>
      <c r="U44" s="31"/>
      <c r="V44" s="102"/>
      <c r="W44" s="101" t="s">
        <v>73</v>
      </c>
    </row>
    <row r="45" spans="2:23" s="16" customFormat="1" ht="62.45" customHeight="1" x14ac:dyDescent="0.2">
      <c r="B45" s="100">
        <v>42770</v>
      </c>
      <c r="C45" s="97">
        <v>25569.677083333299</v>
      </c>
      <c r="D45" s="99" t="s">
        <v>304</v>
      </c>
      <c r="E45" s="24" t="s">
        <v>305</v>
      </c>
      <c r="F45" s="24" t="s">
        <v>306</v>
      </c>
      <c r="G45" s="98">
        <v>38</v>
      </c>
      <c r="H45" s="99" t="s">
        <v>307</v>
      </c>
      <c r="I45" s="99" t="s">
        <v>1405</v>
      </c>
      <c r="J45" s="99" t="s">
        <v>3</v>
      </c>
      <c r="K45" s="112" t="s">
        <v>1404</v>
      </c>
      <c r="L45" s="112" t="s">
        <v>33</v>
      </c>
      <c r="M45" s="112" t="s">
        <v>34</v>
      </c>
      <c r="N45" s="113">
        <v>23</v>
      </c>
      <c r="O45" s="24" t="s">
        <v>87</v>
      </c>
      <c r="P45" s="24" t="s">
        <v>5</v>
      </c>
      <c r="Q45" s="24" t="s">
        <v>62</v>
      </c>
      <c r="R45" s="24" t="s">
        <v>308</v>
      </c>
      <c r="S45" s="97">
        <v>25569.284722222201</v>
      </c>
      <c r="T45" s="97">
        <v>25569.649305555598</v>
      </c>
      <c r="U45" s="24" t="s">
        <v>309</v>
      </c>
      <c r="V45" s="96"/>
      <c r="W45" s="95" t="s">
        <v>81</v>
      </c>
    </row>
    <row r="46" spans="2:23" s="16" customFormat="1" ht="73.150000000000006" customHeight="1" x14ac:dyDescent="0.2">
      <c r="B46" s="106">
        <v>42771</v>
      </c>
      <c r="C46" s="103">
        <v>25569.833333333299</v>
      </c>
      <c r="D46" s="105" t="s">
        <v>310</v>
      </c>
      <c r="E46" s="31" t="s">
        <v>311</v>
      </c>
      <c r="F46" s="31" t="s">
        <v>312</v>
      </c>
      <c r="G46" s="104">
        <v>47</v>
      </c>
      <c r="H46" s="105" t="s">
        <v>313</v>
      </c>
      <c r="I46" s="105" t="s">
        <v>1421</v>
      </c>
      <c r="J46" s="105" t="s">
        <v>3</v>
      </c>
      <c r="K46" s="112" t="s">
        <v>4</v>
      </c>
      <c r="L46" s="112" t="s">
        <v>33</v>
      </c>
      <c r="M46" s="112" t="s">
        <v>34</v>
      </c>
      <c r="N46" s="113">
        <v>22</v>
      </c>
      <c r="O46" s="31" t="s">
        <v>133</v>
      </c>
      <c r="P46" s="31" t="s">
        <v>88</v>
      </c>
      <c r="Q46" s="31" t="s">
        <v>8</v>
      </c>
      <c r="R46" s="34" t="s">
        <v>314</v>
      </c>
      <c r="S46" s="103">
        <v>25569.583333333299</v>
      </c>
      <c r="T46" s="103">
        <v>25569.931250000001</v>
      </c>
      <c r="U46" s="31"/>
      <c r="V46" s="102"/>
      <c r="W46" s="101" t="s">
        <v>81</v>
      </c>
    </row>
    <row r="47" spans="2:23" s="16" customFormat="1" ht="51.75" customHeight="1" x14ac:dyDescent="0.2">
      <c r="B47" s="100">
        <v>42771</v>
      </c>
      <c r="C47" s="97">
        <v>25569.930555555598</v>
      </c>
      <c r="D47" s="99" t="s">
        <v>315</v>
      </c>
      <c r="E47" s="24" t="s">
        <v>316</v>
      </c>
      <c r="F47" s="24" t="s">
        <v>317</v>
      </c>
      <c r="G47" s="98">
        <v>33</v>
      </c>
      <c r="H47" s="99" t="s">
        <v>318</v>
      </c>
      <c r="I47" s="99" t="s">
        <v>1405</v>
      </c>
      <c r="J47" s="99" t="s">
        <v>3</v>
      </c>
      <c r="K47" s="112" t="s">
        <v>4</v>
      </c>
      <c r="L47" s="112" t="s">
        <v>34</v>
      </c>
      <c r="M47" s="112" t="s">
        <v>34</v>
      </c>
      <c r="N47" s="113"/>
      <c r="O47" s="24" t="s">
        <v>78</v>
      </c>
      <c r="P47" s="24" t="s">
        <v>206</v>
      </c>
      <c r="Q47" s="24" t="s">
        <v>71</v>
      </c>
      <c r="R47" s="24" t="s">
        <v>319</v>
      </c>
      <c r="S47" s="97">
        <v>25569.659722222201</v>
      </c>
      <c r="T47" s="97">
        <v>25569.020833333299</v>
      </c>
      <c r="U47" s="24" t="s">
        <v>320</v>
      </c>
      <c r="V47" s="96"/>
      <c r="W47" s="95"/>
    </row>
    <row r="48" spans="2:23" s="16" customFormat="1" ht="62.45" customHeight="1" x14ac:dyDescent="0.2">
      <c r="B48" s="106">
        <v>42772</v>
      </c>
      <c r="C48" s="103">
        <v>25569.333333333299</v>
      </c>
      <c r="D48" s="105" t="s">
        <v>321</v>
      </c>
      <c r="E48" s="31" t="s">
        <v>322</v>
      </c>
      <c r="F48" s="31" t="s">
        <v>323</v>
      </c>
      <c r="G48" s="104">
        <v>44</v>
      </c>
      <c r="H48" s="105" t="s">
        <v>324</v>
      </c>
      <c r="I48" s="105" t="s">
        <v>1425</v>
      </c>
      <c r="J48" s="105" t="s">
        <v>3</v>
      </c>
      <c r="K48" s="112" t="s">
        <v>4</v>
      </c>
      <c r="L48" s="112" t="s">
        <v>34</v>
      </c>
      <c r="M48" s="112" t="s">
        <v>34</v>
      </c>
      <c r="N48" s="113"/>
      <c r="O48" s="31" t="s">
        <v>69</v>
      </c>
      <c r="P48" s="31" t="s">
        <v>61</v>
      </c>
      <c r="Q48" s="31" t="s">
        <v>71</v>
      </c>
      <c r="R48" s="31" t="s">
        <v>326</v>
      </c>
      <c r="S48" s="103">
        <v>25569.291666666701</v>
      </c>
      <c r="T48" s="103">
        <v>25569.596527777801</v>
      </c>
      <c r="U48" s="31"/>
      <c r="V48" s="102"/>
      <c r="W48" s="101" t="s">
        <v>73</v>
      </c>
    </row>
    <row r="49" spans="2:23" s="16" customFormat="1" ht="51.75" customHeight="1" x14ac:dyDescent="0.2">
      <c r="B49" s="100">
        <v>42772</v>
      </c>
      <c r="C49" s="97">
        <v>25569.520833333299</v>
      </c>
      <c r="D49" s="99" t="s">
        <v>327</v>
      </c>
      <c r="E49" s="24" t="s">
        <v>328</v>
      </c>
      <c r="F49" s="24" t="s">
        <v>329</v>
      </c>
      <c r="G49" s="98">
        <v>59</v>
      </c>
      <c r="H49" s="99" t="s">
        <v>330</v>
      </c>
      <c r="I49" s="99" t="s">
        <v>1413</v>
      </c>
      <c r="J49" s="99" t="s">
        <v>3</v>
      </c>
      <c r="K49" s="112" t="s">
        <v>4</v>
      </c>
      <c r="L49" s="112" t="s">
        <v>34</v>
      </c>
      <c r="M49" s="112" t="s">
        <v>33</v>
      </c>
      <c r="N49" s="113"/>
      <c r="O49" s="24" t="s">
        <v>87</v>
      </c>
      <c r="P49" s="24" t="s">
        <v>187</v>
      </c>
      <c r="Q49" s="24" t="s">
        <v>122</v>
      </c>
      <c r="R49" s="24" t="s">
        <v>331</v>
      </c>
      <c r="S49" s="97">
        <v>25569.260416666701</v>
      </c>
      <c r="T49" s="97">
        <v>25569.615277777801</v>
      </c>
      <c r="U49" s="24"/>
      <c r="V49" s="96"/>
      <c r="W49" s="95"/>
    </row>
    <row r="50" spans="2:23" s="16" customFormat="1" ht="73.150000000000006" customHeight="1" x14ac:dyDescent="0.2">
      <c r="B50" s="106">
        <v>42774</v>
      </c>
      <c r="C50" s="103">
        <v>25569.451388888901</v>
      </c>
      <c r="D50" s="105" t="s">
        <v>332</v>
      </c>
      <c r="E50" s="31" t="s">
        <v>333</v>
      </c>
      <c r="F50" s="31" t="s">
        <v>223</v>
      </c>
      <c r="G50" s="104">
        <v>36</v>
      </c>
      <c r="H50" s="105" t="s">
        <v>334</v>
      </c>
      <c r="I50" s="105" t="s">
        <v>1413</v>
      </c>
      <c r="J50" s="105" t="s">
        <v>3</v>
      </c>
      <c r="K50" s="112" t="s">
        <v>4</v>
      </c>
      <c r="L50" s="112" t="s">
        <v>33</v>
      </c>
      <c r="M50" s="112" t="s">
        <v>34</v>
      </c>
      <c r="N50" s="113">
        <v>36</v>
      </c>
      <c r="O50" s="31" t="s">
        <v>78</v>
      </c>
      <c r="P50" s="31" t="s">
        <v>61</v>
      </c>
      <c r="Q50" s="31" t="s">
        <v>62</v>
      </c>
      <c r="R50" s="34" t="s">
        <v>335</v>
      </c>
      <c r="S50" s="103">
        <v>25569.263888888901</v>
      </c>
      <c r="T50" s="103">
        <v>25569.615277777801</v>
      </c>
      <c r="U50" s="31"/>
      <c r="V50" s="102"/>
      <c r="W50" s="101" t="s">
        <v>81</v>
      </c>
    </row>
    <row r="51" spans="2:23" s="16" customFormat="1" ht="51.75" customHeight="1" x14ac:dyDescent="0.2">
      <c r="B51" s="100">
        <v>42775</v>
      </c>
      <c r="C51" s="97">
        <v>25569.319444444402</v>
      </c>
      <c r="D51" s="99" t="s">
        <v>336</v>
      </c>
      <c r="E51" s="24" t="s">
        <v>337</v>
      </c>
      <c r="F51" s="24" t="s">
        <v>338</v>
      </c>
      <c r="G51" s="98">
        <v>24</v>
      </c>
      <c r="H51" s="99" t="s">
        <v>339</v>
      </c>
      <c r="I51" s="99" t="s">
        <v>1426</v>
      </c>
      <c r="J51" s="99" t="s">
        <v>3</v>
      </c>
      <c r="K51" s="112" t="s">
        <v>1404</v>
      </c>
      <c r="L51" s="112" t="s">
        <v>34</v>
      </c>
      <c r="M51" s="112" t="s">
        <v>34</v>
      </c>
      <c r="N51" s="113"/>
      <c r="O51" s="24" t="s">
        <v>87</v>
      </c>
      <c r="P51" s="24" t="s">
        <v>5</v>
      </c>
      <c r="Q51" s="24" t="s">
        <v>1407</v>
      </c>
      <c r="R51" s="24" t="s">
        <v>341</v>
      </c>
      <c r="S51" s="97">
        <v>25569.333333333299</v>
      </c>
      <c r="T51" s="97">
        <v>25569.673611111099</v>
      </c>
      <c r="U51" s="24" t="s">
        <v>342</v>
      </c>
      <c r="V51" s="96"/>
      <c r="W51" s="95" t="s">
        <v>73</v>
      </c>
    </row>
    <row r="52" spans="2:23" s="16" customFormat="1" ht="41.1" customHeight="1" x14ac:dyDescent="0.2">
      <c r="B52" s="106">
        <v>42775</v>
      </c>
      <c r="C52" s="103">
        <v>25569.583333333299</v>
      </c>
      <c r="D52" s="105" t="s">
        <v>343</v>
      </c>
      <c r="E52" s="31" t="s">
        <v>344</v>
      </c>
      <c r="F52" s="31" t="s">
        <v>345</v>
      </c>
      <c r="G52" s="104">
        <v>52</v>
      </c>
      <c r="H52" s="105" t="s">
        <v>346</v>
      </c>
      <c r="I52" s="105" t="s">
        <v>1408</v>
      </c>
      <c r="J52" s="105" t="s">
        <v>3</v>
      </c>
      <c r="K52" s="112" t="s">
        <v>4</v>
      </c>
      <c r="L52" s="112" t="s">
        <v>33</v>
      </c>
      <c r="M52" s="112" t="s">
        <v>34</v>
      </c>
      <c r="N52" s="113">
        <v>94</v>
      </c>
      <c r="O52" s="31" t="s">
        <v>78</v>
      </c>
      <c r="P52" s="31" t="s">
        <v>1407</v>
      </c>
      <c r="Q52" s="31" t="s">
        <v>114</v>
      </c>
      <c r="R52" s="31" t="s">
        <v>347</v>
      </c>
      <c r="S52" s="103">
        <v>25569.5625</v>
      </c>
      <c r="T52" s="103">
        <v>25569.922916666699</v>
      </c>
      <c r="U52" s="31"/>
      <c r="V52" s="102"/>
      <c r="W52" s="101" t="s">
        <v>81</v>
      </c>
    </row>
    <row r="53" spans="2:23" s="16" customFormat="1" ht="62.45" customHeight="1" x14ac:dyDescent="0.2">
      <c r="B53" s="100">
        <v>42776</v>
      </c>
      <c r="C53" s="97">
        <v>25569.416666666701</v>
      </c>
      <c r="D53" s="99" t="s">
        <v>348</v>
      </c>
      <c r="E53" s="24" t="s">
        <v>349</v>
      </c>
      <c r="F53" s="24" t="s">
        <v>350</v>
      </c>
      <c r="G53" s="98">
        <v>56</v>
      </c>
      <c r="H53" s="99" t="s">
        <v>351</v>
      </c>
      <c r="I53" s="99" t="s">
        <v>1405</v>
      </c>
      <c r="J53" s="99" t="s">
        <v>3</v>
      </c>
      <c r="K53" s="112" t="s">
        <v>4</v>
      </c>
      <c r="L53" s="112" t="s">
        <v>34</v>
      </c>
      <c r="M53" s="112" t="s">
        <v>34</v>
      </c>
      <c r="N53" s="113"/>
      <c r="O53" s="24" t="s">
        <v>60</v>
      </c>
      <c r="P53" s="24" t="s">
        <v>173</v>
      </c>
      <c r="Q53" s="24" t="s">
        <v>62</v>
      </c>
      <c r="R53" s="24" t="s">
        <v>352</v>
      </c>
      <c r="S53" s="97">
        <v>25569.263888888901</v>
      </c>
      <c r="T53" s="97">
        <v>25569.592361111099</v>
      </c>
      <c r="U53" s="24"/>
      <c r="V53" s="96"/>
      <c r="W53" s="95" t="s">
        <v>73</v>
      </c>
    </row>
    <row r="54" spans="2:23" s="16" customFormat="1" ht="51.75" customHeight="1" x14ac:dyDescent="0.2">
      <c r="B54" s="106">
        <v>42776</v>
      </c>
      <c r="C54" s="103">
        <v>25569.46875</v>
      </c>
      <c r="D54" s="105" t="s">
        <v>353</v>
      </c>
      <c r="E54" s="31" t="s">
        <v>354</v>
      </c>
      <c r="F54" s="31" t="s">
        <v>57</v>
      </c>
      <c r="G54" s="104">
        <v>45</v>
      </c>
      <c r="H54" s="105" t="s">
        <v>355</v>
      </c>
      <c r="I54" s="105" t="s">
        <v>1405</v>
      </c>
      <c r="J54" s="105" t="s">
        <v>3</v>
      </c>
      <c r="K54" s="112" t="s">
        <v>4</v>
      </c>
      <c r="L54" s="112" t="s">
        <v>33</v>
      </c>
      <c r="M54" s="112" t="s">
        <v>34</v>
      </c>
      <c r="N54" s="113">
        <v>10</v>
      </c>
      <c r="O54" s="31" t="s">
        <v>87</v>
      </c>
      <c r="P54" s="31" t="s">
        <v>121</v>
      </c>
      <c r="Q54" s="31" t="s">
        <v>158</v>
      </c>
      <c r="R54" s="31" t="s">
        <v>356</v>
      </c>
      <c r="S54" s="103">
        <v>25569.263888888901</v>
      </c>
      <c r="T54" s="103">
        <v>25569.592361111099</v>
      </c>
      <c r="U54" s="31"/>
      <c r="V54" s="102"/>
      <c r="W54" s="101" t="s">
        <v>81</v>
      </c>
    </row>
    <row r="55" spans="2:23" s="16" customFormat="1" ht="51.75" customHeight="1" x14ac:dyDescent="0.2">
      <c r="B55" s="100">
        <v>42779</v>
      </c>
      <c r="C55" s="97">
        <v>25569.465277777799</v>
      </c>
      <c r="D55" s="99" t="s">
        <v>357</v>
      </c>
      <c r="E55" s="24" t="s">
        <v>358</v>
      </c>
      <c r="F55" s="24" t="s">
        <v>359</v>
      </c>
      <c r="G55" s="98">
        <v>54</v>
      </c>
      <c r="H55" s="99" t="s">
        <v>360</v>
      </c>
      <c r="I55" s="99" t="s">
        <v>1421</v>
      </c>
      <c r="J55" s="99" t="s">
        <v>3</v>
      </c>
      <c r="K55" s="112" t="s">
        <v>4</v>
      </c>
      <c r="L55" s="112" t="s">
        <v>34</v>
      </c>
      <c r="M55" s="112" t="s">
        <v>33</v>
      </c>
      <c r="N55" s="113"/>
      <c r="O55" s="24" t="s">
        <v>78</v>
      </c>
      <c r="P55" s="24" t="s">
        <v>180</v>
      </c>
      <c r="Q55" s="24" t="s">
        <v>122</v>
      </c>
      <c r="R55" s="24" t="s">
        <v>361</v>
      </c>
      <c r="S55" s="97">
        <v>25569.25</v>
      </c>
      <c r="T55" s="97">
        <v>25569.598611111101</v>
      </c>
      <c r="U55" s="24"/>
      <c r="V55" s="96"/>
      <c r="W55" s="95"/>
    </row>
    <row r="56" spans="2:23" s="16" customFormat="1" ht="41.1" customHeight="1" x14ac:dyDescent="0.2">
      <c r="B56" s="106">
        <v>42780</v>
      </c>
      <c r="C56" s="103">
        <v>25569.875</v>
      </c>
      <c r="D56" s="105" t="s">
        <v>362</v>
      </c>
      <c r="E56" s="31" t="s">
        <v>363</v>
      </c>
      <c r="F56" s="31" t="s">
        <v>364</v>
      </c>
      <c r="G56" s="104">
        <v>33</v>
      </c>
      <c r="H56" s="105" t="s">
        <v>365</v>
      </c>
      <c r="I56" s="105" t="s">
        <v>1405</v>
      </c>
      <c r="J56" s="105" t="s">
        <v>3</v>
      </c>
      <c r="K56" s="112" t="s">
        <v>4</v>
      </c>
      <c r="L56" s="112" t="s">
        <v>34</v>
      </c>
      <c r="M56" s="112" t="s">
        <v>34</v>
      </c>
      <c r="N56" s="113"/>
      <c r="O56" s="31" t="s">
        <v>78</v>
      </c>
      <c r="P56" s="31" t="s">
        <v>206</v>
      </c>
      <c r="Q56" s="31" t="s">
        <v>158</v>
      </c>
      <c r="R56" s="31" t="s">
        <v>366</v>
      </c>
      <c r="S56" s="103">
        <v>25569.659722222201</v>
      </c>
      <c r="T56" s="103">
        <v>25569.020833333299</v>
      </c>
      <c r="U56" s="31"/>
      <c r="V56" s="102"/>
      <c r="W56" s="101"/>
    </row>
    <row r="57" spans="2:23" s="16" customFormat="1" ht="62.45" customHeight="1" x14ac:dyDescent="0.2">
      <c r="B57" s="100">
        <v>42784</v>
      </c>
      <c r="C57" s="97">
        <v>25569.666666666701</v>
      </c>
      <c r="D57" s="99" t="s">
        <v>367</v>
      </c>
      <c r="E57" s="24" t="s">
        <v>368</v>
      </c>
      <c r="F57" s="24" t="s">
        <v>369</v>
      </c>
      <c r="G57" s="98">
        <v>26</v>
      </c>
      <c r="H57" s="99" t="s">
        <v>370</v>
      </c>
      <c r="I57" s="99" t="s">
        <v>1403</v>
      </c>
      <c r="J57" s="99" t="s">
        <v>3</v>
      </c>
      <c r="K57" s="112" t="s">
        <v>4</v>
      </c>
      <c r="L57" s="112" t="s">
        <v>34</v>
      </c>
      <c r="M57" s="112" t="s">
        <v>34</v>
      </c>
      <c r="N57" s="113"/>
      <c r="O57" s="24" t="s">
        <v>60</v>
      </c>
      <c r="P57" s="24" t="s">
        <v>121</v>
      </c>
      <c r="Q57" s="24" t="s">
        <v>122</v>
      </c>
      <c r="R57" s="24" t="s">
        <v>371</v>
      </c>
      <c r="S57" s="97">
        <v>25569.590277777799</v>
      </c>
      <c r="T57" s="97">
        <v>25569.940972222201</v>
      </c>
      <c r="U57" s="24"/>
      <c r="V57" s="96"/>
      <c r="W57" s="95"/>
    </row>
    <row r="58" spans="2:23" s="16" customFormat="1" ht="51.75" customHeight="1" x14ac:dyDescent="0.2">
      <c r="B58" s="106">
        <v>42786</v>
      </c>
      <c r="C58" s="103">
        <v>25569.395833333299</v>
      </c>
      <c r="D58" s="105" t="s">
        <v>372</v>
      </c>
      <c r="E58" s="31" t="s">
        <v>373</v>
      </c>
      <c r="F58" s="31" t="s">
        <v>374</v>
      </c>
      <c r="G58" s="104">
        <v>55</v>
      </c>
      <c r="H58" s="105" t="s">
        <v>375</v>
      </c>
      <c r="I58" s="105" t="s">
        <v>1416</v>
      </c>
      <c r="J58" s="105" t="s">
        <v>3</v>
      </c>
      <c r="K58" s="112" t="s">
        <v>4</v>
      </c>
      <c r="L58" s="112" t="s">
        <v>34</v>
      </c>
      <c r="M58" s="112" t="s">
        <v>34</v>
      </c>
      <c r="N58" s="113"/>
      <c r="O58" s="31" t="s">
        <v>78</v>
      </c>
      <c r="P58" s="31" t="s">
        <v>61</v>
      </c>
      <c r="Q58" s="31" t="s">
        <v>79</v>
      </c>
      <c r="R58" s="31" t="s">
        <v>376</v>
      </c>
      <c r="S58" s="103">
        <v>25569.25</v>
      </c>
      <c r="T58" s="103">
        <v>25569.596527777801</v>
      </c>
      <c r="U58" s="31"/>
      <c r="V58" s="102"/>
      <c r="W58" s="101" t="s">
        <v>81</v>
      </c>
    </row>
    <row r="59" spans="2:23" s="16" customFormat="1" ht="62.45" customHeight="1" x14ac:dyDescent="0.2">
      <c r="B59" s="100">
        <v>42788</v>
      </c>
      <c r="C59" s="97">
        <v>25569.416666666701</v>
      </c>
      <c r="D59" s="99" t="s">
        <v>377</v>
      </c>
      <c r="E59" s="24" t="s">
        <v>378</v>
      </c>
      <c r="F59" s="24" t="s">
        <v>162</v>
      </c>
      <c r="G59" s="98">
        <v>45</v>
      </c>
      <c r="H59" s="99" t="s">
        <v>379</v>
      </c>
      <c r="I59" s="99" t="s">
        <v>1403</v>
      </c>
      <c r="J59" s="99" t="s">
        <v>3</v>
      </c>
      <c r="K59" s="112" t="s">
        <v>4</v>
      </c>
      <c r="L59" s="112" t="s">
        <v>34</v>
      </c>
      <c r="M59" s="112" t="s">
        <v>34</v>
      </c>
      <c r="N59" s="113"/>
      <c r="O59" s="24" t="s">
        <v>78</v>
      </c>
      <c r="P59" s="24" t="s">
        <v>7</v>
      </c>
      <c r="Q59" s="24" t="s">
        <v>158</v>
      </c>
      <c r="R59" s="24" t="s">
        <v>380</v>
      </c>
      <c r="S59" s="97">
        <v>25569.253472222201</v>
      </c>
      <c r="T59" s="97">
        <v>25569.604166666701</v>
      </c>
      <c r="U59" s="24"/>
      <c r="V59" s="96"/>
      <c r="W59" s="95" t="s">
        <v>81</v>
      </c>
    </row>
    <row r="60" spans="2:23" s="16" customFormat="1" ht="73.150000000000006" customHeight="1" x14ac:dyDescent="0.2">
      <c r="B60" s="106">
        <v>42789</v>
      </c>
      <c r="C60" s="103">
        <v>25569.000694444399</v>
      </c>
      <c r="D60" s="105" t="s">
        <v>1457</v>
      </c>
      <c r="E60" s="31" t="s">
        <v>381</v>
      </c>
      <c r="F60" s="31" t="s">
        <v>382</v>
      </c>
      <c r="G60" s="104">
        <v>39</v>
      </c>
      <c r="H60" s="105" t="s">
        <v>1458</v>
      </c>
      <c r="I60" s="105" t="s">
        <v>1410</v>
      </c>
      <c r="J60" s="105" t="s">
        <v>3</v>
      </c>
      <c r="K60" s="112" t="s">
        <v>4</v>
      </c>
      <c r="L60" s="112" t="s">
        <v>34</v>
      </c>
      <c r="M60" s="112" t="s">
        <v>34</v>
      </c>
      <c r="N60" s="113"/>
      <c r="O60" s="31" t="s">
        <v>60</v>
      </c>
      <c r="P60" s="31" t="s">
        <v>5</v>
      </c>
      <c r="Q60" s="31" t="s">
        <v>122</v>
      </c>
      <c r="R60" s="34" t="s">
        <v>383</v>
      </c>
      <c r="S60" s="103">
        <v>25569.916666666701</v>
      </c>
      <c r="T60" s="103">
        <v>25569.25</v>
      </c>
      <c r="U60" s="31" t="s">
        <v>384</v>
      </c>
      <c r="V60" s="102">
        <v>43035</v>
      </c>
      <c r="W60" s="101"/>
    </row>
    <row r="61" spans="2:23" s="16" customFormat="1" ht="62.45" customHeight="1" x14ac:dyDescent="0.2">
      <c r="B61" s="100">
        <v>42789</v>
      </c>
      <c r="C61" s="97">
        <v>25569.461805555598</v>
      </c>
      <c r="D61" s="99" t="s">
        <v>385</v>
      </c>
      <c r="E61" s="24" t="s">
        <v>386</v>
      </c>
      <c r="F61" s="24" t="s">
        <v>387</v>
      </c>
      <c r="G61" s="98">
        <v>50</v>
      </c>
      <c r="H61" s="99" t="s">
        <v>388</v>
      </c>
      <c r="I61" s="99" t="s">
        <v>1408</v>
      </c>
      <c r="J61" s="99" t="s">
        <v>3</v>
      </c>
      <c r="K61" s="112" t="s">
        <v>1404</v>
      </c>
      <c r="L61" s="112" t="s">
        <v>33</v>
      </c>
      <c r="M61" s="112" t="s">
        <v>34</v>
      </c>
      <c r="N61" s="113">
        <v>78</v>
      </c>
      <c r="O61" s="24" t="s">
        <v>69</v>
      </c>
      <c r="P61" s="24" t="s">
        <v>88</v>
      </c>
      <c r="Q61" s="24" t="s">
        <v>8</v>
      </c>
      <c r="R61" s="24" t="s">
        <v>389</v>
      </c>
      <c r="S61" s="97">
        <v>25569.222222222201</v>
      </c>
      <c r="T61" s="97">
        <v>25569.583333333299</v>
      </c>
      <c r="U61" s="24"/>
      <c r="V61" s="96"/>
      <c r="W61" s="95" t="s">
        <v>81</v>
      </c>
    </row>
    <row r="62" spans="2:23" s="16" customFormat="1" ht="51.75" customHeight="1" x14ac:dyDescent="0.2">
      <c r="B62" s="106">
        <v>42789</v>
      </c>
      <c r="C62" s="103">
        <v>25569.743055555598</v>
      </c>
      <c r="D62" s="105" t="s">
        <v>390</v>
      </c>
      <c r="E62" s="31" t="s">
        <v>391</v>
      </c>
      <c r="F62" s="31" t="s">
        <v>392</v>
      </c>
      <c r="G62" s="104">
        <v>54</v>
      </c>
      <c r="H62" s="105" t="s">
        <v>393</v>
      </c>
      <c r="I62" s="105" t="s">
        <v>1411</v>
      </c>
      <c r="J62" s="105" t="s">
        <v>3</v>
      </c>
      <c r="K62" s="112" t="s">
        <v>4</v>
      </c>
      <c r="L62" s="112" t="s">
        <v>33</v>
      </c>
      <c r="M62" s="112" t="s">
        <v>34</v>
      </c>
      <c r="N62" s="113">
        <v>82</v>
      </c>
      <c r="O62" s="31" t="s">
        <v>78</v>
      </c>
      <c r="P62" s="31" t="s">
        <v>121</v>
      </c>
      <c r="Q62" s="31" t="s">
        <v>158</v>
      </c>
      <c r="R62" s="31" t="s">
        <v>394</v>
      </c>
      <c r="S62" s="103">
        <v>25569.583333333299</v>
      </c>
      <c r="T62" s="103">
        <v>25569.947916666701</v>
      </c>
      <c r="U62" s="31"/>
      <c r="V62" s="102"/>
      <c r="W62" s="101"/>
    </row>
    <row r="63" spans="2:23" s="16" customFormat="1" ht="41.1" customHeight="1" x14ac:dyDescent="0.2">
      <c r="B63" s="100">
        <v>42790</v>
      </c>
      <c r="C63" s="97">
        <v>25569.671527777798</v>
      </c>
      <c r="D63" s="99" t="s">
        <v>395</v>
      </c>
      <c r="E63" s="24" t="s">
        <v>396</v>
      </c>
      <c r="F63" s="24" t="s">
        <v>397</v>
      </c>
      <c r="G63" s="98">
        <v>24</v>
      </c>
      <c r="H63" s="99" t="s">
        <v>398</v>
      </c>
      <c r="I63" s="99" t="s">
        <v>1427</v>
      </c>
      <c r="J63" s="99" t="s">
        <v>3</v>
      </c>
      <c r="K63" s="112" t="s">
        <v>4</v>
      </c>
      <c r="L63" s="112" t="s">
        <v>34</v>
      </c>
      <c r="M63" s="112" t="s">
        <v>34</v>
      </c>
      <c r="N63" s="113"/>
      <c r="O63" s="24" t="s">
        <v>69</v>
      </c>
      <c r="P63" s="24" t="s">
        <v>88</v>
      </c>
      <c r="Q63" s="24" t="s">
        <v>8</v>
      </c>
      <c r="R63" s="24" t="s">
        <v>400</v>
      </c>
      <c r="S63" s="97">
        <v>25569.333333333299</v>
      </c>
      <c r="T63" s="97">
        <v>25569.6944444445</v>
      </c>
      <c r="U63" s="24"/>
      <c r="V63" s="96"/>
      <c r="W63" s="95" t="s">
        <v>73</v>
      </c>
    </row>
    <row r="64" spans="2:23" s="16" customFormat="1" ht="73.150000000000006" customHeight="1" x14ac:dyDescent="0.2">
      <c r="B64" s="106">
        <v>42791</v>
      </c>
      <c r="C64" s="103">
        <v>25569.041666666701</v>
      </c>
      <c r="D64" s="105" t="s">
        <v>401</v>
      </c>
      <c r="E64" s="31" t="s">
        <v>402</v>
      </c>
      <c r="F64" s="31" t="s">
        <v>403</v>
      </c>
      <c r="G64" s="104">
        <v>32</v>
      </c>
      <c r="H64" s="105" t="s">
        <v>404</v>
      </c>
      <c r="I64" s="105" t="s">
        <v>1403</v>
      </c>
      <c r="J64" s="105" t="s">
        <v>3</v>
      </c>
      <c r="K64" s="112" t="s">
        <v>4</v>
      </c>
      <c r="L64" s="112" t="s">
        <v>34</v>
      </c>
      <c r="M64" s="112" t="s">
        <v>34</v>
      </c>
      <c r="N64" s="113"/>
      <c r="O64" s="31" t="s">
        <v>405</v>
      </c>
      <c r="P64" s="31" t="s">
        <v>173</v>
      </c>
      <c r="Q64" s="31" t="s">
        <v>158</v>
      </c>
      <c r="R64" s="34" t="s">
        <v>406</v>
      </c>
      <c r="S64" s="103">
        <v>25569.916666666701</v>
      </c>
      <c r="T64" s="103">
        <v>25569.260416666701</v>
      </c>
      <c r="U64" s="31"/>
      <c r="V64" s="102"/>
      <c r="W64" s="101"/>
    </row>
    <row r="65" spans="2:23" s="16" customFormat="1" ht="62.45" customHeight="1" x14ac:dyDescent="0.2">
      <c r="B65" s="100">
        <v>42791</v>
      </c>
      <c r="C65" s="97">
        <v>25569.239583333299</v>
      </c>
      <c r="D65" s="99" t="s">
        <v>1459</v>
      </c>
      <c r="E65" s="24" t="s">
        <v>407</v>
      </c>
      <c r="F65" s="24" t="s">
        <v>408</v>
      </c>
      <c r="G65" s="98">
        <v>35</v>
      </c>
      <c r="H65" s="99" t="s">
        <v>1460</v>
      </c>
      <c r="I65" s="99" t="s">
        <v>1410</v>
      </c>
      <c r="J65" s="99" t="s">
        <v>3</v>
      </c>
      <c r="K65" s="112" t="s">
        <v>1404</v>
      </c>
      <c r="L65" s="112" t="s">
        <v>33</v>
      </c>
      <c r="M65" s="112" t="s">
        <v>34</v>
      </c>
      <c r="N65" s="113">
        <v>37</v>
      </c>
      <c r="O65" s="24" t="s">
        <v>87</v>
      </c>
      <c r="P65" s="24" t="s">
        <v>70</v>
      </c>
      <c r="Q65" s="24" t="s">
        <v>114</v>
      </c>
      <c r="R65" s="24" t="s">
        <v>409</v>
      </c>
      <c r="S65" s="97">
        <v>25569.25</v>
      </c>
      <c r="T65" s="97">
        <v>25569.590277777799</v>
      </c>
      <c r="U65" s="24"/>
      <c r="V65" s="96"/>
      <c r="W65" s="95" t="s">
        <v>81</v>
      </c>
    </row>
    <row r="66" spans="2:23" s="16" customFormat="1" ht="41.1" customHeight="1" x14ac:dyDescent="0.2">
      <c r="B66" s="106">
        <v>42793</v>
      </c>
      <c r="C66" s="103">
        <v>25569.5625</v>
      </c>
      <c r="D66" s="105" t="s">
        <v>410</v>
      </c>
      <c r="E66" s="31" t="s">
        <v>411</v>
      </c>
      <c r="F66" s="31" t="s">
        <v>265</v>
      </c>
      <c r="G66" s="104">
        <v>37</v>
      </c>
      <c r="H66" s="105" t="s">
        <v>412</v>
      </c>
      <c r="I66" s="105" t="s">
        <v>1421</v>
      </c>
      <c r="J66" s="105" t="s">
        <v>3</v>
      </c>
      <c r="K66" s="112" t="s">
        <v>4</v>
      </c>
      <c r="L66" s="112" t="s">
        <v>34</v>
      </c>
      <c r="M66" s="112" t="s">
        <v>34</v>
      </c>
      <c r="N66" s="113"/>
      <c r="O66" s="31" t="s">
        <v>78</v>
      </c>
      <c r="P66" s="31" t="s">
        <v>173</v>
      </c>
      <c r="Q66" s="31" t="s">
        <v>158</v>
      </c>
      <c r="R66" s="31" t="s">
        <v>413</v>
      </c>
      <c r="S66" s="103">
        <v>25569.270833333299</v>
      </c>
      <c r="T66" s="103">
        <v>25569.597222222201</v>
      </c>
      <c r="U66" s="31"/>
      <c r="V66" s="102"/>
      <c r="W66" s="101" t="s">
        <v>73</v>
      </c>
    </row>
    <row r="67" spans="2:23" s="16" customFormat="1" ht="30.4" customHeight="1" x14ac:dyDescent="0.2">
      <c r="B67" s="100">
        <v>42793</v>
      </c>
      <c r="C67" s="97">
        <v>25569.916666666701</v>
      </c>
      <c r="D67" s="99" t="s">
        <v>414</v>
      </c>
      <c r="E67" s="24" t="s">
        <v>415</v>
      </c>
      <c r="F67" s="24" t="s">
        <v>416</v>
      </c>
      <c r="G67" s="98">
        <v>17</v>
      </c>
      <c r="H67" s="99" t="s">
        <v>417</v>
      </c>
      <c r="I67" s="99" t="s">
        <v>1406</v>
      </c>
      <c r="J67" s="99" t="s">
        <v>3</v>
      </c>
      <c r="K67" s="112" t="s">
        <v>4</v>
      </c>
      <c r="L67" s="112" t="s">
        <v>34</v>
      </c>
      <c r="M67" s="112" t="s">
        <v>34</v>
      </c>
      <c r="N67" s="113"/>
      <c r="O67" s="24" t="s">
        <v>60</v>
      </c>
      <c r="P67" s="24" t="s">
        <v>6</v>
      </c>
      <c r="Q67" s="24" t="s">
        <v>79</v>
      </c>
      <c r="R67" s="24" t="s">
        <v>418</v>
      </c>
      <c r="S67" s="97">
        <v>25569.375</v>
      </c>
      <c r="T67" s="97">
        <v>25569.729166666701</v>
      </c>
      <c r="U67" s="24"/>
      <c r="V67" s="96"/>
      <c r="W67" s="95" t="s">
        <v>73</v>
      </c>
    </row>
    <row r="68" spans="2:23" s="16" customFormat="1" ht="30.4" customHeight="1" x14ac:dyDescent="0.2">
      <c r="B68" s="106">
        <v>42796</v>
      </c>
      <c r="C68" s="103">
        <v>25569.458333333299</v>
      </c>
      <c r="D68" s="105" t="s">
        <v>419</v>
      </c>
      <c r="E68" s="31" t="s">
        <v>420</v>
      </c>
      <c r="F68" s="31" t="s">
        <v>247</v>
      </c>
      <c r="G68" s="104">
        <v>48</v>
      </c>
      <c r="H68" s="105" t="s">
        <v>421</v>
      </c>
      <c r="I68" s="105" t="s">
        <v>1428</v>
      </c>
      <c r="J68" s="105" t="s">
        <v>3</v>
      </c>
      <c r="K68" s="112" t="s">
        <v>4</v>
      </c>
      <c r="L68" s="112" t="s">
        <v>34</v>
      </c>
      <c r="M68" s="112" t="s">
        <v>34</v>
      </c>
      <c r="N68" s="113"/>
      <c r="O68" s="31" t="s">
        <v>60</v>
      </c>
      <c r="P68" s="31" t="s">
        <v>423</v>
      </c>
      <c r="Q68" s="31" t="s">
        <v>1407</v>
      </c>
      <c r="R68" s="31" t="s">
        <v>424</v>
      </c>
      <c r="S68" s="103">
        <v>25569.333333333299</v>
      </c>
      <c r="T68" s="103">
        <v>25569.666666666701</v>
      </c>
      <c r="U68" s="31" t="s">
        <v>425</v>
      </c>
      <c r="V68" s="102"/>
      <c r="W68" s="101" t="s">
        <v>73</v>
      </c>
    </row>
    <row r="69" spans="2:23" s="16" customFormat="1" ht="41.1" customHeight="1" x14ac:dyDescent="0.2">
      <c r="B69" s="100">
        <v>42797</v>
      </c>
      <c r="C69" s="97">
        <v>25569.229166666701</v>
      </c>
      <c r="D69" s="99" t="s">
        <v>426</v>
      </c>
      <c r="E69" s="24" t="s">
        <v>427</v>
      </c>
      <c r="F69" s="24" t="s">
        <v>131</v>
      </c>
      <c r="G69" s="98">
        <v>41</v>
      </c>
      <c r="H69" s="99" t="s">
        <v>428</v>
      </c>
      <c r="I69" s="99" t="s">
        <v>1413</v>
      </c>
      <c r="J69" s="99" t="s">
        <v>3</v>
      </c>
      <c r="K69" s="112" t="s">
        <v>4</v>
      </c>
      <c r="L69" s="112" t="s">
        <v>34</v>
      </c>
      <c r="M69" s="112" t="s">
        <v>34</v>
      </c>
      <c r="N69" s="113"/>
      <c r="O69" s="24" t="s">
        <v>60</v>
      </c>
      <c r="P69" s="24" t="s">
        <v>429</v>
      </c>
      <c r="Q69" s="24" t="s">
        <v>1407</v>
      </c>
      <c r="R69" s="24" t="s">
        <v>430</v>
      </c>
      <c r="S69" s="97">
        <v>25569.902083333302</v>
      </c>
      <c r="T69" s="97">
        <v>25569.253472222201</v>
      </c>
      <c r="U69" s="24" t="s">
        <v>431</v>
      </c>
      <c r="V69" s="96"/>
      <c r="W69" s="95" t="s">
        <v>73</v>
      </c>
    </row>
    <row r="70" spans="2:23" s="16" customFormat="1" ht="51.75" customHeight="1" x14ac:dyDescent="0.2">
      <c r="B70" s="106">
        <v>42797</v>
      </c>
      <c r="C70" s="103">
        <v>25569.486111111099</v>
      </c>
      <c r="D70" s="105" t="s">
        <v>432</v>
      </c>
      <c r="E70" s="31" t="s">
        <v>433</v>
      </c>
      <c r="F70" s="31" t="s">
        <v>359</v>
      </c>
      <c r="G70" s="104">
        <v>59</v>
      </c>
      <c r="H70" s="105" t="s">
        <v>434</v>
      </c>
      <c r="I70" s="105" t="s">
        <v>1417</v>
      </c>
      <c r="J70" s="105" t="s">
        <v>3</v>
      </c>
      <c r="K70" s="112" t="s">
        <v>1404</v>
      </c>
      <c r="L70" s="112" t="s">
        <v>33</v>
      </c>
      <c r="M70" s="112" t="s">
        <v>34</v>
      </c>
      <c r="N70" s="113">
        <v>155</v>
      </c>
      <c r="O70" s="31" t="s">
        <v>133</v>
      </c>
      <c r="P70" s="31" t="s">
        <v>1407</v>
      </c>
      <c r="Q70" s="31" t="s">
        <v>8</v>
      </c>
      <c r="R70" s="31" t="s">
        <v>435</v>
      </c>
      <c r="S70" s="103">
        <v>25569.270833333299</v>
      </c>
      <c r="T70" s="103">
        <v>25569.625</v>
      </c>
      <c r="U70" s="31"/>
      <c r="V70" s="102"/>
      <c r="W70" s="101" t="s">
        <v>81</v>
      </c>
    </row>
    <row r="71" spans="2:23" s="16" customFormat="1" ht="51.75" customHeight="1" x14ac:dyDescent="0.2">
      <c r="B71" s="100">
        <v>42797</v>
      </c>
      <c r="C71" s="97">
        <v>25569.645833333299</v>
      </c>
      <c r="D71" s="99" t="s">
        <v>436</v>
      </c>
      <c r="E71" s="24" t="s">
        <v>437</v>
      </c>
      <c r="F71" s="24" t="s">
        <v>397</v>
      </c>
      <c r="G71" s="98">
        <v>25</v>
      </c>
      <c r="H71" s="99" t="s">
        <v>438</v>
      </c>
      <c r="I71" s="99" t="s">
        <v>1417</v>
      </c>
      <c r="J71" s="99" t="s">
        <v>3</v>
      </c>
      <c r="K71" s="112" t="s">
        <v>4</v>
      </c>
      <c r="L71" s="112" t="s">
        <v>33</v>
      </c>
      <c r="M71" s="112" t="s">
        <v>34</v>
      </c>
      <c r="N71" s="113">
        <v>21</v>
      </c>
      <c r="O71" s="24" t="s">
        <v>60</v>
      </c>
      <c r="P71" s="24" t="s">
        <v>61</v>
      </c>
      <c r="Q71" s="24" t="s">
        <v>71</v>
      </c>
      <c r="R71" s="24" t="s">
        <v>439</v>
      </c>
      <c r="S71" s="97">
        <v>25569.583333333299</v>
      </c>
      <c r="T71" s="97">
        <v>25569.934027777799</v>
      </c>
      <c r="U71" s="24"/>
      <c r="V71" s="96"/>
      <c r="W71" s="95" t="s">
        <v>81</v>
      </c>
    </row>
    <row r="72" spans="2:23" s="16" customFormat="1" ht="41.1" customHeight="1" x14ac:dyDescent="0.2">
      <c r="B72" s="106">
        <v>42802</v>
      </c>
      <c r="C72" s="103">
        <v>25569.215277777799</v>
      </c>
      <c r="D72" s="105" t="s">
        <v>440</v>
      </c>
      <c r="E72" s="31" t="s">
        <v>441</v>
      </c>
      <c r="F72" s="31" t="s">
        <v>442</v>
      </c>
      <c r="G72" s="104">
        <v>42</v>
      </c>
      <c r="H72" s="105" t="s">
        <v>443</v>
      </c>
      <c r="I72" s="105" t="s">
        <v>1413</v>
      </c>
      <c r="J72" s="105" t="s">
        <v>3</v>
      </c>
      <c r="K72" s="112" t="s">
        <v>4</v>
      </c>
      <c r="L72" s="112" t="s">
        <v>34</v>
      </c>
      <c r="M72" s="112" t="s">
        <v>34</v>
      </c>
      <c r="N72" s="113"/>
      <c r="O72" s="31" t="s">
        <v>78</v>
      </c>
      <c r="P72" s="31" t="s">
        <v>173</v>
      </c>
      <c r="Q72" s="31" t="s">
        <v>158</v>
      </c>
      <c r="R72" s="31" t="s">
        <v>444</v>
      </c>
      <c r="S72" s="103">
        <v>25569.902777777799</v>
      </c>
      <c r="T72" s="103">
        <v>25569.253472222201</v>
      </c>
      <c r="U72" s="31"/>
      <c r="V72" s="102"/>
      <c r="W72" s="101" t="s">
        <v>81</v>
      </c>
    </row>
    <row r="73" spans="2:23" s="16" customFormat="1" ht="51.75" customHeight="1" x14ac:dyDescent="0.2">
      <c r="B73" s="100">
        <v>42802</v>
      </c>
      <c r="C73" s="97">
        <v>25569.40625</v>
      </c>
      <c r="D73" s="99" t="s">
        <v>445</v>
      </c>
      <c r="E73" s="24" t="s">
        <v>446</v>
      </c>
      <c r="F73" s="24" t="s">
        <v>447</v>
      </c>
      <c r="G73" s="98">
        <v>30</v>
      </c>
      <c r="H73" s="99" t="s">
        <v>448</v>
      </c>
      <c r="I73" s="99" t="s">
        <v>1423</v>
      </c>
      <c r="J73" s="99" t="s">
        <v>3</v>
      </c>
      <c r="K73" s="112" t="s">
        <v>4</v>
      </c>
      <c r="L73" s="112" t="s">
        <v>34</v>
      </c>
      <c r="M73" s="112" t="s">
        <v>34</v>
      </c>
      <c r="N73" s="113"/>
      <c r="O73" s="24" t="s">
        <v>78</v>
      </c>
      <c r="P73" s="24" t="s">
        <v>61</v>
      </c>
      <c r="Q73" s="24" t="s">
        <v>158</v>
      </c>
      <c r="R73" s="24" t="s">
        <v>449</v>
      </c>
      <c r="S73" s="97">
        <v>25569.2791666667</v>
      </c>
      <c r="T73" s="97">
        <v>25569.611111111099</v>
      </c>
      <c r="U73" s="24"/>
      <c r="V73" s="96"/>
      <c r="W73" s="95" t="s">
        <v>73</v>
      </c>
    </row>
    <row r="74" spans="2:23" s="16" customFormat="1" ht="51.75" customHeight="1" x14ac:dyDescent="0.2">
      <c r="B74" s="106">
        <v>42804</v>
      </c>
      <c r="C74" s="103">
        <v>25569.96875</v>
      </c>
      <c r="D74" s="105" t="s">
        <v>450</v>
      </c>
      <c r="E74" s="31" t="s">
        <v>451</v>
      </c>
      <c r="F74" s="31" t="s">
        <v>452</v>
      </c>
      <c r="G74" s="104">
        <v>32</v>
      </c>
      <c r="H74" s="105" t="s">
        <v>453</v>
      </c>
      <c r="I74" s="105" t="s">
        <v>1421</v>
      </c>
      <c r="J74" s="105" t="s">
        <v>3</v>
      </c>
      <c r="K74" s="112" t="s">
        <v>4</v>
      </c>
      <c r="L74" s="112" t="s">
        <v>34</v>
      </c>
      <c r="M74" s="112" t="s">
        <v>34</v>
      </c>
      <c r="N74" s="113"/>
      <c r="O74" s="31" t="s">
        <v>78</v>
      </c>
      <c r="P74" s="31" t="s">
        <v>173</v>
      </c>
      <c r="Q74" s="31" t="s">
        <v>158</v>
      </c>
      <c r="R74" s="31" t="s">
        <v>454</v>
      </c>
      <c r="S74" s="103">
        <v>25569.916666666701</v>
      </c>
      <c r="T74" s="103">
        <v>25569.259722222199</v>
      </c>
      <c r="U74" s="31"/>
      <c r="V74" s="102"/>
      <c r="W74" s="101" t="s">
        <v>73</v>
      </c>
    </row>
    <row r="75" spans="2:23" s="16" customFormat="1" ht="62.45" customHeight="1" x14ac:dyDescent="0.2">
      <c r="B75" s="100">
        <v>42806</v>
      </c>
      <c r="C75" s="97">
        <v>25569.983333333301</v>
      </c>
      <c r="D75" s="99" t="s">
        <v>455</v>
      </c>
      <c r="E75" s="24" t="s">
        <v>456</v>
      </c>
      <c r="F75" s="24" t="s">
        <v>247</v>
      </c>
      <c r="G75" s="98">
        <v>48</v>
      </c>
      <c r="H75" s="99" t="s">
        <v>457</v>
      </c>
      <c r="I75" s="99" t="s">
        <v>1411</v>
      </c>
      <c r="J75" s="99" t="s">
        <v>3</v>
      </c>
      <c r="K75" s="112" t="s">
        <v>4</v>
      </c>
      <c r="L75" s="112" t="s">
        <v>33</v>
      </c>
      <c r="M75" s="112" t="s">
        <v>34</v>
      </c>
      <c r="N75" s="113">
        <v>54</v>
      </c>
      <c r="O75" s="24" t="s">
        <v>133</v>
      </c>
      <c r="P75" s="24" t="s">
        <v>61</v>
      </c>
      <c r="Q75" s="24" t="s">
        <v>71</v>
      </c>
      <c r="R75" s="24" t="s">
        <v>458</v>
      </c>
      <c r="S75" s="97">
        <v>25569.916666666701</v>
      </c>
      <c r="T75" s="97">
        <v>25569.25</v>
      </c>
      <c r="U75" s="24"/>
      <c r="V75" s="96"/>
      <c r="W75" s="95" t="s">
        <v>81</v>
      </c>
    </row>
    <row r="76" spans="2:23" s="16" customFormat="1" ht="62.45" customHeight="1" x14ac:dyDescent="0.2">
      <c r="B76" s="106">
        <v>42807</v>
      </c>
      <c r="C76" s="103">
        <v>25569.743055555598</v>
      </c>
      <c r="D76" s="105" t="s">
        <v>459</v>
      </c>
      <c r="E76" s="31" t="s">
        <v>460</v>
      </c>
      <c r="F76" s="31" t="s">
        <v>345</v>
      </c>
      <c r="G76" s="104">
        <v>47</v>
      </c>
      <c r="H76" s="105" t="s">
        <v>461</v>
      </c>
      <c r="I76" s="105" t="s">
        <v>1429</v>
      </c>
      <c r="J76" s="105" t="s">
        <v>3</v>
      </c>
      <c r="K76" s="112" t="s">
        <v>1404</v>
      </c>
      <c r="L76" s="112" t="s">
        <v>33</v>
      </c>
      <c r="M76" s="112" t="s">
        <v>34</v>
      </c>
      <c r="N76" s="113">
        <v>7</v>
      </c>
      <c r="O76" s="31" t="s">
        <v>87</v>
      </c>
      <c r="P76" s="31" t="s">
        <v>61</v>
      </c>
      <c r="Q76" s="31" t="s">
        <v>79</v>
      </c>
      <c r="R76" s="31" t="s">
        <v>463</v>
      </c>
      <c r="S76" s="103">
        <v>25569.354166666701</v>
      </c>
      <c r="T76" s="103">
        <v>25569.5</v>
      </c>
      <c r="U76" s="31"/>
      <c r="V76" s="102"/>
      <c r="W76" s="101" t="s">
        <v>81</v>
      </c>
    </row>
    <row r="77" spans="2:23" s="16" customFormat="1" ht="51.75" customHeight="1" x14ac:dyDescent="0.2">
      <c r="B77" s="100">
        <v>42809</v>
      </c>
      <c r="C77" s="97">
        <v>25569.479166666701</v>
      </c>
      <c r="D77" s="99" t="s">
        <v>464</v>
      </c>
      <c r="E77" s="24" t="s">
        <v>83</v>
      </c>
      <c r="F77" s="24" t="s">
        <v>84</v>
      </c>
      <c r="G77" s="98">
        <v>18</v>
      </c>
      <c r="H77" s="99" t="s">
        <v>85</v>
      </c>
      <c r="I77" s="99" t="s">
        <v>1406</v>
      </c>
      <c r="J77" s="99" t="s">
        <v>3</v>
      </c>
      <c r="K77" s="112" t="s">
        <v>4</v>
      </c>
      <c r="L77" s="112" t="s">
        <v>34</v>
      </c>
      <c r="M77" s="112" t="s">
        <v>34</v>
      </c>
      <c r="N77" s="113"/>
      <c r="O77" s="24" t="s">
        <v>78</v>
      </c>
      <c r="P77" s="24" t="s">
        <v>61</v>
      </c>
      <c r="Q77" s="24" t="s">
        <v>158</v>
      </c>
      <c r="R77" s="24" t="s">
        <v>465</v>
      </c>
      <c r="S77" s="97">
        <v>25569.3125</v>
      </c>
      <c r="T77" s="97">
        <v>25569.639583333301</v>
      </c>
      <c r="U77" s="24"/>
      <c r="V77" s="96"/>
      <c r="W77" s="95" t="s">
        <v>73</v>
      </c>
    </row>
    <row r="78" spans="2:23" s="16" customFormat="1" ht="41.1" customHeight="1" x14ac:dyDescent="0.2">
      <c r="B78" s="106">
        <v>42810</v>
      </c>
      <c r="C78" s="103">
        <v>25569.666666666701</v>
      </c>
      <c r="D78" s="105" t="s">
        <v>466</v>
      </c>
      <c r="E78" s="31" t="s">
        <v>467</v>
      </c>
      <c r="F78" s="31" t="s">
        <v>76</v>
      </c>
      <c r="G78" s="104">
        <v>57</v>
      </c>
      <c r="H78" s="105" t="s">
        <v>468</v>
      </c>
      <c r="I78" s="105" t="s">
        <v>1413</v>
      </c>
      <c r="J78" s="105" t="s">
        <v>3</v>
      </c>
      <c r="K78" s="112" t="s">
        <v>4</v>
      </c>
      <c r="L78" s="112" t="s">
        <v>33</v>
      </c>
      <c r="M78" s="112" t="s">
        <v>34</v>
      </c>
      <c r="N78" s="113">
        <v>0</v>
      </c>
      <c r="O78" s="31" t="s">
        <v>60</v>
      </c>
      <c r="P78" s="31" t="s">
        <v>423</v>
      </c>
      <c r="Q78" s="31" t="s">
        <v>122</v>
      </c>
      <c r="R78" s="31" t="s">
        <v>469</v>
      </c>
      <c r="S78" s="103">
        <v>25569.615277777801</v>
      </c>
      <c r="T78" s="103">
        <v>25569.990277777801</v>
      </c>
      <c r="U78" s="31" t="s">
        <v>470</v>
      </c>
      <c r="V78" s="102"/>
      <c r="W78" s="101" t="s">
        <v>195</v>
      </c>
    </row>
    <row r="79" spans="2:23" s="16" customFormat="1" ht="62.45" customHeight="1" x14ac:dyDescent="0.2">
      <c r="B79" s="100">
        <v>42811</v>
      </c>
      <c r="C79" s="97">
        <v>25569.645833333299</v>
      </c>
      <c r="D79" s="99" t="s">
        <v>471</v>
      </c>
      <c r="E79" s="24" t="s">
        <v>472</v>
      </c>
      <c r="F79" s="24" t="s">
        <v>473</v>
      </c>
      <c r="G79" s="98">
        <v>45</v>
      </c>
      <c r="H79" s="99" t="s">
        <v>474</v>
      </c>
      <c r="I79" s="99" t="s">
        <v>1421</v>
      </c>
      <c r="J79" s="99" t="s">
        <v>3</v>
      </c>
      <c r="K79" s="112" t="s">
        <v>1404</v>
      </c>
      <c r="L79" s="112" t="s">
        <v>33</v>
      </c>
      <c r="M79" s="112" t="s">
        <v>34</v>
      </c>
      <c r="N79" s="113">
        <v>8</v>
      </c>
      <c r="O79" s="24" t="s">
        <v>87</v>
      </c>
      <c r="P79" s="24" t="s">
        <v>187</v>
      </c>
      <c r="Q79" s="24" t="s">
        <v>62</v>
      </c>
      <c r="R79" s="24" t="s">
        <v>475</v>
      </c>
      <c r="S79" s="97">
        <v>25569.25</v>
      </c>
      <c r="T79" s="97">
        <v>25569.598611111101</v>
      </c>
      <c r="U79" s="24"/>
      <c r="V79" s="96"/>
      <c r="W79" s="95" t="s">
        <v>81</v>
      </c>
    </row>
    <row r="80" spans="2:23" s="16" customFormat="1" ht="73.150000000000006" customHeight="1" x14ac:dyDescent="0.2">
      <c r="B80" s="106">
        <v>42812</v>
      </c>
      <c r="C80" s="103">
        <v>25569.40625</v>
      </c>
      <c r="D80" s="105" t="s">
        <v>476</v>
      </c>
      <c r="E80" s="31" t="s">
        <v>477</v>
      </c>
      <c r="F80" s="31" t="s">
        <v>247</v>
      </c>
      <c r="G80" s="104">
        <v>45</v>
      </c>
      <c r="H80" s="105" t="s">
        <v>478</v>
      </c>
      <c r="I80" s="105" t="s">
        <v>1405</v>
      </c>
      <c r="J80" s="105" t="s">
        <v>3</v>
      </c>
      <c r="K80" s="112" t="s">
        <v>4</v>
      </c>
      <c r="L80" s="112" t="s">
        <v>34</v>
      </c>
      <c r="M80" s="112" t="s">
        <v>34</v>
      </c>
      <c r="N80" s="113"/>
      <c r="O80" s="31" t="s">
        <v>144</v>
      </c>
      <c r="P80" s="31" t="s">
        <v>429</v>
      </c>
      <c r="Q80" s="31" t="s">
        <v>122</v>
      </c>
      <c r="R80" s="31" t="s">
        <v>479</v>
      </c>
      <c r="S80" s="103">
        <v>25569.28125</v>
      </c>
      <c r="T80" s="103">
        <v>25569.649305555598</v>
      </c>
      <c r="U80" s="31"/>
      <c r="V80" s="102"/>
      <c r="W80" s="101" t="s">
        <v>73</v>
      </c>
    </row>
    <row r="81" spans="2:23" s="16" customFormat="1" ht="62.45" customHeight="1" x14ac:dyDescent="0.2">
      <c r="B81" s="100">
        <v>42813</v>
      </c>
      <c r="C81" s="97">
        <v>25569.375</v>
      </c>
      <c r="D81" s="99" t="s">
        <v>480</v>
      </c>
      <c r="E81" s="24" t="s">
        <v>481</v>
      </c>
      <c r="F81" s="24" t="s">
        <v>223</v>
      </c>
      <c r="G81" s="98">
        <v>37</v>
      </c>
      <c r="H81" s="99" t="s">
        <v>482</v>
      </c>
      <c r="I81" s="99" t="s">
        <v>1405</v>
      </c>
      <c r="J81" s="99" t="s">
        <v>3</v>
      </c>
      <c r="K81" s="112" t="s">
        <v>4</v>
      </c>
      <c r="L81" s="112" t="s">
        <v>34</v>
      </c>
      <c r="M81" s="112" t="s">
        <v>34</v>
      </c>
      <c r="N81" s="113"/>
      <c r="O81" s="24" t="s">
        <v>78</v>
      </c>
      <c r="P81" s="24" t="s">
        <v>1407</v>
      </c>
      <c r="Q81" s="24" t="s">
        <v>79</v>
      </c>
      <c r="R81" s="24" t="s">
        <v>483</v>
      </c>
      <c r="S81" s="97">
        <v>25569.28125</v>
      </c>
      <c r="T81" s="97">
        <v>25569.649305555598</v>
      </c>
      <c r="U81" s="24"/>
      <c r="V81" s="96"/>
      <c r="W81" s="95" t="s">
        <v>81</v>
      </c>
    </row>
    <row r="82" spans="2:23" s="16" customFormat="1" ht="41.1" customHeight="1" x14ac:dyDescent="0.2">
      <c r="B82" s="106">
        <v>42814</v>
      </c>
      <c r="C82" s="103">
        <v>25569.333333333299</v>
      </c>
      <c r="D82" s="105" t="s">
        <v>484</v>
      </c>
      <c r="E82" s="31" t="s">
        <v>485</v>
      </c>
      <c r="F82" s="31" t="s">
        <v>486</v>
      </c>
      <c r="G82" s="104">
        <v>30</v>
      </c>
      <c r="H82" s="105" t="s">
        <v>487</v>
      </c>
      <c r="I82" s="105" t="s">
        <v>1403</v>
      </c>
      <c r="J82" s="105" t="s">
        <v>3</v>
      </c>
      <c r="K82" s="112" t="s">
        <v>4</v>
      </c>
      <c r="L82" s="112" t="s">
        <v>33</v>
      </c>
      <c r="M82" s="112" t="s">
        <v>34</v>
      </c>
      <c r="N82" s="113">
        <v>38</v>
      </c>
      <c r="O82" s="31" t="s">
        <v>78</v>
      </c>
      <c r="P82" s="31" t="s">
        <v>488</v>
      </c>
      <c r="Q82" s="31" t="s">
        <v>62</v>
      </c>
      <c r="R82" s="31" t="s">
        <v>489</v>
      </c>
      <c r="S82" s="103">
        <v>25569.253472222201</v>
      </c>
      <c r="T82" s="103">
        <v>25569.604166666701</v>
      </c>
      <c r="U82" s="31"/>
      <c r="V82" s="102"/>
      <c r="W82" s="101" t="s">
        <v>81</v>
      </c>
    </row>
    <row r="83" spans="2:23" s="16" customFormat="1" ht="51.75" customHeight="1" x14ac:dyDescent="0.2">
      <c r="B83" s="100">
        <v>42816</v>
      </c>
      <c r="C83" s="97">
        <v>25569.5625</v>
      </c>
      <c r="D83" s="99" t="s">
        <v>490</v>
      </c>
      <c r="E83" s="24" t="s">
        <v>491</v>
      </c>
      <c r="F83" s="24" t="s">
        <v>333</v>
      </c>
      <c r="G83" s="98">
        <v>53</v>
      </c>
      <c r="H83" s="99" t="s">
        <v>492</v>
      </c>
      <c r="I83" s="99" t="s">
        <v>1405</v>
      </c>
      <c r="J83" s="99" t="s">
        <v>3</v>
      </c>
      <c r="K83" s="112" t="s">
        <v>4</v>
      </c>
      <c r="L83" s="112" t="s">
        <v>34</v>
      </c>
      <c r="M83" s="112" t="s">
        <v>34</v>
      </c>
      <c r="N83" s="113"/>
      <c r="O83" s="24" t="s">
        <v>87</v>
      </c>
      <c r="P83" s="24" t="s">
        <v>493</v>
      </c>
      <c r="Q83" s="24" t="s">
        <v>8</v>
      </c>
      <c r="R83" s="24" t="s">
        <v>494</v>
      </c>
      <c r="S83" s="97">
        <v>25569.28125</v>
      </c>
      <c r="T83" s="97">
        <v>25569.6472222222</v>
      </c>
      <c r="U83" s="24"/>
      <c r="V83" s="96"/>
      <c r="W83" s="95" t="s">
        <v>73</v>
      </c>
    </row>
    <row r="84" spans="2:23" s="16" customFormat="1" ht="51.75" customHeight="1" x14ac:dyDescent="0.2">
      <c r="B84" s="106">
        <v>42819</v>
      </c>
      <c r="C84" s="103">
        <v>25569.559027777799</v>
      </c>
      <c r="D84" s="105" t="s">
        <v>495</v>
      </c>
      <c r="E84" s="31" t="s">
        <v>496</v>
      </c>
      <c r="F84" s="31" t="s">
        <v>247</v>
      </c>
      <c r="G84" s="104">
        <v>45</v>
      </c>
      <c r="H84" s="105" t="s">
        <v>497</v>
      </c>
      <c r="I84" s="105" t="s">
        <v>1413</v>
      </c>
      <c r="J84" s="105" t="s">
        <v>3</v>
      </c>
      <c r="K84" s="112" t="s">
        <v>1404</v>
      </c>
      <c r="L84" s="112" t="s">
        <v>33</v>
      </c>
      <c r="M84" s="112" t="s">
        <v>34</v>
      </c>
      <c r="N84" s="113">
        <v>17</v>
      </c>
      <c r="O84" s="31" t="s">
        <v>69</v>
      </c>
      <c r="P84" s="31" t="s">
        <v>1407</v>
      </c>
      <c r="Q84" s="31" t="s">
        <v>71</v>
      </c>
      <c r="R84" s="31" t="s">
        <v>498</v>
      </c>
      <c r="S84" s="103">
        <v>25569.570138888899</v>
      </c>
      <c r="T84" s="103">
        <v>25569.916666666701</v>
      </c>
      <c r="U84" s="31" t="s">
        <v>499</v>
      </c>
      <c r="V84" s="102"/>
      <c r="W84" s="101" t="s">
        <v>81</v>
      </c>
    </row>
    <row r="85" spans="2:23" s="16" customFormat="1" ht="41.1" customHeight="1" x14ac:dyDescent="0.2">
      <c r="B85" s="100">
        <v>42820</v>
      </c>
      <c r="C85" s="97">
        <v>25569.5625</v>
      </c>
      <c r="D85" s="99" t="s">
        <v>500</v>
      </c>
      <c r="E85" s="24" t="s">
        <v>141</v>
      </c>
      <c r="F85" s="24" t="s">
        <v>142</v>
      </c>
      <c r="G85" s="98">
        <v>33</v>
      </c>
      <c r="H85" s="99" t="s">
        <v>143</v>
      </c>
      <c r="I85" s="99" t="s">
        <v>1405</v>
      </c>
      <c r="J85" s="99" t="s">
        <v>3</v>
      </c>
      <c r="K85" s="112" t="s">
        <v>4</v>
      </c>
      <c r="L85" s="112" t="s">
        <v>34</v>
      </c>
      <c r="M85" s="112" t="s">
        <v>34</v>
      </c>
      <c r="N85" s="113"/>
      <c r="O85" s="24" t="s">
        <v>60</v>
      </c>
      <c r="P85" s="24" t="s">
        <v>121</v>
      </c>
      <c r="Q85" s="24" t="s">
        <v>122</v>
      </c>
      <c r="R85" s="24" t="s">
        <v>501</v>
      </c>
      <c r="S85" s="97">
        <v>25569.25</v>
      </c>
      <c r="T85" s="97">
        <v>25569.613194444501</v>
      </c>
      <c r="U85" s="24" t="s">
        <v>502</v>
      </c>
      <c r="V85" s="96"/>
      <c r="W85" s="95" t="s">
        <v>81</v>
      </c>
    </row>
    <row r="86" spans="2:23" s="16" customFormat="1" ht="30.4" customHeight="1" x14ac:dyDescent="0.2">
      <c r="B86" s="106">
        <v>42821</v>
      </c>
      <c r="C86" s="103">
        <v>25569.21875</v>
      </c>
      <c r="D86" s="105" t="s">
        <v>503</v>
      </c>
      <c r="E86" s="31" t="s">
        <v>504</v>
      </c>
      <c r="F86" s="31" t="s">
        <v>57</v>
      </c>
      <c r="G86" s="104">
        <v>42</v>
      </c>
      <c r="H86" s="105" t="s">
        <v>505</v>
      </c>
      <c r="I86" s="105" t="s">
        <v>1421</v>
      </c>
      <c r="J86" s="105" t="s">
        <v>3</v>
      </c>
      <c r="K86" s="112" t="s">
        <v>1404</v>
      </c>
      <c r="L86" s="112" t="s">
        <v>34</v>
      </c>
      <c r="M86" s="112" t="s">
        <v>34</v>
      </c>
      <c r="N86" s="113">
        <v>0</v>
      </c>
      <c r="O86" s="31" t="s">
        <v>60</v>
      </c>
      <c r="P86" s="31" t="s">
        <v>61</v>
      </c>
      <c r="Q86" s="31" t="s">
        <v>506</v>
      </c>
      <c r="R86" s="31" t="s">
        <v>507</v>
      </c>
      <c r="S86" s="103">
        <v>25569.25</v>
      </c>
      <c r="T86" s="103">
        <v>25569.598611111101</v>
      </c>
      <c r="U86" s="31"/>
      <c r="V86" s="102"/>
      <c r="W86" s="101" t="s">
        <v>81</v>
      </c>
    </row>
    <row r="87" spans="2:23" s="16" customFormat="1" ht="41.1" customHeight="1" x14ac:dyDescent="0.2">
      <c r="B87" s="100">
        <v>42821</v>
      </c>
      <c r="C87" s="97">
        <v>25569.7097222222</v>
      </c>
      <c r="D87" s="99" t="s">
        <v>508</v>
      </c>
      <c r="E87" s="24" t="s">
        <v>509</v>
      </c>
      <c r="F87" s="24" t="s">
        <v>247</v>
      </c>
      <c r="G87" s="98">
        <v>35</v>
      </c>
      <c r="H87" s="99" t="s">
        <v>510</v>
      </c>
      <c r="I87" s="99" t="s">
        <v>1421</v>
      </c>
      <c r="J87" s="99" t="s">
        <v>3</v>
      </c>
      <c r="K87" s="112" t="s">
        <v>4</v>
      </c>
      <c r="L87" s="112" t="s">
        <v>34</v>
      </c>
      <c r="M87" s="112" t="s">
        <v>34</v>
      </c>
      <c r="N87" s="113"/>
      <c r="O87" s="24" t="s">
        <v>133</v>
      </c>
      <c r="P87" s="24" t="s">
        <v>61</v>
      </c>
      <c r="Q87" s="24" t="s">
        <v>71</v>
      </c>
      <c r="R87" s="24" t="s">
        <v>511</v>
      </c>
      <c r="S87" s="97">
        <v>25569.583333333299</v>
      </c>
      <c r="T87" s="97">
        <v>25569.931250000001</v>
      </c>
      <c r="U87" s="24"/>
      <c r="V87" s="96"/>
      <c r="W87" s="95" t="s">
        <v>73</v>
      </c>
    </row>
    <row r="88" spans="2:23" s="16" customFormat="1" ht="51.75" customHeight="1" x14ac:dyDescent="0.2">
      <c r="B88" s="106">
        <v>42821</v>
      </c>
      <c r="C88" s="103">
        <v>25569.75</v>
      </c>
      <c r="D88" s="105" t="s">
        <v>512</v>
      </c>
      <c r="E88" s="31" t="s">
        <v>513</v>
      </c>
      <c r="F88" s="31" t="s">
        <v>142</v>
      </c>
      <c r="G88" s="104">
        <v>33</v>
      </c>
      <c r="H88" s="105" t="s">
        <v>514</v>
      </c>
      <c r="I88" s="105" t="s">
        <v>1423</v>
      </c>
      <c r="J88" s="105" t="s">
        <v>3</v>
      </c>
      <c r="K88" s="112" t="s">
        <v>4</v>
      </c>
      <c r="L88" s="112" t="s">
        <v>34</v>
      </c>
      <c r="M88" s="112" t="s">
        <v>34</v>
      </c>
      <c r="N88" s="113"/>
      <c r="O88" s="31" t="s">
        <v>78</v>
      </c>
      <c r="P88" s="31" t="s">
        <v>173</v>
      </c>
      <c r="Q88" s="31" t="s">
        <v>114</v>
      </c>
      <c r="R88" s="31" t="s">
        <v>515</v>
      </c>
      <c r="S88" s="103">
        <v>25569.611111111099</v>
      </c>
      <c r="T88" s="103">
        <v>25569.958333333299</v>
      </c>
      <c r="U88" s="31"/>
      <c r="V88" s="102"/>
      <c r="W88" s="101"/>
    </row>
    <row r="89" spans="2:23" s="16" customFormat="1" ht="51.75" customHeight="1" x14ac:dyDescent="0.2">
      <c r="B89" s="100">
        <v>42821</v>
      </c>
      <c r="C89" s="97">
        <v>25569.989583333299</v>
      </c>
      <c r="D89" s="99" t="s">
        <v>516</v>
      </c>
      <c r="E89" s="24" t="s">
        <v>517</v>
      </c>
      <c r="F89" s="24" t="s">
        <v>156</v>
      </c>
      <c r="G89" s="98">
        <v>56</v>
      </c>
      <c r="H89" s="99" t="s">
        <v>518</v>
      </c>
      <c r="I89" s="99" t="s">
        <v>1417</v>
      </c>
      <c r="J89" s="99" t="s">
        <v>3</v>
      </c>
      <c r="K89" s="112" t="s">
        <v>1404</v>
      </c>
      <c r="L89" s="112" t="s">
        <v>34</v>
      </c>
      <c r="M89" s="112" t="s">
        <v>34</v>
      </c>
      <c r="N89" s="113"/>
      <c r="O89" s="24" t="s">
        <v>60</v>
      </c>
      <c r="P89" s="24" t="s">
        <v>213</v>
      </c>
      <c r="Q89" s="24" t="s">
        <v>122</v>
      </c>
      <c r="R89" s="24" t="s">
        <v>519</v>
      </c>
      <c r="S89" s="97">
        <v>25569.611111111099</v>
      </c>
      <c r="T89" s="97">
        <v>25569.958333333299</v>
      </c>
      <c r="U89" s="24"/>
      <c r="V89" s="96"/>
      <c r="W89" s="95" t="s">
        <v>195</v>
      </c>
    </row>
    <row r="90" spans="2:23" s="16" customFormat="1" ht="41.1" customHeight="1" x14ac:dyDescent="0.2">
      <c r="B90" s="106">
        <v>42822</v>
      </c>
      <c r="C90" s="103">
        <v>25569.666666666701</v>
      </c>
      <c r="D90" s="105" t="s">
        <v>520</v>
      </c>
      <c r="E90" s="31" t="s">
        <v>521</v>
      </c>
      <c r="F90" s="31" t="s">
        <v>522</v>
      </c>
      <c r="G90" s="104">
        <v>30</v>
      </c>
      <c r="H90" s="105" t="s">
        <v>523</v>
      </c>
      <c r="I90" s="105" t="s">
        <v>1421</v>
      </c>
      <c r="J90" s="105" t="s">
        <v>3</v>
      </c>
      <c r="K90" s="112" t="s">
        <v>4</v>
      </c>
      <c r="L90" s="112" t="s">
        <v>33</v>
      </c>
      <c r="M90" s="112" t="s">
        <v>34</v>
      </c>
      <c r="N90" s="113">
        <v>3</v>
      </c>
      <c r="O90" s="31" t="s">
        <v>78</v>
      </c>
      <c r="P90" s="31" t="s">
        <v>1407</v>
      </c>
      <c r="Q90" s="31" t="s">
        <v>62</v>
      </c>
      <c r="R90" s="31" t="s">
        <v>524</v>
      </c>
      <c r="S90" s="103">
        <v>25569.583333333299</v>
      </c>
      <c r="T90" s="103">
        <v>25569.9375</v>
      </c>
      <c r="U90" s="31"/>
      <c r="V90" s="102"/>
      <c r="W90" s="101" t="s">
        <v>81</v>
      </c>
    </row>
    <row r="91" spans="2:23" s="16" customFormat="1" ht="51.75" customHeight="1" x14ac:dyDescent="0.2">
      <c r="B91" s="100">
        <v>42822</v>
      </c>
      <c r="C91" s="97">
        <v>25569.958333333299</v>
      </c>
      <c r="D91" s="99" t="s">
        <v>525</v>
      </c>
      <c r="E91" s="24" t="s">
        <v>526</v>
      </c>
      <c r="F91" s="24" t="s">
        <v>270</v>
      </c>
      <c r="G91" s="98">
        <v>56</v>
      </c>
      <c r="H91" s="99" t="s">
        <v>527</v>
      </c>
      <c r="I91" s="99" t="s">
        <v>1408</v>
      </c>
      <c r="J91" s="99" t="s">
        <v>3</v>
      </c>
      <c r="K91" s="112" t="s">
        <v>4</v>
      </c>
      <c r="L91" s="112" t="s">
        <v>33</v>
      </c>
      <c r="M91" s="112" t="s">
        <v>34</v>
      </c>
      <c r="N91" s="113">
        <v>203</v>
      </c>
      <c r="O91" s="24" t="s">
        <v>78</v>
      </c>
      <c r="P91" s="24" t="s">
        <v>61</v>
      </c>
      <c r="Q91" s="24" t="s">
        <v>62</v>
      </c>
      <c r="R91" s="24" t="s">
        <v>528</v>
      </c>
      <c r="S91" s="97">
        <v>25569.90625</v>
      </c>
      <c r="T91" s="97">
        <v>25569.25</v>
      </c>
      <c r="U91" s="24"/>
      <c r="V91" s="96"/>
      <c r="W91" s="95" t="s">
        <v>81</v>
      </c>
    </row>
    <row r="92" spans="2:23" s="16" customFormat="1" ht="41.1" customHeight="1" x14ac:dyDescent="0.2">
      <c r="B92" s="106">
        <v>42823</v>
      </c>
      <c r="C92" s="103">
        <v>25569.354166666701</v>
      </c>
      <c r="D92" s="105" t="s">
        <v>529</v>
      </c>
      <c r="E92" s="31" t="s">
        <v>530</v>
      </c>
      <c r="F92" s="31" t="s">
        <v>531</v>
      </c>
      <c r="G92" s="104">
        <v>59</v>
      </c>
      <c r="H92" s="105" t="s">
        <v>532</v>
      </c>
      <c r="I92" s="105" t="s">
        <v>1430</v>
      </c>
      <c r="J92" s="105" t="s">
        <v>3</v>
      </c>
      <c r="K92" s="112" t="s">
        <v>4</v>
      </c>
      <c r="L92" s="112" t="s">
        <v>34</v>
      </c>
      <c r="M92" s="112" t="s">
        <v>34</v>
      </c>
      <c r="N92" s="113"/>
      <c r="O92" s="31" t="s">
        <v>60</v>
      </c>
      <c r="P92" s="31" t="s">
        <v>121</v>
      </c>
      <c r="Q92" s="31" t="s">
        <v>122</v>
      </c>
      <c r="R92" s="31" t="s">
        <v>534</v>
      </c>
      <c r="S92" s="103">
        <v>25569.229166666701</v>
      </c>
      <c r="T92" s="103">
        <v>25569.593055555601</v>
      </c>
      <c r="U92" s="31"/>
      <c r="V92" s="102"/>
      <c r="W92" s="101"/>
    </row>
    <row r="93" spans="2:23" s="16" customFormat="1" ht="41.1" customHeight="1" x14ac:dyDescent="0.2">
      <c r="B93" s="100">
        <v>42823</v>
      </c>
      <c r="C93" s="97">
        <v>25569.770833333299</v>
      </c>
      <c r="D93" s="99" t="s">
        <v>535</v>
      </c>
      <c r="E93" s="24" t="s">
        <v>536</v>
      </c>
      <c r="F93" s="24" t="s">
        <v>105</v>
      </c>
      <c r="G93" s="98">
        <v>56</v>
      </c>
      <c r="H93" s="99" t="s">
        <v>537</v>
      </c>
      <c r="I93" s="99" t="s">
        <v>1411</v>
      </c>
      <c r="J93" s="99" t="s">
        <v>3</v>
      </c>
      <c r="K93" s="112" t="s">
        <v>4</v>
      </c>
      <c r="L93" s="112" t="s">
        <v>34</v>
      </c>
      <c r="M93" s="112" t="s">
        <v>34</v>
      </c>
      <c r="N93" s="113"/>
      <c r="O93" s="24" t="s">
        <v>78</v>
      </c>
      <c r="P93" s="24" t="s">
        <v>219</v>
      </c>
      <c r="Q93" s="24" t="s">
        <v>146</v>
      </c>
      <c r="R93" s="24" t="s">
        <v>538</v>
      </c>
      <c r="S93" s="97">
        <v>25569.590277777799</v>
      </c>
      <c r="T93" s="97">
        <v>25569.9444444445</v>
      </c>
      <c r="U93" s="24"/>
      <c r="V93" s="96"/>
      <c r="W93" s="95" t="s">
        <v>81</v>
      </c>
    </row>
    <row r="94" spans="2:23" s="16" customFormat="1" ht="51.75" customHeight="1" x14ac:dyDescent="0.2">
      <c r="B94" s="106">
        <v>42824</v>
      </c>
      <c r="C94" s="103">
        <v>25569.722222222201</v>
      </c>
      <c r="D94" s="105" t="s">
        <v>539</v>
      </c>
      <c r="E94" s="31" t="s">
        <v>540</v>
      </c>
      <c r="F94" s="31" t="s">
        <v>541</v>
      </c>
      <c r="G94" s="104">
        <v>19</v>
      </c>
      <c r="H94" s="105" t="s">
        <v>542</v>
      </c>
      <c r="I94" s="105" t="s">
        <v>1414</v>
      </c>
      <c r="J94" s="105" t="s">
        <v>3</v>
      </c>
      <c r="K94" s="112" t="s">
        <v>1404</v>
      </c>
      <c r="L94" s="112" t="s">
        <v>33</v>
      </c>
      <c r="M94" s="112" t="s">
        <v>34</v>
      </c>
      <c r="N94" s="113">
        <v>22</v>
      </c>
      <c r="O94" s="31" t="s">
        <v>87</v>
      </c>
      <c r="P94" s="31" t="s">
        <v>187</v>
      </c>
      <c r="Q94" s="31" t="s">
        <v>122</v>
      </c>
      <c r="R94" s="31" t="s">
        <v>543</v>
      </c>
      <c r="S94" s="103">
        <v>25569.333333333299</v>
      </c>
      <c r="T94" s="103">
        <v>25569.708333333299</v>
      </c>
      <c r="U94" s="31"/>
      <c r="V94" s="102"/>
      <c r="W94" s="101" t="s">
        <v>81</v>
      </c>
    </row>
    <row r="95" spans="2:23" s="16" customFormat="1" ht="73.150000000000006" customHeight="1" x14ac:dyDescent="0.2">
      <c r="B95" s="100">
        <v>42825</v>
      </c>
      <c r="C95" s="97">
        <v>25569.083333333299</v>
      </c>
      <c r="D95" s="99" t="s">
        <v>544</v>
      </c>
      <c r="E95" s="24" t="s">
        <v>545</v>
      </c>
      <c r="F95" s="24" t="s">
        <v>546</v>
      </c>
      <c r="G95" s="98">
        <v>50</v>
      </c>
      <c r="H95" s="99" t="s">
        <v>547</v>
      </c>
      <c r="I95" s="99" t="s">
        <v>1431</v>
      </c>
      <c r="J95" s="99" t="s">
        <v>3</v>
      </c>
      <c r="K95" s="112" t="s">
        <v>4</v>
      </c>
      <c r="L95" s="112" t="s">
        <v>34</v>
      </c>
      <c r="M95" s="112" t="s">
        <v>34</v>
      </c>
      <c r="N95" s="113"/>
      <c r="O95" s="24" t="s">
        <v>60</v>
      </c>
      <c r="P95" s="24" t="s">
        <v>61</v>
      </c>
      <c r="Q95" s="24" t="s">
        <v>122</v>
      </c>
      <c r="R95" s="33" t="s">
        <v>549</v>
      </c>
      <c r="S95" s="97">
        <v>25569.333333333299</v>
      </c>
      <c r="T95" s="97">
        <v>25569.6875</v>
      </c>
      <c r="U95" s="24"/>
      <c r="V95" s="96"/>
      <c r="W95" s="95" t="s">
        <v>73</v>
      </c>
    </row>
    <row r="96" spans="2:23" s="16" customFormat="1" ht="62.45" customHeight="1" x14ac:dyDescent="0.2">
      <c r="B96" s="106">
        <v>42825</v>
      </c>
      <c r="C96" s="103">
        <v>25569.277777777799</v>
      </c>
      <c r="D96" s="105" t="s">
        <v>550</v>
      </c>
      <c r="E96" s="31" t="s">
        <v>551</v>
      </c>
      <c r="F96" s="31" t="s">
        <v>105</v>
      </c>
      <c r="G96" s="104">
        <v>51</v>
      </c>
      <c r="H96" s="105" t="s">
        <v>552</v>
      </c>
      <c r="I96" s="105" t="s">
        <v>1405</v>
      </c>
      <c r="J96" s="105" t="s">
        <v>3</v>
      </c>
      <c r="K96" s="112" t="s">
        <v>4</v>
      </c>
      <c r="L96" s="112" t="s">
        <v>33</v>
      </c>
      <c r="M96" s="112" t="s">
        <v>34</v>
      </c>
      <c r="N96" s="113">
        <v>7</v>
      </c>
      <c r="O96" s="31" t="s">
        <v>133</v>
      </c>
      <c r="P96" s="31" t="s">
        <v>88</v>
      </c>
      <c r="Q96" s="31" t="s">
        <v>8</v>
      </c>
      <c r="R96" s="31" t="s">
        <v>553</v>
      </c>
      <c r="S96" s="103">
        <v>25569.28125</v>
      </c>
      <c r="T96" s="103">
        <v>25569.649305555598</v>
      </c>
      <c r="U96" s="31"/>
      <c r="V96" s="102"/>
      <c r="W96" s="101" t="s">
        <v>81</v>
      </c>
    </row>
    <row r="97" spans="2:23" s="16" customFormat="1" ht="41.1" customHeight="1" x14ac:dyDescent="0.2">
      <c r="B97" s="100">
        <v>42828</v>
      </c>
      <c r="C97" s="97">
        <v>25569.375</v>
      </c>
      <c r="D97" s="99" t="s">
        <v>554</v>
      </c>
      <c r="E97" s="24" t="s">
        <v>555</v>
      </c>
      <c r="F97" s="24" t="s">
        <v>556</v>
      </c>
      <c r="G97" s="98">
        <v>53</v>
      </c>
      <c r="H97" s="99" t="s">
        <v>557</v>
      </c>
      <c r="I97" s="99" t="s">
        <v>1421</v>
      </c>
      <c r="J97" s="99" t="s">
        <v>3</v>
      </c>
      <c r="K97" s="112" t="s">
        <v>4</v>
      </c>
      <c r="L97" s="112" t="s">
        <v>34</v>
      </c>
      <c r="M97" s="112" t="s">
        <v>33</v>
      </c>
      <c r="N97" s="113"/>
      <c r="O97" s="24" t="s">
        <v>78</v>
      </c>
      <c r="P97" s="24" t="s">
        <v>121</v>
      </c>
      <c r="Q97" s="24" t="s">
        <v>122</v>
      </c>
      <c r="R97" s="24" t="s">
        <v>558</v>
      </c>
      <c r="S97" s="97">
        <v>25569.25</v>
      </c>
      <c r="T97" s="97">
        <v>25569.598611111101</v>
      </c>
      <c r="U97" s="24"/>
      <c r="V97" s="96"/>
      <c r="W97" s="95"/>
    </row>
    <row r="98" spans="2:23" s="16" customFormat="1" ht="51.75" customHeight="1" x14ac:dyDescent="0.2">
      <c r="B98" s="106">
        <v>42830</v>
      </c>
      <c r="C98" s="103">
        <v>25569.34375</v>
      </c>
      <c r="D98" s="105" t="s">
        <v>559</v>
      </c>
      <c r="E98" s="31" t="s">
        <v>560</v>
      </c>
      <c r="F98" s="31" t="s">
        <v>561</v>
      </c>
      <c r="G98" s="104">
        <v>26</v>
      </c>
      <c r="H98" s="105" t="s">
        <v>562</v>
      </c>
      <c r="I98" s="105" t="s">
        <v>1406</v>
      </c>
      <c r="J98" s="105" t="s">
        <v>3</v>
      </c>
      <c r="K98" s="112" t="s">
        <v>1404</v>
      </c>
      <c r="L98" s="112" t="s">
        <v>34</v>
      </c>
      <c r="M98" s="112" t="s">
        <v>34</v>
      </c>
      <c r="N98" s="113"/>
      <c r="O98" s="31" t="s">
        <v>87</v>
      </c>
      <c r="P98" s="31" t="s">
        <v>423</v>
      </c>
      <c r="Q98" s="31" t="s">
        <v>122</v>
      </c>
      <c r="R98" s="31" t="s">
        <v>563</v>
      </c>
      <c r="S98" s="103">
        <v>25569.375</v>
      </c>
      <c r="T98" s="103">
        <v>25569.729166666701</v>
      </c>
      <c r="U98" s="31"/>
      <c r="V98" s="102"/>
      <c r="W98" s="101" t="s">
        <v>73</v>
      </c>
    </row>
    <row r="99" spans="2:23" s="16" customFormat="1" ht="41.1" customHeight="1" x14ac:dyDescent="0.2">
      <c r="B99" s="100">
        <v>42831</v>
      </c>
      <c r="C99" s="97">
        <v>25569.857638888901</v>
      </c>
      <c r="D99" s="99" t="s">
        <v>564</v>
      </c>
      <c r="E99" s="24" t="s">
        <v>565</v>
      </c>
      <c r="F99" s="24" t="s">
        <v>105</v>
      </c>
      <c r="G99" s="98">
        <v>47</v>
      </c>
      <c r="H99" s="99" t="s">
        <v>566</v>
      </c>
      <c r="I99" s="99" t="s">
        <v>1405</v>
      </c>
      <c r="J99" s="99" t="s">
        <v>3</v>
      </c>
      <c r="K99" s="112" t="s">
        <v>4</v>
      </c>
      <c r="L99" s="112" t="s">
        <v>34</v>
      </c>
      <c r="M99" s="112" t="s">
        <v>34</v>
      </c>
      <c r="N99" s="113"/>
      <c r="O99" s="24" t="s">
        <v>144</v>
      </c>
      <c r="P99" s="24" t="s">
        <v>429</v>
      </c>
      <c r="Q99" s="24" t="s">
        <v>146</v>
      </c>
      <c r="R99" s="24" t="s">
        <v>567</v>
      </c>
      <c r="S99" s="97">
        <v>25569.604166666701</v>
      </c>
      <c r="T99" s="97">
        <v>25569.999305555601</v>
      </c>
      <c r="U99" s="24"/>
      <c r="V99" s="96"/>
      <c r="W99" s="95" t="s">
        <v>73</v>
      </c>
    </row>
    <row r="100" spans="2:23" s="16" customFormat="1" ht="62.45" customHeight="1" x14ac:dyDescent="0.2">
      <c r="B100" s="106">
        <v>42831</v>
      </c>
      <c r="C100" s="103">
        <v>25569.875</v>
      </c>
      <c r="D100" s="105" t="s">
        <v>568</v>
      </c>
      <c r="E100" s="31" t="s">
        <v>569</v>
      </c>
      <c r="F100" s="31" t="s">
        <v>570</v>
      </c>
      <c r="G100" s="104">
        <v>29</v>
      </c>
      <c r="H100" s="105" t="s">
        <v>571</v>
      </c>
      <c r="I100" s="105" t="s">
        <v>1421</v>
      </c>
      <c r="J100" s="105" t="s">
        <v>3</v>
      </c>
      <c r="K100" s="112" t="s">
        <v>4</v>
      </c>
      <c r="L100" s="112" t="s">
        <v>34</v>
      </c>
      <c r="M100" s="112" t="s">
        <v>34</v>
      </c>
      <c r="N100" s="113"/>
      <c r="O100" s="31" t="s">
        <v>78</v>
      </c>
      <c r="P100" s="31" t="s">
        <v>187</v>
      </c>
      <c r="Q100" s="31" t="s">
        <v>122</v>
      </c>
      <c r="R100" s="31" t="s">
        <v>572</v>
      </c>
      <c r="S100" s="103">
        <v>25569.597916666698</v>
      </c>
      <c r="T100" s="103">
        <v>25569.927083333299</v>
      </c>
      <c r="U100" s="31"/>
      <c r="V100" s="102"/>
      <c r="W100" s="101" t="s">
        <v>73</v>
      </c>
    </row>
    <row r="101" spans="2:23" s="16" customFormat="1" ht="62.45" customHeight="1" x14ac:dyDescent="0.2">
      <c r="B101" s="100">
        <v>42833</v>
      </c>
      <c r="C101" s="97">
        <v>25569.986111111099</v>
      </c>
      <c r="D101" s="99" t="s">
        <v>573</v>
      </c>
      <c r="E101" s="24" t="s">
        <v>574</v>
      </c>
      <c r="F101" s="24" t="s">
        <v>575</v>
      </c>
      <c r="G101" s="98">
        <v>40</v>
      </c>
      <c r="H101" s="99" t="s">
        <v>576</v>
      </c>
      <c r="I101" s="99" t="s">
        <v>1408</v>
      </c>
      <c r="J101" s="99" t="s">
        <v>3</v>
      </c>
      <c r="K101" s="112" t="s">
        <v>4</v>
      </c>
      <c r="L101" s="112" t="s">
        <v>33</v>
      </c>
      <c r="M101" s="112" t="s">
        <v>34</v>
      </c>
      <c r="N101" s="113">
        <v>247</v>
      </c>
      <c r="O101" s="24" t="s">
        <v>405</v>
      </c>
      <c r="P101" s="24" t="s">
        <v>1407</v>
      </c>
      <c r="Q101" s="24" t="s">
        <v>62</v>
      </c>
      <c r="R101" s="24" t="s">
        <v>577</v>
      </c>
      <c r="S101" s="97">
        <v>25569.90625</v>
      </c>
      <c r="T101" s="97">
        <v>25569.25</v>
      </c>
      <c r="U101" s="24"/>
      <c r="V101" s="96"/>
      <c r="W101" s="95"/>
    </row>
    <row r="102" spans="2:23" s="16" customFormat="1" ht="41.1" customHeight="1" x14ac:dyDescent="0.2">
      <c r="B102" s="106">
        <v>42835</v>
      </c>
      <c r="C102" s="103">
        <v>25569.958333333299</v>
      </c>
      <c r="D102" s="105" t="s">
        <v>578</v>
      </c>
      <c r="E102" s="31" t="s">
        <v>579</v>
      </c>
      <c r="F102" s="31" t="s">
        <v>580</v>
      </c>
      <c r="G102" s="104">
        <v>37</v>
      </c>
      <c r="H102" s="105" t="s">
        <v>581</v>
      </c>
      <c r="I102" s="105" t="s">
        <v>1432</v>
      </c>
      <c r="J102" s="105" t="s">
        <v>3</v>
      </c>
      <c r="K102" s="112" t="s">
        <v>4</v>
      </c>
      <c r="L102" s="112" t="s">
        <v>34</v>
      </c>
      <c r="M102" s="112" t="s">
        <v>34</v>
      </c>
      <c r="N102" s="113"/>
      <c r="O102" s="31" t="s">
        <v>69</v>
      </c>
      <c r="P102" s="31" t="s">
        <v>493</v>
      </c>
      <c r="Q102" s="31" t="s">
        <v>71</v>
      </c>
      <c r="R102" s="31" t="s">
        <v>583</v>
      </c>
      <c r="S102" s="103">
        <v>25569.786805555599</v>
      </c>
      <c r="T102" s="103">
        <v>25569.145833333299</v>
      </c>
      <c r="U102" s="31"/>
      <c r="V102" s="102"/>
      <c r="W102" s="101" t="s">
        <v>81</v>
      </c>
    </row>
    <row r="103" spans="2:23" s="16" customFormat="1" ht="51.75" customHeight="1" x14ac:dyDescent="0.2">
      <c r="B103" s="100">
        <v>42837</v>
      </c>
      <c r="C103" s="97">
        <v>25569.6875</v>
      </c>
      <c r="D103" s="99" t="s">
        <v>584</v>
      </c>
      <c r="E103" s="24" t="s">
        <v>585</v>
      </c>
      <c r="F103" s="24" t="s">
        <v>586</v>
      </c>
      <c r="G103" s="98">
        <v>43</v>
      </c>
      <c r="H103" s="99" t="s">
        <v>587</v>
      </c>
      <c r="I103" s="99" t="s">
        <v>1405</v>
      </c>
      <c r="J103" s="99" t="s">
        <v>3</v>
      </c>
      <c r="K103" s="112" t="s">
        <v>1404</v>
      </c>
      <c r="L103" s="112" t="s">
        <v>33</v>
      </c>
      <c r="M103" s="112" t="s">
        <v>34</v>
      </c>
      <c r="N103" s="113">
        <v>16</v>
      </c>
      <c r="O103" s="24" t="s">
        <v>87</v>
      </c>
      <c r="P103" s="24" t="s">
        <v>488</v>
      </c>
      <c r="Q103" s="24" t="s">
        <v>71</v>
      </c>
      <c r="R103" s="24" t="s">
        <v>588</v>
      </c>
      <c r="S103" s="97">
        <v>25569.28125</v>
      </c>
      <c r="T103" s="97">
        <v>25569.649305555598</v>
      </c>
      <c r="U103" s="24"/>
      <c r="V103" s="96"/>
      <c r="W103" s="95" t="s">
        <v>81</v>
      </c>
    </row>
    <row r="104" spans="2:23" s="16" customFormat="1" ht="41.1" customHeight="1" x14ac:dyDescent="0.2">
      <c r="B104" s="106">
        <v>42838</v>
      </c>
      <c r="C104" s="103">
        <v>25569.645833333299</v>
      </c>
      <c r="D104" s="105" t="s">
        <v>589</v>
      </c>
      <c r="E104" s="31" t="s">
        <v>590</v>
      </c>
      <c r="F104" s="31" t="s">
        <v>591</v>
      </c>
      <c r="G104" s="104">
        <v>60</v>
      </c>
      <c r="H104" s="105" t="s">
        <v>592</v>
      </c>
      <c r="I104" s="105" t="s">
        <v>1405</v>
      </c>
      <c r="J104" s="105" t="s">
        <v>3</v>
      </c>
      <c r="K104" s="112" t="s">
        <v>4</v>
      </c>
      <c r="L104" s="112" t="s">
        <v>34</v>
      </c>
      <c r="M104" s="112" t="s">
        <v>34</v>
      </c>
      <c r="N104" s="113"/>
      <c r="O104" s="31" t="s">
        <v>60</v>
      </c>
      <c r="P104" s="31" t="s">
        <v>88</v>
      </c>
      <c r="Q104" s="31" t="s">
        <v>8</v>
      </c>
      <c r="R104" s="31" t="s">
        <v>593</v>
      </c>
      <c r="S104" s="103">
        <v>25569.604166666701</v>
      </c>
      <c r="T104" s="103">
        <v>25569.999305555601</v>
      </c>
      <c r="U104" s="31"/>
      <c r="V104" s="102"/>
      <c r="W104" s="101"/>
    </row>
    <row r="105" spans="2:23" s="16" customFormat="1" ht="73.150000000000006" customHeight="1" x14ac:dyDescent="0.2">
      <c r="B105" s="100">
        <v>42840</v>
      </c>
      <c r="C105" s="97">
        <v>25569.166666666701</v>
      </c>
      <c r="D105" s="99" t="s">
        <v>594</v>
      </c>
      <c r="E105" s="24" t="s">
        <v>595</v>
      </c>
      <c r="F105" s="24" t="s">
        <v>247</v>
      </c>
      <c r="G105" s="98">
        <v>49</v>
      </c>
      <c r="H105" s="99" t="s">
        <v>596</v>
      </c>
      <c r="I105" s="99" t="s">
        <v>1428</v>
      </c>
      <c r="J105" s="99" t="s">
        <v>3</v>
      </c>
      <c r="K105" s="112" t="s">
        <v>4</v>
      </c>
      <c r="L105" s="112" t="s">
        <v>34</v>
      </c>
      <c r="M105" s="112" t="s">
        <v>34</v>
      </c>
      <c r="N105" s="113"/>
      <c r="O105" s="24" t="s">
        <v>597</v>
      </c>
      <c r="P105" s="24" t="s">
        <v>429</v>
      </c>
      <c r="Q105" s="24" t="s">
        <v>122</v>
      </c>
      <c r="R105" s="33" t="s">
        <v>598</v>
      </c>
      <c r="S105" s="97">
        <v>25569.90625</v>
      </c>
      <c r="T105" s="97">
        <v>25569.2611111111</v>
      </c>
      <c r="U105" s="24"/>
      <c r="V105" s="96"/>
      <c r="W105" s="95" t="s">
        <v>73</v>
      </c>
    </row>
    <row r="106" spans="2:23" s="16" customFormat="1" ht="62.45" customHeight="1" x14ac:dyDescent="0.2">
      <c r="B106" s="106">
        <v>42840</v>
      </c>
      <c r="C106" s="103">
        <v>25569.166666666701</v>
      </c>
      <c r="D106" s="105" t="s">
        <v>599</v>
      </c>
      <c r="E106" s="31" t="s">
        <v>600</v>
      </c>
      <c r="F106" s="31" t="s">
        <v>131</v>
      </c>
      <c r="G106" s="104">
        <v>54</v>
      </c>
      <c r="H106" s="105" t="s">
        <v>601</v>
      </c>
      <c r="I106" s="105" t="s">
        <v>1421</v>
      </c>
      <c r="J106" s="105" t="s">
        <v>3</v>
      </c>
      <c r="K106" s="112" t="s">
        <v>4</v>
      </c>
      <c r="L106" s="112" t="s">
        <v>34</v>
      </c>
      <c r="M106" s="112" t="s">
        <v>34</v>
      </c>
      <c r="N106" s="113"/>
      <c r="O106" s="31" t="s">
        <v>597</v>
      </c>
      <c r="P106" s="31" t="s">
        <v>429</v>
      </c>
      <c r="Q106" s="31" t="s">
        <v>122</v>
      </c>
      <c r="R106" s="31" t="s">
        <v>602</v>
      </c>
      <c r="S106" s="103">
        <v>25569.916666666701</v>
      </c>
      <c r="T106" s="103">
        <v>25569.259722222199</v>
      </c>
      <c r="U106" s="31"/>
      <c r="V106" s="102"/>
      <c r="W106" s="101" t="s">
        <v>73</v>
      </c>
    </row>
    <row r="107" spans="2:23" s="16" customFormat="1" ht="41.1" customHeight="1" x14ac:dyDescent="0.2">
      <c r="B107" s="100">
        <v>42841</v>
      </c>
      <c r="C107" s="97">
        <v>25569.84375</v>
      </c>
      <c r="D107" s="99" t="s">
        <v>603</v>
      </c>
      <c r="E107" s="24" t="s">
        <v>197</v>
      </c>
      <c r="F107" s="24" t="s">
        <v>604</v>
      </c>
      <c r="G107" s="98">
        <v>34</v>
      </c>
      <c r="H107" s="99" t="s">
        <v>605</v>
      </c>
      <c r="I107" s="99" t="s">
        <v>1421</v>
      </c>
      <c r="J107" s="99" t="s">
        <v>3</v>
      </c>
      <c r="K107" s="112" t="s">
        <v>4</v>
      </c>
      <c r="L107" s="112" t="s">
        <v>33</v>
      </c>
      <c r="M107" s="112" t="s">
        <v>34</v>
      </c>
      <c r="N107" s="113">
        <v>14</v>
      </c>
      <c r="O107" s="24" t="s">
        <v>144</v>
      </c>
      <c r="P107" s="24" t="s">
        <v>289</v>
      </c>
      <c r="Q107" s="24" t="s">
        <v>146</v>
      </c>
      <c r="R107" s="24" t="s">
        <v>606</v>
      </c>
      <c r="S107" s="97">
        <v>25569.583333333299</v>
      </c>
      <c r="T107" s="97">
        <v>25569.931250000001</v>
      </c>
      <c r="U107" s="24"/>
      <c r="V107" s="96"/>
      <c r="W107" s="95" t="s">
        <v>81</v>
      </c>
    </row>
    <row r="108" spans="2:23" s="16" customFormat="1" ht="41.1" customHeight="1" x14ac:dyDescent="0.2">
      <c r="B108" s="106">
        <v>42843</v>
      </c>
      <c r="C108" s="103">
        <v>25569.760416666701</v>
      </c>
      <c r="D108" s="105" t="s">
        <v>607</v>
      </c>
      <c r="E108" s="31" t="s">
        <v>608</v>
      </c>
      <c r="F108" s="31" t="s">
        <v>210</v>
      </c>
      <c r="G108" s="104">
        <v>37</v>
      </c>
      <c r="H108" s="105" t="s">
        <v>609</v>
      </c>
      <c r="I108" s="105" t="s">
        <v>1417</v>
      </c>
      <c r="J108" s="105" t="s">
        <v>3</v>
      </c>
      <c r="K108" s="112" t="s">
        <v>1404</v>
      </c>
      <c r="L108" s="112" t="s">
        <v>33</v>
      </c>
      <c r="M108" s="112" t="s">
        <v>34</v>
      </c>
      <c r="N108" s="113">
        <v>20</v>
      </c>
      <c r="O108" s="31" t="s">
        <v>133</v>
      </c>
      <c r="P108" s="31" t="s">
        <v>1407</v>
      </c>
      <c r="Q108" s="31" t="s">
        <v>8</v>
      </c>
      <c r="R108" s="31" t="s">
        <v>610</v>
      </c>
      <c r="S108" s="103">
        <v>25569.583333333299</v>
      </c>
      <c r="T108" s="103">
        <v>25569.934027777799</v>
      </c>
      <c r="U108" s="31"/>
      <c r="V108" s="102"/>
      <c r="W108" s="101" t="s">
        <v>81</v>
      </c>
    </row>
    <row r="109" spans="2:23" s="16" customFormat="1" ht="41.1" customHeight="1" x14ac:dyDescent="0.2">
      <c r="B109" s="100">
        <v>42846</v>
      </c>
      <c r="C109" s="97">
        <v>25569.5</v>
      </c>
      <c r="D109" s="99" t="s">
        <v>611</v>
      </c>
      <c r="E109" s="24" t="s">
        <v>612</v>
      </c>
      <c r="F109" s="24" t="s">
        <v>613</v>
      </c>
      <c r="G109" s="98">
        <v>41</v>
      </c>
      <c r="H109" s="99" t="s">
        <v>614</v>
      </c>
      <c r="I109" s="99" t="s">
        <v>1405</v>
      </c>
      <c r="J109" s="99" t="s">
        <v>3</v>
      </c>
      <c r="K109" s="112" t="s">
        <v>4</v>
      </c>
      <c r="L109" s="112" t="s">
        <v>34</v>
      </c>
      <c r="M109" s="112" t="s">
        <v>34</v>
      </c>
      <c r="N109" s="113"/>
      <c r="O109" s="24" t="s">
        <v>144</v>
      </c>
      <c r="P109" s="24" t="s">
        <v>615</v>
      </c>
      <c r="Q109" s="24" t="s">
        <v>158</v>
      </c>
      <c r="R109" s="24" t="s">
        <v>616</v>
      </c>
      <c r="S109" s="97">
        <v>25569.25</v>
      </c>
      <c r="T109" s="97">
        <v>25569.617361111101</v>
      </c>
      <c r="U109" s="24"/>
      <c r="V109" s="96"/>
      <c r="W109" s="95" t="s">
        <v>81</v>
      </c>
    </row>
    <row r="110" spans="2:23" s="16" customFormat="1" ht="51.75" customHeight="1" x14ac:dyDescent="0.2">
      <c r="B110" s="106">
        <v>42846</v>
      </c>
      <c r="C110" s="103">
        <v>25569.739583333299</v>
      </c>
      <c r="D110" s="105" t="s">
        <v>617</v>
      </c>
      <c r="E110" s="31" t="s">
        <v>618</v>
      </c>
      <c r="F110" s="31" t="s">
        <v>619</v>
      </c>
      <c r="G110" s="104">
        <v>32</v>
      </c>
      <c r="H110" s="105" t="s">
        <v>620</v>
      </c>
      <c r="I110" s="105" t="s">
        <v>1405</v>
      </c>
      <c r="J110" s="105" t="s">
        <v>3</v>
      </c>
      <c r="K110" s="112" t="s">
        <v>4</v>
      </c>
      <c r="L110" s="112" t="s">
        <v>33</v>
      </c>
      <c r="M110" s="112" t="s">
        <v>34</v>
      </c>
      <c r="N110" s="113">
        <v>7</v>
      </c>
      <c r="O110" s="31" t="s">
        <v>78</v>
      </c>
      <c r="P110" s="31" t="s">
        <v>187</v>
      </c>
      <c r="Q110" s="31" t="s">
        <v>8</v>
      </c>
      <c r="R110" s="31" t="s">
        <v>621</v>
      </c>
      <c r="S110" s="103">
        <v>25569.603472222199</v>
      </c>
      <c r="T110" s="103">
        <v>25569.999305555601</v>
      </c>
      <c r="U110" s="31"/>
      <c r="V110" s="102"/>
      <c r="W110" s="101" t="s">
        <v>81</v>
      </c>
    </row>
    <row r="111" spans="2:23" s="16" customFormat="1" ht="51.75" customHeight="1" x14ac:dyDescent="0.2">
      <c r="B111" s="100">
        <v>42850</v>
      </c>
      <c r="C111" s="97">
        <v>25569.326388888901</v>
      </c>
      <c r="D111" s="99" t="s">
        <v>622</v>
      </c>
      <c r="E111" s="24" t="s">
        <v>623</v>
      </c>
      <c r="F111" s="24" t="s">
        <v>323</v>
      </c>
      <c r="G111" s="98">
        <v>23</v>
      </c>
      <c r="H111" s="99" t="s">
        <v>624</v>
      </c>
      <c r="I111" s="99" t="s">
        <v>1433</v>
      </c>
      <c r="J111" s="99" t="s">
        <v>3</v>
      </c>
      <c r="K111" s="112" t="s">
        <v>1404</v>
      </c>
      <c r="L111" s="112" t="s">
        <v>34</v>
      </c>
      <c r="M111" s="112" t="s">
        <v>34</v>
      </c>
      <c r="N111" s="113"/>
      <c r="O111" s="24" t="s">
        <v>87</v>
      </c>
      <c r="P111" s="24" t="s">
        <v>70</v>
      </c>
      <c r="Q111" s="24" t="s">
        <v>8</v>
      </c>
      <c r="R111" s="24" t="s">
        <v>626</v>
      </c>
      <c r="S111" s="97">
        <v>25569.354166666701</v>
      </c>
      <c r="T111" s="97">
        <v>25569.6944444445</v>
      </c>
      <c r="U111" s="24"/>
      <c r="V111" s="96"/>
      <c r="W111" s="95" t="s">
        <v>73</v>
      </c>
    </row>
    <row r="112" spans="2:23" s="16" customFormat="1" ht="41.1" customHeight="1" x14ac:dyDescent="0.2">
      <c r="B112" s="106">
        <v>42852</v>
      </c>
      <c r="C112" s="103">
        <v>25569.645833333299</v>
      </c>
      <c r="D112" s="105" t="s">
        <v>627</v>
      </c>
      <c r="E112" s="31" t="s">
        <v>628</v>
      </c>
      <c r="F112" s="31" t="s">
        <v>66</v>
      </c>
      <c r="G112" s="104">
        <v>47</v>
      </c>
      <c r="H112" s="105" t="s">
        <v>629</v>
      </c>
      <c r="I112" s="105" t="s">
        <v>1421</v>
      </c>
      <c r="J112" s="105" t="s">
        <v>3</v>
      </c>
      <c r="K112" s="112" t="s">
        <v>4</v>
      </c>
      <c r="L112" s="112" t="s">
        <v>34</v>
      </c>
      <c r="M112" s="112" t="s">
        <v>34</v>
      </c>
      <c r="N112" s="113"/>
      <c r="O112" s="31" t="s">
        <v>60</v>
      </c>
      <c r="P112" s="31" t="s">
        <v>61</v>
      </c>
      <c r="Q112" s="31" t="s">
        <v>158</v>
      </c>
      <c r="R112" s="31" t="s">
        <v>630</v>
      </c>
      <c r="S112" s="103">
        <v>25569.583333333299</v>
      </c>
      <c r="T112" s="103">
        <v>25569.931250000001</v>
      </c>
      <c r="U112" s="31"/>
      <c r="V112" s="102"/>
      <c r="W112" s="101" t="s">
        <v>81</v>
      </c>
    </row>
    <row r="113" spans="2:23" s="16" customFormat="1" ht="41.1" customHeight="1" x14ac:dyDescent="0.2">
      <c r="B113" s="100">
        <v>42853</v>
      </c>
      <c r="C113" s="97">
        <v>25569.416666666701</v>
      </c>
      <c r="D113" s="99" t="s">
        <v>631</v>
      </c>
      <c r="E113" s="24" t="s">
        <v>632</v>
      </c>
      <c r="F113" s="24" t="s">
        <v>633</v>
      </c>
      <c r="G113" s="98">
        <v>42</v>
      </c>
      <c r="H113" s="99" t="s">
        <v>634</v>
      </c>
      <c r="I113" s="99" t="s">
        <v>1405</v>
      </c>
      <c r="J113" s="99" t="s">
        <v>3</v>
      </c>
      <c r="K113" s="112" t="s">
        <v>4</v>
      </c>
      <c r="L113" s="112" t="s">
        <v>33</v>
      </c>
      <c r="M113" s="112" t="s">
        <v>34</v>
      </c>
      <c r="N113" s="113">
        <v>21</v>
      </c>
      <c r="O113" s="24" t="s">
        <v>69</v>
      </c>
      <c r="P113" s="24" t="s">
        <v>70</v>
      </c>
      <c r="Q113" s="24" t="s">
        <v>71</v>
      </c>
      <c r="R113" s="24" t="s">
        <v>635</v>
      </c>
      <c r="S113" s="97">
        <v>25569.28125</v>
      </c>
      <c r="T113" s="97">
        <v>25569.649305555598</v>
      </c>
      <c r="U113" s="24"/>
      <c r="V113" s="96">
        <v>43067</v>
      </c>
      <c r="W113" s="95"/>
    </row>
    <row r="114" spans="2:23" s="16" customFormat="1" ht="94.9" customHeight="1" x14ac:dyDescent="0.2">
      <c r="B114" s="106">
        <v>42854</v>
      </c>
      <c r="C114" s="103">
        <v>25569.354166666701</v>
      </c>
      <c r="D114" s="105" t="s">
        <v>636</v>
      </c>
      <c r="E114" s="31" t="s">
        <v>637</v>
      </c>
      <c r="F114" s="31" t="s">
        <v>297</v>
      </c>
      <c r="G114" s="104">
        <v>39</v>
      </c>
      <c r="H114" s="105" t="s">
        <v>638</v>
      </c>
      <c r="I114" s="105" t="s">
        <v>1424</v>
      </c>
      <c r="J114" s="105" t="s">
        <v>3</v>
      </c>
      <c r="K114" s="112" t="s">
        <v>4</v>
      </c>
      <c r="L114" s="112" t="s">
        <v>34</v>
      </c>
      <c r="M114" s="112" t="s">
        <v>34</v>
      </c>
      <c r="N114" s="113"/>
      <c r="O114" s="31" t="s">
        <v>144</v>
      </c>
      <c r="P114" s="31" t="s">
        <v>145</v>
      </c>
      <c r="Q114" s="31" t="s">
        <v>146</v>
      </c>
      <c r="R114" s="34" t="s">
        <v>639</v>
      </c>
      <c r="S114" s="103">
        <v>25569.208333333299</v>
      </c>
      <c r="T114" s="103">
        <v>25569.6138888889</v>
      </c>
      <c r="U114" s="31"/>
      <c r="V114" s="102"/>
      <c r="W114" s="101"/>
    </row>
    <row r="115" spans="2:23" s="16" customFormat="1" ht="41.1" customHeight="1" x14ac:dyDescent="0.2">
      <c r="B115" s="100">
        <v>42854</v>
      </c>
      <c r="C115" s="97">
        <v>25569.725694444402</v>
      </c>
      <c r="D115" s="99" t="s">
        <v>640</v>
      </c>
      <c r="E115" s="24" t="s">
        <v>641</v>
      </c>
      <c r="F115" s="24" t="s">
        <v>642</v>
      </c>
      <c r="G115" s="98">
        <v>31</v>
      </c>
      <c r="H115" s="99" t="s">
        <v>643</v>
      </c>
      <c r="I115" s="99" t="s">
        <v>1403</v>
      </c>
      <c r="J115" s="99" t="s">
        <v>3</v>
      </c>
      <c r="K115" s="112" t="s">
        <v>4</v>
      </c>
      <c r="L115" s="112" t="s">
        <v>33</v>
      </c>
      <c r="M115" s="112" t="s">
        <v>34</v>
      </c>
      <c r="N115" s="113">
        <v>6</v>
      </c>
      <c r="O115" s="24" t="s">
        <v>144</v>
      </c>
      <c r="P115" s="24" t="s">
        <v>289</v>
      </c>
      <c r="Q115" s="24" t="s">
        <v>146</v>
      </c>
      <c r="R115" s="24" t="s">
        <v>644</v>
      </c>
      <c r="S115" s="97">
        <v>25569.590277777799</v>
      </c>
      <c r="T115" s="97">
        <v>25569.940972222201</v>
      </c>
      <c r="U115" s="24"/>
      <c r="V115" s="96"/>
      <c r="W115" s="95"/>
    </row>
    <row r="116" spans="2:23" s="16" customFormat="1" ht="51.75" customHeight="1" x14ac:dyDescent="0.2">
      <c r="B116" s="106">
        <v>42856</v>
      </c>
      <c r="C116" s="103">
        <v>25569.020833333299</v>
      </c>
      <c r="D116" s="105" t="s">
        <v>645</v>
      </c>
      <c r="E116" s="31" t="s">
        <v>292</v>
      </c>
      <c r="F116" s="31" t="s">
        <v>646</v>
      </c>
      <c r="G116" s="104">
        <v>48</v>
      </c>
      <c r="H116" s="105" t="s">
        <v>647</v>
      </c>
      <c r="I116" s="105" t="s">
        <v>1405</v>
      </c>
      <c r="J116" s="105" t="s">
        <v>3</v>
      </c>
      <c r="K116" s="112" t="s">
        <v>4</v>
      </c>
      <c r="L116" s="112" t="s">
        <v>33</v>
      </c>
      <c r="M116" s="112" t="s">
        <v>34</v>
      </c>
      <c r="N116" s="113">
        <v>15</v>
      </c>
      <c r="O116" s="31" t="s">
        <v>87</v>
      </c>
      <c r="P116" s="31" t="s">
        <v>61</v>
      </c>
      <c r="Q116" s="31" t="s">
        <v>79</v>
      </c>
      <c r="R116" s="31" t="s">
        <v>648</v>
      </c>
      <c r="S116" s="103">
        <v>25569.916666666701</v>
      </c>
      <c r="T116" s="103">
        <v>25569.261805555601</v>
      </c>
      <c r="U116" s="31"/>
      <c r="V116" s="102"/>
      <c r="W116" s="101"/>
    </row>
    <row r="117" spans="2:23" s="16" customFormat="1" ht="51.75" customHeight="1" x14ac:dyDescent="0.2">
      <c r="B117" s="100">
        <v>42857</v>
      </c>
      <c r="C117" s="97">
        <v>25569.291666666701</v>
      </c>
      <c r="D117" s="99" t="s">
        <v>649</v>
      </c>
      <c r="E117" s="24" t="s">
        <v>650</v>
      </c>
      <c r="F117" s="24" t="s">
        <v>297</v>
      </c>
      <c r="G117" s="98">
        <v>55</v>
      </c>
      <c r="H117" s="99" t="s">
        <v>651</v>
      </c>
      <c r="I117" s="99" t="s">
        <v>1421</v>
      </c>
      <c r="J117" s="99" t="s">
        <v>3</v>
      </c>
      <c r="K117" s="112" t="s">
        <v>4</v>
      </c>
      <c r="L117" s="112" t="s">
        <v>34</v>
      </c>
      <c r="M117" s="112" t="s">
        <v>34</v>
      </c>
      <c r="N117" s="113"/>
      <c r="O117" s="24" t="s">
        <v>69</v>
      </c>
      <c r="P117" s="24" t="s">
        <v>1407</v>
      </c>
      <c r="Q117" s="24" t="s">
        <v>8</v>
      </c>
      <c r="R117" s="24" t="s">
        <v>652</v>
      </c>
      <c r="S117" s="97">
        <v>25569.25</v>
      </c>
      <c r="T117" s="97">
        <v>25569.598611111101</v>
      </c>
      <c r="U117" s="24"/>
      <c r="V117" s="96"/>
      <c r="W117" s="95" t="s">
        <v>73</v>
      </c>
    </row>
    <row r="118" spans="2:23" s="16" customFormat="1" ht="51.75" customHeight="1" x14ac:dyDescent="0.2">
      <c r="B118" s="106">
        <v>42857</v>
      </c>
      <c r="C118" s="103">
        <v>25569.430555555598</v>
      </c>
      <c r="D118" s="105" t="s">
        <v>653</v>
      </c>
      <c r="E118" s="31" t="s">
        <v>654</v>
      </c>
      <c r="F118" s="31" t="s">
        <v>270</v>
      </c>
      <c r="G118" s="104">
        <v>59</v>
      </c>
      <c r="H118" s="105" t="s">
        <v>655</v>
      </c>
      <c r="I118" s="105" t="s">
        <v>1434</v>
      </c>
      <c r="J118" s="105" t="s">
        <v>3</v>
      </c>
      <c r="K118" s="112" t="s">
        <v>4</v>
      </c>
      <c r="L118" s="112" t="s">
        <v>34</v>
      </c>
      <c r="M118" s="112" t="s">
        <v>34</v>
      </c>
      <c r="N118" s="113"/>
      <c r="O118" s="31" t="s">
        <v>78</v>
      </c>
      <c r="P118" s="31" t="s">
        <v>70</v>
      </c>
      <c r="Q118" s="31" t="s">
        <v>158</v>
      </c>
      <c r="R118" s="31" t="s">
        <v>657</v>
      </c>
      <c r="S118" s="103">
        <v>25569.229166666701</v>
      </c>
      <c r="T118" s="103">
        <v>25569.6361111111</v>
      </c>
      <c r="U118" s="31"/>
      <c r="V118" s="102"/>
      <c r="W118" s="101" t="s">
        <v>73</v>
      </c>
    </row>
    <row r="119" spans="2:23" s="16" customFormat="1" ht="51.75" customHeight="1" x14ac:dyDescent="0.2">
      <c r="B119" s="100">
        <v>42857</v>
      </c>
      <c r="C119" s="97">
        <v>25569.625</v>
      </c>
      <c r="D119" s="99" t="s">
        <v>658</v>
      </c>
      <c r="E119" s="24" t="s">
        <v>659</v>
      </c>
      <c r="F119" s="24" t="s">
        <v>660</v>
      </c>
      <c r="G119" s="98">
        <v>52</v>
      </c>
      <c r="H119" s="99" t="s">
        <v>661</v>
      </c>
      <c r="I119" s="99" t="s">
        <v>1435</v>
      </c>
      <c r="J119" s="99" t="s">
        <v>3</v>
      </c>
      <c r="K119" s="112" t="s">
        <v>4</v>
      </c>
      <c r="L119" s="112" t="s">
        <v>34</v>
      </c>
      <c r="M119" s="112" t="s">
        <v>33</v>
      </c>
      <c r="N119" s="113"/>
      <c r="O119" s="24" t="s">
        <v>78</v>
      </c>
      <c r="P119" s="24" t="s">
        <v>121</v>
      </c>
      <c r="Q119" s="24" t="s">
        <v>158</v>
      </c>
      <c r="R119" s="24" t="s">
        <v>663</v>
      </c>
      <c r="S119" s="97">
        <v>25569.3125</v>
      </c>
      <c r="T119" s="97">
        <v>25569.645833333299</v>
      </c>
      <c r="U119" s="24"/>
      <c r="V119" s="96"/>
      <c r="W119" s="95"/>
    </row>
    <row r="120" spans="2:23" s="16" customFormat="1" ht="62.45" customHeight="1" x14ac:dyDescent="0.2">
      <c r="B120" s="106">
        <v>42858</v>
      </c>
      <c r="C120" s="103">
        <v>25569.6875</v>
      </c>
      <c r="D120" s="105" t="s">
        <v>664</v>
      </c>
      <c r="E120" s="31" t="s">
        <v>665</v>
      </c>
      <c r="F120" s="31" t="s">
        <v>666</v>
      </c>
      <c r="G120" s="104">
        <v>32</v>
      </c>
      <c r="H120" s="105" t="s">
        <v>667</v>
      </c>
      <c r="I120" s="105" t="s">
        <v>1421</v>
      </c>
      <c r="J120" s="105" t="s">
        <v>3</v>
      </c>
      <c r="K120" s="112" t="s">
        <v>4</v>
      </c>
      <c r="L120" s="112" t="s">
        <v>33</v>
      </c>
      <c r="M120" s="112" t="s">
        <v>34</v>
      </c>
      <c r="N120" s="113">
        <v>9</v>
      </c>
      <c r="O120" s="31" t="s">
        <v>60</v>
      </c>
      <c r="P120" s="31" t="s">
        <v>70</v>
      </c>
      <c r="Q120" s="31" t="s">
        <v>158</v>
      </c>
      <c r="R120" s="31" t="s">
        <v>668</v>
      </c>
      <c r="S120" s="103">
        <v>25569.611111111099</v>
      </c>
      <c r="T120" s="103">
        <v>25569.965277777799</v>
      </c>
      <c r="U120" s="31"/>
      <c r="V120" s="102"/>
      <c r="W120" s="101"/>
    </row>
    <row r="121" spans="2:23" s="16" customFormat="1" ht="51.75" customHeight="1" x14ac:dyDescent="0.2">
      <c r="B121" s="100">
        <v>42859</v>
      </c>
      <c r="C121" s="97">
        <v>25569.722222222201</v>
      </c>
      <c r="D121" s="99" t="s">
        <v>669</v>
      </c>
      <c r="E121" s="24" t="s">
        <v>670</v>
      </c>
      <c r="F121" s="24" t="s">
        <v>671</v>
      </c>
      <c r="G121" s="98">
        <v>38</v>
      </c>
      <c r="H121" s="99" t="s">
        <v>672</v>
      </c>
      <c r="I121" s="99" t="s">
        <v>1436</v>
      </c>
      <c r="J121" s="99" t="s">
        <v>3</v>
      </c>
      <c r="K121" s="112" t="s">
        <v>1404</v>
      </c>
      <c r="L121" s="112" t="s">
        <v>34</v>
      </c>
      <c r="M121" s="112" t="s">
        <v>34</v>
      </c>
      <c r="N121" s="113"/>
      <c r="O121" s="24" t="s">
        <v>87</v>
      </c>
      <c r="P121" s="24" t="s">
        <v>61</v>
      </c>
      <c r="Q121" s="24" t="s">
        <v>62</v>
      </c>
      <c r="R121" s="24" t="s">
        <v>674</v>
      </c>
      <c r="S121" s="97">
        <v>25569.354166666701</v>
      </c>
      <c r="T121" s="97">
        <v>25569.708333333299</v>
      </c>
      <c r="U121" s="24"/>
      <c r="V121" s="96"/>
      <c r="W121" s="95" t="s">
        <v>81</v>
      </c>
    </row>
    <row r="122" spans="2:23" s="16" customFormat="1" ht="51.75" customHeight="1" x14ac:dyDescent="0.2">
      <c r="B122" s="106">
        <v>42863</v>
      </c>
      <c r="C122" s="103">
        <v>25569.25</v>
      </c>
      <c r="D122" s="105" t="s">
        <v>675</v>
      </c>
      <c r="E122" s="31" t="s">
        <v>676</v>
      </c>
      <c r="F122" s="31" t="s">
        <v>156</v>
      </c>
      <c r="G122" s="104">
        <v>49</v>
      </c>
      <c r="H122" s="105" t="s">
        <v>677</v>
      </c>
      <c r="I122" s="105" t="s">
        <v>1403</v>
      </c>
      <c r="J122" s="105" t="s">
        <v>3</v>
      </c>
      <c r="K122" s="112" t="s">
        <v>1404</v>
      </c>
      <c r="L122" s="112" t="s">
        <v>33</v>
      </c>
      <c r="M122" s="112" t="s">
        <v>34</v>
      </c>
      <c r="N122" s="113">
        <v>4</v>
      </c>
      <c r="O122" s="31" t="s">
        <v>87</v>
      </c>
      <c r="P122" s="31" t="s">
        <v>70</v>
      </c>
      <c r="Q122" s="31" t="s">
        <v>8</v>
      </c>
      <c r="R122" s="31" t="s">
        <v>678</v>
      </c>
      <c r="S122" s="103">
        <v>25569.253472222201</v>
      </c>
      <c r="T122" s="103">
        <v>25569.604166666701</v>
      </c>
      <c r="U122" s="31"/>
      <c r="V122" s="102"/>
      <c r="W122" s="101" t="s">
        <v>81</v>
      </c>
    </row>
    <row r="123" spans="2:23" s="16" customFormat="1" ht="62.45" customHeight="1" x14ac:dyDescent="0.2">
      <c r="B123" s="100">
        <v>42864</v>
      </c>
      <c r="C123" s="97">
        <v>25569.666666666701</v>
      </c>
      <c r="D123" s="99" t="s">
        <v>679</v>
      </c>
      <c r="E123" s="24" t="s">
        <v>680</v>
      </c>
      <c r="F123" s="24" t="s">
        <v>364</v>
      </c>
      <c r="G123" s="98">
        <v>21</v>
      </c>
      <c r="H123" s="99" t="s">
        <v>681</v>
      </c>
      <c r="I123" s="99" t="s">
        <v>1406</v>
      </c>
      <c r="J123" s="99" t="s">
        <v>3</v>
      </c>
      <c r="K123" s="112" t="s">
        <v>1404</v>
      </c>
      <c r="L123" s="112" t="s">
        <v>33</v>
      </c>
      <c r="M123" s="112" t="s">
        <v>34</v>
      </c>
      <c r="N123" s="113">
        <v>14</v>
      </c>
      <c r="O123" s="24" t="s">
        <v>87</v>
      </c>
      <c r="P123" s="24" t="s">
        <v>187</v>
      </c>
      <c r="Q123" s="24" t="s">
        <v>71</v>
      </c>
      <c r="R123" s="24" t="s">
        <v>682</v>
      </c>
      <c r="S123" s="97">
        <v>25569.302083333299</v>
      </c>
      <c r="T123" s="97">
        <v>25569.645833333299</v>
      </c>
      <c r="U123" s="24"/>
      <c r="V123" s="96"/>
      <c r="W123" s="95" t="s">
        <v>81</v>
      </c>
    </row>
    <row r="124" spans="2:23" s="16" customFormat="1" ht="41.1" customHeight="1" x14ac:dyDescent="0.2">
      <c r="B124" s="106">
        <v>42866</v>
      </c>
      <c r="C124" s="103">
        <v>25569.458333333299</v>
      </c>
      <c r="D124" s="105" t="s">
        <v>683</v>
      </c>
      <c r="E124" s="31" t="s">
        <v>684</v>
      </c>
      <c r="F124" s="31" t="s">
        <v>156</v>
      </c>
      <c r="G124" s="104">
        <v>46</v>
      </c>
      <c r="H124" s="105" t="s">
        <v>685</v>
      </c>
      <c r="I124" s="105" t="s">
        <v>1413</v>
      </c>
      <c r="J124" s="105" t="s">
        <v>3</v>
      </c>
      <c r="K124" s="112" t="s">
        <v>4</v>
      </c>
      <c r="L124" s="112" t="s">
        <v>33</v>
      </c>
      <c r="M124" s="112" t="s">
        <v>34</v>
      </c>
      <c r="N124" s="113">
        <v>112</v>
      </c>
      <c r="O124" s="31" t="s">
        <v>78</v>
      </c>
      <c r="P124" s="31" t="s">
        <v>61</v>
      </c>
      <c r="Q124" s="31" t="s">
        <v>79</v>
      </c>
      <c r="R124" s="31" t="s">
        <v>686</v>
      </c>
      <c r="S124" s="103">
        <v>25569.263888888901</v>
      </c>
      <c r="T124" s="103">
        <v>25569.615277777801</v>
      </c>
      <c r="U124" s="31"/>
      <c r="V124" s="102"/>
      <c r="W124" s="101" t="s">
        <v>81</v>
      </c>
    </row>
    <row r="125" spans="2:23" s="16" customFormat="1" ht="51.75" customHeight="1" x14ac:dyDescent="0.2">
      <c r="B125" s="100">
        <v>42866</v>
      </c>
      <c r="C125" s="97">
        <v>25569.576388888901</v>
      </c>
      <c r="D125" s="99" t="s">
        <v>687</v>
      </c>
      <c r="E125" s="24" t="s">
        <v>688</v>
      </c>
      <c r="F125" s="24" t="s">
        <v>234</v>
      </c>
      <c r="G125" s="98">
        <v>36</v>
      </c>
      <c r="H125" s="99" t="s">
        <v>689</v>
      </c>
      <c r="I125" s="99" t="s">
        <v>1417</v>
      </c>
      <c r="J125" s="99" t="s">
        <v>3</v>
      </c>
      <c r="K125" s="112" t="s">
        <v>4</v>
      </c>
      <c r="L125" s="112" t="s">
        <v>34</v>
      </c>
      <c r="M125" s="112" t="s">
        <v>33</v>
      </c>
      <c r="N125" s="113"/>
      <c r="O125" s="24" t="s">
        <v>144</v>
      </c>
      <c r="P125" s="24" t="s">
        <v>145</v>
      </c>
      <c r="Q125" s="24" t="s">
        <v>146</v>
      </c>
      <c r="R125" s="24" t="s">
        <v>690</v>
      </c>
      <c r="S125" s="97">
        <v>25569.277777777799</v>
      </c>
      <c r="T125" s="97">
        <v>25569.611111111099</v>
      </c>
      <c r="U125" s="24"/>
      <c r="V125" s="96"/>
      <c r="W125" s="95"/>
    </row>
    <row r="126" spans="2:23" s="16" customFormat="1" ht="62.45" customHeight="1" x14ac:dyDescent="0.2">
      <c r="B126" s="106">
        <v>42866</v>
      </c>
      <c r="C126" s="103">
        <v>25569.8125</v>
      </c>
      <c r="D126" s="105" t="s">
        <v>691</v>
      </c>
      <c r="E126" s="31" t="s">
        <v>692</v>
      </c>
      <c r="F126" s="31" t="s">
        <v>247</v>
      </c>
      <c r="G126" s="104">
        <v>51</v>
      </c>
      <c r="H126" s="105" t="s">
        <v>693</v>
      </c>
      <c r="I126" s="105" t="s">
        <v>1417</v>
      </c>
      <c r="J126" s="105" t="s">
        <v>3</v>
      </c>
      <c r="K126" s="112" t="s">
        <v>4</v>
      </c>
      <c r="L126" s="112" t="s">
        <v>34</v>
      </c>
      <c r="M126" s="112" t="s">
        <v>34</v>
      </c>
      <c r="N126" s="113"/>
      <c r="O126" s="31" t="s">
        <v>133</v>
      </c>
      <c r="P126" s="31" t="s">
        <v>121</v>
      </c>
      <c r="Q126" s="31" t="s">
        <v>114</v>
      </c>
      <c r="R126" s="31" t="s">
        <v>694</v>
      </c>
      <c r="S126" s="103">
        <v>25569.583333333299</v>
      </c>
      <c r="T126" s="103">
        <v>25569.934027777799</v>
      </c>
      <c r="U126" s="31"/>
      <c r="V126" s="102"/>
      <c r="W126" s="101" t="s">
        <v>73</v>
      </c>
    </row>
    <row r="127" spans="2:23" s="16" customFormat="1" ht="73.150000000000006" customHeight="1" x14ac:dyDescent="0.2">
      <c r="B127" s="100">
        <v>42866</v>
      </c>
      <c r="C127" s="97">
        <v>25569.9375</v>
      </c>
      <c r="D127" s="99" t="s">
        <v>695</v>
      </c>
      <c r="E127" s="24" t="s">
        <v>696</v>
      </c>
      <c r="F127" s="24" t="s">
        <v>247</v>
      </c>
      <c r="G127" s="98">
        <v>48</v>
      </c>
      <c r="H127" s="99" t="s">
        <v>697</v>
      </c>
      <c r="I127" s="99" t="s">
        <v>1421</v>
      </c>
      <c r="J127" s="99" t="s">
        <v>3</v>
      </c>
      <c r="K127" s="112" t="s">
        <v>1404</v>
      </c>
      <c r="L127" s="112" t="s">
        <v>34</v>
      </c>
      <c r="M127" s="112" t="s">
        <v>34</v>
      </c>
      <c r="N127" s="113"/>
      <c r="O127" s="24" t="s">
        <v>87</v>
      </c>
      <c r="P127" s="24" t="s">
        <v>1407</v>
      </c>
      <c r="Q127" s="24" t="s">
        <v>122</v>
      </c>
      <c r="R127" s="33" t="s">
        <v>698</v>
      </c>
      <c r="S127" s="97">
        <v>25569.584027777801</v>
      </c>
      <c r="T127" s="97">
        <v>25569.927777777801</v>
      </c>
      <c r="U127" s="24" t="s">
        <v>425</v>
      </c>
      <c r="V127" s="96"/>
      <c r="W127" s="95" t="s">
        <v>73</v>
      </c>
    </row>
    <row r="128" spans="2:23" s="16" customFormat="1" ht="41.1" customHeight="1" x14ac:dyDescent="0.2">
      <c r="B128" s="106">
        <v>42868</v>
      </c>
      <c r="C128" s="103">
        <v>25569.597222222201</v>
      </c>
      <c r="D128" s="105" t="s">
        <v>1461</v>
      </c>
      <c r="E128" s="31" t="s">
        <v>699</v>
      </c>
      <c r="F128" s="31" t="s">
        <v>700</v>
      </c>
      <c r="G128" s="104">
        <v>43</v>
      </c>
      <c r="H128" s="105" t="s">
        <v>1462</v>
      </c>
      <c r="I128" s="105" t="s">
        <v>1410</v>
      </c>
      <c r="J128" s="105" t="s">
        <v>3</v>
      </c>
      <c r="K128" s="112" t="s">
        <v>4</v>
      </c>
      <c r="L128" s="112" t="s">
        <v>34</v>
      </c>
      <c r="M128" s="112" t="s">
        <v>34</v>
      </c>
      <c r="N128" s="113"/>
      <c r="O128" s="31" t="s">
        <v>78</v>
      </c>
      <c r="P128" s="31" t="s">
        <v>187</v>
      </c>
      <c r="Q128" s="31" t="s">
        <v>122</v>
      </c>
      <c r="R128" s="31" t="s">
        <v>701</v>
      </c>
      <c r="S128" s="103">
        <v>25569.458333333299</v>
      </c>
      <c r="T128" s="103">
        <v>25569.790972222199</v>
      </c>
      <c r="U128" s="31"/>
      <c r="V128" s="102"/>
      <c r="W128" s="101"/>
    </row>
    <row r="129" spans="2:23" s="16" customFormat="1" ht="41.1" customHeight="1" x14ac:dyDescent="0.2">
      <c r="B129" s="100">
        <v>42868</v>
      </c>
      <c r="C129" s="97">
        <v>25569.895833333299</v>
      </c>
      <c r="D129" s="99" t="s">
        <v>1463</v>
      </c>
      <c r="E129" s="24" t="s">
        <v>702</v>
      </c>
      <c r="F129" s="24" t="s">
        <v>156</v>
      </c>
      <c r="G129" s="98">
        <v>51</v>
      </c>
      <c r="H129" s="99" t="s">
        <v>1464</v>
      </c>
      <c r="I129" s="99" t="s">
        <v>1410</v>
      </c>
      <c r="J129" s="99" t="s">
        <v>3</v>
      </c>
      <c r="K129" s="112" t="s">
        <v>4</v>
      </c>
      <c r="L129" s="112" t="s">
        <v>34</v>
      </c>
      <c r="M129" s="112" t="s">
        <v>34</v>
      </c>
      <c r="N129" s="113"/>
      <c r="O129" s="24" t="s">
        <v>78</v>
      </c>
      <c r="P129" s="24" t="s">
        <v>61</v>
      </c>
      <c r="Q129" s="24" t="s">
        <v>114</v>
      </c>
      <c r="R129" s="24" t="s">
        <v>703</v>
      </c>
      <c r="S129" s="97">
        <v>25569.604166666701</v>
      </c>
      <c r="T129" s="97">
        <v>25569.979166666701</v>
      </c>
      <c r="U129" s="24"/>
      <c r="V129" s="96"/>
      <c r="W129" s="95" t="s">
        <v>73</v>
      </c>
    </row>
    <row r="130" spans="2:23" s="16" customFormat="1" ht="51.75" customHeight="1" x14ac:dyDescent="0.2">
      <c r="B130" s="106">
        <v>42869</v>
      </c>
      <c r="C130" s="103">
        <v>25569.34375</v>
      </c>
      <c r="D130" s="105" t="s">
        <v>704</v>
      </c>
      <c r="E130" s="31" t="s">
        <v>705</v>
      </c>
      <c r="F130" s="31" t="s">
        <v>333</v>
      </c>
      <c r="G130" s="104">
        <v>57</v>
      </c>
      <c r="H130" s="105" t="s">
        <v>706</v>
      </c>
      <c r="I130" s="105" t="s">
        <v>1437</v>
      </c>
      <c r="J130" s="105" t="s">
        <v>3</v>
      </c>
      <c r="K130" s="112" t="s">
        <v>4</v>
      </c>
      <c r="L130" s="112" t="s">
        <v>34</v>
      </c>
      <c r="M130" s="112" t="s">
        <v>34</v>
      </c>
      <c r="N130" s="113"/>
      <c r="O130" s="31" t="s">
        <v>78</v>
      </c>
      <c r="P130" s="31" t="s">
        <v>1407</v>
      </c>
      <c r="Q130" s="31" t="s">
        <v>79</v>
      </c>
      <c r="R130" s="31" t="s">
        <v>708</v>
      </c>
      <c r="S130" s="103">
        <v>25569.239583333299</v>
      </c>
      <c r="T130" s="103">
        <v>25569.614583333299</v>
      </c>
      <c r="U130" s="31"/>
      <c r="V130" s="102"/>
      <c r="W130" s="101" t="s">
        <v>73</v>
      </c>
    </row>
    <row r="131" spans="2:23" s="16" customFormat="1" ht="51.75" customHeight="1" x14ac:dyDescent="0.2">
      <c r="B131" s="100">
        <v>42870</v>
      </c>
      <c r="C131" s="97">
        <v>25569.322916666701</v>
      </c>
      <c r="D131" s="99" t="s">
        <v>709</v>
      </c>
      <c r="E131" s="24" t="s">
        <v>710</v>
      </c>
      <c r="F131" s="24" t="s">
        <v>259</v>
      </c>
      <c r="G131" s="98">
        <v>56</v>
      </c>
      <c r="H131" s="99" t="s">
        <v>711</v>
      </c>
      <c r="I131" s="99" t="s">
        <v>1438</v>
      </c>
      <c r="J131" s="99" t="s">
        <v>3</v>
      </c>
      <c r="K131" s="112" t="s">
        <v>1404</v>
      </c>
      <c r="L131" s="112" t="s">
        <v>34</v>
      </c>
      <c r="M131" s="112" t="s">
        <v>34</v>
      </c>
      <c r="N131" s="113"/>
      <c r="O131" s="24" t="s">
        <v>60</v>
      </c>
      <c r="P131" s="24" t="s">
        <v>61</v>
      </c>
      <c r="Q131" s="24" t="s">
        <v>62</v>
      </c>
      <c r="R131" s="24" t="s">
        <v>713</v>
      </c>
      <c r="S131" s="97">
        <v>25569.333333333299</v>
      </c>
      <c r="T131" s="97">
        <v>25569.708333333299</v>
      </c>
      <c r="U131" s="24"/>
      <c r="V131" s="96"/>
      <c r="W131" s="95" t="s">
        <v>73</v>
      </c>
    </row>
    <row r="132" spans="2:23" s="16" customFormat="1" ht="30.4" customHeight="1" x14ac:dyDescent="0.2">
      <c r="B132" s="106">
        <v>42870</v>
      </c>
      <c r="C132" s="103">
        <v>25569.826388888901</v>
      </c>
      <c r="D132" s="105" t="s">
        <v>714</v>
      </c>
      <c r="E132" s="31" t="s">
        <v>715</v>
      </c>
      <c r="F132" s="31" t="s">
        <v>716</v>
      </c>
      <c r="G132" s="104">
        <v>30</v>
      </c>
      <c r="H132" s="105" t="s">
        <v>717</v>
      </c>
      <c r="I132" s="105" t="s">
        <v>1421</v>
      </c>
      <c r="J132" s="105" t="s">
        <v>3</v>
      </c>
      <c r="K132" s="112" t="s">
        <v>4</v>
      </c>
      <c r="L132" s="112" t="s">
        <v>34</v>
      </c>
      <c r="M132" s="112" t="s">
        <v>34</v>
      </c>
      <c r="N132" s="113"/>
      <c r="O132" s="31" t="s">
        <v>60</v>
      </c>
      <c r="P132" s="31" t="s">
        <v>121</v>
      </c>
      <c r="Q132" s="31" t="s">
        <v>122</v>
      </c>
      <c r="R132" s="31" t="s">
        <v>718</v>
      </c>
      <c r="S132" s="103">
        <v>25569.597916666698</v>
      </c>
      <c r="T132" s="103">
        <v>25569.927083333299</v>
      </c>
      <c r="U132" s="31"/>
      <c r="V132" s="102"/>
      <c r="W132" s="101"/>
    </row>
    <row r="133" spans="2:23" s="16" customFormat="1" ht="51.75" customHeight="1" x14ac:dyDescent="0.2">
      <c r="B133" s="100">
        <v>42872</v>
      </c>
      <c r="C133" s="97">
        <v>25569.041666666701</v>
      </c>
      <c r="D133" s="99" t="s">
        <v>719</v>
      </c>
      <c r="E133" s="24" t="s">
        <v>720</v>
      </c>
      <c r="F133" s="24" t="s">
        <v>721</v>
      </c>
      <c r="G133" s="98">
        <v>48</v>
      </c>
      <c r="H133" s="99" t="s">
        <v>722</v>
      </c>
      <c r="I133" s="99" t="s">
        <v>1403</v>
      </c>
      <c r="J133" s="99" t="s">
        <v>3</v>
      </c>
      <c r="K133" s="112" t="s">
        <v>4</v>
      </c>
      <c r="L133" s="112" t="s">
        <v>34</v>
      </c>
      <c r="M133" s="112" t="s">
        <v>34</v>
      </c>
      <c r="N133" s="113"/>
      <c r="O133" s="24" t="s">
        <v>78</v>
      </c>
      <c r="P133" s="24" t="s">
        <v>1407</v>
      </c>
      <c r="Q133" s="24" t="s">
        <v>114</v>
      </c>
      <c r="R133" s="24" t="s">
        <v>723</v>
      </c>
      <c r="S133" s="97">
        <v>25569.916666666701</v>
      </c>
      <c r="T133" s="97">
        <v>25569.260416666701</v>
      </c>
      <c r="U133" s="24"/>
      <c r="V133" s="96"/>
      <c r="W133" s="95" t="s">
        <v>81</v>
      </c>
    </row>
    <row r="134" spans="2:23" s="16" customFormat="1" ht="41.1" customHeight="1" x14ac:dyDescent="0.2">
      <c r="B134" s="106">
        <v>42872</v>
      </c>
      <c r="C134" s="103">
        <v>25569.916666666701</v>
      </c>
      <c r="D134" s="105" t="s">
        <v>724</v>
      </c>
      <c r="E134" s="31" t="s">
        <v>725</v>
      </c>
      <c r="F134" s="31" t="s">
        <v>247</v>
      </c>
      <c r="G134" s="104">
        <v>46</v>
      </c>
      <c r="H134" s="105" t="s">
        <v>726</v>
      </c>
      <c r="I134" s="105" t="s">
        <v>1413</v>
      </c>
      <c r="J134" s="105" t="s">
        <v>3</v>
      </c>
      <c r="K134" s="112" t="s">
        <v>4</v>
      </c>
      <c r="L134" s="112" t="s">
        <v>33</v>
      </c>
      <c r="M134" s="112" t="s">
        <v>34</v>
      </c>
      <c r="N134" s="113">
        <v>150</v>
      </c>
      <c r="O134" s="31" t="s">
        <v>78</v>
      </c>
      <c r="P134" s="31" t="s">
        <v>61</v>
      </c>
      <c r="Q134" s="31" t="s">
        <v>158</v>
      </c>
      <c r="R134" s="31" t="s">
        <v>727</v>
      </c>
      <c r="S134" s="103">
        <v>25569.615277777801</v>
      </c>
      <c r="T134" s="103">
        <v>25569.9666666667</v>
      </c>
      <c r="U134" s="31"/>
      <c r="V134" s="102"/>
      <c r="W134" s="101" t="s">
        <v>81</v>
      </c>
    </row>
    <row r="135" spans="2:23" s="16" customFormat="1" ht="41.1" customHeight="1" x14ac:dyDescent="0.2">
      <c r="B135" s="100">
        <v>42874</v>
      </c>
      <c r="C135" s="97">
        <v>25569.40625</v>
      </c>
      <c r="D135" s="99" t="s">
        <v>728</v>
      </c>
      <c r="E135" s="24" t="s">
        <v>729</v>
      </c>
      <c r="F135" s="24" t="s">
        <v>162</v>
      </c>
      <c r="G135" s="98">
        <v>48</v>
      </c>
      <c r="H135" s="99" t="s">
        <v>730</v>
      </c>
      <c r="I135" s="99" t="s">
        <v>1405</v>
      </c>
      <c r="J135" s="99" t="s">
        <v>3</v>
      </c>
      <c r="K135" s="112" t="s">
        <v>4</v>
      </c>
      <c r="L135" s="112" t="s">
        <v>33</v>
      </c>
      <c r="M135" s="112" t="s">
        <v>34</v>
      </c>
      <c r="N135" s="113">
        <v>9</v>
      </c>
      <c r="O135" s="24" t="s">
        <v>133</v>
      </c>
      <c r="P135" s="24" t="s">
        <v>61</v>
      </c>
      <c r="Q135" s="24" t="s">
        <v>71</v>
      </c>
      <c r="R135" s="24" t="s">
        <v>731</v>
      </c>
      <c r="S135" s="97">
        <v>25569.263888888901</v>
      </c>
      <c r="T135" s="97">
        <v>25569.592361111099</v>
      </c>
      <c r="U135" s="24"/>
      <c r="V135" s="96"/>
      <c r="W135" s="95" t="s">
        <v>81</v>
      </c>
    </row>
    <row r="136" spans="2:23" s="16" customFormat="1" ht="83.65" customHeight="1" x14ac:dyDescent="0.2">
      <c r="B136" s="106">
        <v>42876</v>
      </c>
      <c r="C136" s="103">
        <v>25569.645833333299</v>
      </c>
      <c r="D136" s="105" t="s">
        <v>732</v>
      </c>
      <c r="E136" s="31" t="s">
        <v>733</v>
      </c>
      <c r="F136" s="31" t="s">
        <v>734</v>
      </c>
      <c r="G136" s="104">
        <v>34</v>
      </c>
      <c r="H136" s="105" t="s">
        <v>735</v>
      </c>
      <c r="I136" s="105" t="s">
        <v>1405</v>
      </c>
      <c r="J136" s="105" t="s">
        <v>3</v>
      </c>
      <c r="K136" s="112" t="s">
        <v>4</v>
      </c>
      <c r="L136" s="112" t="s">
        <v>34</v>
      </c>
      <c r="M136" s="112" t="s">
        <v>34</v>
      </c>
      <c r="N136" s="113"/>
      <c r="O136" s="31" t="s">
        <v>120</v>
      </c>
      <c r="P136" s="31" t="s">
        <v>219</v>
      </c>
      <c r="Q136" s="31" t="s">
        <v>114</v>
      </c>
      <c r="R136" s="31" t="s">
        <v>736</v>
      </c>
      <c r="S136" s="103">
        <v>25569.604166666701</v>
      </c>
      <c r="T136" s="103">
        <v>25569.999305555601</v>
      </c>
      <c r="U136" s="31"/>
      <c r="V136" s="102"/>
      <c r="W136" s="101"/>
    </row>
    <row r="137" spans="2:23" s="16" customFormat="1" ht="41.1" customHeight="1" x14ac:dyDescent="0.2">
      <c r="B137" s="100">
        <v>42876</v>
      </c>
      <c r="C137" s="97">
        <v>25569.708333333299</v>
      </c>
      <c r="D137" s="99" t="s">
        <v>737</v>
      </c>
      <c r="E137" s="24" t="s">
        <v>117</v>
      </c>
      <c r="F137" s="24" t="s">
        <v>118</v>
      </c>
      <c r="G137" s="98">
        <v>31</v>
      </c>
      <c r="H137" s="99" t="s">
        <v>119</v>
      </c>
      <c r="I137" s="99" t="s">
        <v>1405</v>
      </c>
      <c r="J137" s="99" t="s">
        <v>3</v>
      </c>
      <c r="K137" s="112" t="s">
        <v>4</v>
      </c>
      <c r="L137" s="112" t="s">
        <v>34</v>
      </c>
      <c r="M137" s="112" t="s">
        <v>34</v>
      </c>
      <c r="N137" s="113"/>
      <c r="O137" s="24" t="s">
        <v>60</v>
      </c>
      <c r="P137" s="24" t="s">
        <v>738</v>
      </c>
      <c r="Q137" s="24" t="s">
        <v>1407</v>
      </c>
      <c r="R137" s="24" t="s">
        <v>739</v>
      </c>
      <c r="S137" s="97">
        <v>25569.603472222199</v>
      </c>
      <c r="T137" s="97">
        <v>25569.999305555601</v>
      </c>
      <c r="U137" s="24" t="s">
        <v>740</v>
      </c>
      <c r="V137" s="96"/>
      <c r="W137" s="95" t="s">
        <v>73</v>
      </c>
    </row>
    <row r="138" spans="2:23" s="16" customFormat="1" ht="41.1" customHeight="1" x14ac:dyDescent="0.2">
      <c r="B138" s="106">
        <v>42877</v>
      </c>
      <c r="C138" s="103">
        <v>25569.447916666701</v>
      </c>
      <c r="D138" s="105" t="s">
        <v>741</v>
      </c>
      <c r="E138" s="31" t="s">
        <v>742</v>
      </c>
      <c r="F138" s="31" t="s">
        <v>105</v>
      </c>
      <c r="G138" s="104">
        <v>51</v>
      </c>
      <c r="H138" s="105" t="s">
        <v>743</v>
      </c>
      <c r="I138" s="105" t="s">
        <v>1417</v>
      </c>
      <c r="J138" s="105" t="s">
        <v>3</v>
      </c>
      <c r="K138" s="112" t="s">
        <v>4</v>
      </c>
      <c r="L138" s="112" t="s">
        <v>33</v>
      </c>
      <c r="M138" s="112" t="s">
        <v>34</v>
      </c>
      <c r="N138" s="113">
        <v>91</v>
      </c>
      <c r="O138" s="31" t="s">
        <v>78</v>
      </c>
      <c r="P138" s="31" t="s">
        <v>1407</v>
      </c>
      <c r="Q138" s="31" t="s">
        <v>114</v>
      </c>
      <c r="R138" s="31" t="s">
        <v>744</v>
      </c>
      <c r="S138" s="103">
        <v>25569.2791666667</v>
      </c>
      <c r="T138" s="103">
        <v>25569.611111111099</v>
      </c>
      <c r="U138" s="31" t="s">
        <v>745</v>
      </c>
      <c r="V138" s="102"/>
      <c r="W138" s="101" t="s">
        <v>81</v>
      </c>
    </row>
    <row r="139" spans="2:23" s="16" customFormat="1" ht="41.1" customHeight="1" x14ac:dyDescent="0.2">
      <c r="B139" s="100">
        <v>42877</v>
      </c>
      <c r="C139" s="97">
        <v>25569.697916666701</v>
      </c>
      <c r="D139" s="99" t="s">
        <v>1465</v>
      </c>
      <c r="E139" s="24" t="s">
        <v>746</v>
      </c>
      <c r="F139" s="24" t="s">
        <v>747</v>
      </c>
      <c r="G139" s="98">
        <v>57</v>
      </c>
      <c r="H139" s="99" t="s">
        <v>1466</v>
      </c>
      <c r="I139" s="99" t="s">
        <v>1410</v>
      </c>
      <c r="J139" s="99" t="s">
        <v>3</v>
      </c>
      <c r="K139" s="112" t="s">
        <v>4</v>
      </c>
      <c r="L139" s="112" t="s">
        <v>33</v>
      </c>
      <c r="M139" s="112" t="s">
        <v>34</v>
      </c>
      <c r="N139" s="113">
        <v>14</v>
      </c>
      <c r="O139" s="24" t="s">
        <v>78</v>
      </c>
      <c r="P139" s="24" t="s">
        <v>61</v>
      </c>
      <c r="Q139" s="24" t="s">
        <v>62</v>
      </c>
      <c r="R139" s="24" t="s">
        <v>748</v>
      </c>
      <c r="S139" s="97">
        <v>25569.590277777799</v>
      </c>
      <c r="T139" s="97">
        <v>25569.930555555598</v>
      </c>
      <c r="U139" s="24"/>
      <c r="V139" s="96">
        <v>43035</v>
      </c>
      <c r="W139" s="95" t="s">
        <v>81</v>
      </c>
    </row>
    <row r="140" spans="2:23" s="16" customFormat="1" ht="62.45" customHeight="1" x14ac:dyDescent="0.2">
      <c r="B140" s="106">
        <v>42878</v>
      </c>
      <c r="C140" s="103">
        <v>25569.520833333299</v>
      </c>
      <c r="D140" s="105" t="s">
        <v>749</v>
      </c>
      <c r="E140" s="31" t="s">
        <v>750</v>
      </c>
      <c r="F140" s="31" t="s">
        <v>486</v>
      </c>
      <c r="G140" s="104">
        <v>42</v>
      </c>
      <c r="H140" s="105" t="s">
        <v>751</v>
      </c>
      <c r="I140" s="105" t="s">
        <v>1405</v>
      </c>
      <c r="J140" s="105" t="s">
        <v>3</v>
      </c>
      <c r="K140" s="112" t="s">
        <v>4</v>
      </c>
      <c r="L140" s="112" t="s">
        <v>34</v>
      </c>
      <c r="M140" s="112" t="s">
        <v>34</v>
      </c>
      <c r="N140" s="113"/>
      <c r="O140" s="31" t="s">
        <v>78</v>
      </c>
      <c r="P140" s="31" t="s">
        <v>61</v>
      </c>
      <c r="Q140" s="31" t="s">
        <v>71</v>
      </c>
      <c r="R140" s="31" t="s">
        <v>752</v>
      </c>
      <c r="S140" s="103">
        <v>25569.25</v>
      </c>
      <c r="T140" s="103">
        <v>25569.617361111101</v>
      </c>
      <c r="U140" s="31"/>
      <c r="V140" s="102"/>
      <c r="W140" s="101" t="s">
        <v>73</v>
      </c>
    </row>
    <row r="141" spans="2:23" s="16" customFormat="1" ht="62.45" customHeight="1" x14ac:dyDescent="0.2">
      <c r="B141" s="100">
        <v>42878</v>
      </c>
      <c r="C141" s="97">
        <v>25569.729166666701</v>
      </c>
      <c r="D141" s="99" t="s">
        <v>753</v>
      </c>
      <c r="E141" s="24" t="s">
        <v>754</v>
      </c>
      <c r="F141" s="24" t="s">
        <v>118</v>
      </c>
      <c r="G141" s="98">
        <v>24</v>
      </c>
      <c r="H141" s="99" t="s">
        <v>755</v>
      </c>
      <c r="I141" s="99" t="s">
        <v>1439</v>
      </c>
      <c r="J141" s="99" t="s">
        <v>3</v>
      </c>
      <c r="K141" s="112" t="s">
        <v>4</v>
      </c>
      <c r="L141" s="112" t="s">
        <v>34</v>
      </c>
      <c r="M141" s="112" t="s">
        <v>34</v>
      </c>
      <c r="N141" s="113"/>
      <c r="O141" s="24" t="s">
        <v>78</v>
      </c>
      <c r="P141" s="24" t="s">
        <v>121</v>
      </c>
      <c r="Q141" s="24" t="s">
        <v>158</v>
      </c>
      <c r="R141" s="24" t="s">
        <v>757</v>
      </c>
      <c r="S141" s="97">
        <v>25569.597916666698</v>
      </c>
      <c r="T141" s="97">
        <v>25569.927083333299</v>
      </c>
      <c r="U141" s="24"/>
      <c r="V141" s="96"/>
      <c r="W141" s="95" t="s">
        <v>73</v>
      </c>
    </row>
    <row r="142" spans="2:23" s="16" customFormat="1" ht="51.75" customHeight="1" x14ac:dyDescent="0.2">
      <c r="B142" s="106">
        <v>42879</v>
      </c>
      <c r="C142" s="103">
        <v>25569.291666666701</v>
      </c>
      <c r="D142" s="105" t="s">
        <v>758</v>
      </c>
      <c r="E142" s="31" t="s">
        <v>759</v>
      </c>
      <c r="F142" s="31" t="s">
        <v>760</v>
      </c>
      <c r="G142" s="104">
        <v>24</v>
      </c>
      <c r="H142" s="105" t="s">
        <v>761</v>
      </c>
      <c r="I142" s="105" t="s">
        <v>1440</v>
      </c>
      <c r="J142" s="105" t="s">
        <v>3</v>
      </c>
      <c r="K142" s="112" t="s">
        <v>1404</v>
      </c>
      <c r="L142" s="112" t="s">
        <v>34</v>
      </c>
      <c r="M142" s="112" t="s">
        <v>34</v>
      </c>
      <c r="N142" s="113"/>
      <c r="O142" s="31" t="s">
        <v>87</v>
      </c>
      <c r="P142" s="31" t="s">
        <v>1407</v>
      </c>
      <c r="Q142" s="31" t="s">
        <v>8</v>
      </c>
      <c r="R142" s="31" t="s">
        <v>763</v>
      </c>
      <c r="S142" s="103">
        <v>25569.3125</v>
      </c>
      <c r="T142" s="103">
        <v>25569.645833333299</v>
      </c>
      <c r="U142" s="31"/>
      <c r="V142" s="102"/>
      <c r="W142" s="101" t="s">
        <v>73</v>
      </c>
    </row>
    <row r="143" spans="2:23" s="16" customFormat="1" ht="41.1" customHeight="1" x14ac:dyDescent="0.2">
      <c r="B143" s="100">
        <v>42879</v>
      </c>
      <c r="C143" s="97">
        <v>25569.958333333299</v>
      </c>
      <c r="D143" s="99" t="s">
        <v>764</v>
      </c>
      <c r="E143" s="24" t="s">
        <v>765</v>
      </c>
      <c r="F143" s="24" t="s">
        <v>766</v>
      </c>
      <c r="G143" s="98">
        <v>42</v>
      </c>
      <c r="H143" s="99" t="s">
        <v>767</v>
      </c>
      <c r="I143" s="99" t="s">
        <v>1405</v>
      </c>
      <c r="J143" s="99" t="s">
        <v>3</v>
      </c>
      <c r="K143" s="112" t="s">
        <v>4</v>
      </c>
      <c r="L143" s="112" t="s">
        <v>34</v>
      </c>
      <c r="M143" s="112" t="s">
        <v>34</v>
      </c>
      <c r="N143" s="113"/>
      <c r="O143" s="24" t="s">
        <v>405</v>
      </c>
      <c r="P143" s="24" t="s">
        <v>61</v>
      </c>
      <c r="Q143" s="24" t="s">
        <v>62</v>
      </c>
      <c r="R143" s="24" t="s">
        <v>768</v>
      </c>
      <c r="S143" s="97">
        <v>25569.916666666701</v>
      </c>
      <c r="T143" s="97">
        <v>25569.261805555601</v>
      </c>
      <c r="U143" s="24"/>
      <c r="V143" s="96"/>
      <c r="W143" s="95" t="s">
        <v>73</v>
      </c>
    </row>
    <row r="144" spans="2:23" s="16" customFormat="1" ht="41.1" customHeight="1" x14ac:dyDescent="0.2">
      <c r="B144" s="106">
        <v>42880</v>
      </c>
      <c r="C144" s="103">
        <v>25569.395833333299</v>
      </c>
      <c r="D144" s="105" t="s">
        <v>769</v>
      </c>
      <c r="E144" s="31" t="s">
        <v>770</v>
      </c>
      <c r="F144" s="31" t="s">
        <v>403</v>
      </c>
      <c r="G144" s="104">
        <v>39</v>
      </c>
      <c r="H144" s="105" t="s">
        <v>771</v>
      </c>
      <c r="I144" s="105" t="s">
        <v>1421</v>
      </c>
      <c r="J144" s="105" t="s">
        <v>3</v>
      </c>
      <c r="K144" s="112" t="s">
        <v>4</v>
      </c>
      <c r="L144" s="112" t="s">
        <v>33</v>
      </c>
      <c r="M144" s="112" t="s">
        <v>34</v>
      </c>
      <c r="N144" s="113">
        <v>38</v>
      </c>
      <c r="O144" s="31" t="s">
        <v>133</v>
      </c>
      <c r="P144" s="31" t="s">
        <v>61</v>
      </c>
      <c r="Q144" s="31" t="s">
        <v>8</v>
      </c>
      <c r="R144" s="31" t="s">
        <v>772</v>
      </c>
      <c r="S144" s="103">
        <v>25569.270833333299</v>
      </c>
      <c r="T144" s="103">
        <v>25569.604166666701</v>
      </c>
      <c r="U144" s="31"/>
      <c r="V144" s="102"/>
      <c r="W144" s="101" t="s">
        <v>81</v>
      </c>
    </row>
    <row r="145" spans="2:23" s="16" customFormat="1" ht="51.75" customHeight="1" x14ac:dyDescent="0.2">
      <c r="B145" s="100">
        <v>42880</v>
      </c>
      <c r="C145" s="97">
        <v>25569.631944444402</v>
      </c>
      <c r="D145" s="99" t="s">
        <v>773</v>
      </c>
      <c r="E145" s="24" t="s">
        <v>774</v>
      </c>
      <c r="F145" s="24" t="s">
        <v>775</v>
      </c>
      <c r="G145" s="98">
        <v>42</v>
      </c>
      <c r="H145" s="99" t="s">
        <v>776</v>
      </c>
      <c r="I145" s="99" t="s">
        <v>1441</v>
      </c>
      <c r="J145" s="99" t="s">
        <v>3</v>
      </c>
      <c r="K145" s="112" t="s">
        <v>4</v>
      </c>
      <c r="L145" s="112" t="s">
        <v>33</v>
      </c>
      <c r="M145" s="112" t="s">
        <v>34</v>
      </c>
      <c r="N145" s="113">
        <v>100</v>
      </c>
      <c r="O145" s="24" t="s">
        <v>69</v>
      </c>
      <c r="P145" s="24" t="s">
        <v>61</v>
      </c>
      <c r="Q145" s="24" t="s">
        <v>8</v>
      </c>
      <c r="R145" s="24" t="s">
        <v>778</v>
      </c>
      <c r="S145" s="97">
        <v>25569.628472222201</v>
      </c>
      <c r="T145" s="97">
        <v>25569.993055555598</v>
      </c>
      <c r="U145" s="24"/>
      <c r="V145" s="96"/>
      <c r="W145" s="95" t="s">
        <v>81</v>
      </c>
    </row>
    <row r="146" spans="2:23" s="16" customFormat="1" ht="62.45" customHeight="1" x14ac:dyDescent="0.2">
      <c r="B146" s="106">
        <v>42883</v>
      </c>
      <c r="C146" s="103">
        <v>25569.25</v>
      </c>
      <c r="D146" s="105" t="s">
        <v>779</v>
      </c>
      <c r="E146" s="31" t="s">
        <v>780</v>
      </c>
      <c r="F146" s="31" t="s">
        <v>781</v>
      </c>
      <c r="G146" s="104">
        <v>39</v>
      </c>
      <c r="H146" s="105" t="s">
        <v>782</v>
      </c>
      <c r="I146" s="105" t="s">
        <v>1424</v>
      </c>
      <c r="J146" s="105" t="s">
        <v>3</v>
      </c>
      <c r="K146" s="112" t="s">
        <v>4</v>
      </c>
      <c r="L146" s="112" t="s">
        <v>33</v>
      </c>
      <c r="M146" s="112" t="s">
        <v>34</v>
      </c>
      <c r="N146" s="113">
        <v>1</v>
      </c>
      <c r="O146" s="31" t="s">
        <v>78</v>
      </c>
      <c r="P146" s="31" t="s">
        <v>61</v>
      </c>
      <c r="Q146" s="31" t="s">
        <v>62</v>
      </c>
      <c r="R146" s="31" t="s">
        <v>783</v>
      </c>
      <c r="S146" s="103">
        <v>25569.229166666701</v>
      </c>
      <c r="T146" s="103">
        <v>25569.625</v>
      </c>
      <c r="U146" s="31"/>
      <c r="V146" s="102"/>
      <c r="W146" s="101" t="s">
        <v>81</v>
      </c>
    </row>
    <row r="147" spans="2:23" s="16" customFormat="1" ht="51.75" customHeight="1" x14ac:dyDescent="0.2">
      <c r="B147" s="100">
        <v>42884</v>
      </c>
      <c r="C147" s="97">
        <v>25569.322916666701</v>
      </c>
      <c r="D147" s="99" t="s">
        <v>784</v>
      </c>
      <c r="E147" s="24" t="s">
        <v>785</v>
      </c>
      <c r="F147" s="24" t="s">
        <v>786</v>
      </c>
      <c r="G147" s="98">
        <v>22</v>
      </c>
      <c r="H147" s="99" t="s">
        <v>787</v>
      </c>
      <c r="I147" s="99" t="s">
        <v>1433</v>
      </c>
      <c r="J147" s="99" t="s">
        <v>3</v>
      </c>
      <c r="K147" s="112" t="s">
        <v>4</v>
      </c>
      <c r="L147" s="112" t="s">
        <v>34</v>
      </c>
      <c r="M147" s="112" t="s">
        <v>34</v>
      </c>
      <c r="N147" s="113"/>
      <c r="O147" s="24" t="s">
        <v>597</v>
      </c>
      <c r="P147" s="24" t="s">
        <v>121</v>
      </c>
      <c r="Q147" s="24" t="s">
        <v>158</v>
      </c>
      <c r="R147" s="24" t="s">
        <v>788</v>
      </c>
      <c r="S147" s="97">
        <v>25569.25</v>
      </c>
      <c r="T147" s="97">
        <v>25569.548611111099</v>
      </c>
      <c r="U147" s="24"/>
      <c r="V147" s="96"/>
      <c r="W147" s="95" t="s">
        <v>73</v>
      </c>
    </row>
    <row r="148" spans="2:23" s="16" customFormat="1" ht="51.75" customHeight="1" x14ac:dyDescent="0.2">
      <c r="B148" s="106">
        <v>42885</v>
      </c>
      <c r="C148" s="103">
        <v>25569.083333333299</v>
      </c>
      <c r="D148" s="105" t="s">
        <v>789</v>
      </c>
      <c r="E148" s="31" t="s">
        <v>790</v>
      </c>
      <c r="F148" s="31" t="s">
        <v>131</v>
      </c>
      <c r="G148" s="104">
        <v>40</v>
      </c>
      <c r="H148" s="105" t="s">
        <v>791</v>
      </c>
      <c r="I148" s="105" t="s">
        <v>1403</v>
      </c>
      <c r="J148" s="105" t="s">
        <v>3</v>
      </c>
      <c r="K148" s="112" t="s">
        <v>4</v>
      </c>
      <c r="L148" s="112" t="s">
        <v>34</v>
      </c>
      <c r="M148" s="112" t="s">
        <v>33</v>
      </c>
      <c r="N148" s="113"/>
      <c r="O148" s="31" t="s">
        <v>78</v>
      </c>
      <c r="P148" s="31" t="s">
        <v>61</v>
      </c>
      <c r="Q148" s="31" t="s">
        <v>79</v>
      </c>
      <c r="R148" s="31" t="s">
        <v>792</v>
      </c>
      <c r="S148" s="103">
        <v>25569.958333333299</v>
      </c>
      <c r="T148" s="103">
        <v>25569.266666666699</v>
      </c>
      <c r="U148" s="31"/>
      <c r="V148" s="102"/>
      <c r="W148" s="101"/>
    </row>
    <row r="149" spans="2:23" s="16" customFormat="1" ht="41.1" customHeight="1" x14ac:dyDescent="0.2">
      <c r="B149" s="100">
        <v>42885</v>
      </c>
      <c r="C149" s="97">
        <v>25569.416666666701</v>
      </c>
      <c r="D149" s="99" t="s">
        <v>793</v>
      </c>
      <c r="E149" s="24" t="s">
        <v>794</v>
      </c>
      <c r="F149" s="24" t="s">
        <v>795</v>
      </c>
      <c r="G149" s="98">
        <v>38</v>
      </c>
      <c r="H149" s="99" t="s">
        <v>796</v>
      </c>
      <c r="I149" s="99" t="s">
        <v>1405</v>
      </c>
      <c r="J149" s="99" t="s">
        <v>3</v>
      </c>
      <c r="K149" s="112" t="s">
        <v>4</v>
      </c>
      <c r="L149" s="112" t="s">
        <v>33</v>
      </c>
      <c r="M149" s="112" t="s">
        <v>34</v>
      </c>
      <c r="N149" s="113">
        <v>20</v>
      </c>
      <c r="O149" s="24" t="s">
        <v>78</v>
      </c>
      <c r="P149" s="24" t="s">
        <v>61</v>
      </c>
      <c r="Q149" s="24" t="s">
        <v>62</v>
      </c>
      <c r="R149" s="24" t="s">
        <v>797</v>
      </c>
      <c r="S149" s="97">
        <v>25569.263888888901</v>
      </c>
      <c r="T149" s="97">
        <v>25569.592361111099</v>
      </c>
      <c r="U149" s="24"/>
      <c r="V149" s="96"/>
      <c r="W149" s="95" t="s">
        <v>81</v>
      </c>
    </row>
    <row r="150" spans="2:23" s="16" customFormat="1" ht="62.45" customHeight="1" x14ac:dyDescent="0.2">
      <c r="B150" s="106">
        <v>42885</v>
      </c>
      <c r="C150" s="103">
        <v>25569.4375</v>
      </c>
      <c r="D150" s="105" t="s">
        <v>798</v>
      </c>
      <c r="E150" s="31" t="s">
        <v>799</v>
      </c>
      <c r="F150" s="31" t="s">
        <v>223</v>
      </c>
      <c r="G150" s="104">
        <v>36</v>
      </c>
      <c r="H150" s="105" t="s">
        <v>800</v>
      </c>
      <c r="I150" s="105" t="s">
        <v>1405</v>
      </c>
      <c r="J150" s="105" t="s">
        <v>3</v>
      </c>
      <c r="K150" s="112" t="s">
        <v>4</v>
      </c>
      <c r="L150" s="112" t="s">
        <v>33</v>
      </c>
      <c r="M150" s="112" t="s">
        <v>34</v>
      </c>
      <c r="N150" s="113">
        <v>55</v>
      </c>
      <c r="O150" s="31" t="s">
        <v>78</v>
      </c>
      <c r="P150" s="31" t="s">
        <v>187</v>
      </c>
      <c r="Q150" s="31" t="s">
        <v>71</v>
      </c>
      <c r="R150" s="31" t="s">
        <v>801</v>
      </c>
      <c r="S150" s="103">
        <v>25569.305555555598</v>
      </c>
      <c r="T150" s="103">
        <v>25569.6472222222</v>
      </c>
      <c r="U150" s="31"/>
      <c r="V150" s="102"/>
      <c r="W150" s="101" t="s">
        <v>81</v>
      </c>
    </row>
    <row r="151" spans="2:23" s="16" customFormat="1" ht="51.75" customHeight="1" x14ac:dyDescent="0.2">
      <c r="B151" s="100">
        <v>42885</v>
      </c>
      <c r="C151" s="97">
        <v>25569.513888888901</v>
      </c>
      <c r="D151" s="99" t="s">
        <v>802</v>
      </c>
      <c r="E151" s="24" t="s">
        <v>531</v>
      </c>
      <c r="F151" s="24" t="s">
        <v>803</v>
      </c>
      <c r="G151" s="98">
        <v>53</v>
      </c>
      <c r="H151" s="99" t="s">
        <v>804</v>
      </c>
      <c r="I151" s="99" t="s">
        <v>1442</v>
      </c>
      <c r="J151" s="99" t="s">
        <v>3</v>
      </c>
      <c r="K151" s="112" t="s">
        <v>4</v>
      </c>
      <c r="L151" s="112" t="s">
        <v>34</v>
      </c>
      <c r="M151" s="112" t="s">
        <v>34</v>
      </c>
      <c r="N151" s="113"/>
      <c r="O151" s="24" t="s">
        <v>60</v>
      </c>
      <c r="P151" s="24" t="s">
        <v>61</v>
      </c>
      <c r="Q151" s="24" t="s">
        <v>158</v>
      </c>
      <c r="R151" s="24" t="s">
        <v>806</v>
      </c>
      <c r="S151" s="97">
        <v>25569.333333333299</v>
      </c>
      <c r="T151" s="97">
        <v>25569.65625</v>
      </c>
      <c r="U151" s="24"/>
      <c r="V151" s="96"/>
      <c r="W151" s="95" t="s">
        <v>73</v>
      </c>
    </row>
    <row r="152" spans="2:23" s="16" customFormat="1" ht="41.1" customHeight="1" x14ac:dyDescent="0.2">
      <c r="B152" s="106">
        <v>42886</v>
      </c>
      <c r="C152" s="103">
        <v>25569.125</v>
      </c>
      <c r="D152" s="105" t="s">
        <v>807</v>
      </c>
      <c r="E152" s="31" t="s">
        <v>35</v>
      </c>
      <c r="F152" s="31" t="s">
        <v>808</v>
      </c>
      <c r="G152" s="104">
        <v>51</v>
      </c>
      <c r="H152" s="105" t="s">
        <v>809</v>
      </c>
      <c r="I152" s="105" t="s">
        <v>1443</v>
      </c>
      <c r="J152" s="105" t="s">
        <v>3</v>
      </c>
      <c r="K152" s="112" t="s">
        <v>4</v>
      </c>
      <c r="L152" s="112" t="s">
        <v>34</v>
      </c>
      <c r="M152" s="112" t="s">
        <v>34</v>
      </c>
      <c r="N152" s="113"/>
      <c r="O152" s="31" t="s">
        <v>69</v>
      </c>
      <c r="P152" s="31" t="s">
        <v>61</v>
      </c>
      <c r="Q152" s="31" t="s">
        <v>114</v>
      </c>
      <c r="R152" s="31" t="s">
        <v>811</v>
      </c>
      <c r="S152" s="103">
        <v>25569.291666666701</v>
      </c>
      <c r="T152" s="103">
        <v>25569.797222222202</v>
      </c>
      <c r="U152" s="31"/>
      <c r="V152" s="102"/>
      <c r="W152" s="101"/>
    </row>
    <row r="153" spans="2:23" s="16" customFormat="1" ht="41.1" customHeight="1" x14ac:dyDescent="0.2">
      <c r="B153" s="100">
        <v>42886</v>
      </c>
      <c r="C153" s="97">
        <v>25569.333333333299</v>
      </c>
      <c r="D153" s="99" t="s">
        <v>812</v>
      </c>
      <c r="E153" s="24" t="s">
        <v>813</v>
      </c>
      <c r="F153" s="24" t="s">
        <v>57</v>
      </c>
      <c r="G153" s="98">
        <v>50</v>
      </c>
      <c r="H153" s="99" t="s">
        <v>814</v>
      </c>
      <c r="I153" s="99" t="s">
        <v>1405</v>
      </c>
      <c r="J153" s="99" t="s">
        <v>3</v>
      </c>
      <c r="K153" s="112" t="s">
        <v>4</v>
      </c>
      <c r="L153" s="112" t="s">
        <v>33</v>
      </c>
      <c r="M153" s="112" t="s">
        <v>34</v>
      </c>
      <c r="N153" s="113">
        <v>8</v>
      </c>
      <c r="O153" s="24" t="s">
        <v>78</v>
      </c>
      <c r="P153" s="24" t="s">
        <v>61</v>
      </c>
      <c r="Q153" s="24" t="s">
        <v>62</v>
      </c>
      <c r="R153" s="24" t="s">
        <v>815</v>
      </c>
      <c r="S153" s="97">
        <v>25569.263888888901</v>
      </c>
      <c r="T153" s="97">
        <v>25569.592361111099</v>
      </c>
      <c r="U153" s="24"/>
      <c r="V153" s="96"/>
      <c r="W153" s="95" t="s">
        <v>81</v>
      </c>
    </row>
    <row r="154" spans="2:23" s="16" customFormat="1" ht="51.75" customHeight="1" x14ac:dyDescent="0.2">
      <c r="B154" s="106">
        <v>42886</v>
      </c>
      <c r="C154" s="103">
        <v>25569.875</v>
      </c>
      <c r="D154" s="105" t="s">
        <v>816</v>
      </c>
      <c r="E154" s="31" t="s">
        <v>817</v>
      </c>
      <c r="F154" s="31" t="s">
        <v>818</v>
      </c>
      <c r="G154" s="104">
        <v>30</v>
      </c>
      <c r="H154" s="105" t="s">
        <v>819</v>
      </c>
      <c r="I154" s="105" t="s">
        <v>1405</v>
      </c>
      <c r="J154" s="105" t="s">
        <v>3</v>
      </c>
      <c r="K154" s="112" t="s">
        <v>4</v>
      </c>
      <c r="L154" s="112" t="s">
        <v>34</v>
      </c>
      <c r="M154" s="112" t="s">
        <v>34</v>
      </c>
      <c r="N154" s="113"/>
      <c r="O154" s="31" t="s">
        <v>78</v>
      </c>
      <c r="P154" s="31" t="s">
        <v>1407</v>
      </c>
      <c r="Q154" s="31" t="s">
        <v>114</v>
      </c>
      <c r="R154" s="31" t="s">
        <v>820</v>
      </c>
      <c r="S154" s="103">
        <v>25569.604166666701</v>
      </c>
      <c r="T154" s="103">
        <v>25569.972222222201</v>
      </c>
      <c r="U154" s="31"/>
      <c r="V154" s="102"/>
      <c r="W154" s="101" t="s">
        <v>73</v>
      </c>
    </row>
    <row r="155" spans="2:23" s="16" customFormat="1" ht="51.75" customHeight="1" x14ac:dyDescent="0.2">
      <c r="B155" s="100">
        <v>42887</v>
      </c>
      <c r="C155" s="97">
        <v>25569.729166666701</v>
      </c>
      <c r="D155" s="99" t="s">
        <v>821</v>
      </c>
      <c r="E155" s="24" t="s">
        <v>822</v>
      </c>
      <c r="F155" s="24" t="s">
        <v>247</v>
      </c>
      <c r="G155" s="98">
        <v>47</v>
      </c>
      <c r="H155" s="99" t="s">
        <v>823</v>
      </c>
      <c r="I155" s="99" t="s">
        <v>1421</v>
      </c>
      <c r="J155" s="99" t="s">
        <v>3</v>
      </c>
      <c r="K155" s="112" t="s">
        <v>4</v>
      </c>
      <c r="L155" s="112" t="s">
        <v>33</v>
      </c>
      <c r="M155" s="112" t="s">
        <v>34</v>
      </c>
      <c r="N155" s="113">
        <v>1</v>
      </c>
      <c r="O155" s="24" t="s">
        <v>60</v>
      </c>
      <c r="P155" s="24" t="s">
        <v>187</v>
      </c>
      <c r="Q155" s="24" t="s">
        <v>122</v>
      </c>
      <c r="R155" s="24" t="s">
        <v>824</v>
      </c>
      <c r="S155" s="97">
        <v>25569.583333333299</v>
      </c>
      <c r="T155" s="97">
        <v>25569.931250000001</v>
      </c>
      <c r="U155" s="24"/>
      <c r="V155" s="96"/>
      <c r="W155" s="95" t="s">
        <v>81</v>
      </c>
    </row>
    <row r="156" spans="2:23" s="16" customFormat="1" ht="83.65" customHeight="1" x14ac:dyDescent="0.2">
      <c r="B156" s="106">
        <v>42888</v>
      </c>
      <c r="C156" s="103">
        <v>25569.326388888901</v>
      </c>
      <c r="D156" s="105" t="s">
        <v>825</v>
      </c>
      <c r="E156" s="31" t="s">
        <v>826</v>
      </c>
      <c r="F156" s="31" t="s">
        <v>369</v>
      </c>
      <c r="G156" s="104">
        <v>38</v>
      </c>
      <c r="H156" s="105" t="s">
        <v>827</v>
      </c>
      <c r="I156" s="105" t="s">
        <v>1406</v>
      </c>
      <c r="J156" s="105" t="s">
        <v>3</v>
      </c>
      <c r="K156" s="112" t="s">
        <v>1404</v>
      </c>
      <c r="L156" s="112" t="s">
        <v>34</v>
      </c>
      <c r="M156" s="112" t="s">
        <v>34</v>
      </c>
      <c r="N156" s="113"/>
      <c r="O156" s="31" t="s">
        <v>87</v>
      </c>
      <c r="P156" s="31" t="s">
        <v>1407</v>
      </c>
      <c r="Q156" s="31" t="s">
        <v>62</v>
      </c>
      <c r="R156" s="34" t="s">
        <v>828</v>
      </c>
      <c r="S156" s="103">
        <v>25569.333333333299</v>
      </c>
      <c r="T156" s="103">
        <v>25569.6875</v>
      </c>
      <c r="U156" s="31"/>
      <c r="V156" s="102"/>
      <c r="W156" s="101" t="s">
        <v>81</v>
      </c>
    </row>
    <row r="157" spans="2:23" s="16" customFormat="1" ht="51.75" customHeight="1" x14ac:dyDescent="0.2">
      <c r="B157" s="100">
        <v>42888</v>
      </c>
      <c r="C157" s="97">
        <v>25569.336111111101</v>
      </c>
      <c r="D157" s="99" t="s">
        <v>829</v>
      </c>
      <c r="E157" s="24" t="s">
        <v>830</v>
      </c>
      <c r="F157" s="24" t="s">
        <v>831</v>
      </c>
      <c r="G157" s="98">
        <v>50</v>
      </c>
      <c r="H157" s="99" t="s">
        <v>832</v>
      </c>
      <c r="I157" s="99" t="s">
        <v>1417</v>
      </c>
      <c r="J157" s="99" t="s">
        <v>3</v>
      </c>
      <c r="K157" s="112" t="s">
        <v>4</v>
      </c>
      <c r="L157" s="112" t="s">
        <v>33</v>
      </c>
      <c r="M157" s="112" t="s">
        <v>34</v>
      </c>
      <c r="N157" s="113">
        <v>50</v>
      </c>
      <c r="O157" s="24" t="s">
        <v>833</v>
      </c>
      <c r="P157" s="24" t="s">
        <v>1407</v>
      </c>
      <c r="Q157" s="24" t="s">
        <v>158</v>
      </c>
      <c r="R157" s="24" t="s">
        <v>834</v>
      </c>
      <c r="S157" s="97">
        <v>25569.256944444402</v>
      </c>
      <c r="T157" s="97">
        <v>25569.606250000001</v>
      </c>
      <c r="U157" s="24"/>
      <c r="V157" s="96"/>
      <c r="W157" s="95" t="s">
        <v>81</v>
      </c>
    </row>
    <row r="158" spans="2:23" s="16" customFormat="1" ht="41.1" customHeight="1" x14ac:dyDescent="0.2">
      <c r="B158" s="106">
        <v>42888</v>
      </c>
      <c r="C158" s="103">
        <v>25569.565972222201</v>
      </c>
      <c r="D158" s="105" t="s">
        <v>835</v>
      </c>
      <c r="E158" s="31" t="s">
        <v>836</v>
      </c>
      <c r="F158" s="31" t="s">
        <v>831</v>
      </c>
      <c r="G158" s="104">
        <v>57</v>
      </c>
      <c r="H158" s="105" t="s">
        <v>837</v>
      </c>
      <c r="I158" s="105" t="s">
        <v>1432</v>
      </c>
      <c r="J158" s="105" t="s">
        <v>3</v>
      </c>
      <c r="K158" s="112" t="s">
        <v>4</v>
      </c>
      <c r="L158" s="112" t="s">
        <v>33</v>
      </c>
      <c r="M158" s="112" t="s">
        <v>34</v>
      </c>
      <c r="N158" s="113">
        <v>23</v>
      </c>
      <c r="O158" s="31" t="s">
        <v>69</v>
      </c>
      <c r="P158" s="31" t="s">
        <v>88</v>
      </c>
      <c r="Q158" s="31" t="s">
        <v>8</v>
      </c>
      <c r="R158" s="31" t="s">
        <v>838</v>
      </c>
      <c r="S158" s="103">
        <v>25569.588888888899</v>
      </c>
      <c r="T158" s="103">
        <v>25569.947916666701</v>
      </c>
      <c r="U158" s="31"/>
      <c r="V158" s="102"/>
      <c r="W158" s="101" t="s">
        <v>81</v>
      </c>
    </row>
    <row r="159" spans="2:23" s="16" customFormat="1" ht="62.45" customHeight="1" x14ac:dyDescent="0.2">
      <c r="B159" s="100">
        <v>42891</v>
      </c>
      <c r="C159" s="97">
        <v>25569.583333333299</v>
      </c>
      <c r="D159" s="99" t="s">
        <v>839</v>
      </c>
      <c r="E159" s="24" t="s">
        <v>840</v>
      </c>
      <c r="F159" s="24" t="s">
        <v>604</v>
      </c>
      <c r="G159" s="98">
        <v>34</v>
      </c>
      <c r="H159" s="99" t="s">
        <v>841</v>
      </c>
      <c r="I159" s="99" t="s">
        <v>1413</v>
      </c>
      <c r="J159" s="99" t="s">
        <v>3</v>
      </c>
      <c r="K159" s="112" t="s">
        <v>1404</v>
      </c>
      <c r="L159" s="112" t="s">
        <v>33</v>
      </c>
      <c r="M159" s="112" t="s">
        <v>34</v>
      </c>
      <c r="N159" s="113">
        <v>176</v>
      </c>
      <c r="O159" s="24" t="s">
        <v>60</v>
      </c>
      <c r="P159" s="24" t="s">
        <v>6</v>
      </c>
      <c r="Q159" s="24" t="s">
        <v>1407</v>
      </c>
      <c r="R159" s="24" t="s">
        <v>842</v>
      </c>
      <c r="S159" s="97">
        <v>25569.21875</v>
      </c>
      <c r="T159" s="97">
        <v>25569.570138888899</v>
      </c>
      <c r="U159" s="24"/>
      <c r="V159" s="96"/>
      <c r="W159" s="95" t="s">
        <v>81</v>
      </c>
    </row>
    <row r="160" spans="2:23" s="16" customFormat="1" ht="51.75" customHeight="1" x14ac:dyDescent="0.2">
      <c r="B160" s="106">
        <v>42891</v>
      </c>
      <c r="C160" s="103">
        <v>25569.583333333299</v>
      </c>
      <c r="D160" s="105" t="s">
        <v>843</v>
      </c>
      <c r="E160" s="31" t="s">
        <v>844</v>
      </c>
      <c r="F160" s="31" t="s">
        <v>845</v>
      </c>
      <c r="G160" s="104">
        <v>42</v>
      </c>
      <c r="H160" s="105" t="s">
        <v>846</v>
      </c>
      <c r="I160" s="105" t="s">
        <v>1413</v>
      </c>
      <c r="J160" s="105" t="s">
        <v>3</v>
      </c>
      <c r="K160" s="112" t="s">
        <v>1404</v>
      </c>
      <c r="L160" s="112" t="s">
        <v>33</v>
      </c>
      <c r="M160" s="112" t="s">
        <v>34</v>
      </c>
      <c r="N160" s="113">
        <v>55</v>
      </c>
      <c r="O160" s="31" t="s">
        <v>60</v>
      </c>
      <c r="P160" s="31" t="s">
        <v>61</v>
      </c>
      <c r="Q160" s="31" t="s">
        <v>71</v>
      </c>
      <c r="R160" s="31" t="s">
        <v>847</v>
      </c>
      <c r="S160" s="103">
        <v>25569.21875</v>
      </c>
      <c r="T160" s="103">
        <v>25569.570138888899</v>
      </c>
      <c r="U160" s="31"/>
      <c r="V160" s="102"/>
      <c r="W160" s="101" t="s">
        <v>73</v>
      </c>
    </row>
    <row r="161" spans="2:23" s="16" customFormat="1" ht="41.1" customHeight="1" x14ac:dyDescent="0.2">
      <c r="B161" s="100">
        <v>42891</v>
      </c>
      <c r="C161" s="97">
        <v>25569.996527777799</v>
      </c>
      <c r="D161" s="99" t="s">
        <v>848</v>
      </c>
      <c r="E161" s="24" t="s">
        <v>849</v>
      </c>
      <c r="F161" s="24" t="s">
        <v>795</v>
      </c>
      <c r="G161" s="98">
        <v>36</v>
      </c>
      <c r="H161" s="99" t="s">
        <v>850</v>
      </c>
      <c r="I161" s="99" t="s">
        <v>1417</v>
      </c>
      <c r="J161" s="99" t="s">
        <v>3</v>
      </c>
      <c r="K161" s="112" t="s">
        <v>4</v>
      </c>
      <c r="L161" s="112" t="s">
        <v>34</v>
      </c>
      <c r="M161" s="112" t="s">
        <v>34</v>
      </c>
      <c r="N161" s="113"/>
      <c r="O161" s="24" t="s">
        <v>78</v>
      </c>
      <c r="P161" s="24" t="s">
        <v>289</v>
      </c>
      <c r="Q161" s="24" t="s">
        <v>146</v>
      </c>
      <c r="R161" s="24" t="s">
        <v>851</v>
      </c>
      <c r="S161" s="97">
        <v>25569.923611111099</v>
      </c>
      <c r="T161" s="97">
        <v>25569.260416666701</v>
      </c>
      <c r="U161" s="24"/>
      <c r="V161" s="96"/>
      <c r="W161" s="95"/>
    </row>
    <row r="162" spans="2:23" s="16" customFormat="1" ht="51.75" customHeight="1" x14ac:dyDescent="0.2">
      <c r="B162" s="106">
        <v>42893</v>
      </c>
      <c r="C162" s="103">
        <v>25569.569444444402</v>
      </c>
      <c r="D162" s="105" t="s">
        <v>852</v>
      </c>
      <c r="E162" s="31" t="s">
        <v>853</v>
      </c>
      <c r="F162" s="31" t="s">
        <v>854</v>
      </c>
      <c r="G162" s="104">
        <v>48</v>
      </c>
      <c r="H162" s="105" t="s">
        <v>855</v>
      </c>
      <c r="I162" s="105" t="s">
        <v>1417</v>
      </c>
      <c r="J162" s="105" t="s">
        <v>3</v>
      </c>
      <c r="K162" s="112" t="s">
        <v>4</v>
      </c>
      <c r="L162" s="112" t="s">
        <v>34</v>
      </c>
      <c r="M162" s="112" t="s">
        <v>33</v>
      </c>
      <c r="N162" s="113"/>
      <c r="O162" s="31" t="s">
        <v>60</v>
      </c>
      <c r="P162" s="31" t="s">
        <v>121</v>
      </c>
      <c r="Q162" s="31" t="s">
        <v>158</v>
      </c>
      <c r="R162" s="31" t="s">
        <v>856</v>
      </c>
      <c r="S162" s="103">
        <v>25569.25</v>
      </c>
      <c r="T162" s="103">
        <v>25569.601388888899</v>
      </c>
      <c r="U162" s="31"/>
      <c r="V162" s="102"/>
      <c r="W162" s="101"/>
    </row>
    <row r="163" spans="2:23" s="16" customFormat="1" ht="41.1" customHeight="1" x14ac:dyDescent="0.2">
      <c r="B163" s="100">
        <v>42894</v>
      </c>
      <c r="C163" s="97">
        <v>25569.354166666701</v>
      </c>
      <c r="D163" s="99" t="s">
        <v>857</v>
      </c>
      <c r="E163" s="24" t="s">
        <v>858</v>
      </c>
      <c r="F163" s="24" t="s">
        <v>660</v>
      </c>
      <c r="G163" s="98">
        <v>40</v>
      </c>
      <c r="H163" s="99" t="s">
        <v>859</v>
      </c>
      <c r="I163" s="99" t="s">
        <v>1405</v>
      </c>
      <c r="J163" s="99" t="s">
        <v>3</v>
      </c>
      <c r="K163" s="112" t="s">
        <v>4</v>
      </c>
      <c r="L163" s="112" t="s">
        <v>33</v>
      </c>
      <c r="M163" s="112" t="s">
        <v>34</v>
      </c>
      <c r="N163" s="113">
        <v>2</v>
      </c>
      <c r="O163" s="24" t="s">
        <v>60</v>
      </c>
      <c r="P163" s="24" t="s">
        <v>289</v>
      </c>
      <c r="Q163" s="24" t="s">
        <v>146</v>
      </c>
      <c r="R163" s="24" t="s">
        <v>860</v>
      </c>
      <c r="S163" s="97">
        <v>25569.25</v>
      </c>
      <c r="T163" s="97">
        <v>25569.618055555598</v>
      </c>
      <c r="U163" s="24"/>
      <c r="V163" s="96"/>
      <c r="W163" s="95"/>
    </row>
    <row r="164" spans="2:23" s="16" customFormat="1" ht="62.45" customHeight="1" x14ac:dyDescent="0.2">
      <c r="B164" s="106">
        <v>42897</v>
      </c>
      <c r="C164" s="103">
        <v>25569.447916666701</v>
      </c>
      <c r="D164" s="105" t="s">
        <v>861</v>
      </c>
      <c r="E164" s="31" t="s">
        <v>862</v>
      </c>
      <c r="F164" s="31" t="s">
        <v>863</v>
      </c>
      <c r="G164" s="104">
        <v>50</v>
      </c>
      <c r="H164" s="105" t="s">
        <v>864</v>
      </c>
      <c r="I164" s="105" t="s">
        <v>1405</v>
      </c>
      <c r="J164" s="105" t="s">
        <v>3</v>
      </c>
      <c r="K164" s="112" t="s">
        <v>4</v>
      </c>
      <c r="L164" s="112" t="s">
        <v>33</v>
      </c>
      <c r="M164" s="112" t="s">
        <v>34</v>
      </c>
      <c r="N164" s="113">
        <v>13</v>
      </c>
      <c r="O164" s="31" t="s">
        <v>87</v>
      </c>
      <c r="P164" s="31" t="s">
        <v>187</v>
      </c>
      <c r="Q164" s="31" t="s">
        <v>79</v>
      </c>
      <c r="R164" s="31" t="s">
        <v>865</v>
      </c>
      <c r="S164" s="103">
        <v>25569.25</v>
      </c>
      <c r="T164" s="103">
        <v>25569.617361111101</v>
      </c>
      <c r="U164" s="31"/>
      <c r="V164" s="102"/>
      <c r="W164" s="101" t="s">
        <v>81</v>
      </c>
    </row>
    <row r="165" spans="2:23" s="16" customFormat="1" ht="62.45" customHeight="1" x14ac:dyDescent="0.2">
      <c r="B165" s="100">
        <v>42897</v>
      </c>
      <c r="C165" s="97">
        <v>25569.447916666701</v>
      </c>
      <c r="D165" s="99" t="s">
        <v>866</v>
      </c>
      <c r="E165" s="24" t="s">
        <v>867</v>
      </c>
      <c r="F165" s="24" t="s">
        <v>258</v>
      </c>
      <c r="G165" s="98">
        <v>54</v>
      </c>
      <c r="H165" s="99" t="s">
        <v>868</v>
      </c>
      <c r="I165" s="99" t="s">
        <v>1405</v>
      </c>
      <c r="J165" s="99" t="s">
        <v>3</v>
      </c>
      <c r="K165" s="112" t="s">
        <v>4</v>
      </c>
      <c r="L165" s="112" t="s">
        <v>34</v>
      </c>
      <c r="M165" s="112" t="s">
        <v>34</v>
      </c>
      <c r="N165" s="113"/>
      <c r="O165" s="24" t="s">
        <v>87</v>
      </c>
      <c r="P165" s="24" t="s">
        <v>61</v>
      </c>
      <c r="Q165" s="24" t="s">
        <v>158</v>
      </c>
      <c r="R165" s="24" t="s">
        <v>869</v>
      </c>
      <c r="S165" s="97">
        <v>25569.25</v>
      </c>
      <c r="T165" s="97">
        <v>25569.617361111101</v>
      </c>
      <c r="U165" s="24"/>
      <c r="V165" s="96"/>
      <c r="W165" s="95"/>
    </row>
    <row r="166" spans="2:23" s="16" customFormat="1" ht="73.150000000000006" customHeight="1" x14ac:dyDescent="0.2">
      <c r="B166" s="106">
        <v>42897</v>
      </c>
      <c r="C166" s="103">
        <v>25569.625</v>
      </c>
      <c r="D166" s="105" t="s">
        <v>870</v>
      </c>
      <c r="E166" s="31" t="s">
        <v>871</v>
      </c>
      <c r="F166" s="31" t="s">
        <v>872</v>
      </c>
      <c r="G166" s="104">
        <v>34</v>
      </c>
      <c r="H166" s="105" t="s">
        <v>873</v>
      </c>
      <c r="I166" s="105" t="s">
        <v>1405</v>
      </c>
      <c r="J166" s="105" t="s">
        <v>3</v>
      </c>
      <c r="K166" s="112" t="s">
        <v>4</v>
      </c>
      <c r="L166" s="112" t="s">
        <v>34</v>
      </c>
      <c r="M166" s="112" t="s">
        <v>34</v>
      </c>
      <c r="N166" s="113"/>
      <c r="O166" s="31" t="s">
        <v>133</v>
      </c>
      <c r="P166" s="31" t="s">
        <v>61</v>
      </c>
      <c r="Q166" s="31" t="s">
        <v>71</v>
      </c>
      <c r="R166" s="34" t="s">
        <v>874</v>
      </c>
      <c r="S166" s="103">
        <v>25569.603472222199</v>
      </c>
      <c r="T166" s="103">
        <v>25569.999305555601</v>
      </c>
      <c r="U166" s="31"/>
      <c r="V166" s="102"/>
      <c r="W166" s="101"/>
    </row>
    <row r="167" spans="2:23" s="16" customFormat="1" ht="62.45" customHeight="1" x14ac:dyDescent="0.2">
      <c r="B167" s="100">
        <v>42899</v>
      </c>
      <c r="C167" s="97">
        <v>25569.020833333299</v>
      </c>
      <c r="D167" s="99" t="s">
        <v>875</v>
      </c>
      <c r="E167" s="24" t="s">
        <v>876</v>
      </c>
      <c r="F167" s="24" t="s">
        <v>877</v>
      </c>
      <c r="G167" s="98">
        <v>32</v>
      </c>
      <c r="H167" s="99" t="s">
        <v>878</v>
      </c>
      <c r="I167" s="99" t="s">
        <v>1439</v>
      </c>
      <c r="J167" s="99" t="s">
        <v>3</v>
      </c>
      <c r="K167" s="112" t="s">
        <v>4</v>
      </c>
      <c r="L167" s="112" t="s">
        <v>34</v>
      </c>
      <c r="M167" s="112" t="s">
        <v>34</v>
      </c>
      <c r="N167" s="113"/>
      <c r="O167" s="24" t="s">
        <v>78</v>
      </c>
      <c r="P167" s="24" t="s">
        <v>121</v>
      </c>
      <c r="Q167" s="24" t="s">
        <v>122</v>
      </c>
      <c r="R167" s="24" t="s">
        <v>879</v>
      </c>
      <c r="S167" s="97">
        <v>25569.600694444402</v>
      </c>
      <c r="T167" s="97">
        <v>25569.029861111099</v>
      </c>
      <c r="U167" s="24"/>
      <c r="V167" s="96"/>
      <c r="W167" s="95" t="s">
        <v>73</v>
      </c>
    </row>
    <row r="168" spans="2:23" s="16" customFormat="1" ht="41.1" customHeight="1" x14ac:dyDescent="0.2">
      <c r="B168" s="106">
        <v>42899</v>
      </c>
      <c r="C168" s="103">
        <v>25569.3125</v>
      </c>
      <c r="D168" s="105" t="s">
        <v>880</v>
      </c>
      <c r="E168" s="31" t="s">
        <v>881</v>
      </c>
      <c r="F168" s="31" t="s">
        <v>808</v>
      </c>
      <c r="G168" s="104">
        <v>30</v>
      </c>
      <c r="H168" s="105" t="s">
        <v>882</v>
      </c>
      <c r="I168" s="105" t="s">
        <v>1421</v>
      </c>
      <c r="J168" s="105" t="s">
        <v>3</v>
      </c>
      <c r="K168" s="112" t="s">
        <v>4</v>
      </c>
      <c r="L168" s="112" t="s">
        <v>34</v>
      </c>
      <c r="M168" s="112" t="s">
        <v>34</v>
      </c>
      <c r="N168" s="113"/>
      <c r="O168" s="31" t="s">
        <v>78</v>
      </c>
      <c r="P168" s="31" t="s">
        <v>1407</v>
      </c>
      <c r="Q168" s="31" t="s">
        <v>79</v>
      </c>
      <c r="R168" s="31" t="s">
        <v>883</v>
      </c>
      <c r="S168" s="103">
        <v>25569.25</v>
      </c>
      <c r="T168" s="103">
        <v>25569.597916666698</v>
      </c>
      <c r="U168" s="31"/>
      <c r="V168" s="102"/>
      <c r="W168" s="101" t="s">
        <v>81</v>
      </c>
    </row>
    <row r="169" spans="2:23" s="16" customFormat="1" ht="41.1" customHeight="1" x14ac:dyDescent="0.2">
      <c r="B169" s="100">
        <v>42899</v>
      </c>
      <c r="C169" s="97">
        <v>25569.375</v>
      </c>
      <c r="D169" s="99" t="s">
        <v>884</v>
      </c>
      <c r="E169" s="24" t="s">
        <v>885</v>
      </c>
      <c r="F169" s="24" t="s">
        <v>118</v>
      </c>
      <c r="G169" s="98">
        <v>39</v>
      </c>
      <c r="H169" s="99" t="s">
        <v>886</v>
      </c>
      <c r="I169" s="99" t="s">
        <v>1405</v>
      </c>
      <c r="J169" s="99" t="s">
        <v>3</v>
      </c>
      <c r="K169" s="112" t="s">
        <v>4</v>
      </c>
      <c r="L169" s="112" t="s">
        <v>34</v>
      </c>
      <c r="M169" s="112" t="s">
        <v>34</v>
      </c>
      <c r="N169" s="113"/>
      <c r="O169" s="24" t="s">
        <v>69</v>
      </c>
      <c r="P169" s="24" t="s">
        <v>61</v>
      </c>
      <c r="Q169" s="24" t="s">
        <v>71</v>
      </c>
      <c r="R169" s="24" t="s">
        <v>887</v>
      </c>
      <c r="S169" s="97">
        <v>25569.28125</v>
      </c>
      <c r="T169" s="97">
        <v>25569.649305555598</v>
      </c>
      <c r="U169" s="24"/>
      <c r="V169" s="96"/>
      <c r="W169" s="95" t="s">
        <v>81</v>
      </c>
    </row>
    <row r="170" spans="2:23" s="16" customFormat="1" ht="51.75" customHeight="1" x14ac:dyDescent="0.2">
      <c r="B170" s="106">
        <v>42900</v>
      </c>
      <c r="C170" s="103">
        <v>25569.0625</v>
      </c>
      <c r="D170" s="105" t="s">
        <v>888</v>
      </c>
      <c r="E170" s="31" t="s">
        <v>889</v>
      </c>
      <c r="F170" s="31" t="s">
        <v>210</v>
      </c>
      <c r="G170" s="104">
        <v>55</v>
      </c>
      <c r="H170" s="105" t="s">
        <v>890</v>
      </c>
      <c r="I170" s="105" t="s">
        <v>1444</v>
      </c>
      <c r="J170" s="105" t="s">
        <v>3</v>
      </c>
      <c r="K170" s="112" t="s">
        <v>4</v>
      </c>
      <c r="L170" s="112" t="s">
        <v>33</v>
      </c>
      <c r="M170" s="112" t="s">
        <v>34</v>
      </c>
      <c r="N170" s="113">
        <v>9</v>
      </c>
      <c r="O170" s="31" t="s">
        <v>78</v>
      </c>
      <c r="P170" s="31" t="s">
        <v>61</v>
      </c>
      <c r="Q170" s="31" t="s">
        <v>62</v>
      </c>
      <c r="R170" s="31" t="s">
        <v>892</v>
      </c>
      <c r="S170" s="103">
        <v>25569.693055555599</v>
      </c>
      <c r="T170" s="103">
        <v>25569.123611111099</v>
      </c>
      <c r="U170" s="31"/>
      <c r="V170" s="102"/>
      <c r="W170" s="101" t="s">
        <v>81</v>
      </c>
    </row>
    <row r="171" spans="2:23" s="16" customFormat="1" ht="51.75" customHeight="1" x14ac:dyDescent="0.2">
      <c r="B171" s="100">
        <v>42900</v>
      </c>
      <c r="C171" s="97">
        <v>25569.416666666701</v>
      </c>
      <c r="D171" s="99" t="s">
        <v>893</v>
      </c>
      <c r="E171" s="24" t="s">
        <v>894</v>
      </c>
      <c r="F171" s="24" t="s">
        <v>570</v>
      </c>
      <c r="G171" s="98">
        <v>31</v>
      </c>
      <c r="H171" s="99" t="s">
        <v>895</v>
      </c>
      <c r="I171" s="99" t="s">
        <v>1421</v>
      </c>
      <c r="J171" s="99" t="s">
        <v>3</v>
      </c>
      <c r="K171" s="112" t="s">
        <v>4</v>
      </c>
      <c r="L171" s="112" t="s">
        <v>33</v>
      </c>
      <c r="M171" s="112" t="s">
        <v>34</v>
      </c>
      <c r="N171" s="113">
        <v>3</v>
      </c>
      <c r="O171" s="24" t="s">
        <v>78</v>
      </c>
      <c r="P171" s="24" t="s">
        <v>1407</v>
      </c>
      <c r="Q171" s="24" t="s">
        <v>62</v>
      </c>
      <c r="R171" s="24" t="s">
        <v>896</v>
      </c>
      <c r="S171" s="97">
        <v>25569.270833333299</v>
      </c>
      <c r="T171" s="97">
        <v>25569.597222222201</v>
      </c>
      <c r="U171" s="24"/>
      <c r="V171" s="96"/>
      <c r="W171" s="95" t="s">
        <v>81</v>
      </c>
    </row>
    <row r="172" spans="2:23" s="16" customFormat="1" ht="41.1" customHeight="1" x14ac:dyDescent="0.2">
      <c r="B172" s="106">
        <v>42901</v>
      </c>
      <c r="C172" s="103">
        <v>25569.625</v>
      </c>
      <c r="D172" s="105" t="s">
        <v>897</v>
      </c>
      <c r="E172" s="31" t="s">
        <v>898</v>
      </c>
      <c r="F172" s="31" t="s">
        <v>105</v>
      </c>
      <c r="G172" s="104">
        <v>47</v>
      </c>
      <c r="H172" s="105" t="s">
        <v>899</v>
      </c>
      <c r="I172" s="105" t="s">
        <v>1413</v>
      </c>
      <c r="J172" s="105" t="s">
        <v>3</v>
      </c>
      <c r="K172" s="112" t="s">
        <v>4</v>
      </c>
      <c r="L172" s="112" t="s">
        <v>33</v>
      </c>
      <c r="M172" s="112" t="s">
        <v>34</v>
      </c>
      <c r="N172" s="113">
        <v>106</v>
      </c>
      <c r="O172" s="31" t="s">
        <v>78</v>
      </c>
      <c r="P172" s="31" t="s">
        <v>1407</v>
      </c>
      <c r="Q172" s="31" t="s">
        <v>71</v>
      </c>
      <c r="R172" s="31" t="s">
        <v>900</v>
      </c>
      <c r="S172" s="103">
        <v>25569.615277777801</v>
      </c>
      <c r="T172" s="103">
        <v>25569.9666666667</v>
      </c>
      <c r="U172" s="31"/>
      <c r="V172" s="102"/>
      <c r="W172" s="101" t="s">
        <v>81</v>
      </c>
    </row>
    <row r="173" spans="2:23" s="16" customFormat="1" ht="51.75" customHeight="1" x14ac:dyDescent="0.2">
      <c r="B173" s="100">
        <v>42906</v>
      </c>
      <c r="C173" s="97">
        <v>25569.854166666701</v>
      </c>
      <c r="D173" s="99" t="s">
        <v>901</v>
      </c>
      <c r="E173" s="24" t="s">
        <v>902</v>
      </c>
      <c r="F173" s="24" t="s">
        <v>903</v>
      </c>
      <c r="G173" s="98">
        <v>42</v>
      </c>
      <c r="H173" s="99" t="s">
        <v>904</v>
      </c>
      <c r="I173" s="99" t="s">
        <v>1411</v>
      </c>
      <c r="J173" s="99" t="s">
        <v>3</v>
      </c>
      <c r="K173" s="112" t="s">
        <v>4</v>
      </c>
      <c r="L173" s="112" t="s">
        <v>33</v>
      </c>
      <c r="M173" s="112" t="s">
        <v>34</v>
      </c>
      <c r="N173" s="113">
        <v>33</v>
      </c>
      <c r="O173" s="24" t="s">
        <v>60</v>
      </c>
      <c r="P173" s="24" t="s">
        <v>1407</v>
      </c>
      <c r="Q173" s="24" t="s">
        <v>158</v>
      </c>
      <c r="R173" s="24" t="s">
        <v>905</v>
      </c>
      <c r="S173" s="97">
        <v>25569.583333333299</v>
      </c>
      <c r="T173" s="97">
        <v>25569.947916666701</v>
      </c>
      <c r="U173" s="24"/>
      <c r="V173" s="96"/>
      <c r="W173" s="95" t="s">
        <v>81</v>
      </c>
    </row>
    <row r="174" spans="2:23" s="16" customFormat="1" ht="51.75" customHeight="1" x14ac:dyDescent="0.2">
      <c r="B174" s="106">
        <v>42907</v>
      </c>
      <c r="C174" s="103">
        <v>25569.625</v>
      </c>
      <c r="D174" s="105" t="s">
        <v>906</v>
      </c>
      <c r="E174" s="31" t="s">
        <v>155</v>
      </c>
      <c r="F174" s="31" t="s">
        <v>156</v>
      </c>
      <c r="G174" s="104">
        <v>49</v>
      </c>
      <c r="H174" s="105" t="s">
        <v>157</v>
      </c>
      <c r="I174" s="105" t="s">
        <v>1403</v>
      </c>
      <c r="J174" s="105" t="s">
        <v>3</v>
      </c>
      <c r="K174" s="112" t="s">
        <v>1404</v>
      </c>
      <c r="L174" s="112" t="s">
        <v>34</v>
      </c>
      <c r="M174" s="112" t="s">
        <v>34</v>
      </c>
      <c r="N174" s="113"/>
      <c r="O174" s="31" t="s">
        <v>87</v>
      </c>
      <c r="P174" s="31" t="s">
        <v>61</v>
      </c>
      <c r="Q174" s="31" t="s">
        <v>79</v>
      </c>
      <c r="R174" s="31" t="s">
        <v>907</v>
      </c>
      <c r="S174" s="103">
        <v>25569.253472222201</v>
      </c>
      <c r="T174" s="103">
        <v>25569.604166666701</v>
      </c>
      <c r="U174" s="31" t="s">
        <v>908</v>
      </c>
      <c r="V174" s="102"/>
      <c r="W174" s="101" t="s">
        <v>73</v>
      </c>
    </row>
    <row r="175" spans="2:23" s="16" customFormat="1" ht="51.75" customHeight="1" x14ac:dyDescent="0.2">
      <c r="B175" s="100">
        <v>42908</v>
      </c>
      <c r="C175" s="97">
        <v>25569.069444444402</v>
      </c>
      <c r="D175" s="99" t="s">
        <v>909</v>
      </c>
      <c r="E175" s="24" t="s">
        <v>910</v>
      </c>
      <c r="F175" s="24" t="s">
        <v>911</v>
      </c>
      <c r="G175" s="98">
        <v>30</v>
      </c>
      <c r="H175" s="99" t="s">
        <v>912</v>
      </c>
      <c r="I175" s="99" t="s">
        <v>1405</v>
      </c>
      <c r="J175" s="99" t="s">
        <v>3</v>
      </c>
      <c r="K175" s="112" t="s">
        <v>4</v>
      </c>
      <c r="L175" s="112" t="s">
        <v>34</v>
      </c>
      <c r="M175" s="112" t="s">
        <v>34</v>
      </c>
      <c r="N175" s="113"/>
      <c r="O175" s="24" t="s">
        <v>60</v>
      </c>
      <c r="P175" s="24" t="s">
        <v>219</v>
      </c>
      <c r="Q175" s="24" t="s">
        <v>114</v>
      </c>
      <c r="R175" s="24" t="s">
        <v>913</v>
      </c>
      <c r="S175" s="97">
        <v>25569.916666666701</v>
      </c>
      <c r="T175" s="97">
        <v>25569.261805555601</v>
      </c>
      <c r="U175" s="24"/>
      <c r="V175" s="96"/>
      <c r="W175" s="95" t="s">
        <v>73</v>
      </c>
    </row>
    <row r="176" spans="2:23" s="16" customFormat="1" ht="41.1" customHeight="1" x14ac:dyDescent="0.2">
      <c r="B176" s="106">
        <v>42910</v>
      </c>
      <c r="C176" s="103">
        <v>25569.291666666701</v>
      </c>
      <c r="D176" s="105" t="s">
        <v>914</v>
      </c>
      <c r="E176" s="31" t="s">
        <v>915</v>
      </c>
      <c r="F176" s="31" t="s">
        <v>916</v>
      </c>
      <c r="G176" s="104">
        <v>54</v>
      </c>
      <c r="H176" s="105" t="s">
        <v>917</v>
      </c>
      <c r="I176" s="105" t="s">
        <v>1411</v>
      </c>
      <c r="J176" s="105" t="s">
        <v>3</v>
      </c>
      <c r="K176" s="112" t="s">
        <v>1404</v>
      </c>
      <c r="L176" s="112" t="s">
        <v>34</v>
      </c>
      <c r="M176" s="112" t="s">
        <v>34</v>
      </c>
      <c r="N176" s="113"/>
      <c r="O176" s="31" t="s">
        <v>60</v>
      </c>
      <c r="P176" s="31" t="s">
        <v>5</v>
      </c>
      <c r="Q176" s="31" t="s">
        <v>1407</v>
      </c>
      <c r="R176" s="31" t="s">
        <v>918</v>
      </c>
      <c r="S176" s="103">
        <v>25569.916666666701</v>
      </c>
      <c r="T176" s="103">
        <v>25569.25</v>
      </c>
      <c r="U176" s="31"/>
      <c r="V176" s="102"/>
      <c r="W176" s="101"/>
    </row>
    <row r="177" spans="2:23" s="16" customFormat="1" ht="62.45" customHeight="1" x14ac:dyDescent="0.2">
      <c r="B177" s="100">
        <v>42910</v>
      </c>
      <c r="C177" s="97">
        <v>25569.368055555598</v>
      </c>
      <c r="D177" s="99" t="s">
        <v>1467</v>
      </c>
      <c r="E177" s="24" t="s">
        <v>919</v>
      </c>
      <c r="F177" s="24" t="s">
        <v>270</v>
      </c>
      <c r="G177" s="98">
        <v>58</v>
      </c>
      <c r="H177" s="99" t="s">
        <v>1468</v>
      </c>
      <c r="I177" s="99" t="s">
        <v>1410</v>
      </c>
      <c r="J177" s="99" t="s">
        <v>3</v>
      </c>
      <c r="K177" s="112" t="s">
        <v>4</v>
      </c>
      <c r="L177" s="112" t="s">
        <v>33</v>
      </c>
      <c r="M177" s="112" t="s">
        <v>34</v>
      </c>
      <c r="N177" s="113">
        <v>3</v>
      </c>
      <c r="O177" s="24" t="s">
        <v>60</v>
      </c>
      <c r="P177" s="24" t="s">
        <v>289</v>
      </c>
      <c r="Q177" s="24" t="s">
        <v>146</v>
      </c>
      <c r="R177" s="24" t="s">
        <v>920</v>
      </c>
      <c r="S177" s="97">
        <v>25569.291666666701</v>
      </c>
      <c r="T177" s="97">
        <v>25569.645833333299</v>
      </c>
      <c r="U177" s="24"/>
      <c r="V177" s="96">
        <v>42991</v>
      </c>
      <c r="W177" s="95" t="s">
        <v>81</v>
      </c>
    </row>
    <row r="178" spans="2:23" s="16" customFormat="1" ht="62.45" customHeight="1" x14ac:dyDescent="0.2">
      <c r="B178" s="106">
        <v>42912</v>
      </c>
      <c r="C178" s="103">
        <v>25569.333333333299</v>
      </c>
      <c r="D178" s="105" t="s">
        <v>921</v>
      </c>
      <c r="E178" s="31" t="s">
        <v>922</v>
      </c>
      <c r="F178" s="31" t="s">
        <v>923</v>
      </c>
      <c r="G178" s="104">
        <v>31</v>
      </c>
      <c r="H178" s="105" t="s">
        <v>924</v>
      </c>
      <c r="I178" s="105" t="s">
        <v>1405</v>
      </c>
      <c r="J178" s="105" t="s">
        <v>3</v>
      </c>
      <c r="K178" s="112" t="s">
        <v>4</v>
      </c>
      <c r="L178" s="112" t="s">
        <v>33</v>
      </c>
      <c r="M178" s="112" t="s">
        <v>34</v>
      </c>
      <c r="N178" s="113">
        <v>39</v>
      </c>
      <c r="O178" s="31" t="s">
        <v>925</v>
      </c>
      <c r="P178" s="31" t="s">
        <v>61</v>
      </c>
      <c r="Q178" s="31" t="s">
        <v>122</v>
      </c>
      <c r="R178" s="31" t="s">
        <v>926</v>
      </c>
      <c r="S178" s="103">
        <v>25569.25</v>
      </c>
      <c r="T178" s="103">
        <v>25569.614583333299</v>
      </c>
      <c r="U178" s="31"/>
      <c r="V178" s="102"/>
      <c r="W178" s="101"/>
    </row>
    <row r="179" spans="2:23" s="16" customFormat="1" ht="51.75" customHeight="1" x14ac:dyDescent="0.2">
      <c r="B179" s="100">
        <v>42913</v>
      </c>
      <c r="C179" s="97">
        <v>25569.354166666701</v>
      </c>
      <c r="D179" s="99" t="s">
        <v>927</v>
      </c>
      <c r="E179" s="24" t="s">
        <v>928</v>
      </c>
      <c r="F179" s="24" t="s">
        <v>871</v>
      </c>
      <c r="G179" s="98">
        <v>36</v>
      </c>
      <c r="H179" s="99" t="s">
        <v>929</v>
      </c>
      <c r="I179" s="99" t="s">
        <v>1445</v>
      </c>
      <c r="J179" s="99" t="s">
        <v>3</v>
      </c>
      <c r="K179" s="112" t="s">
        <v>1404</v>
      </c>
      <c r="L179" s="112" t="s">
        <v>34</v>
      </c>
      <c r="M179" s="112" t="s">
        <v>34</v>
      </c>
      <c r="N179" s="113"/>
      <c r="O179" s="24" t="s">
        <v>87</v>
      </c>
      <c r="P179" s="24" t="s">
        <v>70</v>
      </c>
      <c r="Q179" s="24" t="s">
        <v>71</v>
      </c>
      <c r="R179" s="24" t="s">
        <v>931</v>
      </c>
      <c r="S179" s="97">
        <v>25569.381249999999</v>
      </c>
      <c r="T179" s="97">
        <v>25569.729166666701</v>
      </c>
      <c r="U179" s="24"/>
      <c r="V179" s="96"/>
      <c r="W179" s="95" t="s">
        <v>73</v>
      </c>
    </row>
    <row r="180" spans="2:23" s="16" customFormat="1" ht="30.4" customHeight="1" x14ac:dyDescent="0.2">
      <c r="B180" s="106">
        <v>42916</v>
      </c>
      <c r="C180" s="103">
        <v>25569.381944444402</v>
      </c>
      <c r="D180" s="105" t="s">
        <v>932</v>
      </c>
      <c r="E180" s="31" t="s">
        <v>933</v>
      </c>
      <c r="F180" s="31" t="s">
        <v>934</v>
      </c>
      <c r="G180" s="104">
        <v>19</v>
      </c>
      <c r="H180" s="105" t="s">
        <v>935</v>
      </c>
      <c r="I180" s="105" t="s">
        <v>1446</v>
      </c>
      <c r="J180" s="105" t="s">
        <v>3</v>
      </c>
      <c r="K180" s="112" t="s">
        <v>4</v>
      </c>
      <c r="L180" s="112" t="s">
        <v>33</v>
      </c>
      <c r="M180" s="112" t="s">
        <v>34</v>
      </c>
      <c r="N180" s="113">
        <v>11</v>
      </c>
      <c r="O180" s="31" t="s">
        <v>60</v>
      </c>
      <c r="P180" s="31" t="s">
        <v>61</v>
      </c>
      <c r="Q180" s="31" t="s">
        <v>71</v>
      </c>
      <c r="R180" s="31" t="s">
        <v>937</v>
      </c>
      <c r="S180" s="103">
        <v>25569.333333333299</v>
      </c>
      <c r="T180" s="103">
        <v>25569.6944444445</v>
      </c>
      <c r="U180" s="31"/>
      <c r="V180" s="102"/>
      <c r="W180" s="101" t="s">
        <v>73</v>
      </c>
    </row>
    <row r="181" spans="2:23" s="16" customFormat="1" ht="30.4" customHeight="1" x14ac:dyDescent="0.2">
      <c r="B181" s="100">
        <v>42916</v>
      </c>
      <c r="C181" s="97">
        <v>25569.875</v>
      </c>
      <c r="D181" s="99" t="s">
        <v>938</v>
      </c>
      <c r="E181" s="24" t="s">
        <v>939</v>
      </c>
      <c r="F181" s="24" t="s">
        <v>940</v>
      </c>
      <c r="G181" s="98">
        <v>38</v>
      </c>
      <c r="H181" s="99" t="s">
        <v>941</v>
      </c>
      <c r="I181" s="99" t="s">
        <v>1411</v>
      </c>
      <c r="J181" s="99" t="s">
        <v>3</v>
      </c>
      <c r="K181" s="112" t="s">
        <v>4</v>
      </c>
      <c r="L181" s="112" t="s">
        <v>33</v>
      </c>
      <c r="M181" s="112" t="s">
        <v>34</v>
      </c>
      <c r="N181" s="113">
        <v>13</v>
      </c>
      <c r="O181" s="24" t="s">
        <v>60</v>
      </c>
      <c r="P181" s="24" t="s">
        <v>173</v>
      </c>
      <c r="Q181" s="24" t="s">
        <v>8</v>
      </c>
      <c r="R181" s="24" t="s">
        <v>942</v>
      </c>
      <c r="S181" s="97">
        <v>25569.583333333299</v>
      </c>
      <c r="T181" s="97">
        <v>25569.947916666701</v>
      </c>
      <c r="U181" s="24" t="s">
        <v>251</v>
      </c>
      <c r="V181" s="96"/>
      <c r="W181" s="95" t="s">
        <v>81</v>
      </c>
    </row>
    <row r="182" spans="2:23" s="16" customFormat="1" ht="41.1" customHeight="1" x14ac:dyDescent="0.2">
      <c r="B182" s="106">
        <v>42917</v>
      </c>
      <c r="C182" s="103">
        <v>25569.989583333299</v>
      </c>
      <c r="D182" s="105" t="s">
        <v>943</v>
      </c>
      <c r="E182" s="31" t="s">
        <v>944</v>
      </c>
      <c r="F182" s="31" t="s">
        <v>258</v>
      </c>
      <c r="G182" s="104">
        <v>55</v>
      </c>
      <c r="H182" s="105" t="s">
        <v>945</v>
      </c>
      <c r="I182" s="105" t="s">
        <v>1421</v>
      </c>
      <c r="J182" s="105" t="s">
        <v>3</v>
      </c>
      <c r="K182" s="112" t="s">
        <v>4</v>
      </c>
      <c r="L182" s="112" t="s">
        <v>34</v>
      </c>
      <c r="M182" s="112" t="s">
        <v>34</v>
      </c>
      <c r="N182" s="113"/>
      <c r="O182" s="31" t="s">
        <v>78</v>
      </c>
      <c r="P182" s="31" t="s">
        <v>121</v>
      </c>
      <c r="Q182" s="31" t="s">
        <v>122</v>
      </c>
      <c r="R182" s="31" t="s">
        <v>946</v>
      </c>
      <c r="S182" s="103">
        <v>25569.916666666701</v>
      </c>
      <c r="T182" s="103">
        <v>25569.259722222199</v>
      </c>
      <c r="U182" s="31"/>
      <c r="V182" s="102"/>
      <c r="W182" s="101" t="s">
        <v>73</v>
      </c>
    </row>
    <row r="183" spans="2:23" s="16" customFormat="1" ht="62.45" customHeight="1" x14ac:dyDescent="0.2">
      <c r="B183" s="100">
        <v>42920</v>
      </c>
      <c r="C183" s="97">
        <v>25569.177083333299</v>
      </c>
      <c r="D183" s="99" t="s">
        <v>947</v>
      </c>
      <c r="E183" s="24" t="s">
        <v>948</v>
      </c>
      <c r="F183" s="24" t="s">
        <v>854</v>
      </c>
      <c r="G183" s="98">
        <v>30</v>
      </c>
      <c r="H183" s="99" t="s">
        <v>949</v>
      </c>
      <c r="I183" s="99" t="s">
        <v>1417</v>
      </c>
      <c r="J183" s="99" t="s">
        <v>3</v>
      </c>
      <c r="K183" s="112" t="s">
        <v>4</v>
      </c>
      <c r="L183" s="112" t="s">
        <v>33</v>
      </c>
      <c r="M183" s="112" t="s">
        <v>34</v>
      </c>
      <c r="N183" s="113">
        <v>4</v>
      </c>
      <c r="O183" s="24" t="s">
        <v>78</v>
      </c>
      <c r="P183" s="24" t="s">
        <v>61</v>
      </c>
      <c r="Q183" s="24" t="s">
        <v>79</v>
      </c>
      <c r="R183" s="24" t="s">
        <v>950</v>
      </c>
      <c r="S183" s="97">
        <v>25569.916666666701</v>
      </c>
      <c r="T183" s="97">
        <v>25569.256944444402</v>
      </c>
      <c r="U183" s="24"/>
      <c r="V183" s="96"/>
      <c r="W183" s="95" t="s">
        <v>81</v>
      </c>
    </row>
    <row r="184" spans="2:23" s="16" customFormat="1" ht="41.1" customHeight="1" x14ac:dyDescent="0.2">
      <c r="B184" s="106">
        <v>42920</v>
      </c>
      <c r="C184" s="103">
        <v>25569.572916666701</v>
      </c>
      <c r="D184" s="105" t="s">
        <v>951</v>
      </c>
      <c r="E184" s="31" t="s">
        <v>952</v>
      </c>
      <c r="F184" s="31" t="s">
        <v>486</v>
      </c>
      <c r="G184" s="104">
        <v>31</v>
      </c>
      <c r="H184" s="105" t="s">
        <v>953</v>
      </c>
      <c r="I184" s="105" t="s">
        <v>1423</v>
      </c>
      <c r="J184" s="105" t="s">
        <v>3</v>
      </c>
      <c r="K184" s="112" t="s">
        <v>4</v>
      </c>
      <c r="L184" s="112" t="s">
        <v>34</v>
      </c>
      <c r="M184" s="112" t="s">
        <v>34</v>
      </c>
      <c r="N184" s="113"/>
      <c r="O184" s="31" t="s">
        <v>60</v>
      </c>
      <c r="P184" s="31" t="s">
        <v>121</v>
      </c>
      <c r="Q184" s="31" t="s">
        <v>122</v>
      </c>
      <c r="R184" s="31" t="s">
        <v>954</v>
      </c>
      <c r="S184" s="103">
        <v>25569.2791666667</v>
      </c>
      <c r="T184" s="103">
        <v>25569.611111111099</v>
      </c>
      <c r="U184" s="31"/>
      <c r="V184" s="102"/>
      <c r="W184" s="101" t="s">
        <v>81</v>
      </c>
    </row>
    <row r="185" spans="2:23" s="16" customFormat="1" ht="51.75" customHeight="1" x14ac:dyDescent="0.2">
      <c r="B185" s="100">
        <v>42922</v>
      </c>
      <c r="C185" s="97">
        <v>25569.40625</v>
      </c>
      <c r="D185" s="99" t="s">
        <v>955</v>
      </c>
      <c r="E185" s="24" t="s">
        <v>956</v>
      </c>
      <c r="F185" s="24" t="s">
        <v>258</v>
      </c>
      <c r="G185" s="98">
        <v>47</v>
      </c>
      <c r="H185" s="99" t="s">
        <v>957</v>
      </c>
      <c r="I185" s="99" t="s">
        <v>1413</v>
      </c>
      <c r="J185" s="99" t="s">
        <v>3</v>
      </c>
      <c r="K185" s="112" t="s">
        <v>4</v>
      </c>
      <c r="L185" s="112" t="s">
        <v>34</v>
      </c>
      <c r="M185" s="112" t="s">
        <v>34</v>
      </c>
      <c r="N185" s="113"/>
      <c r="O185" s="24" t="s">
        <v>958</v>
      </c>
      <c r="P185" s="24" t="s">
        <v>5</v>
      </c>
      <c r="Q185" s="24" t="s">
        <v>1407</v>
      </c>
      <c r="R185" s="24" t="s">
        <v>959</v>
      </c>
      <c r="S185" s="97">
        <v>25569.263888888901</v>
      </c>
      <c r="T185" s="97">
        <v>25569.615277777801</v>
      </c>
      <c r="U185" s="24" t="s">
        <v>960</v>
      </c>
      <c r="V185" s="96"/>
      <c r="W185" s="95"/>
    </row>
    <row r="186" spans="2:23" s="16" customFormat="1" ht="41.1" customHeight="1" x14ac:dyDescent="0.2">
      <c r="B186" s="106">
        <v>42922</v>
      </c>
      <c r="C186" s="103">
        <v>25569.416666666701</v>
      </c>
      <c r="D186" s="105" t="s">
        <v>961</v>
      </c>
      <c r="E186" s="31" t="s">
        <v>962</v>
      </c>
      <c r="F186" s="31" t="s">
        <v>963</v>
      </c>
      <c r="G186" s="104">
        <v>48</v>
      </c>
      <c r="H186" s="105" t="s">
        <v>964</v>
      </c>
      <c r="I186" s="105" t="s">
        <v>1418</v>
      </c>
      <c r="J186" s="105" t="s">
        <v>3</v>
      </c>
      <c r="K186" s="112" t="s">
        <v>4</v>
      </c>
      <c r="L186" s="112" t="s">
        <v>34</v>
      </c>
      <c r="M186" s="112" t="s">
        <v>34</v>
      </c>
      <c r="N186" s="113"/>
      <c r="O186" s="31" t="s">
        <v>60</v>
      </c>
      <c r="P186" s="31" t="s">
        <v>70</v>
      </c>
      <c r="Q186" s="31" t="s">
        <v>158</v>
      </c>
      <c r="R186" s="31" t="s">
        <v>965</v>
      </c>
      <c r="S186" s="103">
        <v>25569.333333333299</v>
      </c>
      <c r="T186" s="103">
        <v>25569.666666666701</v>
      </c>
      <c r="U186" s="31"/>
      <c r="V186" s="102"/>
      <c r="W186" s="101" t="s">
        <v>81</v>
      </c>
    </row>
    <row r="187" spans="2:23" s="16" customFormat="1" ht="51.75" customHeight="1" x14ac:dyDescent="0.2">
      <c r="B187" s="100">
        <v>42922</v>
      </c>
      <c r="C187" s="97">
        <v>25569.604166666701</v>
      </c>
      <c r="D187" s="99" t="s">
        <v>966</v>
      </c>
      <c r="E187" s="24" t="s">
        <v>967</v>
      </c>
      <c r="F187" s="24" t="s">
        <v>968</v>
      </c>
      <c r="G187" s="98">
        <v>26</v>
      </c>
      <c r="H187" s="99" t="s">
        <v>969</v>
      </c>
      <c r="I187" s="99" t="s">
        <v>1414</v>
      </c>
      <c r="J187" s="99" t="s">
        <v>3</v>
      </c>
      <c r="K187" s="112" t="s">
        <v>4</v>
      </c>
      <c r="L187" s="112" t="s">
        <v>33</v>
      </c>
      <c r="M187" s="112" t="s">
        <v>34</v>
      </c>
      <c r="N187" s="113">
        <v>4</v>
      </c>
      <c r="O187" s="24" t="s">
        <v>60</v>
      </c>
      <c r="P187" s="24" t="s">
        <v>61</v>
      </c>
      <c r="Q187" s="24" t="s">
        <v>146</v>
      </c>
      <c r="R187" s="24" t="s">
        <v>970</v>
      </c>
      <c r="S187" s="97">
        <v>25569.2791666667</v>
      </c>
      <c r="T187" s="97">
        <v>25569.611111111099</v>
      </c>
      <c r="U187" s="24"/>
      <c r="V187" s="96"/>
      <c r="W187" s="95" t="s">
        <v>81</v>
      </c>
    </row>
    <row r="188" spans="2:23" s="16" customFormat="1" ht="62.45" customHeight="1" x14ac:dyDescent="0.2">
      <c r="B188" s="106">
        <v>42924</v>
      </c>
      <c r="C188" s="103">
        <v>25569.458333333299</v>
      </c>
      <c r="D188" s="105" t="s">
        <v>971</v>
      </c>
      <c r="E188" s="31" t="s">
        <v>972</v>
      </c>
      <c r="F188" s="31" t="s">
        <v>105</v>
      </c>
      <c r="G188" s="104">
        <v>45</v>
      </c>
      <c r="H188" s="105" t="s">
        <v>973</v>
      </c>
      <c r="I188" s="105" t="s">
        <v>1413</v>
      </c>
      <c r="J188" s="105" t="s">
        <v>3</v>
      </c>
      <c r="K188" s="112" t="s">
        <v>4</v>
      </c>
      <c r="L188" s="112" t="s">
        <v>34</v>
      </c>
      <c r="M188" s="112" t="s">
        <v>34</v>
      </c>
      <c r="N188" s="113"/>
      <c r="O188" s="31" t="s">
        <v>78</v>
      </c>
      <c r="P188" s="31" t="s">
        <v>206</v>
      </c>
      <c r="Q188" s="31" t="s">
        <v>71</v>
      </c>
      <c r="R188" s="31" t="s">
        <v>974</v>
      </c>
      <c r="S188" s="103">
        <v>25569.263888888901</v>
      </c>
      <c r="T188" s="103">
        <v>25569.615277777801</v>
      </c>
      <c r="U188" s="31"/>
      <c r="V188" s="102"/>
      <c r="W188" s="101" t="s">
        <v>73</v>
      </c>
    </row>
    <row r="189" spans="2:23" s="16" customFormat="1" ht="73.150000000000006" customHeight="1" x14ac:dyDescent="0.2">
      <c r="B189" s="100">
        <v>42924</v>
      </c>
      <c r="C189" s="97">
        <v>25569.854166666701</v>
      </c>
      <c r="D189" s="99" t="s">
        <v>1469</v>
      </c>
      <c r="E189" s="24" t="s">
        <v>975</v>
      </c>
      <c r="F189" s="24" t="s">
        <v>911</v>
      </c>
      <c r="G189" s="98">
        <v>31</v>
      </c>
      <c r="H189" s="99" t="s">
        <v>1470</v>
      </c>
      <c r="I189" s="99" t="s">
        <v>1410</v>
      </c>
      <c r="J189" s="99" t="s">
        <v>3</v>
      </c>
      <c r="K189" s="112" t="s">
        <v>4</v>
      </c>
      <c r="L189" s="112" t="s">
        <v>33</v>
      </c>
      <c r="M189" s="112" t="s">
        <v>34</v>
      </c>
      <c r="N189" s="113">
        <v>4</v>
      </c>
      <c r="O189" s="24" t="s">
        <v>78</v>
      </c>
      <c r="P189" s="24" t="s">
        <v>61</v>
      </c>
      <c r="Q189" s="24" t="s">
        <v>62</v>
      </c>
      <c r="R189" s="24" t="s">
        <v>976</v>
      </c>
      <c r="S189" s="97">
        <v>25569.604166666701</v>
      </c>
      <c r="T189" s="97">
        <v>25569.979166666701</v>
      </c>
      <c r="U189" s="24"/>
      <c r="V189" s="96"/>
      <c r="W189" s="95"/>
    </row>
    <row r="190" spans="2:23" s="16" customFormat="1" ht="41.1" customHeight="1" x14ac:dyDescent="0.2">
      <c r="B190" s="106">
        <v>42926</v>
      </c>
      <c r="C190" s="103">
        <v>25569.302083333299</v>
      </c>
      <c r="D190" s="105" t="s">
        <v>977</v>
      </c>
      <c r="E190" s="31" t="s">
        <v>978</v>
      </c>
      <c r="F190" s="31" t="s">
        <v>979</v>
      </c>
      <c r="G190" s="104">
        <v>53</v>
      </c>
      <c r="H190" s="105" t="s">
        <v>980</v>
      </c>
      <c r="I190" s="105" t="s">
        <v>1413</v>
      </c>
      <c r="J190" s="105" t="s">
        <v>3</v>
      </c>
      <c r="K190" s="112" t="s">
        <v>1404</v>
      </c>
      <c r="L190" s="112" t="s">
        <v>34</v>
      </c>
      <c r="M190" s="112" t="s">
        <v>34</v>
      </c>
      <c r="N190" s="113"/>
      <c r="O190" s="31" t="s">
        <v>69</v>
      </c>
      <c r="P190" s="31" t="s">
        <v>88</v>
      </c>
      <c r="Q190" s="31" t="s">
        <v>8</v>
      </c>
      <c r="R190" s="31" t="s">
        <v>981</v>
      </c>
      <c r="S190" s="103">
        <v>25569.3125</v>
      </c>
      <c r="T190" s="103">
        <v>25569.640972222202</v>
      </c>
      <c r="U190" s="31"/>
      <c r="V190" s="102"/>
      <c r="W190" s="101" t="s">
        <v>73</v>
      </c>
    </row>
    <row r="191" spans="2:23" s="16" customFormat="1" ht="41.1" customHeight="1" x14ac:dyDescent="0.2">
      <c r="B191" s="100">
        <v>42926</v>
      </c>
      <c r="C191" s="97">
        <v>25569.395833333299</v>
      </c>
      <c r="D191" s="99" t="s">
        <v>982</v>
      </c>
      <c r="E191" s="24" t="s">
        <v>983</v>
      </c>
      <c r="F191" s="24" t="s">
        <v>247</v>
      </c>
      <c r="G191" s="98">
        <v>47</v>
      </c>
      <c r="H191" s="99" t="s">
        <v>984</v>
      </c>
      <c r="I191" s="99" t="s">
        <v>1424</v>
      </c>
      <c r="J191" s="99" t="s">
        <v>3</v>
      </c>
      <c r="K191" s="112" t="s">
        <v>4</v>
      </c>
      <c r="L191" s="112" t="s">
        <v>34</v>
      </c>
      <c r="M191" s="112" t="s">
        <v>34</v>
      </c>
      <c r="N191" s="113"/>
      <c r="O191" s="24" t="s">
        <v>78</v>
      </c>
      <c r="P191" s="24" t="s">
        <v>1407</v>
      </c>
      <c r="Q191" s="24" t="s">
        <v>62</v>
      </c>
      <c r="R191" s="24" t="s">
        <v>985</v>
      </c>
      <c r="S191" s="97">
        <v>25569.21875</v>
      </c>
      <c r="T191" s="97">
        <v>25569.618055555598</v>
      </c>
      <c r="U191" s="24"/>
      <c r="V191" s="96"/>
      <c r="W191" s="95" t="s">
        <v>73</v>
      </c>
    </row>
    <row r="192" spans="2:23" s="16" customFormat="1" ht="51.75" customHeight="1" x14ac:dyDescent="0.2">
      <c r="B192" s="106">
        <v>42926</v>
      </c>
      <c r="C192" s="103">
        <v>25569.46875</v>
      </c>
      <c r="D192" s="105" t="s">
        <v>986</v>
      </c>
      <c r="E192" s="31" t="s">
        <v>987</v>
      </c>
      <c r="F192" s="31" t="s">
        <v>988</v>
      </c>
      <c r="G192" s="104">
        <v>39</v>
      </c>
      <c r="H192" s="105" t="s">
        <v>989</v>
      </c>
      <c r="I192" s="105" t="s">
        <v>1403</v>
      </c>
      <c r="J192" s="105" t="s">
        <v>3</v>
      </c>
      <c r="K192" s="112" t="s">
        <v>4</v>
      </c>
      <c r="L192" s="112" t="s">
        <v>34</v>
      </c>
      <c r="M192" s="112" t="s">
        <v>33</v>
      </c>
      <c r="N192" s="113"/>
      <c r="O192" s="31" t="s">
        <v>69</v>
      </c>
      <c r="P192" s="31" t="s">
        <v>70</v>
      </c>
      <c r="Q192" s="31" t="s">
        <v>62</v>
      </c>
      <c r="R192" s="31" t="s">
        <v>990</v>
      </c>
      <c r="S192" s="103">
        <v>25569.2791666667</v>
      </c>
      <c r="T192" s="103">
        <v>25569.611111111099</v>
      </c>
      <c r="U192" s="31"/>
      <c r="V192" s="102"/>
      <c r="W192" s="101"/>
    </row>
    <row r="193" spans="2:23" s="16" customFormat="1" ht="62.45" customHeight="1" x14ac:dyDescent="0.2">
      <c r="B193" s="100">
        <v>42927</v>
      </c>
      <c r="C193" s="97">
        <v>25569.416666666701</v>
      </c>
      <c r="D193" s="99" t="s">
        <v>991</v>
      </c>
      <c r="E193" s="24" t="s">
        <v>992</v>
      </c>
      <c r="F193" s="24" t="s">
        <v>297</v>
      </c>
      <c r="G193" s="98">
        <v>45</v>
      </c>
      <c r="H193" s="99" t="s">
        <v>993</v>
      </c>
      <c r="I193" s="99" t="s">
        <v>1421</v>
      </c>
      <c r="J193" s="99" t="s">
        <v>3</v>
      </c>
      <c r="K193" s="112" t="s">
        <v>4</v>
      </c>
      <c r="L193" s="112" t="s">
        <v>34</v>
      </c>
      <c r="M193" s="112" t="s">
        <v>33</v>
      </c>
      <c r="N193" s="113"/>
      <c r="O193" s="24" t="s">
        <v>78</v>
      </c>
      <c r="P193" s="24" t="s">
        <v>173</v>
      </c>
      <c r="Q193" s="24" t="s">
        <v>158</v>
      </c>
      <c r="R193" s="24" t="s">
        <v>994</v>
      </c>
      <c r="S193" s="97">
        <v>25569.25</v>
      </c>
      <c r="T193" s="97">
        <v>25569.598611111101</v>
      </c>
      <c r="U193" s="24" t="s">
        <v>995</v>
      </c>
      <c r="V193" s="96"/>
      <c r="W193" s="95"/>
    </row>
    <row r="194" spans="2:23" s="16" customFormat="1" ht="51.75" customHeight="1" x14ac:dyDescent="0.2">
      <c r="B194" s="106">
        <v>42927</v>
      </c>
      <c r="C194" s="103">
        <v>25569.895833333299</v>
      </c>
      <c r="D194" s="105" t="s">
        <v>996</v>
      </c>
      <c r="E194" s="31" t="s">
        <v>997</v>
      </c>
      <c r="F194" s="31" t="s">
        <v>998</v>
      </c>
      <c r="G194" s="104">
        <v>37</v>
      </c>
      <c r="H194" s="105" t="s">
        <v>999</v>
      </c>
      <c r="I194" s="105" t="s">
        <v>1417</v>
      </c>
      <c r="J194" s="105" t="s">
        <v>3</v>
      </c>
      <c r="K194" s="112" t="s">
        <v>4</v>
      </c>
      <c r="L194" s="112" t="s">
        <v>34</v>
      </c>
      <c r="M194" s="112" t="s">
        <v>33</v>
      </c>
      <c r="N194" s="113"/>
      <c r="O194" s="31" t="s">
        <v>69</v>
      </c>
      <c r="P194" s="31" t="s">
        <v>121</v>
      </c>
      <c r="Q194" s="31" t="s">
        <v>114</v>
      </c>
      <c r="R194" s="31" t="s">
        <v>1000</v>
      </c>
      <c r="S194" s="103">
        <v>25569.611111111099</v>
      </c>
      <c r="T194" s="103">
        <v>25569.965277777799</v>
      </c>
      <c r="U194" s="31"/>
      <c r="V194" s="102"/>
      <c r="W194" s="101"/>
    </row>
    <row r="195" spans="2:23" s="16" customFormat="1" ht="51.75" customHeight="1" x14ac:dyDescent="0.2">
      <c r="B195" s="100">
        <v>42927</v>
      </c>
      <c r="C195" s="97">
        <v>25569.9375</v>
      </c>
      <c r="D195" s="99" t="s">
        <v>1471</v>
      </c>
      <c r="E195" s="24" t="s">
        <v>1001</v>
      </c>
      <c r="F195" s="24" t="s">
        <v>940</v>
      </c>
      <c r="G195" s="98">
        <v>54</v>
      </c>
      <c r="H195" s="99" t="s">
        <v>1472</v>
      </c>
      <c r="I195" s="99" t="s">
        <v>1410</v>
      </c>
      <c r="J195" s="99" t="s">
        <v>3</v>
      </c>
      <c r="K195" s="112" t="s">
        <v>4</v>
      </c>
      <c r="L195" s="112" t="s">
        <v>34</v>
      </c>
      <c r="M195" s="112" t="s">
        <v>34</v>
      </c>
      <c r="N195" s="113"/>
      <c r="O195" s="24" t="s">
        <v>60</v>
      </c>
      <c r="P195" s="24" t="s">
        <v>187</v>
      </c>
      <c r="Q195" s="24" t="s">
        <v>122</v>
      </c>
      <c r="R195" s="24" t="s">
        <v>1002</v>
      </c>
      <c r="S195" s="97">
        <v>25569.604166666701</v>
      </c>
      <c r="T195" s="97">
        <v>25569.979166666701</v>
      </c>
      <c r="U195" s="24"/>
      <c r="V195" s="96"/>
      <c r="W195" s="95"/>
    </row>
    <row r="196" spans="2:23" s="16" customFormat="1" ht="62.45" customHeight="1" x14ac:dyDescent="0.2">
      <c r="B196" s="106">
        <v>42928</v>
      </c>
      <c r="C196" s="103">
        <v>25569.4375</v>
      </c>
      <c r="D196" s="105" t="s">
        <v>1003</v>
      </c>
      <c r="E196" s="31" t="s">
        <v>1004</v>
      </c>
      <c r="F196" s="31" t="s">
        <v>259</v>
      </c>
      <c r="G196" s="104">
        <v>59</v>
      </c>
      <c r="H196" s="105" t="s">
        <v>1005</v>
      </c>
      <c r="I196" s="105" t="s">
        <v>1447</v>
      </c>
      <c r="J196" s="105" t="s">
        <v>3</v>
      </c>
      <c r="K196" s="112" t="s">
        <v>4</v>
      </c>
      <c r="L196" s="112" t="s">
        <v>33</v>
      </c>
      <c r="M196" s="112" t="s">
        <v>34</v>
      </c>
      <c r="N196" s="113">
        <v>2</v>
      </c>
      <c r="O196" s="31" t="s">
        <v>78</v>
      </c>
      <c r="P196" s="31" t="s">
        <v>61</v>
      </c>
      <c r="Q196" s="31" t="s">
        <v>62</v>
      </c>
      <c r="R196" s="31" t="s">
        <v>1007</v>
      </c>
      <c r="S196" s="103">
        <v>25569.322222222199</v>
      </c>
      <c r="T196" s="103">
        <v>25569.666666666701</v>
      </c>
      <c r="U196" s="31" t="s">
        <v>1008</v>
      </c>
      <c r="V196" s="102"/>
      <c r="W196" s="101" t="s">
        <v>81</v>
      </c>
    </row>
    <row r="197" spans="2:23" s="16" customFormat="1" ht="41.1" customHeight="1" x14ac:dyDescent="0.2">
      <c r="B197" s="100">
        <v>42928</v>
      </c>
      <c r="C197" s="97">
        <v>25569.5</v>
      </c>
      <c r="D197" s="99" t="s">
        <v>1009</v>
      </c>
      <c r="E197" s="24" t="s">
        <v>1010</v>
      </c>
      <c r="F197" s="24" t="s">
        <v>137</v>
      </c>
      <c r="G197" s="98">
        <v>43</v>
      </c>
      <c r="H197" s="99" t="s">
        <v>1011</v>
      </c>
      <c r="I197" s="99" t="s">
        <v>1411</v>
      </c>
      <c r="J197" s="99" t="s">
        <v>3</v>
      </c>
      <c r="K197" s="112" t="s">
        <v>4</v>
      </c>
      <c r="L197" s="112" t="s">
        <v>34</v>
      </c>
      <c r="M197" s="112" t="s">
        <v>33</v>
      </c>
      <c r="N197" s="113"/>
      <c r="O197" s="24" t="s">
        <v>133</v>
      </c>
      <c r="P197" s="24" t="s">
        <v>187</v>
      </c>
      <c r="Q197" s="24" t="s">
        <v>79</v>
      </c>
      <c r="R197" s="24" t="s">
        <v>1012</v>
      </c>
      <c r="S197" s="97">
        <v>25569.291666666701</v>
      </c>
      <c r="T197" s="97">
        <v>25569.65625</v>
      </c>
      <c r="U197" s="24"/>
      <c r="V197" s="96"/>
      <c r="W197" s="95"/>
    </row>
    <row r="198" spans="2:23" s="16" customFormat="1" ht="41.1" customHeight="1" x14ac:dyDescent="0.2">
      <c r="B198" s="106">
        <v>42929</v>
      </c>
      <c r="C198" s="103">
        <v>25569.145833333299</v>
      </c>
      <c r="D198" s="105" t="s">
        <v>1013</v>
      </c>
      <c r="E198" s="31" t="s">
        <v>710</v>
      </c>
      <c r="F198" s="31" t="s">
        <v>105</v>
      </c>
      <c r="G198" s="104">
        <v>46</v>
      </c>
      <c r="H198" s="105" t="s">
        <v>1014</v>
      </c>
      <c r="I198" s="105" t="s">
        <v>1405</v>
      </c>
      <c r="J198" s="105" t="s">
        <v>3</v>
      </c>
      <c r="K198" s="112" t="s">
        <v>4</v>
      </c>
      <c r="L198" s="112" t="s">
        <v>34</v>
      </c>
      <c r="M198" s="112" t="s">
        <v>34</v>
      </c>
      <c r="N198" s="113"/>
      <c r="O198" s="31" t="s">
        <v>144</v>
      </c>
      <c r="P198" s="31" t="s">
        <v>1015</v>
      </c>
      <c r="Q198" s="31" t="s">
        <v>146</v>
      </c>
      <c r="R198" s="31" t="s">
        <v>1016</v>
      </c>
      <c r="S198" s="103">
        <v>25569.916666666701</v>
      </c>
      <c r="T198" s="103">
        <v>25569.261805555601</v>
      </c>
      <c r="U198" s="31"/>
      <c r="V198" s="102"/>
      <c r="W198" s="101" t="s">
        <v>73</v>
      </c>
    </row>
    <row r="199" spans="2:23" s="16" customFormat="1" ht="41.1" customHeight="1" x14ac:dyDescent="0.2">
      <c r="B199" s="100">
        <v>42929</v>
      </c>
      <c r="C199" s="97">
        <v>25569.145833333299</v>
      </c>
      <c r="D199" s="99" t="s">
        <v>1017</v>
      </c>
      <c r="E199" s="24" t="s">
        <v>363</v>
      </c>
      <c r="F199" s="24" t="s">
        <v>364</v>
      </c>
      <c r="G199" s="98">
        <v>33</v>
      </c>
      <c r="H199" s="99" t="s">
        <v>365</v>
      </c>
      <c r="I199" s="99" t="s">
        <v>1405</v>
      </c>
      <c r="J199" s="99" t="s">
        <v>3</v>
      </c>
      <c r="K199" s="112" t="s">
        <v>4</v>
      </c>
      <c r="L199" s="112" t="s">
        <v>34</v>
      </c>
      <c r="M199" s="112" t="s">
        <v>34</v>
      </c>
      <c r="N199" s="113"/>
      <c r="O199" s="24" t="s">
        <v>144</v>
      </c>
      <c r="P199" s="24" t="s">
        <v>1015</v>
      </c>
      <c r="Q199" s="24" t="s">
        <v>122</v>
      </c>
      <c r="R199" s="24" t="s">
        <v>1018</v>
      </c>
      <c r="S199" s="97">
        <v>25569.916666666701</v>
      </c>
      <c r="T199" s="97">
        <v>25569.261805555601</v>
      </c>
      <c r="U199" s="24"/>
      <c r="V199" s="96"/>
      <c r="W199" s="95"/>
    </row>
    <row r="200" spans="2:23" s="16" customFormat="1" ht="41.1" customHeight="1" x14ac:dyDescent="0.2">
      <c r="B200" s="106">
        <v>42929</v>
      </c>
      <c r="C200" s="103">
        <v>25569.145833333299</v>
      </c>
      <c r="D200" s="105" t="s">
        <v>1019</v>
      </c>
      <c r="E200" s="31" t="s">
        <v>1020</v>
      </c>
      <c r="F200" s="31" t="s">
        <v>131</v>
      </c>
      <c r="G200" s="104">
        <v>57</v>
      </c>
      <c r="H200" s="105" t="s">
        <v>1021</v>
      </c>
      <c r="I200" s="105" t="s">
        <v>1405</v>
      </c>
      <c r="J200" s="105" t="s">
        <v>3</v>
      </c>
      <c r="K200" s="112" t="s">
        <v>4</v>
      </c>
      <c r="L200" s="112" t="s">
        <v>34</v>
      </c>
      <c r="M200" s="112" t="s">
        <v>34</v>
      </c>
      <c r="N200" s="113"/>
      <c r="O200" s="31" t="s">
        <v>144</v>
      </c>
      <c r="P200" s="31" t="s">
        <v>1015</v>
      </c>
      <c r="Q200" s="31" t="s">
        <v>122</v>
      </c>
      <c r="R200" s="31" t="s">
        <v>1018</v>
      </c>
      <c r="S200" s="103">
        <v>25569.916666666701</v>
      </c>
      <c r="T200" s="103">
        <v>25569.261805555601</v>
      </c>
      <c r="U200" s="31"/>
      <c r="V200" s="102"/>
      <c r="W200" s="101" t="s">
        <v>73</v>
      </c>
    </row>
    <row r="201" spans="2:23" s="16" customFormat="1" ht="41.1" customHeight="1" x14ac:dyDescent="0.2">
      <c r="B201" s="100">
        <v>42930</v>
      </c>
      <c r="C201" s="97">
        <v>25569.659722222201</v>
      </c>
      <c r="D201" s="99" t="s">
        <v>1022</v>
      </c>
      <c r="E201" s="24" t="s">
        <v>1023</v>
      </c>
      <c r="F201" s="24" t="s">
        <v>721</v>
      </c>
      <c r="G201" s="98">
        <v>54</v>
      </c>
      <c r="H201" s="99" t="s">
        <v>1024</v>
      </c>
      <c r="I201" s="99" t="s">
        <v>1405</v>
      </c>
      <c r="J201" s="99" t="s">
        <v>3</v>
      </c>
      <c r="K201" s="112" t="s">
        <v>4</v>
      </c>
      <c r="L201" s="112" t="s">
        <v>33</v>
      </c>
      <c r="M201" s="112" t="s">
        <v>34</v>
      </c>
      <c r="N201" s="113">
        <v>53</v>
      </c>
      <c r="O201" s="24" t="s">
        <v>69</v>
      </c>
      <c r="P201" s="24" t="s">
        <v>1407</v>
      </c>
      <c r="Q201" s="24" t="s">
        <v>71</v>
      </c>
      <c r="R201" s="24" t="s">
        <v>1025</v>
      </c>
      <c r="S201" s="97">
        <v>25569.659722222201</v>
      </c>
      <c r="T201" s="97">
        <v>25569.020833333299</v>
      </c>
      <c r="U201" s="24"/>
      <c r="V201" s="96"/>
      <c r="W201" s="95" t="s">
        <v>81</v>
      </c>
    </row>
    <row r="202" spans="2:23" s="16" customFormat="1" ht="41.1" customHeight="1" x14ac:dyDescent="0.2">
      <c r="B202" s="106">
        <v>42934</v>
      </c>
      <c r="C202" s="103">
        <v>25569.927083333299</v>
      </c>
      <c r="D202" s="105" t="s">
        <v>1026</v>
      </c>
      <c r="E202" s="31" t="s">
        <v>1027</v>
      </c>
      <c r="F202" s="31" t="s">
        <v>350</v>
      </c>
      <c r="G202" s="104">
        <v>54</v>
      </c>
      <c r="H202" s="105" t="s">
        <v>1028</v>
      </c>
      <c r="I202" s="105" t="s">
        <v>1405</v>
      </c>
      <c r="J202" s="105" t="s">
        <v>3</v>
      </c>
      <c r="K202" s="112" t="s">
        <v>4</v>
      </c>
      <c r="L202" s="112" t="s">
        <v>34</v>
      </c>
      <c r="M202" s="112" t="s">
        <v>34</v>
      </c>
      <c r="N202" s="113"/>
      <c r="O202" s="31" t="s">
        <v>78</v>
      </c>
      <c r="P202" s="31" t="s">
        <v>173</v>
      </c>
      <c r="Q202" s="31" t="s">
        <v>158</v>
      </c>
      <c r="R202" s="31" t="s">
        <v>1029</v>
      </c>
      <c r="S202" s="103">
        <v>25569.659722222201</v>
      </c>
      <c r="T202" s="103">
        <v>25569.020833333299</v>
      </c>
      <c r="U202" s="31"/>
      <c r="V202" s="102"/>
      <c r="W202" s="101" t="s">
        <v>73</v>
      </c>
    </row>
    <row r="203" spans="2:23" s="16" customFormat="1" ht="83.65" customHeight="1" x14ac:dyDescent="0.2">
      <c r="B203" s="100">
        <v>42938</v>
      </c>
      <c r="C203" s="97">
        <v>25569.541666666701</v>
      </c>
      <c r="D203" s="99" t="s">
        <v>1030</v>
      </c>
      <c r="E203" s="24" t="s">
        <v>1031</v>
      </c>
      <c r="F203" s="24" t="s">
        <v>131</v>
      </c>
      <c r="G203" s="98">
        <v>56</v>
      </c>
      <c r="H203" s="99" t="s">
        <v>1032</v>
      </c>
      <c r="I203" s="99" t="s">
        <v>1408</v>
      </c>
      <c r="J203" s="99" t="s">
        <v>3</v>
      </c>
      <c r="K203" s="112" t="s">
        <v>4</v>
      </c>
      <c r="L203" s="112" t="s">
        <v>33</v>
      </c>
      <c r="M203" s="112" t="s">
        <v>34</v>
      </c>
      <c r="N203" s="113">
        <v>151</v>
      </c>
      <c r="O203" s="24" t="s">
        <v>133</v>
      </c>
      <c r="P203" s="24" t="s">
        <v>6</v>
      </c>
      <c r="Q203" s="24" t="s">
        <v>158</v>
      </c>
      <c r="R203" s="24" t="s">
        <v>1033</v>
      </c>
      <c r="S203" s="97">
        <v>25569.222222222201</v>
      </c>
      <c r="T203" s="97">
        <v>25569.583333333299</v>
      </c>
      <c r="U203" s="24"/>
      <c r="V203" s="96"/>
      <c r="W203" s="95" t="s">
        <v>81</v>
      </c>
    </row>
    <row r="204" spans="2:23" s="16" customFormat="1" ht="41.1" customHeight="1" x14ac:dyDescent="0.2">
      <c r="B204" s="106">
        <v>42939</v>
      </c>
      <c r="C204" s="103">
        <v>25569.75</v>
      </c>
      <c r="D204" s="105" t="s">
        <v>1034</v>
      </c>
      <c r="E204" s="31" t="s">
        <v>1035</v>
      </c>
      <c r="F204" s="31" t="s">
        <v>403</v>
      </c>
      <c r="G204" s="104">
        <v>27</v>
      </c>
      <c r="H204" s="105" t="s">
        <v>1036</v>
      </c>
      <c r="I204" s="105" t="s">
        <v>1421</v>
      </c>
      <c r="J204" s="105" t="s">
        <v>3</v>
      </c>
      <c r="K204" s="112" t="s">
        <v>4</v>
      </c>
      <c r="L204" s="112" t="s">
        <v>33</v>
      </c>
      <c r="M204" s="112" t="s">
        <v>34</v>
      </c>
      <c r="N204" s="113">
        <v>5</v>
      </c>
      <c r="O204" s="31" t="s">
        <v>78</v>
      </c>
      <c r="P204" s="31" t="s">
        <v>61</v>
      </c>
      <c r="Q204" s="31" t="s">
        <v>62</v>
      </c>
      <c r="R204" s="31" t="s">
        <v>1037</v>
      </c>
      <c r="S204" s="103">
        <v>25569.583333333299</v>
      </c>
      <c r="T204" s="103">
        <v>25569.931250000001</v>
      </c>
      <c r="U204" s="31"/>
      <c r="V204" s="102"/>
      <c r="W204" s="101" t="s">
        <v>81</v>
      </c>
    </row>
    <row r="205" spans="2:23" s="16" customFormat="1" ht="41.1" customHeight="1" x14ac:dyDescent="0.2">
      <c r="B205" s="100">
        <v>42941</v>
      </c>
      <c r="C205" s="97">
        <v>25569.395833333299</v>
      </c>
      <c r="D205" s="99" t="s">
        <v>1038</v>
      </c>
      <c r="E205" s="24" t="s">
        <v>1039</v>
      </c>
      <c r="F205" s="24" t="s">
        <v>137</v>
      </c>
      <c r="G205" s="98">
        <v>39</v>
      </c>
      <c r="H205" s="99" t="s">
        <v>1040</v>
      </c>
      <c r="I205" s="99" t="s">
        <v>1405</v>
      </c>
      <c r="J205" s="99" t="s">
        <v>3</v>
      </c>
      <c r="K205" s="112" t="s">
        <v>4</v>
      </c>
      <c r="L205" s="112" t="s">
        <v>33</v>
      </c>
      <c r="M205" s="112" t="s">
        <v>34</v>
      </c>
      <c r="N205" s="113">
        <v>5</v>
      </c>
      <c r="O205" s="24" t="s">
        <v>78</v>
      </c>
      <c r="P205" s="24" t="s">
        <v>1407</v>
      </c>
      <c r="Q205" s="24" t="s">
        <v>62</v>
      </c>
      <c r="R205" s="24" t="s">
        <v>1041</v>
      </c>
      <c r="S205" s="97">
        <v>25569.28125</v>
      </c>
      <c r="T205" s="97">
        <v>25569.649305555598</v>
      </c>
      <c r="U205" s="24" t="s">
        <v>425</v>
      </c>
      <c r="V205" s="96"/>
      <c r="W205" s="95" t="s">
        <v>81</v>
      </c>
    </row>
    <row r="206" spans="2:23" s="16" customFormat="1" ht="51.75" customHeight="1" x14ac:dyDescent="0.2">
      <c r="B206" s="106">
        <v>42941</v>
      </c>
      <c r="C206" s="103">
        <v>25569.489583333299</v>
      </c>
      <c r="D206" s="105" t="s">
        <v>1473</v>
      </c>
      <c r="E206" s="31" t="s">
        <v>1042</v>
      </c>
      <c r="F206" s="31" t="s">
        <v>131</v>
      </c>
      <c r="G206" s="104">
        <v>58</v>
      </c>
      <c r="H206" s="105" t="s">
        <v>1474</v>
      </c>
      <c r="I206" s="105" t="s">
        <v>1410</v>
      </c>
      <c r="J206" s="105" t="s">
        <v>3</v>
      </c>
      <c r="K206" s="112" t="s">
        <v>4</v>
      </c>
      <c r="L206" s="112" t="s">
        <v>33</v>
      </c>
      <c r="M206" s="112" t="s">
        <v>34</v>
      </c>
      <c r="N206" s="113">
        <v>39</v>
      </c>
      <c r="O206" s="31" t="s">
        <v>78</v>
      </c>
      <c r="P206" s="31" t="s">
        <v>61</v>
      </c>
      <c r="Q206" s="31" t="s">
        <v>62</v>
      </c>
      <c r="R206" s="31" t="s">
        <v>1043</v>
      </c>
      <c r="S206" s="103">
        <v>25569.291666666701</v>
      </c>
      <c r="T206" s="103">
        <v>25569.645833333299</v>
      </c>
      <c r="U206" s="31"/>
      <c r="V206" s="102">
        <v>42991</v>
      </c>
      <c r="W206" s="101" t="s">
        <v>81</v>
      </c>
    </row>
    <row r="207" spans="2:23" s="16" customFormat="1" ht="51.75" customHeight="1" x14ac:dyDescent="0.2">
      <c r="B207" s="100">
        <v>42944</v>
      </c>
      <c r="C207" s="97">
        <v>25569.520833333299</v>
      </c>
      <c r="D207" s="99" t="s">
        <v>1044</v>
      </c>
      <c r="E207" s="24" t="s">
        <v>1045</v>
      </c>
      <c r="F207" s="24" t="s">
        <v>1046</v>
      </c>
      <c r="G207" s="98">
        <v>37</v>
      </c>
      <c r="H207" s="99" t="s">
        <v>1047</v>
      </c>
      <c r="I207" s="99" t="s">
        <v>1425</v>
      </c>
      <c r="J207" s="99" t="s">
        <v>3</v>
      </c>
      <c r="K207" s="112" t="s">
        <v>4</v>
      </c>
      <c r="L207" s="112" t="s">
        <v>33</v>
      </c>
      <c r="M207" s="112" t="s">
        <v>34</v>
      </c>
      <c r="N207" s="113">
        <v>3</v>
      </c>
      <c r="O207" s="24" t="s">
        <v>78</v>
      </c>
      <c r="P207" s="24" t="s">
        <v>70</v>
      </c>
      <c r="Q207" s="24" t="s">
        <v>122</v>
      </c>
      <c r="R207" s="24" t="s">
        <v>1048</v>
      </c>
      <c r="S207" s="97">
        <v>25569.270833333299</v>
      </c>
      <c r="T207" s="97">
        <v>25569.625</v>
      </c>
      <c r="U207" s="24"/>
      <c r="V207" s="96">
        <v>42991</v>
      </c>
      <c r="W207" s="95" t="s">
        <v>81</v>
      </c>
    </row>
    <row r="208" spans="2:23" s="16" customFormat="1" ht="62.45" customHeight="1" x14ac:dyDescent="0.2">
      <c r="B208" s="106">
        <v>42944</v>
      </c>
      <c r="C208" s="103">
        <v>25569.645833333299</v>
      </c>
      <c r="D208" s="105" t="s">
        <v>1049</v>
      </c>
      <c r="E208" s="31" t="s">
        <v>1050</v>
      </c>
      <c r="F208" s="31" t="s">
        <v>223</v>
      </c>
      <c r="G208" s="104">
        <v>48</v>
      </c>
      <c r="H208" s="105" t="s">
        <v>1051</v>
      </c>
      <c r="I208" s="105" t="s">
        <v>1421</v>
      </c>
      <c r="J208" s="105" t="s">
        <v>3</v>
      </c>
      <c r="K208" s="112" t="s">
        <v>4</v>
      </c>
      <c r="L208" s="112" t="s">
        <v>34</v>
      </c>
      <c r="M208" s="112" t="s">
        <v>33</v>
      </c>
      <c r="N208" s="113"/>
      <c r="O208" s="31" t="s">
        <v>78</v>
      </c>
      <c r="P208" s="31" t="s">
        <v>1407</v>
      </c>
      <c r="Q208" s="31" t="s">
        <v>8</v>
      </c>
      <c r="R208" s="31" t="s">
        <v>1052</v>
      </c>
      <c r="S208" s="103">
        <v>25569.583333333299</v>
      </c>
      <c r="T208" s="103">
        <v>25569.931250000001</v>
      </c>
      <c r="U208" s="31"/>
      <c r="V208" s="102"/>
      <c r="W208" s="101"/>
    </row>
    <row r="209" spans="2:23" s="16" customFormat="1" ht="41.1" customHeight="1" x14ac:dyDescent="0.2">
      <c r="B209" s="100">
        <v>42945</v>
      </c>
      <c r="C209" s="97">
        <v>25569.895833333299</v>
      </c>
      <c r="D209" s="99" t="s">
        <v>1053</v>
      </c>
      <c r="E209" s="24" t="s">
        <v>1054</v>
      </c>
      <c r="F209" s="24" t="s">
        <v>1055</v>
      </c>
      <c r="G209" s="98">
        <v>54</v>
      </c>
      <c r="H209" s="99" t="s">
        <v>1056</v>
      </c>
      <c r="I209" s="99" t="s">
        <v>1405</v>
      </c>
      <c r="J209" s="99" t="s">
        <v>3</v>
      </c>
      <c r="K209" s="112" t="s">
        <v>4</v>
      </c>
      <c r="L209" s="112" t="s">
        <v>34</v>
      </c>
      <c r="M209" s="112" t="s">
        <v>34</v>
      </c>
      <c r="N209" s="113"/>
      <c r="O209" s="24" t="s">
        <v>78</v>
      </c>
      <c r="P209" s="24" t="s">
        <v>1407</v>
      </c>
      <c r="Q209" s="24" t="s">
        <v>71</v>
      </c>
      <c r="R209" s="24" t="s">
        <v>1057</v>
      </c>
      <c r="S209" s="97">
        <v>25569.603472222199</v>
      </c>
      <c r="T209" s="97">
        <v>25569.026388888899</v>
      </c>
      <c r="U209" s="24"/>
      <c r="V209" s="96"/>
      <c r="W209" s="95" t="s">
        <v>73</v>
      </c>
    </row>
    <row r="210" spans="2:23" s="16" customFormat="1" ht="51.75" customHeight="1" x14ac:dyDescent="0.2">
      <c r="B210" s="106">
        <v>42948</v>
      </c>
      <c r="C210" s="103">
        <v>25569.208333333299</v>
      </c>
      <c r="D210" s="105" t="s">
        <v>1058</v>
      </c>
      <c r="E210" s="31" t="s">
        <v>1059</v>
      </c>
      <c r="F210" s="31" t="s">
        <v>105</v>
      </c>
      <c r="G210" s="104">
        <v>40</v>
      </c>
      <c r="H210" s="105" t="s">
        <v>1060</v>
      </c>
      <c r="I210" s="105" t="s">
        <v>1405</v>
      </c>
      <c r="J210" s="105" t="s">
        <v>3</v>
      </c>
      <c r="K210" s="112" t="s">
        <v>4</v>
      </c>
      <c r="L210" s="112" t="s">
        <v>33</v>
      </c>
      <c r="M210" s="112" t="s">
        <v>34</v>
      </c>
      <c r="N210" s="113">
        <v>3</v>
      </c>
      <c r="O210" s="31" t="s">
        <v>60</v>
      </c>
      <c r="P210" s="31" t="s">
        <v>180</v>
      </c>
      <c r="Q210" s="31" t="s">
        <v>158</v>
      </c>
      <c r="R210" s="31" t="s">
        <v>1061</v>
      </c>
      <c r="S210" s="103">
        <v>25569.916666666701</v>
      </c>
      <c r="T210" s="103"/>
      <c r="U210" s="31" t="s">
        <v>1008</v>
      </c>
      <c r="V210" s="102"/>
      <c r="W210" s="101" t="s">
        <v>81</v>
      </c>
    </row>
    <row r="211" spans="2:23" s="16" customFormat="1" ht="51.75" customHeight="1" x14ac:dyDescent="0.2">
      <c r="B211" s="100">
        <v>42948</v>
      </c>
      <c r="C211" s="97">
        <v>25569.319444444402</v>
      </c>
      <c r="D211" s="99" t="s">
        <v>1062</v>
      </c>
      <c r="E211" s="24" t="s">
        <v>1063</v>
      </c>
      <c r="F211" s="24" t="s">
        <v>1064</v>
      </c>
      <c r="G211" s="98">
        <v>26</v>
      </c>
      <c r="H211" s="99" t="s">
        <v>1065</v>
      </c>
      <c r="I211" s="99" t="s">
        <v>1448</v>
      </c>
      <c r="J211" s="99" t="s">
        <v>3</v>
      </c>
      <c r="K211" s="112" t="s">
        <v>4</v>
      </c>
      <c r="L211" s="112" t="s">
        <v>34</v>
      </c>
      <c r="M211" s="112" t="s">
        <v>34</v>
      </c>
      <c r="N211" s="113"/>
      <c r="O211" s="24" t="s">
        <v>60</v>
      </c>
      <c r="P211" s="24" t="s">
        <v>121</v>
      </c>
      <c r="Q211" s="24" t="s">
        <v>122</v>
      </c>
      <c r="R211" s="24" t="s">
        <v>1067</v>
      </c>
      <c r="S211" s="97">
        <v>25569.28125</v>
      </c>
      <c r="T211" s="97">
        <v>25569.589583333302</v>
      </c>
      <c r="U211" s="24"/>
      <c r="V211" s="96"/>
      <c r="W211" s="95"/>
    </row>
    <row r="212" spans="2:23" s="16" customFormat="1" ht="51.75" customHeight="1" x14ac:dyDescent="0.2">
      <c r="B212" s="106">
        <v>42949</v>
      </c>
      <c r="C212" s="103">
        <v>25569.197916666701</v>
      </c>
      <c r="D212" s="105" t="s">
        <v>1068</v>
      </c>
      <c r="E212" s="31" t="s">
        <v>1069</v>
      </c>
      <c r="F212" s="31" t="s">
        <v>57</v>
      </c>
      <c r="G212" s="104">
        <v>54</v>
      </c>
      <c r="H212" s="105" t="s">
        <v>1070</v>
      </c>
      <c r="I212" s="105" t="s">
        <v>1431</v>
      </c>
      <c r="J212" s="105" t="s">
        <v>3</v>
      </c>
      <c r="K212" s="112" t="s">
        <v>4</v>
      </c>
      <c r="L212" s="112" t="s">
        <v>33</v>
      </c>
      <c r="M212" s="112" t="s">
        <v>34</v>
      </c>
      <c r="N212" s="113">
        <v>9</v>
      </c>
      <c r="O212" s="31" t="s">
        <v>69</v>
      </c>
      <c r="P212" s="31" t="s">
        <v>61</v>
      </c>
      <c r="Q212" s="31" t="s">
        <v>79</v>
      </c>
      <c r="R212" s="31" t="s">
        <v>1071</v>
      </c>
      <c r="S212" s="103">
        <v>25569.229166666701</v>
      </c>
      <c r="T212" s="103">
        <v>25569.5625</v>
      </c>
      <c r="U212" s="31"/>
      <c r="V212" s="102"/>
      <c r="W212" s="101" t="s">
        <v>81</v>
      </c>
    </row>
    <row r="213" spans="2:23" s="16" customFormat="1" ht="62.45" customHeight="1" x14ac:dyDescent="0.2">
      <c r="B213" s="100">
        <v>42950</v>
      </c>
      <c r="C213" s="97">
        <v>25569.291666666701</v>
      </c>
      <c r="D213" s="99" t="s">
        <v>1072</v>
      </c>
      <c r="E213" s="24" t="s">
        <v>1073</v>
      </c>
      <c r="F213" s="24" t="s">
        <v>1074</v>
      </c>
      <c r="G213" s="98">
        <v>51</v>
      </c>
      <c r="H213" s="99" t="s">
        <v>1075</v>
      </c>
      <c r="I213" s="99" t="s">
        <v>1425</v>
      </c>
      <c r="J213" s="99" t="s">
        <v>3</v>
      </c>
      <c r="K213" s="112" t="s">
        <v>4</v>
      </c>
      <c r="L213" s="112" t="s">
        <v>33</v>
      </c>
      <c r="M213" s="112" t="s">
        <v>34</v>
      </c>
      <c r="N213" s="113">
        <v>1</v>
      </c>
      <c r="O213" s="24" t="s">
        <v>1076</v>
      </c>
      <c r="P213" s="24" t="s">
        <v>1077</v>
      </c>
      <c r="Q213" s="24" t="s">
        <v>122</v>
      </c>
      <c r="R213" s="24" t="s">
        <v>1078</v>
      </c>
      <c r="S213" s="97">
        <v>25569.270833333299</v>
      </c>
      <c r="T213" s="97">
        <v>25569.625</v>
      </c>
      <c r="U213" s="24"/>
      <c r="V213" s="96"/>
      <c r="W213" s="95" t="s">
        <v>81</v>
      </c>
    </row>
    <row r="214" spans="2:23" s="16" customFormat="1" ht="41.1" customHeight="1" x14ac:dyDescent="0.2">
      <c r="B214" s="106">
        <v>42951</v>
      </c>
      <c r="C214" s="103">
        <v>25569.739583333299</v>
      </c>
      <c r="D214" s="105" t="s">
        <v>1079</v>
      </c>
      <c r="E214" s="31" t="s">
        <v>1080</v>
      </c>
      <c r="F214" s="31" t="s">
        <v>204</v>
      </c>
      <c r="G214" s="104">
        <v>46</v>
      </c>
      <c r="H214" s="105" t="s">
        <v>1081</v>
      </c>
      <c r="I214" s="105" t="s">
        <v>1421</v>
      </c>
      <c r="J214" s="105" t="s">
        <v>3</v>
      </c>
      <c r="K214" s="112" t="s">
        <v>4</v>
      </c>
      <c r="L214" s="112" t="s">
        <v>34</v>
      </c>
      <c r="M214" s="112" t="s">
        <v>34</v>
      </c>
      <c r="N214" s="113"/>
      <c r="O214" s="31" t="s">
        <v>60</v>
      </c>
      <c r="P214" s="31" t="s">
        <v>121</v>
      </c>
      <c r="Q214" s="31" t="s">
        <v>122</v>
      </c>
      <c r="R214" s="31" t="s">
        <v>1082</v>
      </c>
      <c r="S214" s="103">
        <v>25569.583333333299</v>
      </c>
      <c r="T214" s="103">
        <v>25569.931250000001</v>
      </c>
      <c r="U214" s="31"/>
      <c r="V214" s="102"/>
      <c r="W214" s="101" t="s">
        <v>73</v>
      </c>
    </row>
    <row r="215" spans="2:23" s="16" customFormat="1" ht="51.75" customHeight="1" x14ac:dyDescent="0.2">
      <c r="B215" s="100">
        <v>42952</v>
      </c>
      <c r="C215" s="97">
        <v>25569.753472222201</v>
      </c>
      <c r="D215" s="99" t="s">
        <v>1083</v>
      </c>
      <c r="E215" s="24" t="s">
        <v>1084</v>
      </c>
      <c r="F215" s="24" t="s">
        <v>1085</v>
      </c>
      <c r="G215" s="98">
        <v>57</v>
      </c>
      <c r="H215" s="99" t="s">
        <v>1086</v>
      </c>
      <c r="I215" s="99" t="s">
        <v>1421</v>
      </c>
      <c r="J215" s="99" t="s">
        <v>3</v>
      </c>
      <c r="K215" s="112" t="s">
        <v>4</v>
      </c>
      <c r="L215" s="112" t="s">
        <v>34</v>
      </c>
      <c r="M215" s="112" t="s">
        <v>34</v>
      </c>
      <c r="N215" s="113"/>
      <c r="O215" s="24" t="s">
        <v>133</v>
      </c>
      <c r="P215" s="24" t="s">
        <v>1407</v>
      </c>
      <c r="Q215" s="24" t="s">
        <v>158</v>
      </c>
      <c r="R215" s="24" t="s">
        <v>1087</v>
      </c>
      <c r="S215" s="97">
        <v>25569.583333333299</v>
      </c>
      <c r="T215" s="97">
        <v>25569.931944444401</v>
      </c>
      <c r="U215" s="24"/>
      <c r="V215" s="96"/>
      <c r="W215" s="95" t="s">
        <v>73</v>
      </c>
    </row>
    <row r="216" spans="2:23" s="16" customFormat="1" ht="41.1" customHeight="1" x14ac:dyDescent="0.2">
      <c r="B216" s="106">
        <v>42953</v>
      </c>
      <c r="C216" s="103">
        <v>25569.013888888901</v>
      </c>
      <c r="D216" s="105" t="s">
        <v>1088</v>
      </c>
      <c r="E216" s="31" t="s">
        <v>1089</v>
      </c>
      <c r="F216" s="31" t="s">
        <v>447</v>
      </c>
      <c r="G216" s="104">
        <v>37</v>
      </c>
      <c r="H216" s="105" t="s">
        <v>1090</v>
      </c>
      <c r="I216" s="105" t="s">
        <v>1405</v>
      </c>
      <c r="J216" s="105" t="s">
        <v>3</v>
      </c>
      <c r="K216" s="112" t="s">
        <v>4</v>
      </c>
      <c r="L216" s="112" t="s">
        <v>33</v>
      </c>
      <c r="M216" s="112" t="s">
        <v>34</v>
      </c>
      <c r="N216" s="113">
        <v>122</v>
      </c>
      <c r="O216" s="31" t="s">
        <v>78</v>
      </c>
      <c r="P216" s="31" t="s">
        <v>61</v>
      </c>
      <c r="Q216" s="31" t="s">
        <v>79</v>
      </c>
      <c r="R216" s="31" t="s">
        <v>1091</v>
      </c>
      <c r="S216" s="103">
        <v>25569.916666666701</v>
      </c>
      <c r="T216" s="103">
        <v>25569.261805555601</v>
      </c>
      <c r="U216" s="31"/>
      <c r="V216" s="102"/>
      <c r="W216" s="101" t="s">
        <v>81</v>
      </c>
    </row>
    <row r="217" spans="2:23" s="16" customFormat="1" ht="41.1" customHeight="1" x14ac:dyDescent="0.2">
      <c r="B217" s="100">
        <v>42955</v>
      </c>
      <c r="C217" s="97">
        <v>25569.291666666701</v>
      </c>
      <c r="D217" s="99" t="s">
        <v>1092</v>
      </c>
      <c r="E217" s="24" t="s">
        <v>427</v>
      </c>
      <c r="F217" s="24" t="s">
        <v>131</v>
      </c>
      <c r="G217" s="98">
        <v>41</v>
      </c>
      <c r="H217" s="99" t="s">
        <v>428</v>
      </c>
      <c r="I217" s="99" t="s">
        <v>1413</v>
      </c>
      <c r="J217" s="99" t="s">
        <v>3</v>
      </c>
      <c r="K217" s="112" t="s">
        <v>4</v>
      </c>
      <c r="L217" s="112" t="s">
        <v>33</v>
      </c>
      <c r="M217" s="112" t="s">
        <v>34</v>
      </c>
      <c r="N217" s="113">
        <v>40</v>
      </c>
      <c r="O217" s="24" t="s">
        <v>133</v>
      </c>
      <c r="P217" s="24" t="s">
        <v>61</v>
      </c>
      <c r="Q217" s="24" t="s">
        <v>71</v>
      </c>
      <c r="R217" s="24" t="s">
        <v>1093</v>
      </c>
      <c r="S217" s="97">
        <v>25569.21875</v>
      </c>
      <c r="T217" s="97">
        <v>25569.570138888899</v>
      </c>
      <c r="U217" s="24"/>
      <c r="V217" s="96"/>
      <c r="W217" s="95" t="s">
        <v>81</v>
      </c>
    </row>
    <row r="218" spans="2:23" s="16" customFormat="1" ht="51.75" customHeight="1" x14ac:dyDescent="0.2">
      <c r="B218" s="106">
        <v>42955</v>
      </c>
      <c r="C218" s="103">
        <v>25569.305555555598</v>
      </c>
      <c r="D218" s="105" t="s">
        <v>1475</v>
      </c>
      <c r="E218" s="31" t="s">
        <v>1094</v>
      </c>
      <c r="F218" s="31" t="s">
        <v>1095</v>
      </c>
      <c r="G218" s="104">
        <v>32</v>
      </c>
      <c r="H218" s="105" t="s">
        <v>1476</v>
      </c>
      <c r="I218" s="105" t="s">
        <v>1410</v>
      </c>
      <c r="J218" s="105" t="s">
        <v>3</v>
      </c>
      <c r="K218" s="112" t="s">
        <v>4</v>
      </c>
      <c r="L218" s="112" t="s">
        <v>34</v>
      </c>
      <c r="M218" s="112" t="s">
        <v>34</v>
      </c>
      <c r="N218" s="113"/>
      <c r="O218" s="31" t="s">
        <v>78</v>
      </c>
      <c r="P218" s="31" t="s">
        <v>121</v>
      </c>
      <c r="Q218" s="31" t="s">
        <v>79</v>
      </c>
      <c r="R218" s="31" t="s">
        <v>1096</v>
      </c>
      <c r="S218" s="103">
        <v>25569.25</v>
      </c>
      <c r="T218" s="103">
        <v>25569.590277777799</v>
      </c>
      <c r="U218" s="31"/>
      <c r="V218" s="102"/>
      <c r="W218" s="101" t="s">
        <v>73</v>
      </c>
    </row>
    <row r="219" spans="2:23" s="16" customFormat="1" ht="62.45" customHeight="1" x14ac:dyDescent="0.2">
      <c r="B219" s="100">
        <v>42960</v>
      </c>
      <c r="C219" s="97">
        <v>25569.506944444402</v>
      </c>
      <c r="D219" s="99" t="s">
        <v>1097</v>
      </c>
      <c r="E219" s="24" t="s">
        <v>1098</v>
      </c>
      <c r="F219" s="24" t="s">
        <v>297</v>
      </c>
      <c r="G219" s="98">
        <v>57</v>
      </c>
      <c r="H219" s="99" t="s">
        <v>1099</v>
      </c>
      <c r="I219" s="99" t="s">
        <v>1405</v>
      </c>
      <c r="J219" s="99" t="s">
        <v>3</v>
      </c>
      <c r="K219" s="112" t="s">
        <v>4</v>
      </c>
      <c r="L219" s="112" t="s">
        <v>34</v>
      </c>
      <c r="M219" s="112" t="s">
        <v>34</v>
      </c>
      <c r="N219" s="113"/>
      <c r="O219" s="24" t="s">
        <v>405</v>
      </c>
      <c r="P219" s="24" t="s">
        <v>187</v>
      </c>
      <c r="Q219" s="24" t="s">
        <v>146</v>
      </c>
      <c r="R219" s="24" t="s">
        <v>1100</v>
      </c>
      <c r="S219" s="97">
        <v>25569.28125</v>
      </c>
      <c r="T219" s="97">
        <v>25569.649305555598</v>
      </c>
      <c r="U219" s="24"/>
      <c r="V219" s="96"/>
      <c r="W219" s="95" t="s">
        <v>73</v>
      </c>
    </row>
    <row r="220" spans="2:23" s="16" customFormat="1" ht="62.45" customHeight="1" x14ac:dyDescent="0.2">
      <c r="B220" s="106">
        <v>42963</v>
      </c>
      <c r="C220" s="103">
        <v>25569.451388888901</v>
      </c>
      <c r="D220" s="105" t="s">
        <v>1101</v>
      </c>
      <c r="E220" s="31" t="s">
        <v>233</v>
      </c>
      <c r="F220" s="31" t="s">
        <v>234</v>
      </c>
      <c r="G220" s="104">
        <v>32</v>
      </c>
      <c r="H220" s="105" t="s">
        <v>235</v>
      </c>
      <c r="I220" s="105" t="s">
        <v>1413</v>
      </c>
      <c r="J220" s="105" t="s">
        <v>3</v>
      </c>
      <c r="K220" s="112" t="s">
        <v>4</v>
      </c>
      <c r="L220" s="112" t="s">
        <v>34</v>
      </c>
      <c r="M220" s="112" t="s">
        <v>34</v>
      </c>
      <c r="N220" s="113"/>
      <c r="O220" s="31" t="s">
        <v>833</v>
      </c>
      <c r="P220" s="31" t="s">
        <v>289</v>
      </c>
      <c r="Q220" s="31" t="s">
        <v>146</v>
      </c>
      <c r="R220" s="31" t="s">
        <v>1102</v>
      </c>
      <c r="S220" s="103">
        <v>25569.263888888901</v>
      </c>
      <c r="T220" s="103">
        <v>25569.615277777801</v>
      </c>
      <c r="U220" s="31"/>
      <c r="V220" s="102"/>
      <c r="W220" s="101" t="s">
        <v>73</v>
      </c>
    </row>
    <row r="221" spans="2:23" s="16" customFormat="1" ht="41.1" customHeight="1" x14ac:dyDescent="0.2">
      <c r="B221" s="100">
        <v>42963</v>
      </c>
      <c r="C221" s="97">
        <v>25569.791666666701</v>
      </c>
      <c r="D221" s="99" t="s">
        <v>1477</v>
      </c>
      <c r="E221" s="24" t="s">
        <v>1103</v>
      </c>
      <c r="F221" s="24" t="s">
        <v>1104</v>
      </c>
      <c r="G221" s="98">
        <v>43</v>
      </c>
      <c r="H221" s="99" t="s">
        <v>1478</v>
      </c>
      <c r="I221" s="99" t="s">
        <v>1410</v>
      </c>
      <c r="J221" s="99" t="s">
        <v>3</v>
      </c>
      <c r="K221" s="112" t="s">
        <v>4</v>
      </c>
      <c r="L221" s="112" t="s">
        <v>34</v>
      </c>
      <c r="M221" s="112" t="s">
        <v>34</v>
      </c>
      <c r="N221" s="113"/>
      <c r="O221" s="24" t="s">
        <v>78</v>
      </c>
      <c r="P221" s="24" t="s">
        <v>61</v>
      </c>
      <c r="Q221" s="24" t="s">
        <v>79</v>
      </c>
      <c r="R221" s="24" t="s">
        <v>1105</v>
      </c>
      <c r="S221" s="97">
        <v>25569.604166666701</v>
      </c>
      <c r="T221" s="97">
        <v>25569.979166666701</v>
      </c>
      <c r="U221" s="24"/>
      <c r="V221" s="96"/>
      <c r="W221" s="95"/>
    </row>
    <row r="222" spans="2:23" s="16" customFormat="1" ht="51.75" customHeight="1" x14ac:dyDescent="0.2">
      <c r="B222" s="106">
        <v>42965</v>
      </c>
      <c r="C222" s="103">
        <v>25569.1875</v>
      </c>
      <c r="D222" s="105" t="s">
        <v>1106</v>
      </c>
      <c r="E222" s="31" t="s">
        <v>1107</v>
      </c>
      <c r="F222" s="31" t="s">
        <v>716</v>
      </c>
      <c r="G222" s="104">
        <v>30</v>
      </c>
      <c r="H222" s="105" t="s">
        <v>1108</v>
      </c>
      <c r="I222" s="105" t="s">
        <v>1417</v>
      </c>
      <c r="J222" s="105" t="s">
        <v>3</v>
      </c>
      <c r="K222" s="112" t="s">
        <v>4</v>
      </c>
      <c r="L222" s="112" t="s">
        <v>34</v>
      </c>
      <c r="M222" s="112" t="s">
        <v>34</v>
      </c>
      <c r="N222" s="113"/>
      <c r="O222" s="31" t="s">
        <v>78</v>
      </c>
      <c r="P222" s="31" t="s">
        <v>61</v>
      </c>
      <c r="Q222" s="31" t="s">
        <v>62</v>
      </c>
      <c r="R222" s="31" t="s">
        <v>1109</v>
      </c>
      <c r="S222" s="103">
        <v>25569.916666666701</v>
      </c>
      <c r="T222" s="103">
        <v>25569.256944444402</v>
      </c>
      <c r="U222" s="31"/>
      <c r="V222" s="102"/>
      <c r="W222" s="101"/>
    </row>
    <row r="223" spans="2:23" s="16" customFormat="1" ht="51.75" customHeight="1" x14ac:dyDescent="0.2">
      <c r="B223" s="100">
        <v>42967</v>
      </c>
      <c r="C223" s="97">
        <v>25569.270833333299</v>
      </c>
      <c r="D223" s="99" t="s">
        <v>1110</v>
      </c>
      <c r="E223" s="24" t="s">
        <v>1111</v>
      </c>
      <c r="F223" s="24" t="s">
        <v>223</v>
      </c>
      <c r="G223" s="98">
        <v>40</v>
      </c>
      <c r="H223" s="99" t="s">
        <v>1112</v>
      </c>
      <c r="I223" s="99" t="s">
        <v>1405</v>
      </c>
      <c r="J223" s="99" t="s">
        <v>3</v>
      </c>
      <c r="K223" s="112" t="s">
        <v>4</v>
      </c>
      <c r="L223" s="112" t="s">
        <v>33</v>
      </c>
      <c r="M223" s="112" t="s">
        <v>34</v>
      </c>
      <c r="N223" s="113">
        <v>26</v>
      </c>
      <c r="O223" s="24" t="s">
        <v>78</v>
      </c>
      <c r="P223" s="24" t="s">
        <v>145</v>
      </c>
      <c r="Q223" s="24" t="s">
        <v>71</v>
      </c>
      <c r="R223" s="24" t="s">
        <v>1113</v>
      </c>
      <c r="S223" s="97">
        <v>25569.25</v>
      </c>
      <c r="T223" s="97">
        <v>25569.616666666701</v>
      </c>
      <c r="U223" s="24" t="s">
        <v>1114</v>
      </c>
      <c r="V223" s="96"/>
      <c r="W223" s="95" t="s">
        <v>81</v>
      </c>
    </row>
    <row r="224" spans="2:23" s="16" customFormat="1" ht="62.45" customHeight="1" x14ac:dyDescent="0.2">
      <c r="B224" s="106">
        <v>42969</v>
      </c>
      <c r="C224" s="103">
        <v>25569.722222222201</v>
      </c>
      <c r="D224" s="105" t="s">
        <v>1115</v>
      </c>
      <c r="E224" s="31" t="s">
        <v>1116</v>
      </c>
      <c r="F224" s="31" t="s">
        <v>210</v>
      </c>
      <c r="G224" s="104">
        <v>49</v>
      </c>
      <c r="H224" s="105" t="s">
        <v>1117</v>
      </c>
      <c r="I224" s="105" t="s">
        <v>1405</v>
      </c>
      <c r="J224" s="105" t="s">
        <v>3</v>
      </c>
      <c r="K224" s="112" t="s">
        <v>4</v>
      </c>
      <c r="L224" s="112" t="s">
        <v>33</v>
      </c>
      <c r="M224" s="112" t="s">
        <v>34</v>
      </c>
      <c r="N224" s="113">
        <v>13</v>
      </c>
      <c r="O224" s="31" t="s">
        <v>78</v>
      </c>
      <c r="P224" s="31" t="s">
        <v>61</v>
      </c>
      <c r="Q224" s="31" t="s">
        <v>62</v>
      </c>
      <c r="R224" s="31" t="s">
        <v>1118</v>
      </c>
      <c r="S224" s="103">
        <v>25569.659722222201</v>
      </c>
      <c r="T224" s="103">
        <v>25569.020833333299</v>
      </c>
      <c r="U224" s="31"/>
      <c r="V224" s="102"/>
      <c r="W224" s="101" t="s">
        <v>81</v>
      </c>
    </row>
    <row r="225" spans="2:23" s="16" customFormat="1" ht="41.1" customHeight="1" x14ac:dyDescent="0.2">
      <c r="B225" s="100">
        <v>42969</v>
      </c>
      <c r="C225" s="97">
        <v>25569.958333333299</v>
      </c>
      <c r="D225" s="99" t="s">
        <v>1119</v>
      </c>
      <c r="E225" s="24" t="s">
        <v>1120</v>
      </c>
      <c r="F225" s="24" t="s">
        <v>1121</v>
      </c>
      <c r="G225" s="98">
        <v>37</v>
      </c>
      <c r="H225" s="99" t="s">
        <v>1122</v>
      </c>
      <c r="I225" s="99" t="s">
        <v>1408</v>
      </c>
      <c r="J225" s="99" t="s">
        <v>3</v>
      </c>
      <c r="K225" s="112" t="s">
        <v>4</v>
      </c>
      <c r="L225" s="112" t="s">
        <v>34</v>
      </c>
      <c r="M225" s="112" t="s">
        <v>34</v>
      </c>
      <c r="N225" s="113"/>
      <c r="O225" s="24" t="s">
        <v>107</v>
      </c>
      <c r="P225" s="24" t="s">
        <v>61</v>
      </c>
      <c r="Q225" s="24" t="s">
        <v>8</v>
      </c>
      <c r="R225" s="24" t="s">
        <v>1123</v>
      </c>
      <c r="S225" s="97">
        <v>25569.90625</v>
      </c>
      <c r="T225" s="97">
        <v>25569.25</v>
      </c>
      <c r="U225" s="24"/>
      <c r="V225" s="96"/>
      <c r="W225" s="95" t="s">
        <v>73</v>
      </c>
    </row>
    <row r="226" spans="2:23" s="16" customFormat="1" ht="41.1" customHeight="1" x14ac:dyDescent="0.2">
      <c r="B226" s="106">
        <v>42970</v>
      </c>
      <c r="C226" s="103">
        <v>25569.680555555598</v>
      </c>
      <c r="D226" s="105" t="s">
        <v>1124</v>
      </c>
      <c r="E226" s="31" t="s">
        <v>1125</v>
      </c>
      <c r="F226" s="31" t="s">
        <v>350</v>
      </c>
      <c r="G226" s="104">
        <v>56</v>
      </c>
      <c r="H226" s="105" t="s">
        <v>1126</v>
      </c>
      <c r="I226" s="105" t="s">
        <v>1449</v>
      </c>
      <c r="J226" s="105" t="s">
        <v>3</v>
      </c>
      <c r="K226" s="112" t="s">
        <v>1404</v>
      </c>
      <c r="L226" s="112" t="s">
        <v>34</v>
      </c>
      <c r="M226" s="112" t="s">
        <v>34</v>
      </c>
      <c r="N226" s="113"/>
      <c r="O226" s="31" t="s">
        <v>60</v>
      </c>
      <c r="P226" s="31" t="s">
        <v>1407</v>
      </c>
      <c r="Q226" s="31" t="s">
        <v>114</v>
      </c>
      <c r="R226" s="31" t="s">
        <v>1128</v>
      </c>
      <c r="S226" s="103">
        <v>25569.6944444445</v>
      </c>
      <c r="T226" s="103">
        <v>25569.041666666701</v>
      </c>
      <c r="U226" s="31"/>
      <c r="V226" s="102"/>
      <c r="W226" s="101" t="s">
        <v>81</v>
      </c>
    </row>
    <row r="227" spans="2:23" s="16" customFormat="1" ht="51.75" customHeight="1" x14ac:dyDescent="0.2">
      <c r="B227" s="100">
        <v>42975</v>
      </c>
      <c r="C227" s="97">
        <v>25569.416666666701</v>
      </c>
      <c r="D227" s="99" t="s">
        <v>1129</v>
      </c>
      <c r="E227" s="24" t="s">
        <v>1130</v>
      </c>
      <c r="F227" s="24" t="s">
        <v>297</v>
      </c>
      <c r="G227" s="98">
        <v>50</v>
      </c>
      <c r="H227" s="99" t="s">
        <v>1131</v>
      </c>
      <c r="I227" s="99" t="s">
        <v>1417</v>
      </c>
      <c r="J227" s="99" t="s">
        <v>3</v>
      </c>
      <c r="K227" s="112" t="s">
        <v>4</v>
      </c>
      <c r="L227" s="112" t="s">
        <v>33</v>
      </c>
      <c r="M227" s="112" t="s">
        <v>34</v>
      </c>
      <c r="N227" s="113">
        <v>4</v>
      </c>
      <c r="O227" s="24" t="s">
        <v>1132</v>
      </c>
      <c r="P227" s="24" t="s">
        <v>1407</v>
      </c>
      <c r="Q227" s="24" t="s">
        <v>114</v>
      </c>
      <c r="R227" s="24" t="s">
        <v>1133</v>
      </c>
      <c r="S227" s="97">
        <v>25569.272916666701</v>
      </c>
      <c r="T227" s="97">
        <v>25569.606250000001</v>
      </c>
      <c r="U227" s="24"/>
      <c r="V227" s="96"/>
      <c r="W227" s="95"/>
    </row>
    <row r="228" spans="2:23" s="16" customFormat="1" ht="41.1" customHeight="1" x14ac:dyDescent="0.2">
      <c r="B228" s="106">
        <v>42975</v>
      </c>
      <c r="C228" s="103">
        <v>25569.774305555598</v>
      </c>
      <c r="D228" s="105" t="s">
        <v>1479</v>
      </c>
      <c r="E228" s="31" t="s">
        <v>381</v>
      </c>
      <c r="F228" s="31" t="s">
        <v>382</v>
      </c>
      <c r="G228" s="104">
        <v>39</v>
      </c>
      <c r="H228" s="105" t="s">
        <v>1458</v>
      </c>
      <c r="I228" s="105" t="s">
        <v>1410</v>
      </c>
      <c r="J228" s="105" t="s">
        <v>3</v>
      </c>
      <c r="K228" s="112" t="s">
        <v>4</v>
      </c>
      <c r="L228" s="112" t="s">
        <v>34</v>
      </c>
      <c r="M228" s="112" t="s">
        <v>34</v>
      </c>
      <c r="N228" s="113"/>
      <c r="O228" s="31" t="s">
        <v>78</v>
      </c>
      <c r="P228" s="31" t="s">
        <v>121</v>
      </c>
      <c r="Q228" s="31" t="s">
        <v>122</v>
      </c>
      <c r="R228" s="31" t="s">
        <v>1134</v>
      </c>
      <c r="S228" s="103">
        <v>25569.458333333299</v>
      </c>
      <c r="T228" s="103">
        <v>25569.790972222199</v>
      </c>
      <c r="U228" s="31"/>
      <c r="V228" s="102"/>
      <c r="W228" s="101" t="s">
        <v>73</v>
      </c>
    </row>
    <row r="229" spans="2:23" s="16" customFormat="1" ht="41.1" customHeight="1" x14ac:dyDescent="0.2">
      <c r="B229" s="100">
        <v>42976</v>
      </c>
      <c r="C229" s="97">
        <v>25569.416666666701</v>
      </c>
      <c r="D229" s="99" t="s">
        <v>1135</v>
      </c>
      <c r="E229" s="24" t="s">
        <v>1136</v>
      </c>
      <c r="F229" s="24" t="s">
        <v>131</v>
      </c>
      <c r="G229" s="98">
        <v>65</v>
      </c>
      <c r="H229" s="99" t="s">
        <v>1137</v>
      </c>
      <c r="I229" s="99" t="s">
        <v>1450</v>
      </c>
      <c r="J229" s="99" t="s">
        <v>3</v>
      </c>
      <c r="K229" s="112" t="s">
        <v>4</v>
      </c>
      <c r="L229" s="112" t="s">
        <v>33</v>
      </c>
      <c r="M229" s="112" t="s">
        <v>34</v>
      </c>
      <c r="N229" s="113">
        <v>1</v>
      </c>
      <c r="O229" s="24" t="s">
        <v>60</v>
      </c>
      <c r="P229" s="24" t="s">
        <v>5</v>
      </c>
      <c r="Q229" s="24" t="s">
        <v>1407</v>
      </c>
      <c r="R229" s="24" t="s">
        <v>1139</v>
      </c>
      <c r="S229" s="97">
        <v>25569.3125</v>
      </c>
      <c r="T229" s="97">
        <v>25569.645833333299</v>
      </c>
      <c r="U229" s="24" t="s">
        <v>1140</v>
      </c>
      <c r="V229" s="96"/>
      <c r="W229" s="95"/>
    </row>
    <row r="230" spans="2:23" s="16" customFormat="1" ht="51.75" customHeight="1" x14ac:dyDescent="0.2">
      <c r="B230" s="106">
        <v>42976</v>
      </c>
      <c r="C230" s="103">
        <v>25569.666666666701</v>
      </c>
      <c r="D230" s="105" t="s">
        <v>1141</v>
      </c>
      <c r="E230" s="31" t="s">
        <v>1142</v>
      </c>
      <c r="F230" s="31" t="s">
        <v>156</v>
      </c>
      <c r="G230" s="104">
        <v>50</v>
      </c>
      <c r="H230" s="105" t="s">
        <v>1143</v>
      </c>
      <c r="I230" s="105" t="s">
        <v>1421</v>
      </c>
      <c r="J230" s="105" t="s">
        <v>3</v>
      </c>
      <c r="K230" s="112" t="s">
        <v>4</v>
      </c>
      <c r="L230" s="112" t="s">
        <v>34</v>
      </c>
      <c r="M230" s="112" t="s">
        <v>34</v>
      </c>
      <c r="N230" s="113"/>
      <c r="O230" s="31" t="s">
        <v>405</v>
      </c>
      <c r="P230" s="31" t="s">
        <v>88</v>
      </c>
      <c r="Q230" s="31" t="s">
        <v>8</v>
      </c>
      <c r="R230" s="31" t="s">
        <v>1144</v>
      </c>
      <c r="S230" s="103">
        <v>25569.583333333299</v>
      </c>
      <c r="T230" s="103">
        <v>25569.931250000001</v>
      </c>
      <c r="U230" s="31"/>
      <c r="V230" s="102"/>
      <c r="W230" s="101" t="s">
        <v>73</v>
      </c>
    </row>
    <row r="231" spans="2:23" s="16" customFormat="1" ht="51.75" customHeight="1" x14ac:dyDescent="0.2">
      <c r="B231" s="100">
        <v>42976</v>
      </c>
      <c r="C231" s="97">
        <v>25569.6875</v>
      </c>
      <c r="D231" s="99" t="s">
        <v>1145</v>
      </c>
      <c r="E231" s="24" t="s">
        <v>1146</v>
      </c>
      <c r="F231" s="24" t="s">
        <v>66</v>
      </c>
      <c r="G231" s="98">
        <v>45</v>
      </c>
      <c r="H231" s="99" t="s">
        <v>1147</v>
      </c>
      <c r="I231" s="99" t="s">
        <v>1405</v>
      </c>
      <c r="J231" s="99" t="s">
        <v>3</v>
      </c>
      <c r="K231" s="112" t="s">
        <v>4</v>
      </c>
      <c r="L231" s="112" t="s">
        <v>34</v>
      </c>
      <c r="M231" s="112" t="s">
        <v>34</v>
      </c>
      <c r="N231" s="113"/>
      <c r="O231" s="24" t="s">
        <v>133</v>
      </c>
      <c r="P231" s="24" t="s">
        <v>1407</v>
      </c>
      <c r="Q231" s="24" t="s">
        <v>71</v>
      </c>
      <c r="R231" s="24" t="s">
        <v>1148</v>
      </c>
      <c r="S231" s="97">
        <v>25569.604166666701</v>
      </c>
      <c r="T231" s="97">
        <v>25569.972222222201</v>
      </c>
      <c r="U231" s="24"/>
      <c r="V231" s="96"/>
      <c r="W231" s="95" t="s">
        <v>73</v>
      </c>
    </row>
    <row r="232" spans="2:23" s="16" customFormat="1" ht="51.75" customHeight="1" x14ac:dyDescent="0.2">
      <c r="B232" s="106">
        <v>42977</v>
      </c>
      <c r="C232" s="103">
        <v>25569.434027777799</v>
      </c>
      <c r="D232" s="105" t="s">
        <v>1149</v>
      </c>
      <c r="E232" s="31" t="s">
        <v>1150</v>
      </c>
      <c r="F232" s="31" t="s">
        <v>831</v>
      </c>
      <c r="G232" s="104">
        <v>46</v>
      </c>
      <c r="H232" s="105" t="s">
        <v>1151</v>
      </c>
      <c r="I232" s="105" t="s">
        <v>1403</v>
      </c>
      <c r="J232" s="105" t="s">
        <v>3</v>
      </c>
      <c r="K232" s="112" t="s">
        <v>4</v>
      </c>
      <c r="L232" s="112" t="s">
        <v>34</v>
      </c>
      <c r="M232" s="112" t="s">
        <v>34</v>
      </c>
      <c r="N232" s="113"/>
      <c r="O232" s="31" t="s">
        <v>78</v>
      </c>
      <c r="P232" s="31" t="s">
        <v>121</v>
      </c>
      <c r="Q232" s="31" t="s">
        <v>114</v>
      </c>
      <c r="R232" s="31" t="s">
        <v>1152</v>
      </c>
      <c r="S232" s="103">
        <v>25569.253472222201</v>
      </c>
      <c r="T232" s="103">
        <v>25569.604166666701</v>
      </c>
      <c r="U232" s="31" t="s">
        <v>1153</v>
      </c>
      <c r="V232" s="102"/>
      <c r="W232" s="101" t="s">
        <v>73</v>
      </c>
    </row>
    <row r="233" spans="2:23" s="16" customFormat="1" ht="51.75" customHeight="1" x14ac:dyDescent="0.2">
      <c r="B233" s="100">
        <v>42979</v>
      </c>
      <c r="C233" s="97">
        <v>25569.541666666701</v>
      </c>
      <c r="D233" s="99" t="s">
        <v>1154</v>
      </c>
      <c r="E233" s="24" t="s">
        <v>1155</v>
      </c>
      <c r="F233" s="24" t="s">
        <v>265</v>
      </c>
      <c r="G233" s="98">
        <v>40</v>
      </c>
      <c r="H233" s="99" t="s">
        <v>1156</v>
      </c>
      <c r="I233" s="99" t="s">
        <v>1421</v>
      </c>
      <c r="J233" s="99" t="s">
        <v>3</v>
      </c>
      <c r="K233" s="112" t="s">
        <v>4</v>
      </c>
      <c r="L233" s="112" t="s">
        <v>33</v>
      </c>
      <c r="M233" s="112" t="s">
        <v>34</v>
      </c>
      <c r="N233" s="113">
        <v>4</v>
      </c>
      <c r="O233" s="24" t="s">
        <v>78</v>
      </c>
      <c r="P233" s="24" t="s">
        <v>180</v>
      </c>
      <c r="Q233" s="24" t="s">
        <v>158</v>
      </c>
      <c r="R233" s="24" t="s">
        <v>1157</v>
      </c>
      <c r="S233" s="97">
        <v>25569.25</v>
      </c>
      <c r="T233" s="97">
        <v>25569.598611111101</v>
      </c>
      <c r="U233" s="24"/>
      <c r="V233" s="96"/>
      <c r="W233" s="95" t="s">
        <v>81</v>
      </c>
    </row>
    <row r="234" spans="2:23" s="16" customFormat="1" ht="30.4" customHeight="1" x14ac:dyDescent="0.2">
      <c r="B234" s="106">
        <v>42979</v>
      </c>
      <c r="C234" s="103">
        <v>25569.645833333299</v>
      </c>
      <c r="D234" s="105" t="s">
        <v>1158</v>
      </c>
      <c r="E234" s="31" t="s">
        <v>1159</v>
      </c>
      <c r="F234" s="31" t="s">
        <v>580</v>
      </c>
      <c r="G234" s="104">
        <v>17</v>
      </c>
      <c r="H234" s="105" t="s">
        <v>1160</v>
      </c>
      <c r="I234" s="105" t="s">
        <v>1414</v>
      </c>
      <c r="J234" s="105" t="s">
        <v>3</v>
      </c>
      <c r="K234" s="112" t="s">
        <v>4</v>
      </c>
      <c r="L234" s="112" t="s">
        <v>34</v>
      </c>
      <c r="M234" s="112" t="s">
        <v>34</v>
      </c>
      <c r="N234" s="113"/>
      <c r="O234" s="31" t="s">
        <v>60</v>
      </c>
      <c r="P234" s="31" t="s">
        <v>5</v>
      </c>
      <c r="Q234" s="31" t="s">
        <v>114</v>
      </c>
      <c r="R234" s="31" t="s">
        <v>1161</v>
      </c>
      <c r="S234" s="103">
        <v>25569.333333333299</v>
      </c>
      <c r="T234" s="103">
        <v>25569.6944444445</v>
      </c>
      <c r="U234" s="31"/>
      <c r="V234" s="102"/>
      <c r="W234" s="101"/>
    </row>
    <row r="235" spans="2:23" s="16" customFormat="1" ht="41.1" customHeight="1" x14ac:dyDescent="0.2">
      <c r="B235" s="100">
        <v>42979</v>
      </c>
      <c r="C235" s="97">
        <v>25569.989583333299</v>
      </c>
      <c r="D235" s="99" t="s">
        <v>1162</v>
      </c>
      <c r="E235" s="24" t="s">
        <v>1163</v>
      </c>
      <c r="F235" s="24" t="s">
        <v>1164</v>
      </c>
      <c r="G235" s="98">
        <v>36</v>
      </c>
      <c r="H235" s="99" t="s">
        <v>1165</v>
      </c>
      <c r="I235" s="99" t="s">
        <v>1417</v>
      </c>
      <c r="J235" s="99" t="s">
        <v>3</v>
      </c>
      <c r="K235" s="112" t="s">
        <v>4</v>
      </c>
      <c r="L235" s="112" t="s">
        <v>34</v>
      </c>
      <c r="M235" s="112" t="s">
        <v>34</v>
      </c>
      <c r="N235" s="113"/>
      <c r="O235" s="24" t="s">
        <v>78</v>
      </c>
      <c r="P235" s="24" t="s">
        <v>121</v>
      </c>
      <c r="Q235" s="24" t="s">
        <v>158</v>
      </c>
      <c r="R235" s="24" t="s">
        <v>1166</v>
      </c>
      <c r="S235" s="97">
        <v>25569.923611111099</v>
      </c>
      <c r="T235" s="97">
        <v>25569.260416666701</v>
      </c>
      <c r="U235" s="24"/>
      <c r="V235" s="96"/>
      <c r="W235" s="95" t="s">
        <v>81</v>
      </c>
    </row>
    <row r="236" spans="2:23" s="16" customFormat="1" ht="41.1" customHeight="1" x14ac:dyDescent="0.2">
      <c r="B236" s="106">
        <v>42980</v>
      </c>
      <c r="C236" s="103">
        <v>25569.833333333299</v>
      </c>
      <c r="D236" s="105" t="s">
        <v>1167</v>
      </c>
      <c r="E236" s="31" t="s">
        <v>217</v>
      </c>
      <c r="F236" s="31" t="s">
        <v>831</v>
      </c>
      <c r="G236" s="104">
        <v>50</v>
      </c>
      <c r="H236" s="105" t="s">
        <v>1168</v>
      </c>
      <c r="I236" s="105" t="s">
        <v>1421</v>
      </c>
      <c r="J236" s="105" t="s">
        <v>3</v>
      </c>
      <c r="K236" s="112" t="s">
        <v>4</v>
      </c>
      <c r="L236" s="112" t="s">
        <v>34</v>
      </c>
      <c r="M236" s="112" t="s">
        <v>33</v>
      </c>
      <c r="N236" s="113"/>
      <c r="O236" s="31" t="s">
        <v>78</v>
      </c>
      <c r="P236" s="31" t="s">
        <v>289</v>
      </c>
      <c r="Q236" s="31" t="s">
        <v>146</v>
      </c>
      <c r="R236" s="31" t="s">
        <v>1169</v>
      </c>
      <c r="S236" s="103">
        <v>25569.583333333299</v>
      </c>
      <c r="T236" s="103">
        <v>25569.931250000001</v>
      </c>
      <c r="U236" s="31" t="s">
        <v>1170</v>
      </c>
      <c r="V236" s="102"/>
      <c r="W236" s="101"/>
    </row>
    <row r="237" spans="2:23" s="16" customFormat="1" ht="41.1" customHeight="1" x14ac:dyDescent="0.2">
      <c r="B237" s="100">
        <v>42982</v>
      </c>
      <c r="C237" s="97">
        <v>25569.520833333299</v>
      </c>
      <c r="D237" s="99" t="s">
        <v>1171</v>
      </c>
      <c r="E237" s="24" t="s">
        <v>1172</v>
      </c>
      <c r="F237" s="24" t="s">
        <v>66</v>
      </c>
      <c r="G237" s="98">
        <v>38</v>
      </c>
      <c r="H237" s="99" t="s">
        <v>1173</v>
      </c>
      <c r="I237" s="99" t="s">
        <v>1405</v>
      </c>
      <c r="J237" s="99" t="s">
        <v>3</v>
      </c>
      <c r="K237" s="112" t="s">
        <v>4</v>
      </c>
      <c r="L237" s="112" t="s">
        <v>33</v>
      </c>
      <c r="M237" s="112" t="s">
        <v>34</v>
      </c>
      <c r="N237" s="113">
        <v>14</v>
      </c>
      <c r="O237" s="24" t="s">
        <v>78</v>
      </c>
      <c r="P237" s="24" t="s">
        <v>187</v>
      </c>
      <c r="Q237" s="24" t="s">
        <v>71</v>
      </c>
      <c r="R237" s="24" t="s">
        <v>1174</v>
      </c>
      <c r="S237" s="97">
        <v>25569.28125</v>
      </c>
      <c r="T237" s="97">
        <v>25569.645833333299</v>
      </c>
      <c r="U237" s="24"/>
      <c r="V237" s="96"/>
      <c r="W237" s="95" t="s">
        <v>81</v>
      </c>
    </row>
    <row r="238" spans="2:23" s="16" customFormat="1" ht="51.75" customHeight="1" x14ac:dyDescent="0.2">
      <c r="B238" s="106">
        <v>42982</v>
      </c>
      <c r="C238" s="103">
        <v>25569.75</v>
      </c>
      <c r="D238" s="105" t="s">
        <v>1175</v>
      </c>
      <c r="E238" s="31" t="s">
        <v>1176</v>
      </c>
      <c r="F238" s="31" t="s">
        <v>872</v>
      </c>
      <c r="G238" s="104">
        <v>28</v>
      </c>
      <c r="H238" s="105" t="s">
        <v>1177</v>
      </c>
      <c r="I238" s="105" t="s">
        <v>1421</v>
      </c>
      <c r="J238" s="105" t="s">
        <v>3</v>
      </c>
      <c r="K238" s="112" t="s">
        <v>4</v>
      </c>
      <c r="L238" s="112" t="s">
        <v>33</v>
      </c>
      <c r="M238" s="112" t="s">
        <v>34</v>
      </c>
      <c r="N238" s="113">
        <v>7</v>
      </c>
      <c r="O238" s="31" t="s">
        <v>78</v>
      </c>
      <c r="P238" s="31" t="s">
        <v>61</v>
      </c>
      <c r="Q238" s="31" t="s">
        <v>62</v>
      </c>
      <c r="R238" s="31" t="s">
        <v>1178</v>
      </c>
      <c r="S238" s="103">
        <v>25569.597916666698</v>
      </c>
      <c r="T238" s="103">
        <v>25569.927083333299</v>
      </c>
      <c r="U238" s="31"/>
      <c r="V238" s="102"/>
      <c r="W238" s="101" t="s">
        <v>81</v>
      </c>
    </row>
    <row r="239" spans="2:23" s="16" customFormat="1" ht="51.75" customHeight="1" x14ac:dyDescent="0.2">
      <c r="B239" s="100">
        <v>42982</v>
      </c>
      <c r="C239" s="97">
        <v>25569.875</v>
      </c>
      <c r="D239" s="99" t="s">
        <v>1179</v>
      </c>
      <c r="E239" s="24" t="s">
        <v>1180</v>
      </c>
      <c r="F239" s="24" t="s">
        <v>781</v>
      </c>
      <c r="G239" s="98">
        <v>25</v>
      </c>
      <c r="H239" s="99" t="s">
        <v>1181</v>
      </c>
      <c r="I239" s="99" t="s">
        <v>1417</v>
      </c>
      <c r="J239" s="99" t="s">
        <v>3</v>
      </c>
      <c r="K239" s="112" t="s">
        <v>4</v>
      </c>
      <c r="L239" s="112" t="s">
        <v>34</v>
      </c>
      <c r="M239" s="112" t="s">
        <v>34</v>
      </c>
      <c r="N239" s="113"/>
      <c r="O239" s="24" t="s">
        <v>60</v>
      </c>
      <c r="P239" s="24" t="s">
        <v>1182</v>
      </c>
      <c r="Q239" s="24" t="s">
        <v>146</v>
      </c>
      <c r="R239" s="24" t="s">
        <v>1183</v>
      </c>
      <c r="S239" s="97">
        <v>25569.597222222201</v>
      </c>
      <c r="T239" s="97">
        <v>25569.927083333299</v>
      </c>
      <c r="U239" s="24"/>
      <c r="V239" s="96"/>
      <c r="W239" s="95" t="s">
        <v>81</v>
      </c>
    </row>
    <row r="240" spans="2:23" s="16" customFormat="1" ht="51.75" customHeight="1" x14ac:dyDescent="0.2">
      <c r="B240" s="106">
        <v>42983</v>
      </c>
      <c r="C240" s="103">
        <v>25569.21875</v>
      </c>
      <c r="D240" s="105" t="s">
        <v>1184</v>
      </c>
      <c r="E240" s="31" t="s">
        <v>1185</v>
      </c>
      <c r="F240" s="31" t="s">
        <v>1186</v>
      </c>
      <c r="G240" s="104">
        <v>51</v>
      </c>
      <c r="H240" s="105" t="s">
        <v>1187</v>
      </c>
      <c r="I240" s="105" t="s">
        <v>1428</v>
      </c>
      <c r="J240" s="105" t="s">
        <v>3</v>
      </c>
      <c r="K240" s="112" t="s">
        <v>1404</v>
      </c>
      <c r="L240" s="112" t="s">
        <v>34</v>
      </c>
      <c r="M240" s="112" t="s">
        <v>34</v>
      </c>
      <c r="N240" s="113"/>
      <c r="O240" s="31" t="s">
        <v>87</v>
      </c>
      <c r="P240" s="31" t="s">
        <v>5</v>
      </c>
      <c r="Q240" s="31" t="s">
        <v>1407</v>
      </c>
      <c r="R240" s="31" t="s">
        <v>1188</v>
      </c>
      <c r="S240" s="103">
        <v>25569.229166666701</v>
      </c>
      <c r="T240" s="103">
        <v>25569.596527777801</v>
      </c>
      <c r="U240" s="31"/>
      <c r="V240" s="102"/>
      <c r="W240" s="101"/>
    </row>
    <row r="241" spans="2:23" s="16" customFormat="1" ht="41.1" customHeight="1" x14ac:dyDescent="0.2">
      <c r="B241" s="100">
        <v>42983</v>
      </c>
      <c r="C241" s="97">
        <v>25569.6875</v>
      </c>
      <c r="D241" s="99" t="s">
        <v>1189</v>
      </c>
      <c r="E241" s="24" t="s">
        <v>1190</v>
      </c>
      <c r="F241" s="24" t="s">
        <v>403</v>
      </c>
      <c r="G241" s="98">
        <v>33</v>
      </c>
      <c r="H241" s="99" t="s">
        <v>1191</v>
      </c>
      <c r="I241" s="99" t="s">
        <v>1413</v>
      </c>
      <c r="J241" s="99" t="s">
        <v>3</v>
      </c>
      <c r="K241" s="112" t="s">
        <v>4</v>
      </c>
      <c r="L241" s="112" t="s">
        <v>34</v>
      </c>
      <c r="M241" s="112" t="s">
        <v>34</v>
      </c>
      <c r="N241" s="113"/>
      <c r="O241" s="24" t="s">
        <v>60</v>
      </c>
      <c r="P241" s="24" t="s">
        <v>61</v>
      </c>
      <c r="Q241" s="24" t="s">
        <v>79</v>
      </c>
      <c r="R241" s="24" t="s">
        <v>1192</v>
      </c>
      <c r="S241" s="97">
        <v>25569.615277777801</v>
      </c>
      <c r="T241" s="97">
        <v>25569.9666666667</v>
      </c>
      <c r="U241" s="24"/>
      <c r="V241" s="96"/>
      <c r="W241" s="95" t="s">
        <v>73</v>
      </c>
    </row>
    <row r="242" spans="2:23" s="16" customFormat="1" ht="51.75" customHeight="1" x14ac:dyDescent="0.2">
      <c r="B242" s="106">
        <v>42984</v>
      </c>
      <c r="C242" s="103">
        <v>25569.833333333299</v>
      </c>
      <c r="D242" s="105" t="s">
        <v>1193</v>
      </c>
      <c r="E242" s="31" t="s">
        <v>1194</v>
      </c>
      <c r="F242" s="31" t="s">
        <v>66</v>
      </c>
      <c r="G242" s="104">
        <v>50</v>
      </c>
      <c r="H242" s="105" t="s">
        <v>1195</v>
      </c>
      <c r="I242" s="105" t="s">
        <v>1421</v>
      </c>
      <c r="J242" s="105" t="s">
        <v>3</v>
      </c>
      <c r="K242" s="112" t="s">
        <v>4</v>
      </c>
      <c r="L242" s="112" t="s">
        <v>34</v>
      </c>
      <c r="M242" s="112" t="s">
        <v>34</v>
      </c>
      <c r="N242" s="113"/>
      <c r="O242" s="31" t="s">
        <v>60</v>
      </c>
      <c r="P242" s="31" t="s">
        <v>121</v>
      </c>
      <c r="Q242" s="31" t="s">
        <v>158</v>
      </c>
      <c r="R242" s="31" t="s">
        <v>1196</v>
      </c>
      <c r="S242" s="103">
        <v>25569.597916666698</v>
      </c>
      <c r="T242" s="103">
        <v>25569.927083333299</v>
      </c>
      <c r="U242" s="31"/>
      <c r="V242" s="102"/>
      <c r="W242" s="101"/>
    </row>
    <row r="243" spans="2:23" s="16" customFormat="1" ht="62.45" customHeight="1" x14ac:dyDescent="0.2">
      <c r="B243" s="100">
        <v>42985</v>
      </c>
      <c r="C243" s="97">
        <v>25569.291666666701</v>
      </c>
      <c r="D243" s="99" t="s">
        <v>1197</v>
      </c>
      <c r="E243" s="24" t="s">
        <v>1198</v>
      </c>
      <c r="F243" s="24" t="s">
        <v>247</v>
      </c>
      <c r="G243" s="98">
        <v>48</v>
      </c>
      <c r="H243" s="99" t="s">
        <v>1199</v>
      </c>
      <c r="I243" s="99" t="s">
        <v>1405</v>
      </c>
      <c r="J243" s="99" t="s">
        <v>3</v>
      </c>
      <c r="K243" s="112" t="s">
        <v>4</v>
      </c>
      <c r="L243" s="112" t="s">
        <v>34</v>
      </c>
      <c r="M243" s="112" t="s">
        <v>34</v>
      </c>
      <c r="N243" s="113"/>
      <c r="O243" s="24" t="s">
        <v>78</v>
      </c>
      <c r="P243" s="24" t="s">
        <v>1407</v>
      </c>
      <c r="Q243" s="24" t="s">
        <v>62</v>
      </c>
      <c r="R243" s="24" t="s">
        <v>1200</v>
      </c>
      <c r="S243" s="97">
        <v>25569.25</v>
      </c>
      <c r="T243" s="97">
        <v>25569.617361111101</v>
      </c>
      <c r="U243" s="24"/>
      <c r="V243" s="96"/>
      <c r="W243" s="95" t="s">
        <v>73</v>
      </c>
    </row>
    <row r="244" spans="2:23" s="16" customFormat="1" ht="41.1" customHeight="1" x14ac:dyDescent="0.2">
      <c r="B244" s="106">
        <v>42985</v>
      </c>
      <c r="C244" s="103">
        <v>25569.315972222201</v>
      </c>
      <c r="D244" s="105" t="s">
        <v>1201</v>
      </c>
      <c r="E244" s="31" t="s">
        <v>1202</v>
      </c>
      <c r="F244" s="31" t="s">
        <v>259</v>
      </c>
      <c r="G244" s="104">
        <v>45</v>
      </c>
      <c r="H244" s="105" t="s">
        <v>1203</v>
      </c>
      <c r="I244" s="105" t="s">
        <v>1408</v>
      </c>
      <c r="J244" s="105" t="s">
        <v>3</v>
      </c>
      <c r="K244" s="112" t="s">
        <v>4</v>
      </c>
      <c r="L244" s="112" t="s">
        <v>33</v>
      </c>
      <c r="M244" s="112" t="s">
        <v>34</v>
      </c>
      <c r="N244" s="113">
        <v>3</v>
      </c>
      <c r="O244" s="31" t="s">
        <v>78</v>
      </c>
      <c r="P244" s="31" t="s">
        <v>61</v>
      </c>
      <c r="Q244" s="31" t="s">
        <v>79</v>
      </c>
      <c r="R244" s="31" t="s">
        <v>1204</v>
      </c>
      <c r="S244" s="103">
        <v>25569.222222222201</v>
      </c>
      <c r="T244" s="103">
        <v>25569.583333333299</v>
      </c>
      <c r="U244" s="31"/>
      <c r="V244" s="102"/>
      <c r="W244" s="101" t="s">
        <v>81</v>
      </c>
    </row>
    <row r="245" spans="2:23" s="16" customFormat="1" ht="41.1" customHeight="1" x14ac:dyDescent="0.2">
      <c r="B245" s="100">
        <v>42985</v>
      </c>
      <c r="C245" s="97">
        <v>25569.354166666701</v>
      </c>
      <c r="D245" s="99" t="s">
        <v>1205</v>
      </c>
      <c r="E245" s="24" t="s">
        <v>1206</v>
      </c>
      <c r="F245" s="24" t="s">
        <v>223</v>
      </c>
      <c r="G245" s="98">
        <v>44</v>
      </c>
      <c r="H245" s="99" t="s">
        <v>1207</v>
      </c>
      <c r="I245" s="99" t="s">
        <v>1413</v>
      </c>
      <c r="J245" s="99" t="s">
        <v>3</v>
      </c>
      <c r="K245" s="112" t="s">
        <v>4</v>
      </c>
      <c r="L245" s="112" t="s">
        <v>33</v>
      </c>
      <c r="M245" s="112" t="s">
        <v>34</v>
      </c>
      <c r="N245" s="113">
        <v>73</v>
      </c>
      <c r="O245" s="24" t="s">
        <v>405</v>
      </c>
      <c r="P245" s="24" t="s">
        <v>1407</v>
      </c>
      <c r="Q245" s="24" t="s">
        <v>114</v>
      </c>
      <c r="R245" s="24" t="s">
        <v>1208</v>
      </c>
      <c r="S245" s="97">
        <v>25569.263888888901</v>
      </c>
      <c r="T245" s="97">
        <v>25569.615277777801</v>
      </c>
      <c r="U245" s="24"/>
      <c r="V245" s="96"/>
      <c r="W245" s="95" t="s">
        <v>81</v>
      </c>
    </row>
    <row r="246" spans="2:23" s="16" customFormat="1" ht="62.45" customHeight="1" x14ac:dyDescent="0.2">
      <c r="B246" s="106">
        <v>42985</v>
      </c>
      <c r="C246" s="103">
        <v>25569.958333333299</v>
      </c>
      <c r="D246" s="105" t="s">
        <v>1209</v>
      </c>
      <c r="E246" s="31" t="s">
        <v>1210</v>
      </c>
      <c r="F246" s="31" t="s">
        <v>1211</v>
      </c>
      <c r="G246" s="104">
        <v>39</v>
      </c>
      <c r="H246" s="105" t="s">
        <v>1212</v>
      </c>
      <c r="I246" s="105" t="s">
        <v>1408</v>
      </c>
      <c r="J246" s="105" t="s">
        <v>3</v>
      </c>
      <c r="K246" s="112" t="s">
        <v>4</v>
      </c>
      <c r="L246" s="112" t="s">
        <v>33</v>
      </c>
      <c r="M246" s="112" t="s">
        <v>34</v>
      </c>
      <c r="N246" s="113">
        <v>83</v>
      </c>
      <c r="O246" s="31" t="s">
        <v>78</v>
      </c>
      <c r="P246" s="31" t="s">
        <v>61</v>
      </c>
      <c r="Q246" s="31" t="s">
        <v>158</v>
      </c>
      <c r="R246" s="31" t="s">
        <v>1213</v>
      </c>
      <c r="S246" s="103">
        <v>25569.90625</v>
      </c>
      <c r="T246" s="103">
        <v>25569.25</v>
      </c>
      <c r="U246" s="31"/>
      <c r="V246" s="102"/>
      <c r="W246" s="101" t="s">
        <v>81</v>
      </c>
    </row>
    <row r="247" spans="2:23" s="16" customFormat="1" ht="41.1" customHeight="1" x14ac:dyDescent="0.2">
      <c r="B247" s="100">
        <v>42985</v>
      </c>
      <c r="C247" s="97">
        <v>25569.958333333299</v>
      </c>
      <c r="D247" s="99" t="s">
        <v>1214</v>
      </c>
      <c r="E247" s="24" t="s">
        <v>1215</v>
      </c>
      <c r="F247" s="24" t="s">
        <v>1216</v>
      </c>
      <c r="G247" s="98">
        <v>34</v>
      </c>
      <c r="H247" s="99" t="s">
        <v>1217</v>
      </c>
      <c r="I247" s="99" t="s">
        <v>1421</v>
      </c>
      <c r="J247" s="99" t="s">
        <v>3</v>
      </c>
      <c r="K247" s="112" t="s">
        <v>4</v>
      </c>
      <c r="L247" s="112" t="s">
        <v>34</v>
      </c>
      <c r="M247" s="112" t="s">
        <v>34</v>
      </c>
      <c r="N247" s="113"/>
      <c r="O247" s="24" t="s">
        <v>78</v>
      </c>
      <c r="P247" s="24" t="s">
        <v>1407</v>
      </c>
      <c r="Q247" s="24" t="s">
        <v>122</v>
      </c>
      <c r="R247" s="24" t="s">
        <v>1218</v>
      </c>
      <c r="S247" s="97">
        <v>25569.916666666701</v>
      </c>
      <c r="T247" s="97">
        <v>25569.259722222199</v>
      </c>
      <c r="U247" s="24"/>
      <c r="V247" s="96"/>
      <c r="W247" s="95"/>
    </row>
    <row r="248" spans="2:23" s="16" customFormat="1" ht="51.75" customHeight="1" x14ac:dyDescent="0.2">
      <c r="B248" s="106">
        <v>42986</v>
      </c>
      <c r="C248" s="103">
        <v>25569.395833333299</v>
      </c>
      <c r="D248" s="105" t="s">
        <v>1219</v>
      </c>
      <c r="E248" s="31" t="s">
        <v>1220</v>
      </c>
      <c r="F248" s="31" t="s">
        <v>223</v>
      </c>
      <c r="G248" s="104">
        <v>40</v>
      </c>
      <c r="H248" s="105" t="s">
        <v>1221</v>
      </c>
      <c r="I248" s="105" t="s">
        <v>1451</v>
      </c>
      <c r="J248" s="105" t="s">
        <v>3</v>
      </c>
      <c r="K248" s="112" t="s">
        <v>4</v>
      </c>
      <c r="L248" s="112" t="s">
        <v>34</v>
      </c>
      <c r="M248" s="112" t="s">
        <v>34</v>
      </c>
      <c r="N248" s="113"/>
      <c r="O248" s="31" t="s">
        <v>78</v>
      </c>
      <c r="P248" s="31" t="s">
        <v>88</v>
      </c>
      <c r="Q248" s="31" t="s">
        <v>158</v>
      </c>
      <c r="R248" s="31" t="s">
        <v>1223</v>
      </c>
      <c r="S248" s="103">
        <v>25569.3347222222</v>
      </c>
      <c r="T248" s="103">
        <v>25569.666666666701</v>
      </c>
      <c r="U248" s="31"/>
      <c r="V248" s="102"/>
      <c r="W248" s="101"/>
    </row>
    <row r="249" spans="2:23" s="16" customFormat="1" ht="62.45" customHeight="1" x14ac:dyDescent="0.2">
      <c r="B249" s="100">
        <v>42988</v>
      </c>
      <c r="C249" s="97">
        <v>25569.451388888901</v>
      </c>
      <c r="D249" s="99" t="s">
        <v>1224</v>
      </c>
      <c r="E249" s="24" t="s">
        <v>1225</v>
      </c>
      <c r="F249" s="24" t="s">
        <v>911</v>
      </c>
      <c r="G249" s="98">
        <v>36</v>
      </c>
      <c r="H249" s="99" t="s">
        <v>1226</v>
      </c>
      <c r="I249" s="99" t="s">
        <v>1405</v>
      </c>
      <c r="J249" s="99" t="s">
        <v>3</v>
      </c>
      <c r="K249" s="112" t="s">
        <v>4</v>
      </c>
      <c r="L249" s="112" t="s">
        <v>33</v>
      </c>
      <c r="M249" s="112" t="s">
        <v>34</v>
      </c>
      <c r="N249" s="113">
        <v>22</v>
      </c>
      <c r="O249" s="24" t="s">
        <v>78</v>
      </c>
      <c r="P249" s="24" t="s">
        <v>121</v>
      </c>
      <c r="Q249" s="24" t="s">
        <v>158</v>
      </c>
      <c r="R249" s="24" t="s">
        <v>1227</v>
      </c>
      <c r="S249" s="97">
        <v>25569.28125</v>
      </c>
      <c r="T249" s="97">
        <v>25569.649305555598</v>
      </c>
      <c r="U249" s="24"/>
      <c r="V249" s="96">
        <v>42996</v>
      </c>
      <c r="W249" s="95" t="s">
        <v>81</v>
      </c>
    </row>
    <row r="250" spans="2:23" s="16" customFormat="1" ht="62.45" customHeight="1" x14ac:dyDescent="0.2">
      <c r="B250" s="106">
        <v>42989</v>
      </c>
      <c r="C250" s="103">
        <v>25569.875</v>
      </c>
      <c r="D250" s="105" t="s">
        <v>1228</v>
      </c>
      <c r="E250" s="31" t="s">
        <v>1229</v>
      </c>
      <c r="F250" s="31" t="s">
        <v>105</v>
      </c>
      <c r="G250" s="104">
        <v>57</v>
      </c>
      <c r="H250" s="105" t="s">
        <v>1230</v>
      </c>
      <c r="I250" s="105" t="s">
        <v>1417</v>
      </c>
      <c r="J250" s="105" t="s">
        <v>3</v>
      </c>
      <c r="K250" s="112" t="s">
        <v>1404</v>
      </c>
      <c r="L250" s="112" t="s">
        <v>33</v>
      </c>
      <c r="M250" s="112" t="s">
        <v>34</v>
      </c>
      <c r="N250" s="113">
        <v>15</v>
      </c>
      <c r="O250" s="31" t="s">
        <v>69</v>
      </c>
      <c r="P250" s="31" t="s">
        <v>6</v>
      </c>
      <c r="Q250" s="31" t="s">
        <v>158</v>
      </c>
      <c r="R250" s="31" t="s">
        <v>1231</v>
      </c>
      <c r="S250" s="103">
        <v>25569.916666666701</v>
      </c>
      <c r="T250" s="103">
        <v>25569.25</v>
      </c>
      <c r="U250" s="31"/>
      <c r="V250" s="102"/>
      <c r="W250" s="101"/>
    </row>
    <row r="251" spans="2:23" s="16" customFormat="1" ht="51.75" customHeight="1" x14ac:dyDescent="0.2">
      <c r="B251" s="100">
        <v>42990</v>
      </c>
      <c r="C251" s="97">
        <v>25569.302083333299</v>
      </c>
      <c r="D251" s="99" t="s">
        <v>1232</v>
      </c>
      <c r="E251" s="24" t="s">
        <v>1233</v>
      </c>
      <c r="F251" s="24" t="s">
        <v>1234</v>
      </c>
      <c r="G251" s="98">
        <v>38</v>
      </c>
      <c r="H251" s="99" t="s">
        <v>1235</v>
      </c>
      <c r="I251" s="99" t="s">
        <v>1439</v>
      </c>
      <c r="J251" s="99" t="s">
        <v>3</v>
      </c>
      <c r="K251" s="112" t="s">
        <v>1404</v>
      </c>
      <c r="L251" s="112" t="s">
        <v>33</v>
      </c>
      <c r="M251" s="112" t="s">
        <v>34</v>
      </c>
      <c r="N251" s="113">
        <v>3</v>
      </c>
      <c r="O251" s="24" t="s">
        <v>87</v>
      </c>
      <c r="P251" s="24" t="s">
        <v>187</v>
      </c>
      <c r="Q251" s="24" t="s">
        <v>114</v>
      </c>
      <c r="R251" s="24" t="s">
        <v>1236</v>
      </c>
      <c r="S251" s="97">
        <v>25569.333333333299</v>
      </c>
      <c r="T251" s="97">
        <v>25569.662499999999</v>
      </c>
      <c r="U251" s="24"/>
      <c r="V251" s="96"/>
      <c r="W251" s="95" t="s">
        <v>81</v>
      </c>
    </row>
    <row r="252" spans="2:23" s="16" customFormat="1" ht="51.75" customHeight="1" x14ac:dyDescent="0.2">
      <c r="B252" s="106">
        <v>42990</v>
      </c>
      <c r="C252" s="103">
        <v>25569.65625</v>
      </c>
      <c r="D252" s="105" t="s">
        <v>1237</v>
      </c>
      <c r="E252" s="31" t="s">
        <v>1238</v>
      </c>
      <c r="F252" s="31" t="s">
        <v>1239</v>
      </c>
      <c r="G252" s="104">
        <v>39</v>
      </c>
      <c r="H252" s="105" t="s">
        <v>1240</v>
      </c>
      <c r="I252" s="105" t="s">
        <v>1417</v>
      </c>
      <c r="J252" s="105" t="s">
        <v>3</v>
      </c>
      <c r="K252" s="112" t="s">
        <v>4</v>
      </c>
      <c r="L252" s="112" t="s">
        <v>34</v>
      </c>
      <c r="M252" s="112" t="s">
        <v>33</v>
      </c>
      <c r="N252" s="113"/>
      <c r="O252" s="31" t="s">
        <v>597</v>
      </c>
      <c r="P252" s="31" t="s">
        <v>121</v>
      </c>
      <c r="Q252" s="31" t="s">
        <v>158</v>
      </c>
      <c r="R252" s="31" t="s">
        <v>1241</v>
      </c>
      <c r="S252" s="103">
        <v>25569.590277777799</v>
      </c>
      <c r="T252" s="103">
        <v>25569.9395833333</v>
      </c>
      <c r="U252" s="31"/>
      <c r="V252" s="102"/>
      <c r="W252" s="101"/>
    </row>
    <row r="253" spans="2:23" s="16" customFormat="1" ht="62.45" customHeight="1" x14ac:dyDescent="0.2">
      <c r="B253" s="100">
        <v>42996</v>
      </c>
      <c r="C253" s="97">
        <v>25569.677083333299</v>
      </c>
      <c r="D253" s="99" t="s">
        <v>1242</v>
      </c>
      <c r="E253" s="24" t="s">
        <v>1176</v>
      </c>
      <c r="F253" s="24" t="s">
        <v>872</v>
      </c>
      <c r="G253" s="98">
        <v>28</v>
      </c>
      <c r="H253" s="99" t="s">
        <v>1177</v>
      </c>
      <c r="I253" s="99" t="s">
        <v>1421</v>
      </c>
      <c r="J253" s="99" t="s">
        <v>3</v>
      </c>
      <c r="K253" s="112" t="s">
        <v>4</v>
      </c>
      <c r="L253" s="112" t="s">
        <v>34</v>
      </c>
      <c r="M253" s="112" t="s">
        <v>34</v>
      </c>
      <c r="N253" s="113"/>
      <c r="O253" s="24" t="s">
        <v>144</v>
      </c>
      <c r="P253" s="24" t="s">
        <v>289</v>
      </c>
      <c r="Q253" s="24" t="s">
        <v>146</v>
      </c>
      <c r="R253" s="24" t="s">
        <v>1243</v>
      </c>
      <c r="S253" s="97">
        <v>25569.597916666698</v>
      </c>
      <c r="T253" s="97">
        <v>25569.927083333299</v>
      </c>
      <c r="U253" s="24"/>
      <c r="V253" s="96"/>
      <c r="W253" s="95" t="s">
        <v>81</v>
      </c>
    </row>
    <row r="254" spans="2:23" s="16" customFormat="1" ht="51.75" customHeight="1" x14ac:dyDescent="0.2">
      <c r="B254" s="106">
        <v>42998</v>
      </c>
      <c r="C254" s="103">
        <v>25569.5</v>
      </c>
      <c r="D254" s="105" t="s">
        <v>1244</v>
      </c>
      <c r="E254" s="31" t="s">
        <v>1245</v>
      </c>
      <c r="F254" s="31" t="s">
        <v>766</v>
      </c>
      <c r="G254" s="104">
        <v>34</v>
      </c>
      <c r="H254" s="105" t="s">
        <v>1246</v>
      </c>
      <c r="I254" s="105" t="s">
        <v>1452</v>
      </c>
      <c r="J254" s="105" t="s">
        <v>3</v>
      </c>
      <c r="K254" s="112" t="s">
        <v>4</v>
      </c>
      <c r="L254" s="112" t="s">
        <v>33</v>
      </c>
      <c r="M254" s="112" t="s">
        <v>34</v>
      </c>
      <c r="N254" s="113">
        <v>4</v>
      </c>
      <c r="O254" s="31" t="s">
        <v>925</v>
      </c>
      <c r="P254" s="31" t="s">
        <v>289</v>
      </c>
      <c r="Q254" s="31" t="s">
        <v>146</v>
      </c>
      <c r="R254" s="31" t="s">
        <v>1248</v>
      </c>
      <c r="S254" s="103">
        <v>25569.322916666701</v>
      </c>
      <c r="T254" s="103">
        <v>25569.770833333299</v>
      </c>
      <c r="U254" s="31" t="s">
        <v>1249</v>
      </c>
      <c r="V254" s="102"/>
      <c r="W254" s="101"/>
    </row>
    <row r="255" spans="2:23" s="16" customFormat="1" ht="51.75" customHeight="1" x14ac:dyDescent="0.2">
      <c r="B255" s="100">
        <v>42999</v>
      </c>
      <c r="C255" s="97">
        <v>25569.388888888901</v>
      </c>
      <c r="D255" s="99" t="s">
        <v>1480</v>
      </c>
      <c r="E255" s="24" t="s">
        <v>1250</v>
      </c>
      <c r="F255" s="24" t="s">
        <v>1251</v>
      </c>
      <c r="G255" s="98">
        <v>47</v>
      </c>
      <c r="H255" s="99" t="s">
        <v>1481</v>
      </c>
      <c r="I255" s="99" t="s">
        <v>1410</v>
      </c>
      <c r="J255" s="99" t="s">
        <v>3</v>
      </c>
      <c r="K255" s="112" t="s">
        <v>4</v>
      </c>
      <c r="L255" s="112" t="s">
        <v>34</v>
      </c>
      <c r="M255" s="112" t="s">
        <v>34</v>
      </c>
      <c r="N255" s="113"/>
      <c r="O255" s="24" t="s">
        <v>87</v>
      </c>
      <c r="P255" s="24" t="s">
        <v>61</v>
      </c>
      <c r="Q255" s="24" t="s">
        <v>79</v>
      </c>
      <c r="R255" s="24" t="s">
        <v>1252</v>
      </c>
      <c r="S255" s="97">
        <v>25569.291666666701</v>
      </c>
      <c r="T255" s="97">
        <v>25569.645833333299</v>
      </c>
      <c r="U255" s="24"/>
      <c r="V255" s="96"/>
      <c r="W255" s="95"/>
    </row>
    <row r="256" spans="2:23" s="16" customFormat="1" ht="51.75" customHeight="1" x14ac:dyDescent="0.2">
      <c r="B256" s="106">
        <v>43000</v>
      </c>
      <c r="C256" s="103">
        <v>25569.125</v>
      </c>
      <c r="D256" s="105" t="s">
        <v>1253</v>
      </c>
      <c r="E256" s="31" t="s">
        <v>141</v>
      </c>
      <c r="F256" s="31" t="s">
        <v>142</v>
      </c>
      <c r="G256" s="104">
        <v>34</v>
      </c>
      <c r="H256" s="105" t="s">
        <v>143</v>
      </c>
      <c r="I256" s="105" t="s">
        <v>1405</v>
      </c>
      <c r="J256" s="105" t="s">
        <v>3</v>
      </c>
      <c r="K256" s="112" t="s">
        <v>4</v>
      </c>
      <c r="L256" s="112" t="s">
        <v>33</v>
      </c>
      <c r="M256" s="112" t="s">
        <v>34</v>
      </c>
      <c r="N256" s="113">
        <v>78</v>
      </c>
      <c r="O256" s="31" t="s">
        <v>78</v>
      </c>
      <c r="P256" s="31" t="s">
        <v>1407</v>
      </c>
      <c r="Q256" s="31" t="s">
        <v>114</v>
      </c>
      <c r="R256" s="31" t="s">
        <v>1254</v>
      </c>
      <c r="S256" s="103">
        <v>25569.916666666701</v>
      </c>
      <c r="T256" s="103">
        <v>25569.261805555601</v>
      </c>
      <c r="U256" s="31"/>
      <c r="V256" s="102"/>
      <c r="W256" s="101" t="s">
        <v>81</v>
      </c>
    </row>
    <row r="257" spans="2:23" s="16" customFormat="1" ht="73.150000000000006" customHeight="1" x14ac:dyDescent="0.2">
      <c r="B257" s="100">
        <v>43004</v>
      </c>
      <c r="C257" s="97">
        <v>25569.979166666701</v>
      </c>
      <c r="D257" s="99" t="s">
        <v>1255</v>
      </c>
      <c r="E257" s="24" t="s">
        <v>1256</v>
      </c>
      <c r="F257" s="24" t="s">
        <v>131</v>
      </c>
      <c r="G257" s="98">
        <v>50</v>
      </c>
      <c r="H257" s="99" t="s">
        <v>1257</v>
      </c>
      <c r="I257" s="99" t="s">
        <v>1428</v>
      </c>
      <c r="J257" s="99" t="s">
        <v>3</v>
      </c>
      <c r="K257" s="112" t="s">
        <v>4</v>
      </c>
      <c r="L257" s="112" t="s">
        <v>34</v>
      </c>
      <c r="M257" s="112" t="s">
        <v>34</v>
      </c>
      <c r="N257" s="113"/>
      <c r="O257" s="24" t="s">
        <v>69</v>
      </c>
      <c r="P257" s="24" t="s">
        <v>1407</v>
      </c>
      <c r="Q257" s="24" t="s">
        <v>71</v>
      </c>
      <c r="R257" s="33" t="s">
        <v>1258</v>
      </c>
      <c r="S257" s="97">
        <v>25569.90625</v>
      </c>
      <c r="T257" s="97">
        <v>25569.263888888901</v>
      </c>
      <c r="U257" s="24"/>
      <c r="V257" s="96"/>
      <c r="W257" s="95"/>
    </row>
    <row r="258" spans="2:23" s="16" customFormat="1" ht="51.75" customHeight="1" x14ac:dyDescent="0.2">
      <c r="B258" s="106">
        <v>43005</v>
      </c>
      <c r="C258" s="103">
        <v>25569.375</v>
      </c>
      <c r="D258" s="105" t="s">
        <v>1259</v>
      </c>
      <c r="E258" s="31" t="s">
        <v>1260</v>
      </c>
      <c r="F258" s="31" t="s">
        <v>1261</v>
      </c>
      <c r="G258" s="104">
        <v>57</v>
      </c>
      <c r="H258" s="105" t="s">
        <v>1262</v>
      </c>
      <c r="I258" s="105" t="s">
        <v>1413</v>
      </c>
      <c r="J258" s="105" t="s">
        <v>3</v>
      </c>
      <c r="K258" s="112" t="s">
        <v>4</v>
      </c>
      <c r="L258" s="112" t="s">
        <v>34</v>
      </c>
      <c r="M258" s="112" t="s">
        <v>34</v>
      </c>
      <c r="N258" s="113"/>
      <c r="O258" s="31" t="s">
        <v>78</v>
      </c>
      <c r="P258" s="31" t="s">
        <v>61</v>
      </c>
      <c r="Q258" s="31" t="s">
        <v>114</v>
      </c>
      <c r="R258" s="31" t="s">
        <v>1263</v>
      </c>
      <c r="S258" s="103">
        <v>25569.25</v>
      </c>
      <c r="T258" s="103">
        <v>25569.611111111099</v>
      </c>
      <c r="U258" s="31"/>
      <c r="V258" s="102"/>
      <c r="W258" s="101"/>
    </row>
    <row r="259" spans="2:23" s="16" customFormat="1" ht="30.4" customHeight="1" x14ac:dyDescent="0.2">
      <c r="B259" s="100">
        <v>43006</v>
      </c>
      <c r="C259" s="97">
        <v>25569.489583333299</v>
      </c>
      <c r="D259" s="99" t="s">
        <v>1264</v>
      </c>
      <c r="E259" s="24" t="s">
        <v>1265</v>
      </c>
      <c r="F259" s="24" t="s">
        <v>831</v>
      </c>
      <c r="G259" s="98">
        <v>53</v>
      </c>
      <c r="H259" s="99" t="s">
        <v>1266</v>
      </c>
      <c r="I259" s="99" t="s">
        <v>1447</v>
      </c>
      <c r="J259" s="99" t="s">
        <v>3</v>
      </c>
      <c r="K259" s="112" t="s">
        <v>4</v>
      </c>
      <c r="L259" s="112" t="s">
        <v>34</v>
      </c>
      <c r="M259" s="112" t="s">
        <v>34</v>
      </c>
      <c r="N259" s="113"/>
      <c r="O259" s="24" t="s">
        <v>60</v>
      </c>
      <c r="P259" s="24" t="s">
        <v>289</v>
      </c>
      <c r="Q259" s="24" t="s">
        <v>146</v>
      </c>
      <c r="R259" s="24" t="s">
        <v>1267</v>
      </c>
      <c r="S259" s="97">
        <v>25569.3125</v>
      </c>
      <c r="T259" s="97">
        <v>25569.673611111099</v>
      </c>
      <c r="U259" s="24"/>
      <c r="V259" s="96"/>
      <c r="W259" s="95"/>
    </row>
    <row r="260" spans="2:23" s="16" customFormat="1" ht="51.75" customHeight="1" x14ac:dyDescent="0.2">
      <c r="B260" s="106">
        <v>43007</v>
      </c>
      <c r="C260" s="103">
        <v>25569.416666666701</v>
      </c>
      <c r="D260" s="105" t="s">
        <v>1268</v>
      </c>
      <c r="E260" s="31" t="s">
        <v>1269</v>
      </c>
      <c r="F260" s="31" t="s">
        <v>1270</v>
      </c>
      <c r="G260" s="104">
        <v>57</v>
      </c>
      <c r="H260" s="105" t="s">
        <v>1271</v>
      </c>
      <c r="I260" s="105" t="s">
        <v>1428</v>
      </c>
      <c r="J260" s="105" t="s">
        <v>3</v>
      </c>
      <c r="K260" s="112" t="s">
        <v>4</v>
      </c>
      <c r="L260" s="112" t="s">
        <v>34</v>
      </c>
      <c r="M260" s="112" t="s">
        <v>34</v>
      </c>
      <c r="N260" s="113"/>
      <c r="O260" s="31" t="s">
        <v>78</v>
      </c>
      <c r="P260" s="31" t="s">
        <v>206</v>
      </c>
      <c r="Q260" s="31" t="s">
        <v>71</v>
      </c>
      <c r="R260" s="31" t="s">
        <v>1272</v>
      </c>
      <c r="S260" s="103">
        <v>25569.239583333299</v>
      </c>
      <c r="T260" s="103">
        <v>25569.59375</v>
      </c>
      <c r="U260" s="31"/>
      <c r="V260" s="102"/>
      <c r="W260" s="101" t="s">
        <v>81</v>
      </c>
    </row>
    <row r="261" spans="2:23" s="16" customFormat="1" ht="41.1" customHeight="1" x14ac:dyDescent="0.2">
      <c r="B261" s="100">
        <v>43007</v>
      </c>
      <c r="C261" s="97">
        <v>25569.447916666701</v>
      </c>
      <c r="D261" s="99" t="s">
        <v>1273</v>
      </c>
      <c r="E261" s="24" t="s">
        <v>1274</v>
      </c>
      <c r="F261" s="24" t="s">
        <v>766</v>
      </c>
      <c r="G261" s="98">
        <v>33</v>
      </c>
      <c r="H261" s="99" t="s">
        <v>1275</v>
      </c>
      <c r="I261" s="99" t="s">
        <v>1413</v>
      </c>
      <c r="J261" s="99" t="s">
        <v>3</v>
      </c>
      <c r="K261" s="112" t="s">
        <v>4</v>
      </c>
      <c r="L261" s="112" t="s">
        <v>34</v>
      </c>
      <c r="M261" s="112" t="s">
        <v>33</v>
      </c>
      <c r="N261" s="113"/>
      <c r="O261" s="24" t="s">
        <v>78</v>
      </c>
      <c r="P261" s="24" t="s">
        <v>121</v>
      </c>
      <c r="Q261" s="24" t="s">
        <v>122</v>
      </c>
      <c r="R261" s="24" t="s">
        <v>1276</v>
      </c>
      <c r="S261" s="97">
        <v>25569.263888888901</v>
      </c>
      <c r="T261" s="97">
        <v>25569.615277777801</v>
      </c>
      <c r="U261" s="24"/>
      <c r="V261" s="96"/>
      <c r="W261" s="95"/>
    </row>
    <row r="262" spans="2:23" s="16" customFormat="1" ht="51.75" customHeight="1" x14ac:dyDescent="0.2">
      <c r="B262" s="106">
        <v>43008</v>
      </c>
      <c r="C262" s="103">
        <v>25569.5625</v>
      </c>
      <c r="D262" s="105" t="s">
        <v>1277</v>
      </c>
      <c r="E262" s="31" t="s">
        <v>1278</v>
      </c>
      <c r="F262" s="31" t="s">
        <v>350</v>
      </c>
      <c r="G262" s="104">
        <v>58</v>
      </c>
      <c r="H262" s="105" t="s">
        <v>1279</v>
      </c>
      <c r="I262" s="105" t="s">
        <v>1405</v>
      </c>
      <c r="J262" s="105" t="s">
        <v>3</v>
      </c>
      <c r="K262" s="112" t="s">
        <v>1404</v>
      </c>
      <c r="L262" s="112" t="s">
        <v>34</v>
      </c>
      <c r="M262" s="112" t="s">
        <v>34</v>
      </c>
      <c r="N262" s="113"/>
      <c r="O262" s="31" t="s">
        <v>87</v>
      </c>
      <c r="P262" s="31" t="s">
        <v>5</v>
      </c>
      <c r="Q262" s="31" t="s">
        <v>1407</v>
      </c>
      <c r="R262" s="31" t="s">
        <v>1280</v>
      </c>
      <c r="S262" s="103">
        <v>25569.603472222199</v>
      </c>
      <c r="T262" s="103">
        <v>25569.999305555601</v>
      </c>
      <c r="U262" s="31"/>
      <c r="V262" s="102"/>
      <c r="W262" s="101"/>
    </row>
    <row r="263" spans="2:23" s="16" customFormat="1" ht="41.1" customHeight="1" x14ac:dyDescent="0.2">
      <c r="B263" s="100">
        <v>43010</v>
      </c>
      <c r="C263" s="97">
        <v>25569.427083333299</v>
      </c>
      <c r="D263" s="99" t="s">
        <v>1281</v>
      </c>
      <c r="E263" s="24" t="s">
        <v>1238</v>
      </c>
      <c r="F263" s="24" t="s">
        <v>1239</v>
      </c>
      <c r="G263" s="98">
        <v>39</v>
      </c>
      <c r="H263" s="99" t="s">
        <v>1240</v>
      </c>
      <c r="I263" s="99" t="s">
        <v>1417</v>
      </c>
      <c r="J263" s="99" t="s">
        <v>3</v>
      </c>
      <c r="K263" s="112" t="s">
        <v>4</v>
      </c>
      <c r="L263" s="112" t="s">
        <v>33</v>
      </c>
      <c r="M263" s="112" t="s">
        <v>34</v>
      </c>
      <c r="N263" s="113">
        <v>13</v>
      </c>
      <c r="O263" s="24" t="s">
        <v>60</v>
      </c>
      <c r="P263" s="24" t="s">
        <v>1407</v>
      </c>
      <c r="Q263" s="24" t="s">
        <v>71</v>
      </c>
      <c r="R263" s="24" t="s">
        <v>1282</v>
      </c>
      <c r="S263" s="97">
        <v>25569.256944444402</v>
      </c>
      <c r="T263" s="97">
        <v>25569.606250000001</v>
      </c>
      <c r="U263" s="24"/>
      <c r="V263" s="96"/>
      <c r="W263" s="95" t="s">
        <v>81</v>
      </c>
    </row>
    <row r="264" spans="2:23" s="16" customFormat="1" ht="105.6" customHeight="1" x14ac:dyDescent="0.2">
      <c r="B264" s="106">
        <v>43010</v>
      </c>
      <c r="C264" s="103">
        <v>25569.583333333299</v>
      </c>
      <c r="D264" s="105" t="s">
        <v>1283</v>
      </c>
      <c r="E264" s="31" t="s">
        <v>1284</v>
      </c>
      <c r="F264" s="31" t="s">
        <v>1285</v>
      </c>
      <c r="G264" s="104">
        <v>16</v>
      </c>
      <c r="H264" s="105" t="s">
        <v>1286</v>
      </c>
      <c r="I264" s="105" t="s">
        <v>1446</v>
      </c>
      <c r="J264" s="105" t="s">
        <v>3</v>
      </c>
      <c r="K264" s="112" t="s">
        <v>1404</v>
      </c>
      <c r="L264" s="112" t="s">
        <v>34</v>
      </c>
      <c r="M264" s="112" t="s">
        <v>34</v>
      </c>
      <c r="N264" s="113"/>
      <c r="O264" s="31" t="s">
        <v>958</v>
      </c>
      <c r="P264" s="31" t="s">
        <v>187</v>
      </c>
      <c r="Q264" s="31" t="s">
        <v>122</v>
      </c>
      <c r="R264" s="34" t="s">
        <v>1287</v>
      </c>
      <c r="S264" s="103">
        <v>25569.604166666701</v>
      </c>
      <c r="T264" s="103">
        <v>25569.916666666701</v>
      </c>
      <c r="U264" s="31"/>
      <c r="V264" s="102"/>
      <c r="W264" s="101"/>
    </row>
    <row r="265" spans="2:23" s="16" customFormat="1" ht="62.45" customHeight="1" x14ac:dyDescent="0.2">
      <c r="B265" s="100">
        <v>43011</v>
      </c>
      <c r="C265" s="97">
        <v>25569.4375</v>
      </c>
      <c r="D265" s="99" t="s">
        <v>1288</v>
      </c>
      <c r="E265" s="24" t="s">
        <v>1289</v>
      </c>
      <c r="F265" s="24" t="s">
        <v>940</v>
      </c>
      <c r="G265" s="98">
        <v>51</v>
      </c>
      <c r="H265" s="99" t="s">
        <v>1290</v>
      </c>
      <c r="I265" s="99" t="s">
        <v>1421</v>
      </c>
      <c r="J265" s="99" t="s">
        <v>3</v>
      </c>
      <c r="K265" s="112" t="s">
        <v>4</v>
      </c>
      <c r="L265" s="112" t="s">
        <v>33</v>
      </c>
      <c r="M265" s="112" t="s">
        <v>34</v>
      </c>
      <c r="N265" s="113">
        <v>11</v>
      </c>
      <c r="O265" s="24" t="s">
        <v>78</v>
      </c>
      <c r="P265" s="24" t="s">
        <v>1407</v>
      </c>
      <c r="Q265" s="24" t="s">
        <v>62</v>
      </c>
      <c r="R265" s="24" t="s">
        <v>1291</v>
      </c>
      <c r="S265" s="97">
        <v>25569.284722222201</v>
      </c>
      <c r="T265" s="97">
        <v>25569.6048611111</v>
      </c>
      <c r="U265" s="24"/>
      <c r="V265" s="96"/>
      <c r="W265" s="95" t="s">
        <v>81</v>
      </c>
    </row>
    <row r="266" spans="2:23" s="16" customFormat="1" ht="62.45" customHeight="1" x14ac:dyDescent="0.2">
      <c r="B266" s="106">
        <v>43013</v>
      </c>
      <c r="C266" s="103">
        <v>25569.173611111099</v>
      </c>
      <c r="D266" s="105" t="s">
        <v>1292</v>
      </c>
      <c r="E266" s="31" t="s">
        <v>1293</v>
      </c>
      <c r="F266" s="31" t="s">
        <v>403</v>
      </c>
      <c r="G266" s="104">
        <v>40</v>
      </c>
      <c r="H266" s="105" t="s">
        <v>1294</v>
      </c>
      <c r="I266" s="105" t="s">
        <v>1403</v>
      </c>
      <c r="J266" s="105" t="s">
        <v>3</v>
      </c>
      <c r="K266" s="112" t="s">
        <v>4</v>
      </c>
      <c r="L266" s="112" t="s">
        <v>33</v>
      </c>
      <c r="M266" s="112" t="s">
        <v>34</v>
      </c>
      <c r="N266" s="113">
        <v>15</v>
      </c>
      <c r="O266" s="31" t="s">
        <v>597</v>
      </c>
      <c r="P266" s="31" t="s">
        <v>70</v>
      </c>
      <c r="Q266" s="31" t="s">
        <v>158</v>
      </c>
      <c r="R266" s="31" t="s">
        <v>1295</v>
      </c>
      <c r="S266" s="103">
        <v>25569.916666666701</v>
      </c>
      <c r="T266" s="103">
        <v>25569.260416666701</v>
      </c>
      <c r="U266" s="31"/>
      <c r="V266" s="102"/>
      <c r="W266" s="101"/>
    </row>
    <row r="267" spans="2:23" s="16" customFormat="1" ht="62.45" customHeight="1" x14ac:dyDescent="0.2">
      <c r="B267" s="100">
        <v>43014</v>
      </c>
      <c r="C267" s="97">
        <v>25569.479166666701</v>
      </c>
      <c r="D267" s="99" t="s">
        <v>1296</v>
      </c>
      <c r="E267" s="24" t="s">
        <v>1297</v>
      </c>
      <c r="F267" s="24" t="s">
        <v>1298</v>
      </c>
      <c r="G267" s="98">
        <v>17</v>
      </c>
      <c r="H267" s="99" t="s">
        <v>1299</v>
      </c>
      <c r="I267" s="99" t="s">
        <v>1427</v>
      </c>
      <c r="J267" s="99" t="s">
        <v>3</v>
      </c>
      <c r="K267" s="112" t="s">
        <v>4</v>
      </c>
      <c r="L267" s="112" t="s">
        <v>34</v>
      </c>
      <c r="M267" s="112" t="s">
        <v>34</v>
      </c>
      <c r="N267" s="113"/>
      <c r="O267" s="24" t="s">
        <v>60</v>
      </c>
      <c r="P267" s="24" t="s">
        <v>61</v>
      </c>
      <c r="Q267" s="24" t="s">
        <v>122</v>
      </c>
      <c r="R267" s="24" t="s">
        <v>1300</v>
      </c>
      <c r="S267" s="97">
        <v>25569.333333333299</v>
      </c>
      <c r="T267" s="97">
        <v>25569.708333333299</v>
      </c>
      <c r="U267" s="24"/>
      <c r="V267" s="96"/>
      <c r="W267" s="95"/>
    </row>
    <row r="268" spans="2:23" s="16" customFormat="1" ht="51.75" customHeight="1" x14ac:dyDescent="0.2">
      <c r="B268" s="106">
        <v>43015</v>
      </c>
      <c r="C268" s="103">
        <v>25569.25</v>
      </c>
      <c r="D268" s="105" t="s">
        <v>1482</v>
      </c>
      <c r="E268" s="31" t="s">
        <v>1301</v>
      </c>
      <c r="F268" s="31" t="s">
        <v>210</v>
      </c>
      <c r="G268" s="104">
        <v>51</v>
      </c>
      <c r="H268" s="105" t="s">
        <v>1483</v>
      </c>
      <c r="I268" s="105" t="s">
        <v>1410</v>
      </c>
      <c r="J268" s="105" t="s">
        <v>3</v>
      </c>
      <c r="K268" s="112" t="s">
        <v>1404</v>
      </c>
      <c r="L268" s="112" t="s">
        <v>33</v>
      </c>
      <c r="M268" s="112" t="s">
        <v>34</v>
      </c>
      <c r="N268" s="113">
        <v>9</v>
      </c>
      <c r="O268" s="31" t="s">
        <v>87</v>
      </c>
      <c r="P268" s="31" t="s">
        <v>61</v>
      </c>
      <c r="Q268" s="31" t="s">
        <v>79</v>
      </c>
      <c r="R268" s="31" t="s">
        <v>1302</v>
      </c>
      <c r="S268" s="103">
        <v>25569.291666666701</v>
      </c>
      <c r="T268" s="103">
        <v>25569.645833333299</v>
      </c>
      <c r="U268" s="31"/>
      <c r="V268" s="102"/>
      <c r="W268" s="101"/>
    </row>
    <row r="269" spans="2:23" s="16" customFormat="1" ht="62.45" customHeight="1" x14ac:dyDescent="0.2">
      <c r="B269" s="100">
        <v>43015</v>
      </c>
      <c r="C269" s="97">
        <v>25569.302083333299</v>
      </c>
      <c r="D269" s="99" t="s">
        <v>1303</v>
      </c>
      <c r="E269" s="24" t="s">
        <v>836</v>
      </c>
      <c r="F269" s="24" t="s">
        <v>831</v>
      </c>
      <c r="G269" s="98">
        <v>57</v>
      </c>
      <c r="H269" s="99" t="s">
        <v>837</v>
      </c>
      <c r="I269" s="99" t="s">
        <v>1432</v>
      </c>
      <c r="J269" s="99" t="s">
        <v>3</v>
      </c>
      <c r="K269" s="112" t="s">
        <v>4</v>
      </c>
      <c r="L269" s="112" t="s">
        <v>33</v>
      </c>
      <c r="M269" s="112" t="s">
        <v>34</v>
      </c>
      <c r="N269" s="113">
        <v>54</v>
      </c>
      <c r="O269" s="24" t="s">
        <v>78</v>
      </c>
      <c r="P269" s="24" t="s">
        <v>61</v>
      </c>
      <c r="Q269" s="24" t="s">
        <v>158</v>
      </c>
      <c r="R269" s="24" t="s">
        <v>1304</v>
      </c>
      <c r="S269" s="97">
        <v>25569.25</v>
      </c>
      <c r="T269" s="97">
        <v>25569.583333333299</v>
      </c>
      <c r="U269" s="24"/>
      <c r="V269" s="96"/>
      <c r="W269" s="95" t="s">
        <v>81</v>
      </c>
    </row>
    <row r="270" spans="2:23" s="16" customFormat="1" ht="51.75" customHeight="1" x14ac:dyDescent="0.2">
      <c r="B270" s="106">
        <v>43015</v>
      </c>
      <c r="C270" s="103">
        <v>25569.645833333299</v>
      </c>
      <c r="D270" s="105" t="s">
        <v>1305</v>
      </c>
      <c r="E270" s="31" t="s">
        <v>1306</v>
      </c>
      <c r="F270" s="31" t="s">
        <v>369</v>
      </c>
      <c r="G270" s="104">
        <v>52</v>
      </c>
      <c r="H270" s="105" t="s">
        <v>1307</v>
      </c>
      <c r="I270" s="105" t="s">
        <v>1413</v>
      </c>
      <c r="J270" s="105" t="s">
        <v>3</v>
      </c>
      <c r="K270" s="112" t="s">
        <v>4</v>
      </c>
      <c r="L270" s="112" t="s">
        <v>33</v>
      </c>
      <c r="M270" s="112" t="s">
        <v>34</v>
      </c>
      <c r="N270" s="113">
        <v>43</v>
      </c>
      <c r="O270" s="31" t="s">
        <v>133</v>
      </c>
      <c r="P270" s="31" t="s">
        <v>1407</v>
      </c>
      <c r="Q270" s="31" t="s">
        <v>62</v>
      </c>
      <c r="R270" s="31" t="s">
        <v>1308</v>
      </c>
      <c r="S270" s="103">
        <v>25569.570138888899</v>
      </c>
      <c r="T270" s="103">
        <v>25569.921527777798</v>
      </c>
      <c r="U270" s="31"/>
      <c r="V270" s="102"/>
      <c r="W270" s="101" t="s">
        <v>81</v>
      </c>
    </row>
    <row r="271" spans="2:23" s="16" customFormat="1" ht="41.1" customHeight="1" x14ac:dyDescent="0.2">
      <c r="B271" s="100">
        <v>43018</v>
      </c>
      <c r="C271" s="97">
        <v>25569.375</v>
      </c>
      <c r="D271" s="99" t="s">
        <v>1309</v>
      </c>
      <c r="E271" s="24" t="s">
        <v>1310</v>
      </c>
      <c r="F271" s="24" t="s">
        <v>94</v>
      </c>
      <c r="G271" s="98">
        <v>42</v>
      </c>
      <c r="H271" s="99" t="s">
        <v>1311</v>
      </c>
      <c r="I271" s="99" t="s">
        <v>1413</v>
      </c>
      <c r="J271" s="99" t="s">
        <v>3</v>
      </c>
      <c r="K271" s="112" t="s">
        <v>4</v>
      </c>
      <c r="L271" s="112" t="s">
        <v>34</v>
      </c>
      <c r="M271" s="112" t="s">
        <v>34</v>
      </c>
      <c r="N271" s="113"/>
      <c r="O271" s="24" t="s">
        <v>78</v>
      </c>
      <c r="P271" s="24" t="s">
        <v>61</v>
      </c>
      <c r="Q271" s="24" t="s">
        <v>79</v>
      </c>
      <c r="R271" s="24" t="s">
        <v>1312</v>
      </c>
      <c r="S271" s="97">
        <v>25569.25</v>
      </c>
      <c r="T271" s="97">
        <v>25569.611111111099</v>
      </c>
      <c r="U271" s="24"/>
      <c r="V271" s="96"/>
      <c r="W271" s="95"/>
    </row>
    <row r="272" spans="2:23" s="16" customFormat="1" ht="51.75" customHeight="1" x14ac:dyDescent="0.2">
      <c r="B272" s="106">
        <v>43018</v>
      </c>
      <c r="C272" s="103">
        <v>25569.947916666701</v>
      </c>
      <c r="D272" s="105" t="s">
        <v>1313</v>
      </c>
      <c r="E272" s="31" t="s">
        <v>1314</v>
      </c>
      <c r="F272" s="31" t="s">
        <v>350</v>
      </c>
      <c r="G272" s="104">
        <v>58</v>
      </c>
      <c r="H272" s="105" t="s">
        <v>1315</v>
      </c>
      <c r="I272" s="105" t="s">
        <v>1408</v>
      </c>
      <c r="J272" s="105" t="s">
        <v>3</v>
      </c>
      <c r="K272" s="112" t="s">
        <v>4</v>
      </c>
      <c r="L272" s="112" t="s">
        <v>33</v>
      </c>
      <c r="M272" s="112" t="s">
        <v>34</v>
      </c>
      <c r="N272" s="113">
        <v>26</v>
      </c>
      <c r="O272" s="31" t="s">
        <v>133</v>
      </c>
      <c r="P272" s="31" t="s">
        <v>88</v>
      </c>
      <c r="Q272" s="31" t="s">
        <v>158</v>
      </c>
      <c r="R272" s="31" t="s">
        <v>1316</v>
      </c>
      <c r="S272" s="103">
        <v>25569.90625</v>
      </c>
      <c r="T272" s="103">
        <v>25569.256249999999</v>
      </c>
      <c r="U272" s="31"/>
      <c r="V272" s="102"/>
      <c r="W272" s="101"/>
    </row>
    <row r="273" spans="2:23" s="16" customFormat="1" ht="73.150000000000006" customHeight="1" x14ac:dyDescent="0.2">
      <c r="B273" s="100">
        <v>43019</v>
      </c>
      <c r="C273" s="97">
        <v>25569.333333333299</v>
      </c>
      <c r="D273" s="99" t="s">
        <v>1317</v>
      </c>
      <c r="E273" s="24" t="s">
        <v>1318</v>
      </c>
      <c r="F273" s="24" t="s">
        <v>1319</v>
      </c>
      <c r="G273" s="98">
        <v>22</v>
      </c>
      <c r="H273" s="99" t="s">
        <v>1320</v>
      </c>
      <c r="I273" s="99" t="s">
        <v>1433</v>
      </c>
      <c r="J273" s="99" t="s">
        <v>3</v>
      </c>
      <c r="K273" s="112" t="s">
        <v>1404</v>
      </c>
      <c r="L273" s="112" t="s">
        <v>33</v>
      </c>
      <c r="M273" s="112" t="s">
        <v>34</v>
      </c>
      <c r="N273" s="113">
        <v>9</v>
      </c>
      <c r="O273" s="24" t="s">
        <v>60</v>
      </c>
      <c r="P273" s="24" t="s">
        <v>206</v>
      </c>
      <c r="Q273" s="24" t="s">
        <v>114</v>
      </c>
      <c r="R273" s="33" t="s">
        <v>1321</v>
      </c>
      <c r="S273" s="97">
        <v>25569.333333333299</v>
      </c>
      <c r="T273" s="97">
        <v>25569.75</v>
      </c>
      <c r="U273" s="24"/>
      <c r="V273" s="96"/>
      <c r="W273" s="95"/>
    </row>
    <row r="274" spans="2:23" s="16" customFormat="1" ht="41.1" customHeight="1" x14ac:dyDescent="0.2">
      <c r="B274" s="106">
        <v>43019</v>
      </c>
      <c r="C274" s="103">
        <v>25569.458333333299</v>
      </c>
      <c r="D274" s="105" t="s">
        <v>1322</v>
      </c>
      <c r="E274" s="31" t="s">
        <v>1323</v>
      </c>
      <c r="F274" s="31" t="s">
        <v>1324</v>
      </c>
      <c r="G274" s="104">
        <v>56</v>
      </c>
      <c r="H274" s="105" t="s">
        <v>1325</v>
      </c>
      <c r="I274" s="105" t="s">
        <v>1421</v>
      </c>
      <c r="J274" s="105" t="s">
        <v>3</v>
      </c>
      <c r="K274" s="112" t="s">
        <v>4</v>
      </c>
      <c r="L274" s="112" t="s">
        <v>33</v>
      </c>
      <c r="M274" s="112" t="s">
        <v>34</v>
      </c>
      <c r="N274" s="113">
        <v>7</v>
      </c>
      <c r="O274" s="31" t="s">
        <v>60</v>
      </c>
      <c r="P274" s="31" t="s">
        <v>61</v>
      </c>
      <c r="Q274" s="31" t="s">
        <v>158</v>
      </c>
      <c r="R274" s="31" t="s">
        <v>1326</v>
      </c>
      <c r="S274" s="103">
        <v>25569.284722222201</v>
      </c>
      <c r="T274" s="103">
        <v>25569.6048611111</v>
      </c>
      <c r="U274" s="31"/>
      <c r="V274" s="102"/>
      <c r="W274" s="101" t="s">
        <v>81</v>
      </c>
    </row>
    <row r="275" spans="2:23" s="16" customFormat="1" ht="41.1" customHeight="1" x14ac:dyDescent="0.2">
      <c r="B275" s="100">
        <v>43019</v>
      </c>
      <c r="C275" s="97">
        <v>25569.666666666701</v>
      </c>
      <c r="D275" s="99" t="s">
        <v>1327</v>
      </c>
      <c r="E275" s="24" t="s">
        <v>1328</v>
      </c>
      <c r="F275" s="24" t="s">
        <v>1329</v>
      </c>
      <c r="G275" s="98">
        <v>19</v>
      </c>
      <c r="H275" s="99" t="s">
        <v>1330</v>
      </c>
      <c r="I275" s="99" t="s">
        <v>1448</v>
      </c>
      <c r="J275" s="99" t="s">
        <v>3</v>
      </c>
      <c r="K275" s="112" t="s">
        <v>4</v>
      </c>
      <c r="L275" s="112" t="s">
        <v>33</v>
      </c>
      <c r="M275" s="112" t="s">
        <v>34</v>
      </c>
      <c r="N275" s="113">
        <v>16</v>
      </c>
      <c r="O275" s="24" t="s">
        <v>69</v>
      </c>
      <c r="P275" s="24" t="s">
        <v>88</v>
      </c>
      <c r="Q275" s="24" t="s">
        <v>8</v>
      </c>
      <c r="R275" s="24" t="s">
        <v>1331</v>
      </c>
      <c r="S275" s="97">
        <v>25569.333333333299</v>
      </c>
      <c r="T275" s="97">
        <v>25569.6944444445</v>
      </c>
      <c r="U275" s="24"/>
      <c r="V275" s="96"/>
      <c r="W275" s="95"/>
    </row>
    <row r="276" spans="2:23" s="16" customFormat="1" ht="41.1" customHeight="1" x14ac:dyDescent="0.2">
      <c r="B276" s="106">
        <v>43021</v>
      </c>
      <c r="C276" s="103">
        <v>25569.375</v>
      </c>
      <c r="D276" s="105" t="s">
        <v>1332</v>
      </c>
      <c r="E276" s="31" t="s">
        <v>1063</v>
      </c>
      <c r="F276" s="31" t="s">
        <v>210</v>
      </c>
      <c r="G276" s="104">
        <v>47</v>
      </c>
      <c r="H276" s="105" t="s">
        <v>1333</v>
      </c>
      <c r="I276" s="105" t="s">
        <v>1424</v>
      </c>
      <c r="J276" s="105" t="s">
        <v>3</v>
      </c>
      <c r="K276" s="112" t="s">
        <v>4</v>
      </c>
      <c r="L276" s="112" t="s">
        <v>33</v>
      </c>
      <c r="M276" s="112" t="s">
        <v>34</v>
      </c>
      <c r="N276" s="113">
        <v>7</v>
      </c>
      <c r="O276" s="31" t="s">
        <v>133</v>
      </c>
      <c r="P276" s="31" t="s">
        <v>187</v>
      </c>
      <c r="Q276" s="31" t="s">
        <v>8</v>
      </c>
      <c r="R276" s="31" t="s">
        <v>1334</v>
      </c>
      <c r="S276" s="103">
        <v>25569.25</v>
      </c>
      <c r="T276" s="103">
        <v>25569.645833333299</v>
      </c>
      <c r="U276" s="31"/>
      <c r="V276" s="102"/>
      <c r="W276" s="101"/>
    </row>
    <row r="277" spans="2:23" s="16" customFormat="1" ht="41.1" customHeight="1" x14ac:dyDescent="0.2">
      <c r="B277" s="100">
        <v>43021</v>
      </c>
      <c r="C277" s="97">
        <v>25569.583333333299</v>
      </c>
      <c r="D277" s="99" t="s">
        <v>1335</v>
      </c>
      <c r="E277" s="24" t="s">
        <v>1336</v>
      </c>
      <c r="F277" s="24" t="s">
        <v>1337</v>
      </c>
      <c r="G277" s="98">
        <v>25</v>
      </c>
      <c r="H277" s="99" t="s">
        <v>1338</v>
      </c>
      <c r="I277" s="99" t="s">
        <v>1414</v>
      </c>
      <c r="J277" s="99" t="s">
        <v>3</v>
      </c>
      <c r="K277" s="112" t="s">
        <v>4</v>
      </c>
      <c r="L277" s="112" t="s">
        <v>34</v>
      </c>
      <c r="M277" s="112" t="s">
        <v>34</v>
      </c>
      <c r="N277" s="113"/>
      <c r="O277" s="24" t="s">
        <v>60</v>
      </c>
      <c r="P277" s="24" t="s">
        <v>61</v>
      </c>
      <c r="Q277" s="24" t="s">
        <v>71</v>
      </c>
      <c r="R277" s="24" t="s">
        <v>1339</v>
      </c>
      <c r="S277" s="97">
        <v>25569.375</v>
      </c>
      <c r="T277" s="97">
        <v>25569.611111111099</v>
      </c>
      <c r="U277" s="24"/>
      <c r="V277" s="96"/>
      <c r="W277" s="95"/>
    </row>
    <row r="278" spans="2:23" s="16" customFormat="1" ht="62.45" customHeight="1" x14ac:dyDescent="0.2">
      <c r="B278" s="106">
        <v>43025</v>
      </c>
      <c r="C278" s="103">
        <v>25569.958333333299</v>
      </c>
      <c r="D278" s="105" t="s">
        <v>1340</v>
      </c>
      <c r="E278" s="31" t="s">
        <v>105</v>
      </c>
      <c r="F278" s="31" t="s">
        <v>795</v>
      </c>
      <c r="G278" s="104">
        <v>36</v>
      </c>
      <c r="H278" s="105" t="s">
        <v>1341</v>
      </c>
      <c r="I278" s="105" t="s">
        <v>1405</v>
      </c>
      <c r="J278" s="105" t="s">
        <v>3</v>
      </c>
      <c r="K278" s="112" t="s">
        <v>4</v>
      </c>
      <c r="L278" s="112" t="s">
        <v>33</v>
      </c>
      <c r="M278" s="112" t="s">
        <v>34</v>
      </c>
      <c r="N278" s="113">
        <v>14</v>
      </c>
      <c r="O278" s="31" t="s">
        <v>69</v>
      </c>
      <c r="P278" s="31" t="s">
        <v>206</v>
      </c>
      <c r="Q278" s="31" t="s">
        <v>79</v>
      </c>
      <c r="R278" s="34" t="s">
        <v>1342</v>
      </c>
      <c r="S278" s="103">
        <v>25569.916666666701</v>
      </c>
      <c r="T278" s="103">
        <v>25569.261805555601</v>
      </c>
      <c r="U278" s="31"/>
      <c r="V278" s="102"/>
      <c r="W278" s="101" t="s">
        <v>81</v>
      </c>
    </row>
    <row r="279" spans="2:23" s="16" customFormat="1" ht="41.1" customHeight="1" x14ac:dyDescent="0.2">
      <c r="B279" s="100">
        <v>43027</v>
      </c>
      <c r="C279" s="97">
        <v>25569.815972222201</v>
      </c>
      <c r="D279" s="99" t="s">
        <v>1343</v>
      </c>
      <c r="E279" s="24" t="s">
        <v>1344</v>
      </c>
      <c r="F279" s="24" t="s">
        <v>1345</v>
      </c>
      <c r="G279" s="98">
        <v>54</v>
      </c>
      <c r="H279" s="99" t="s">
        <v>1346</v>
      </c>
      <c r="I279" s="99" t="s">
        <v>1405</v>
      </c>
      <c r="J279" s="99" t="s">
        <v>3</v>
      </c>
      <c r="K279" s="112" t="s">
        <v>1404</v>
      </c>
      <c r="L279" s="112" t="s">
        <v>33</v>
      </c>
      <c r="M279" s="112" t="s">
        <v>34</v>
      </c>
      <c r="N279" s="113">
        <v>18</v>
      </c>
      <c r="O279" s="24" t="s">
        <v>133</v>
      </c>
      <c r="P279" s="24" t="s">
        <v>1407</v>
      </c>
      <c r="Q279" s="24" t="s">
        <v>79</v>
      </c>
      <c r="R279" s="24" t="s">
        <v>1347</v>
      </c>
      <c r="S279" s="97">
        <v>25569.659722222201</v>
      </c>
      <c r="T279" s="97">
        <v>25569.024305555598</v>
      </c>
      <c r="U279" s="24"/>
      <c r="V279" s="96"/>
      <c r="W279" s="95"/>
    </row>
    <row r="280" spans="2:23" s="16" customFormat="1" ht="41.1" customHeight="1" x14ac:dyDescent="0.2">
      <c r="B280" s="106">
        <v>43031</v>
      </c>
      <c r="C280" s="103">
        <v>25569.375</v>
      </c>
      <c r="D280" s="105" t="s">
        <v>1348</v>
      </c>
      <c r="E280" s="31" t="s">
        <v>1349</v>
      </c>
      <c r="F280" s="31" t="s">
        <v>1350</v>
      </c>
      <c r="G280" s="104">
        <v>19</v>
      </c>
      <c r="H280" s="105" t="s">
        <v>1351</v>
      </c>
      <c r="I280" s="105" t="s">
        <v>1406</v>
      </c>
      <c r="J280" s="105" t="s">
        <v>3</v>
      </c>
      <c r="K280" s="112" t="s">
        <v>4</v>
      </c>
      <c r="L280" s="112" t="s">
        <v>34</v>
      </c>
      <c r="M280" s="112" t="s">
        <v>34</v>
      </c>
      <c r="N280" s="113"/>
      <c r="O280" s="31" t="s">
        <v>60</v>
      </c>
      <c r="P280" s="31" t="s">
        <v>206</v>
      </c>
      <c r="Q280" s="31" t="s">
        <v>8</v>
      </c>
      <c r="R280" s="31" t="s">
        <v>1352</v>
      </c>
      <c r="S280" s="103">
        <v>25569.333333333299</v>
      </c>
      <c r="T280" s="103">
        <v>25569.6875</v>
      </c>
      <c r="U280" s="31"/>
      <c r="V280" s="102"/>
      <c r="W280" s="101"/>
    </row>
    <row r="281" spans="2:23" s="16" customFormat="1" ht="51.75" customHeight="1" x14ac:dyDescent="0.2">
      <c r="B281" s="100">
        <v>43032</v>
      </c>
      <c r="C281" s="97">
        <v>25569.041666666701</v>
      </c>
      <c r="D281" s="99" t="s">
        <v>1353</v>
      </c>
      <c r="E281" s="24" t="s">
        <v>1354</v>
      </c>
      <c r="F281" s="24" t="s">
        <v>1064</v>
      </c>
      <c r="G281" s="98">
        <v>25</v>
      </c>
      <c r="H281" s="99" t="s">
        <v>1355</v>
      </c>
      <c r="I281" s="99" t="s">
        <v>1417</v>
      </c>
      <c r="J281" s="99" t="s">
        <v>3</v>
      </c>
      <c r="K281" s="112" t="s">
        <v>4</v>
      </c>
      <c r="L281" s="112" t="s">
        <v>34</v>
      </c>
      <c r="M281" s="112" t="s">
        <v>34</v>
      </c>
      <c r="N281" s="113"/>
      <c r="O281" s="24" t="s">
        <v>78</v>
      </c>
      <c r="P281" s="24" t="s">
        <v>61</v>
      </c>
      <c r="Q281" s="24" t="s">
        <v>158</v>
      </c>
      <c r="R281" s="24" t="s">
        <v>1356</v>
      </c>
      <c r="S281" s="97">
        <v>25569.916666666701</v>
      </c>
      <c r="T281" s="97">
        <v>25569.256944444402</v>
      </c>
      <c r="U281" s="24"/>
      <c r="V281" s="96"/>
      <c r="W281" s="95"/>
    </row>
    <row r="282" spans="2:23" s="16" customFormat="1" ht="30.4" customHeight="1" x14ac:dyDescent="0.2">
      <c r="B282" s="106">
        <v>43032</v>
      </c>
      <c r="C282" s="103">
        <v>25569.302083333299</v>
      </c>
      <c r="D282" s="105" t="s">
        <v>1357</v>
      </c>
      <c r="E282" s="31" t="s">
        <v>1358</v>
      </c>
      <c r="F282" s="31" t="s">
        <v>162</v>
      </c>
      <c r="G282" s="104">
        <v>41</v>
      </c>
      <c r="H282" s="105" t="s">
        <v>1359</v>
      </c>
      <c r="I282" s="105" t="s">
        <v>1417</v>
      </c>
      <c r="J282" s="105" t="s">
        <v>3</v>
      </c>
      <c r="K282" s="112" t="s">
        <v>1404</v>
      </c>
      <c r="L282" s="112" t="s">
        <v>33</v>
      </c>
      <c r="M282" s="112" t="s">
        <v>34</v>
      </c>
      <c r="N282" s="113">
        <v>5</v>
      </c>
      <c r="O282" s="31" t="s">
        <v>60</v>
      </c>
      <c r="P282" s="31" t="s">
        <v>88</v>
      </c>
      <c r="Q282" s="31" t="s">
        <v>8</v>
      </c>
      <c r="R282" s="31" t="s">
        <v>1360</v>
      </c>
      <c r="S282" s="103">
        <v>25569.333333333299</v>
      </c>
      <c r="T282" s="103">
        <v>25569.666666666701</v>
      </c>
      <c r="U282" s="31"/>
      <c r="V282" s="102"/>
      <c r="W282" s="101" t="s">
        <v>81</v>
      </c>
    </row>
    <row r="283" spans="2:23" s="16" customFormat="1" ht="73.150000000000006" customHeight="1" x14ac:dyDescent="0.2">
      <c r="B283" s="100">
        <v>43033</v>
      </c>
      <c r="C283" s="97">
        <v>25569.375</v>
      </c>
      <c r="D283" s="99" t="s">
        <v>1361</v>
      </c>
      <c r="E283" s="24" t="s">
        <v>1362</v>
      </c>
      <c r="F283" s="24" t="s">
        <v>1363</v>
      </c>
      <c r="G283" s="98">
        <v>34</v>
      </c>
      <c r="H283" s="99" t="s">
        <v>1364</v>
      </c>
      <c r="I283" s="99" t="s">
        <v>1417</v>
      </c>
      <c r="J283" s="99" t="s">
        <v>3</v>
      </c>
      <c r="K283" s="112" t="s">
        <v>4</v>
      </c>
      <c r="L283" s="112" t="s">
        <v>34</v>
      </c>
      <c r="M283" s="112" t="s">
        <v>34</v>
      </c>
      <c r="N283" s="113"/>
      <c r="O283" s="24" t="s">
        <v>78</v>
      </c>
      <c r="P283" s="24" t="s">
        <v>1407</v>
      </c>
      <c r="Q283" s="24" t="s">
        <v>71</v>
      </c>
      <c r="R283" s="33" t="s">
        <v>1365</v>
      </c>
      <c r="S283" s="97">
        <v>25569.256944444402</v>
      </c>
      <c r="T283" s="97">
        <v>25569.606250000001</v>
      </c>
      <c r="U283" s="24"/>
      <c r="V283" s="96"/>
      <c r="W283" s="95"/>
    </row>
    <row r="284" spans="2:23" s="16" customFormat="1" ht="41.1" customHeight="1" x14ac:dyDescent="0.2">
      <c r="B284" s="106">
        <v>43034</v>
      </c>
      <c r="C284" s="103">
        <v>25569.708333333299</v>
      </c>
      <c r="D284" s="105" t="s">
        <v>1366</v>
      </c>
      <c r="E284" s="31" t="s">
        <v>1367</v>
      </c>
      <c r="F284" s="31" t="s">
        <v>871</v>
      </c>
      <c r="G284" s="104">
        <v>42</v>
      </c>
      <c r="H284" s="105" t="s">
        <v>1368</v>
      </c>
      <c r="I284" s="105" t="s">
        <v>1405</v>
      </c>
      <c r="J284" s="105" t="s">
        <v>3</v>
      </c>
      <c r="K284" s="112" t="s">
        <v>4</v>
      </c>
      <c r="L284" s="112" t="s">
        <v>33</v>
      </c>
      <c r="M284" s="112" t="s">
        <v>34</v>
      </c>
      <c r="N284" s="113">
        <v>4</v>
      </c>
      <c r="O284" s="31" t="s">
        <v>78</v>
      </c>
      <c r="P284" s="31" t="s">
        <v>61</v>
      </c>
      <c r="Q284" s="31" t="s">
        <v>62</v>
      </c>
      <c r="R284" s="31" t="s">
        <v>1369</v>
      </c>
      <c r="S284" s="103">
        <v>25569.603472222199</v>
      </c>
      <c r="T284" s="103">
        <v>25569.999305555601</v>
      </c>
      <c r="U284" s="31" t="s">
        <v>425</v>
      </c>
      <c r="V284" s="102"/>
      <c r="W284" s="101"/>
    </row>
    <row r="285" spans="2:23" s="16" customFormat="1" ht="51.75" customHeight="1" x14ac:dyDescent="0.2">
      <c r="B285" s="100">
        <v>43034</v>
      </c>
      <c r="C285" s="97">
        <v>25569.958333333299</v>
      </c>
      <c r="D285" s="99" t="s">
        <v>1370</v>
      </c>
      <c r="E285" s="24" t="s">
        <v>1371</v>
      </c>
      <c r="F285" s="24" t="s">
        <v>452</v>
      </c>
      <c r="G285" s="98">
        <v>34</v>
      </c>
      <c r="H285" s="99" t="s">
        <v>1372</v>
      </c>
      <c r="I285" s="99" t="s">
        <v>1405</v>
      </c>
      <c r="J285" s="99" t="s">
        <v>3</v>
      </c>
      <c r="K285" s="112" t="s">
        <v>4</v>
      </c>
      <c r="L285" s="112" t="s">
        <v>34</v>
      </c>
      <c r="M285" s="112" t="s">
        <v>34</v>
      </c>
      <c r="N285" s="113"/>
      <c r="O285" s="24" t="s">
        <v>60</v>
      </c>
      <c r="P285" s="24" t="s">
        <v>289</v>
      </c>
      <c r="Q285" s="24" t="s">
        <v>146</v>
      </c>
      <c r="R285" s="24" t="s">
        <v>1373</v>
      </c>
      <c r="S285" s="97">
        <v>25569.916666666701</v>
      </c>
      <c r="T285" s="97">
        <v>25569.261805555601</v>
      </c>
      <c r="U285" s="24" t="s">
        <v>1374</v>
      </c>
      <c r="V285" s="96"/>
      <c r="W285" s="95"/>
    </row>
    <row r="286" spans="2:23" s="16" customFormat="1" ht="51.75" customHeight="1" x14ac:dyDescent="0.2">
      <c r="B286" s="106">
        <v>43035</v>
      </c>
      <c r="C286" s="103">
        <v>25569.020833333299</v>
      </c>
      <c r="D286" s="105" t="s">
        <v>1375</v>
      </c>
      <c r="E286" s="31" t="s">
        <v>1376</v>
      </c>
      <c r="F286" s="31" t="s">
        <v>1377</v>
      </c>
      <c r="G286" s="104">
        <v>43</v>
      </c>
      <c r="H286" s="105" t="s">
        <v>1378</v>
      </c>
      <c r="I286" s="105" t="s">
        <v>1405</v>
      </c>
      <c r="J286" s="105" t="s">
        <v>3</v>
      </c>
      <c r="K286" s="112" t="s">
        <v>4</v>
      </c>
      <c r="L286" s="112" t="s">
        <v>33</v>
      </c>
      <c r="M286" s="112" t="s">
        <v>34</v>
      </c>
      <c r="N286" s="113">
        <v>17</v>
      </c>
      <c r="O286" s="31" t="s">
        <v>69</v>
      </c>
      <c r="P286" s="31" t="s">
        <v>206</v>
      </c>
      <c r="Q286" s="31" t="s">
        <v>158</v>
      </c>
      <c r="R286" s="31" t="s">
        <v>1379</v>
      </c>
      <c r="S286" s="103">
        <v>25569.916666666701</v>
      </c>
      <c r="T286" s="103">
        <v>25569.261805555601</v>
      </c>
      <c r="U286" s="31"/>
      <c r="V286" s="102"/>
      <c r="W286" s="101" t="s">
        <v>81</v>
      </c>
    </row>
    <row r="287" spans="2:23" s="16" customFormat="1" ht="51.75" customHeight="1" x14ac:dyDescent="0.2">
      <c r="B287" s="100">
        <v>43038</v>
      </c>
      <c r="C287" s="97">
        <v>25569.25</v>
      </c>
      <c r="D287" s="99" t="s">
        <v>1380</v>
      </c>
      <c r="E287" s="24" t="s">
        <v>1381</v>
      </c>
      <c r="F287" s="24" t="s">
        <v>1382</v>
      </c>
      <c r="G287" s="98">
        <v>56</v>
      </c>
      <c r="H287" s="99" t="s">
        <v>1383</v>
      </c>
      <c r="I287" s="99" t="s">
        <v>1421</v>
      </c>
      <c r="J287" s="99" t="s">
        <v>3</v>
      </c>
      <c r="K287" s="112" t="s">
        <v>4</v>
      </c>
      <c r="L287" s="112" t="s">
        <v>33</v>
      </c>
      <c r="M287" s="112" t="s">
        <v>34</v>
      </c>
      <c r="N287" s="113">
        <v>1</v>
      </c>
      <c r="O287" s="24" t="s">
        <v>78</v>
      </c>
      <c r="P287" s="24" t="s">
        <v>173</v>
      </c>
      <c r="Q287" s="24" t="s">
        <v>158</v>
      </c>
      <c r="R287" s="24" t="s">
        <v>1384</v>
      </c>
      <c r="S287" s="97">
        <v>25569.25</v>
      </c>
      <c r="T287" s="97">
        <v>25569.598611111101</v>
      </c>
      <c r="U287" s="24"/>
      <c r="V287" s="96"/>
      <c r="W287" s="95" t="s">
        <v>81</v>
      </c>
    </row>
    <row r="288" spans="2:23" s="16" customFormat="1" ht="41.1" customHeight="1" x14ac:dyDescent="0.2">
      <c r="B288" s="106">
        <v>43045</v>
      </c>
      <c r="C288" s="103">
        <v>25569.072916666701</v>
      </c>
      <c r="D288" s="105" t="s">
        <v>1385</v>
      </c>
      <c r="E288" s="31" t="s">
        <v>1107</v>
      </c>
      <c r="F288" s="31" t="s">
        <v>716</v>
      </c>
      <c r="G288" s="104">
        <v>30</v>
      </c>
      <c r="H288" s="105" t="s">
        <v>1108</v>
      </c>
      <c r="I288" s="105" t="s">
        <v>1417</v>
      </c>
      <c r="J288" s="105" t="s">
        <v>3</v>
      </c>
      <c r="K288" s="112" t="s">
        <v>4</v>
      </c>
      <c r="L288" s="112" t="s">
        <v>34</v>
      </c>
      <c r="M288" s="112" t="s">
        <v>34</v>
      </c>
      <c r="N288" s="113"/>
      <c r="O288" s="31" t="s">
        <v>78</v>
      </c>
      <c r="P288" s="31" t="s">
        <v>61</v>
      </c>
      <c r="Q288" s="31" t="s">
        <v>158</v>
      </c>
      <c r="R288" s="31" t="s">
        <v>1386</v>
      </c>
      <c r="S288" s="103">
        <v>25569.916666666701</v>
      </c>
      <c r="T288" s="103">
        <v>25569.256944444402</v>
      </c>
      <c r="U288" s="31"/>
      <c r="V288" s="102"/>
      <c r="W288" s="101"/>
    </row>
    <row r="289" spans="2:23" s="16" customFormat="1" ht="51.75" customHeight="1" x14ac:dyDescent="0.2">
      <c r="B289" s="100">
        <v>43045</v>
      </c>
      <c r="C289" s="97">
        <v>25569.5625</v>
      </c>
      <c r="D289" s="99" t="s">
        <v>1496</v>
      </c>
      <c r="E289" s="24" t="s">
        <v>1497</v>
      </c>
      <c r="F289" s="24" t="s">
        <v>57</v>
      </c>
      <c r="G289" s="98">
        <v>47</v>
      </c>
      <c r="H289" s="99" t="s">
        <v>1498</v>
      </c>
      <c r="I289" s="99" t="s">
        <v>1405</v>
      </c>
      <c r="J289" s="99" t="s">
        <v>3</v>
      </c>
      <c r="K289" s="112" t="s">
        <v>1404</v>
      </c>
      <c r="L289" s="112" t="s">
        <v>34</v>
      </c>
      <c r="M289" s="112" t="s">
        <v>34</v>
      </c>
      <c r="N289" s="113"/>
      <c r="O289" s="24" t="s">
        <v>87</v>
      </c>
      <c r="P289" s="24" t="s">
        <v>187</v>
      </c>
      <c r="Q289" s="24" t="s">
        <v>79</v>
      </c>
      <c r="R289" s="24" t="s">
        <v>1499</v>
      </c>
      <c r="S289" s="97">
        <v>25569.604166666701</v>
      </c>
      <c r="T289" s="97">
        <v>25569.972222222201</v>
      </c>
      <c r="U289" s="24"/>
      <c r="V289" s="96"/>
      <c r="W289" s="95"/>
    </row>
    <row r="290" spans="2:23" s="16" customFormat="1" ht="41.1" customHeight="1" x14ac:dyDescent="0.2">
      <c r="B290" s="106">
        <v>43046</v>
      </c>
      <c r="C290" s="103">
        <v>25569.395833333299</v>
      </c>
      <c r="D290" s="105" t="s">
        <v>1500</v>
      </c>
      <c r="E290" s="31" t="s">
        <v>1501</v>
      </c>
      <c r="F290" s="31" t="s">
        <v>1502</v>
      </c>
      <c r="G290" s="104">
        <v>52</v>
      </c>
      <c r="H290" s="105" t="s">
        <v>1503</v>
      </c>
      <c r="I290" s="105" t="s">
        <v>1442</v>
      </c>
      <c r="J290" s="105" t="s">
        <v>3</v>
      </c>
      <c r="K290" s="112" t="s">
        <v>4</v>
      </c>
      <c r="L290" s="112" t="s">
        <v>33</v>
      </c>
      <c r="M290" s="112" t="s">
        <v>34</v>
      </c>
      <c r="N290" s="113">
        <v>23</v>
      </c>
      <c r="O290" s="31" t="s">
        <v>958</v>
      </c>
      <c r="P290" s="31" t="s">
        <v>5</v>
      </c>
      <c r="Q290" s="31" t="s">
        <v>1407</v>
      </c>
      <c r="R290" s="31" t="s">
        <v>1504</v>
      </c>
      <c r="S290" s="103">
        <v>25569.305555555598</v>
      </c>
      <c r="T290" s="103">
        <v>25569.663194444402</v>
      </c>
      <c r="U290" s="31"/>
      <c r="V290" s="102"/>
      <c r="W290" s="101"/>
    </row>
    <row r="291" spans="2:23" s="16" customFormat="1" ht="62.45" customHeight="1" x14ac:dyDescent="0.2">
      <c r="B291" s="100">
        <v>43048</v>
      </c>
      <c r="C291" s="97">
        <v>25569.256944444402</v>
      </c>
      <c r="D291" s="99" t="s">
        <v>1387</v>
      </c>
      <c r="E291" s="24" t="s">
        <v>1388</v>
      </c>
      <c r="F291" s="24" t="s">
        <v>297</v>
      </c>
      <c r="G291" s="98">
        <v>54</v>
      </c>
      <c r="H291" s="99" t="s">
        <v>1389</v>
      </c>
      <c r="I291" s="99" t="s">
        <v>1413</v>
      </c>
      <c r="J291" s="99" t="s">
        <v>3</v>
      </c>
      <c r="K291" s="112" t="s">
        <v>1404</v>
      </c>
      <c r="L291" s="112" t="s">
        <v>33</v>
      </c>
      <c r="M291" s="112" t="s">
        <v>34</v>
      </c>
      <c r="N291" s="113">
        <v>4</v>
      </c>
      <c r="O291" s="24" t="s">
        <v>69</v>
      </c>
      <c r="P291" s="24" t="s">
        <v>61</v>
      </c>
      <c r="Q291" s="24" t="s">
        <v>71</v>
      </c>
      <c r="R291" s="24" t="s">
        <v>1390</v>
      </c>
      <c r="S291" s="97">
        <v>25569.902777777799</v>
      </c>
      <c r="T291" s="97">
        <v>25569.25</v>
      </c>
      <c r="U291" s="24"/>
      <c r="V291" s="96"/>
      <c r="W291" s="95"/>
    </row>
    <row r="292" spans="2:23" s="16" customFormat="1" ht="51.75" customHeight="1" x14ac:dyDescent="0.2">
      <c r="B292" s="106">
        <v>43049</v>
      </c>
      <c r="C292" s="103">
        <v>25569.375</v>
      </c>
      <c r="D292" s="105" t="s">
        <v>1505</v>
      </c>
      <c r="E292" s="31" t="s">
        <v>1506</v>
      </c>
      <c r="F292" s="31" t="s">
        <v>333</v>
      </c>
      <c r="G292" s="104">
        <v>36</v>
      </c>
      <c r="H292" s="105" t="s">
        <v>1507</v>
      </c>
      <c r="I292" s="105" t="s">
        <v>1569</v>
      </c>
      <c r="J292" s="105" t="s">
        <v>3</v>
      </c>
      <c r="K292" s="112" t="s">
        <v>4</v>
      </c>
      <c r="L292" s="112" t="s">
        <v>34</v>
      </c>
      <c r="M292" s="112" t="s">
        <v>34</v>
      </c>
      <c r="N292" s="113"/>
      <c r="O292" s="31" t="s">
        <v>78</v>
      </c>
      <c r="P292" s="31" t="s">
        <v>429</v>
      </c>
      <c r="Q292" s="31" t="s">
        <v>146</v>
      </c>
      <c r="R292" s="31" t="s">
        <v>1508</v>
      </c>
      <c r="S292" s="103">
        <v>25569.229166666701</v>
      </c>
      <c r="T292" s="103">
        <v>25569.614583333299</v>
      </c>
      <c r="U292" s="31"/>
      <c r="V292" s="102"/>
      <c r="W292" s="101"/>
    </row>
    <row r="293" spans="2:23" s="16" customFormat="1" ht="41.1" customHeight="1" x14ac:dyDescent="0.2">
      <c r="B293" s="100">
        <v>43050</v>
      </c>
      <c r="C293" s="97">
        <v>25569.472222222201</v>
      </c>
      <c r="D293" s="99" t="s">
        <v>1391</v>
      </c>
      <c r="E293" s="24" t="s">
        <v>1392</v>
      </c>
      <c r="F293" s="24" t="s">
        <v>57</v>
      </c>
      <c r="G293" s="98">
        <v>48</v>
      </c>
      <c r="H293" s="99" t="s">
        <v>1393</v>
      </c>
      <c r="I293" s="99" t="s">
        <v>1413</v>
      </c>
      <c r="J293" s="99" t="s">
        <v>3</v>
      </c>
      <c r="K293" s="112" t="s">
        <v>4</v>
      </c>
      <c r="L293" s="112" t="s">
        <v>34</v>
      </c>
      <c r="M293" s="112" t="s">
        <v>33</v>
      </c>
      <c r="N293" s="113"/>
      <c r="O293" s="24" t="s">
        <v>78</v>
      </c>
      <c r="P293" s="24" t="s">
        <v>121</v>
      </c>
      <c r="Q293" s="24" t="s">
        <v>122</v>
      </c>
      <c r="R293" s="24" t="s">
        <v>1394</v>
      </c>
      <c r="S293" s="97">
        <v>25569.21875</v>
      </c>
      <c r="T293" s="97">
        <v>25569.570138888899</v>
      </c>
      <c r="U293" s="24"/>
      <c r="V293" s="96"/>
      <c r="W293" s="95"/>
    </row>
    <row r="294" spans="2:23" s="16" customFormat="1" ht="62.45" customHeight="1" x14ac:dyDescent="0.2">
      <c r="B294" s="106">
        <v>43050</v>
      </c>
      <c r="C294" s="103">
        <v>25569.510416666701</v>
      </c>
      <c r="D294" s="105" t="s">
        <v>1509</v>
      </c>
      <c r="E294" s="31" t="s">
        <v>509</v>
      </c>
      <c r="F294" s="31" t="s">
        <v>591</v>
      </c>
      <c r="G294" s="104">
        <v>45</v>
      </c>
      <c r="H294" s="105" t="s">
        <v>1510</v>
      </c>
      <c r="I294" s="105" t="s">
        <v>1413</v>
      </c>
      <c r="J294" s="105" t="s">
        <v>3</v>
      </c>
      <c r="K294" s="112" t="s">
        <v>4</v>
      </c>
      <c r="L294" s="112" t="s">
        <v>34</v>
      </c>
      <c r="M294" s="112" t="s">
        <v>34</v>
      </c>
      <c r="N294" s="113"/>
      <c r="O294" s="31" t="s">
        <v>78</v>
      </c>
      <c r="P294" s="31" t="s">
        <v>61</v>
      </c>
      <c r="Q294" s="31" t="s">
        <v>114</v>
      </c>
      <c r="R294" s="31" t="s">
        <v>1511</v>
      </c>
      <c r="S294" s="103">
        <v>25569.263888888901</v>
      </c>
      <c r="T294" s="103">
        <v>25569.615277777801</v>
      </c>
      <c r="U294" s="31"/>
      <c r="V294" s="102"/>
      <c r="W294" s="101"/>
    </row>
    <row r="295" spans="2:23" s="16" customFormat="1" ht="51.75" customHeight="1" x14ac:dyDescent="0.2">
      <c r="B295" s="100">
        <v>43051</v>
      </c>
      <c r="C295" s="97">
        <v>25569.458333333299</v>
      </c>
      <c r="D295" s="99" t="s">
        <v>1512</v>
      </c>
      <c r="E295" s="24" t="s">
        <v>1362</v>
      </c>
      <c r="F295" s="24" t="s">
        <v>1363</v>
      </c>
      <c r="G295" s="98">
        <v>34</v>
      </c>
      <c r="H295" s="99" t="s">
        <v>1364</v>
      </c>
      <c r="I295" s="99" t="s">
        <v>1417</v>
      </c>
      <c r="J295" s="99" t="s">
        <v>3</v>
      </c>
      <c r="K295" s="112" t="s">
        <v>4</v>
      </c>
      <c r="L295" s="112" t="s">
        <v>34</v>
      </c>
      <c r="M295" s="112" t="s">
        <v>34</v>
      </c>
      <c r="N295" s="113"/>
      <c r="O295" s="24" t="s">
        <v>78</v>
      </c>
      <c r="P295" s="24" t="s">
        <v>173</v>
      </c>
      <c r="Q295" s="24" t="s">
        <v>158</v>
      </c>
      <c r="R295" s="24" t="s">
        <v>1513</v>
      </c>
      <c r="S295" s="97">
        <v>25569.256944444402</v>
      </c>
      <c r="T295" s="97">
        <v>25569.606250000001</v>
      </c>
      <c r="U295" s="24" t="s">
        <v>1514</v>
      </c>
      <c r="V295" s="96"/>
      <c r="W295" s="95"/>
    </row>
    <row r="296" spans="2:23" s="16" customFormat="1" ht="51.75" customHeight="1" x14ac:dyDescent="0.2">
      <c r="B296" s="106">
        <v>43052</v>
      </c>
      <c r="C296" s="103">
        <v>25569.041666666701</v>
      </c>
      <c r="D296" s="105" t="s">
        <v>1395</v>
      </c>
      <c r="E296" s="31" t="s">
        <v>1396</v>
      </c>
      <c r="F296" s="31" t="s">
        <v>408</v>
      </c>
      <c r="G296" s="104">
        <v>42</v>
      </c>
      <c r="H296" s="105" t="s">
        <v>1397</v>
      </c>
      <c r="I296" s="105" t="s">
        <v>1405</v>
      </c>
      <c r="J296" s="105" t="s">
        <v>3</v>
      </c>
      <c r="K296" s="112" t="s">
        <v>4</v>
      </c>
      <c r="L296" s="112" t="s">
        <v>33</v>
      </c>
      <c r="M296" s="112" t="s">
        <v>34</v>
      </c>
      <c r="N296" s="113">
        <v>15</v>
      </c>
      <c r="O296" s="31" t="s">
        <v>78</v>
      </c>
      <c r="P296" s="31" t="s">
        <v>61</v>
      </c>
      <c r="Q296" s="31" t="s">
        <v>62</v>
      </c>
      <c r="R296" s="31" t="s">
        <v>1515</v>
      </c>
      <c r="S296" s="103">
        <v>25569.916666666701</v>
      </c>
      <c r="T296" s="103">
        <v>25569.261805555601</v>
      </c>
      <c r="U296" s="31"/>
      <c r="V296" s="102"/>
      <c r="W296" s="101"/>
    </row>
    <row r="297" spans="2:23" s="16" customFormat="1" ht="51.75" customHeight="1" x14ac:dyDescent="0.2">
      <c r="B297" s="100">
        <v>43052</v>
      </c>
      <c r="C297" s="97">
        <v>25569.958333333299</v>
      </c>
      <c r="D297" s="99" t="s">
        <v>1516</v>
      </c>
      <c r="E297" s="24" t="s">
        <v>1517</v>
      </c>
      <c r="F297" s="24" t="s">
        <v>766</v>
      </c>
      <c r="G297" s="98">
        <v>38</v>
      </c>
      <c r="H297" s="99" t="s">
        <v>1518</v>
      </c>
      <c r="I297" s="99" t="s">
        <v>1421</v>
      </c>
      <c r="J297" s="99" t="s">
        <v>3</v>
      </c>
      <c r="K297" s="112" t="s">
        <v>4</v>
      </c>
      <c r="L297" s="112" t="s">
        <v>34</v>
      </c>
      <c r="M297" s="112" t="s">
        <v>34</v>
      </c>
      <c r="N297" s="113"/>
      <c r="O297" s="24" t="s">
        <v>78</v>
      </c>
      <c r="P297" s="24" t="s">
        <v>1407</v>
      </c>
      <c r="Q297" s="24" t="s">
        <v>62</v>
      </c>
      <c r="R297" s="24" t="s">
        <v>1519</v>
      </c>
      <c r="S297" s="97">
        <v>25569.916666666701</v>
      </c>
      <c r="T297" s="97">
        <v>25569.259722222199</v>
      </c>
      <c r="U297" s="24"/>
      <c r="V297" s="96"/>
      <c r="W297" s="95"/>
    </row>
    <row r="298" spans="2:23" s="16" customFormat="1" ht="30.4" customHeight="1" x14ac:dyDescent="0.2">
      <c r="B298" s="106">
        <v>43054</v>
      </c>
      <c r="C298" s="103">
        <v>25569.395833333299</v>
      </c>
      <c r="D298" s="105" t="s">
        <v>1520</v>
      </c>
      <c r="E298" s="31" t="s">
        <v>1521</v>
      </c>
      <c r="F298" s="31" t="s">
        <v>1382</v>
      </c>
      <c r="G298" s="104">
        <v>59</v>
      </c>
      <c r="H298" s="105" t="s">
        <v>1522</v>
      </c>
      <c r="I298" s="105" t="s">
        <v>1570</v>
      </c>
      <c r="J298" s="105" t="s">
        <v>3</v>
      </c>
      <c r="K298" s="112" t="s">
        <v>4</v>
      </c>
      <c r="L298" s="112" t="s">
        <v>34</v>
      </c>
      <c r="M298" s="112" t="s">
        <v>34</v>
      </c>
      <c r="N298" s="113"/>
      <c r="O298" s="31" t="s">
        <v>60</v>
      </c>
      <c r="P298" s="31" t="s">
        <v>423</v>
      </c>
      <c r="Q298" s="31" t="s">
        <v>506</v>
      </c>
      <c r="R298" s="31" t="s">
        <v>1523</v>
      </c>
      <c r="S298" s="103">
        <v>25569.291666666701</v>
      </c>
      <c r="T298" s="103">
        <v>25569.75</v>
      </c>
      <c r="U298" s="31"/>
      <c r="V298" s="102"/>
      <c r="W298" s="101"/>
    </row>
    <row r="299" spans="2:23" s="16" customFormat="1" ht="51.75" customHeight="1" x14ac:dyDescent="0.2">
      <c r="B299" s="100">
        <v>43055</v>
      </c>
      <c r="C299" s="97">
        <v>25569.0625</v>
      </c>
      <c r="D299" s="99" t="s">
        <v>1524</v>
      </c>
      <c r="E299" s="24" t="s">
        <v>600</v>
      </c>
      <c r="F299" s="24" t="s">
        <v>131</v>
      </c>
      <c r="G299" s="98">
        <v>55</v>
      </c>
      <c r="H299" s="99" t="s">
        <v>601</v>
      </c>
      <c r="I299" s="99" t="s">
        <v>1421</v>
      </c>
      <c r="J299" s="99" t="s">
        <v>3</v>
      </c>
      <c r="K299" s="112" t="s">
        <v>4</v>
      </c>
      <c r="L299" s="112" t="s">
        <v>34</v>
      </c>
      <c r="M299" s="112" t="s">
        <v>34</v>
      </c>
      <c r="N299" s="113"/>
      <c r="O299" s="24" t="s">
        <v>69</v>
      </c>
      <c r="P299" s="24" t="s">
        <v>121</v>
      </c>
      <c r="Q299" s="24" t="s">
        <v>122</v>
      </c>
      <c r="R299" s="24" t="s">
        <v>1525</v>
      </c>
      <c r="S299" s="97">
        <v>25569.916666666701</v>
      </c>
      <c r="T299" s="97">
        <v>25569.259722222199</v>
      </c>
      <c r="U299" s="24" t="s">
        <v>342</v>
      </c>
      <c r="V299" s="96"/>
      <c r="W299" s="95"/>
    </row>
    <row r="300" spans="2:23" s="16" customFormat="1" ht="51.75" customHeight="1" x14ac:dyDescent="0.2">
      <c r="B300" s="106">
        <v>43055</v>
      </c>
      <c r="C300" s="103">
        <v>25569.916666666701</v>
      </c>
      <c r="D300" s="105" t="s">
        <v>1526</v>
      </c>
      <c r="E300" s="31" t="s">
        <v>1527</v>
      </c>
      <c r="F300" s="31" t="s">
        <v>210</v>
      </c>
      <c r="G300" s="104">
        <v>50</v>
      </c>
      <c r="H300" s="105" t="s">
        <v>1528</v>
      </c>
      <c r="I300" s="105" t="s">
        <v>1405</v>
      </c>
      <c r="J300" s="105" t="s">
        <v>3</v>
      </c>
      <c r="K300" s="112" t="s">
        <v>4</v>
      </c>
      <c r="L300" s="112" t="s">
        <v>34</v>
      </c>
      <c r="M300" s="112" t="s">
        <v>34</v>
      </c>
      <c r="N300" s="113"/>
      <c r="O300" s="31" t="s">
        <v>107</v>
      </c>
      <c r="P300" s="31" t="s">
        <v>6</v>
      </c>
      <c r="Q300" s="31" t="s">
        <v>122</v>
      </c>
      <c r="R300" s="31" t="s">
        <v>1529</v>
      </c>
      <c r="S300" s="103">
        <v>25569.603472222199</v>
      </c>
      <c r="T300" s="103">
        <v>25569.999305555601</v>
      </c>
      <c r="U300" s="31"/>
      <c r="V300" s="102"/>
      <c r="W300" s="101"/>
    </row>
    <row r="301" spans="2:23" s="16" customFormat="1" ht="41.1" customHeight="1" x14ac:dyDescent="0.2">
      <c r="B301" s="100">
        <v>43056</v>
      </c>
      <c r="C301" s="97">
        <v>25569.572916666701</v>
      </c>
      <c r="D301" s="99" t="s">
        <v>1530</v>
      </c>
      <c r="E301" s="24" t="s">
        <v>1531</v>
      </c>
      <c r="F301" s="24" t="s">
        <v>258</v>
      </c>
      <c r="G301" s="98">
        <v>57</v>
      </c>
      <c r="H301" s="99" t="s">
        <v>1532</v>
      </c>
      <c r="I301" s="99" t="s">
        <v>1428</v>
      </c>
      <c r="J301" s="99" t="s">
        <v>3</v>
      </c>
      <c r="K301" s="112" t="s">
        <v>1404</v>
      </c>
      <c r="L301" s="112" t="s">
        <v>34</v>
      </c>
      <c r="M301" s="112" t="s">
        <v>34</v>
      </c>
      <c r="N301" s="113"/>
      <c r="O301" s="24" t="s">
        <v>69</v>
      </c>
      <c r="P301" s="24" t="s">
        <v>1407</v>
      </c>
      <c r="Q301" s="24" t="s">
        <v>114</v>
      </c>
      <c r="R301" s="24" t="s">
        <v>1533</v>
      </c>
      <c r="S301" s="97">
        <v>25569.583333333299</v>
      </c>
      <c r="T301" s="97">
        <v>25569.958333333299</v>
      </c>
      <c r="U301" s="24"/>
      <c r="V301" s="96"/>
      <c r="W301" s="95"/>
    </row>
    <row r="302" spans="2:23" s="16" customFormat="1" ht="41.1" customHeight="1" x14ac:dyDescent="0.2">
      <c r="B302" s="106">
        <v>43058</v>
      </c>
      <c r="C302" s="103">
        <v>25569.34375</v>
      </c>
      <c r="D302" s="105" t="s">
        <v>1534</v>
      </c>
      <c r="E302" s="31" t="s">
        <v>1535</v>
      </c>
      <c r="F302" s="31" t="s">
        <v>660</v>
      </c>
      <c r="G302" s="104">
        <v>46</v>
      </c>
      <c r="H302" s="105" t="s">
        <v>1536</v>
      </c>
      <c r="I302" s="105" t="s">
        <v>1405</v>
      </c>
      <c r="J302" s="105" t="s">
        <v>3</v>
      </c>
      <c r="K302" s="112" t="s">
        <v>4</v>
      </c>
      <c r="L302" s="112" t="s">
        <v>34</v>
      </c>
      <c r="M302" s="112" t="s">
        <v>34</v>
      </c>
      <c r="N302" s="113"/>
      <c r="O302" s="31" t="s">
        <v>144</v>
      </c>
      <c r="P302" s="31" t="s">
        <v>121</v>
      </c>
      <c r="Q302" s="31" t="s">
        <v>158</v>
      </c>
      <c r="R302" s="31" t="s">
        <v>1537</v>
      </c>
      <c r="S302" s="103">
        <v>25569.25</v>
      </c>
      <c r="T302" s="103">
        <v>25569.617361111101</v>
      </c>
      <c r="U302" s="31"/>
      <c r="V302" s="102"/>
      <c r="W302" s="101"/>
    </row>
    <row r="303" spans="2:23" s="16" customFormat="1" ht="73.150000000000006" customHeight="1" x14ac:dyDescent="0.2">
      <c r="B303" s="100">
        <v>43060</v>
      </c>
      <c r="C303" s="97">
        <v>25569.229166666701</v>
      </c>
      <c r="D303" s="99" t="s">
        <v>1538</v>
      </c>
      <c r="E303" s="24" t="s">
        <v>1539</v>
      </c>
      <c r="F303" s="24" t="s">
        <v>1540</v>
      </c>
      <c r="G303" s="98">
        <v>49</v>
      </c>
      <c r="H303" s="99" t="s">
        <v>1541</v>
      </c>
      <c r="I303" s="99" t="s">
        <v>1403</v>
      </c>
      <c r="J303" s="99" t="s">
        <v>3</v>
      </c>
      <c r="K303" s="112" t="s">
        <v>4</v>
      </c>
      <c r="L303" s="112" t="s">
        <v>34</v>
      </c>
      <c r="M303" s="112" t="s">
        <v>34</v>
      </c>
      <c r="N303" s="113"/>
      <c r="O303" s="24" t="s">
        <v>69</v>
      </c>
      <c r="P303" s="24" t="s">
        <v>61</v>
      </c>
      <c r="Q303" s="24" t="s">
        <v>114</v>
      </c>
      <c r="R303" s="33" t="s">
        <v>1542</v>
      </c>
      <c r="S303" s="97">
        <v>25569.916666666701</v>
      </c>
      <c r="T303" s="97">
        <v>25569.260416666701</v>
      </c>
      <c r="U303" s="24"/>
      <c r="V303" s="96"/>
      <c r="W303" s="95"/>
    </row>
    <row r="304" spans="2:23" s="16" customFormat="1" ht="41.1" customHeight="1" x14ac:dyDescent="0.2">
      <c r="B304" s="106">
        <v>43063</v>
      </c>
      <c r="C304" s="103">
        <v>25569.583333333299</v>
      </c>
      <c r="D304" s="105" t="s">
        <v>1543</v>
      </c>
      <c r="E304" s="31" t="s">
        <v>1544</v>
      </c>
      <c r="F304" s="31" t="s">
        <v>934</v>
      </c>
      <c r="G304" s="104">
        <v>17</v>
      </c>
      <c r="H304" s="105" t="s">
        <v>1545</v>
      </c>
      <c r="I304" s="105" t="s">
        <v>1446</v>
      </c>
      <c r="J304" s="105" t="s">
        <v>3</v>
      </c>
      <c r="K304" s="112" t="s">
        <v>4</v>
      </c>
      <c r="L304" s="112" t="s">
        <v>34</v>
      </c>
      <c r="M304" s="112" t="s">
        <v>34</v>
      </c>
      <c r="N304" s="113"/>
      <c r="O304" s="31" t="s">
        <v>60</v>
      </c>
      <c r="P304" s="31" t="s">
        <v>61</v>
      </c>
      <c r="Q304" s="31" t="s">
        <v>158</v>
      </c>
      <c r="R304" s="31" t="s">
        <v>1546</v>
      </c>
      <c r="S304" s="103">
        <v>25569.333333333299</v>
      </c>
      <c r="T304" s="103">
        <v>25569.6944444445</v>
      </c>
      <c r="U304" s="31"/>
      <c r="V304" s="102"/>
      <c r="W304" s="101"/>
    </row>
    <row r="305" spans="2:23" s="16" customFormat="1" ht="51.75" customHeight="1" x14ac:dyDescent="0.2">
      <c r="B305" s="100">
        <v>43067</v>
      </c>
      <c r="C305" s="97">
        <v>25569.427083333299</v>
      </c>
      <c r="D305" s="99" t="s">
        <v>1547</v>
      </c>
      <c r="E305" s="24" t="s">
        <v>1548</v>
      </c>
      <c r="F305" s="24" t="s">
        <v>979</v>
      </c>
      <c r="G305" s="98">
        <v>61</v>
      </c>
      <c r="H305" s="99" t="s">
        <v>1549</v>
      </c>
      <c r="I305" s="99" t="s">
        <v>1428</v>
      </c>
      <c r="J305" s="99" t="s">
        <v>3</v>
      </c>
      <c r="K305" s="112" t="s">
        <v>4</v>
      </c>
      <c r="L305" s="112" t="s">
        <v>34</v>
      </c>
      <c r="M305" s="112" t="s">
        <v>33</v>
      </c>
      <c r="N305" s="113"/>
      <c r="O305" s="24" t="s">
        <v>87</v>
      </c>
      <c r="P305" s="24" t="s">
        <v>61</v>
      </c>
      <c r="Q305" s="24" t="s">
        <v>122</v>
      </c>
      <c r="R305" s="24" t="s">
        <v>1550</v>
      </c>
      <c r="S305" s="97">
        <v>25569.239583333299</v>
      </c>
      <c r="T305" s="97">
        <v>25569.594444444399</v>
      </c>
      <c r="U305" s="24"/>
      <c r="V305" s="96"/>
      <c r="W305" s="95"/>
    </row>
    <row r="306" spans="2:23" s="16" customFormat="1" ht="41.1" customHeight="1" x14ac:dyDescent="0.2">
      <c r="B306" s="106">
        <v>43070</v>
      </c>
      <c r="C306" s="103">
        <v>25569.083333333299</v>
      </c>
      <c r="D306" s="105" t="s">
        <v>1551</v>
      </c>
      <c r="E306" s="31" t="s">
        <v>286</v>
      </c>
      <c r="F306" s="31" t="s">
        <v>287</v>
      </c>
      <c r="G306" s="104">
        <v>30</v>
      </c>
      <c r="H306" s="105" t="s">
        <v>288</v>
      </c>
      <c r="I306" s="105" t="s">
        <v>1417</v>
      </c>
      <c r="J306" s="105" t="s">
        <v>3</v>
      </c>
      <c r="K306" s="112" t="s">
        <v>4</v>
      </c>
      <c r="L306" s="112" t="s">
        <v>34</v>
      </c>
      <c r="M306" s="112" t="s">
        <v>34</v>
      </c>
      <c r="N306" s="113"/>
      <c r="O306" s="31" t="s">
        <v>133</v>
      </c>
      <c r="P306" s="31" t="s">
        <v>88</v>
      </c>
      <c r="Q306" s="31" t="s">
        <v>8</v>
      </c>
      <c r="R306" s="31" t="s">
        <v>1552</v>
      </c>
      <c r="S306" s="103">
        <v>25569.916666666701</v>
      </c>
      <c r="T306" s="103">
        <v>25569.256944444402</v>
      </c>
      <c r="U306" s="31"/>
      <c r="V306" s="102"/>
      <c r="W306" s="101"/>
    </row>
    <row r="307" spans="2:23" s="16" customFormat="1" ht="51.75" customHeight="1" x14ac:dyDescent="0.2">
      <c r="B307" s="100">
        <v>43070</v>
      </c>
      <c r="C307" s="97">
        <v>25569.770833333299</v>
      </c>
      <c r="D307" s="99" t="s">
        <v>1553</v>
      </c>
      <c r="E307" s="24" t="s">
        <v>1554</v>
      </c>
      <c r="F307" s="24" t="s">
        <v>660</v>
      </c>
      <c r="G307" s="98">
        <v>41</v>
      </c>
      <c r="H307" s="99" t="s">
        <v>1555</v>
      </c>
      <c r="I307" s="99" t="s">
        <v>1405</v>
      </c>
      <c r="J307" s="99" t="s">
        <v>3</v>
      </c>
      <c r="K307" s="112" t="s">
        <v>4</v>
      </c>
      <c r="L307" s="112" t="s">
        <v>34</v>
      </c>
      <c r="M307" s="112" t="s">
        <v>34</v>
      </c>
      <c r="N307" s="113"/>
      <c r="O307" s="24" t="s">
        <v>78</v>
      </c>
      <c r="P307" s="24" t="s">
        <v>1407</v>
      </c>
      <c r="Q307" s="24" t="s">
        <v>62</v>
      </c>
      <c r="R307" s="24" t="s">
        <v>1556</v>
      </c>
      <c r="S307" s="97">
        <v>25569.604166666701</v>
      </c>
      <c r="T307" s="97">
        <v>25569.999305555601</v>
      </c>
      <c r="U307" s="24"/>
      <c r="V307" s="96"/>
      <c r="W307" s="95"/>
    </row>
    <row r="308" spans="2:23" s="16" customFormat="1" ht="41.1" customHeight="1" x14ac:dyDescent="0.2">
      <c r="B308" s="106">
        <v>43071</v>
      </c>
      <c r="C308" s="103">
        <v>25569.0625</v>
      </c>
      <c r="D308" s="105" t="s">
        <v>1557</v>
      </c>
      <c r="E308" s="31" t="s">
        <v>1558</v>
      </c>
      <c r="F308" s="31" t="s">
        <v>1559</v>
      </c>
      <c r="G308" s="104">
        <v>34</v>
      </c>
      <c r="H308" s="105" t="s">
        <v>1560</v>
      </c>
      <c r="I308" s="105" t="s">
        <v>1405</v>
      </c>
      <c r="J308" s="105" t="s">
        <v>3</v>
      </c>
      <c r="K308" s="112" t="s">
        <v>4</v>
      </c>
      <c r="L308" s="112" t="s">
        <v>34</v>
      </c>
      <c r="M308" s="112" t="s">
        <v>34</v>
      </c>
      <c r="N308" s="113"/>
      <c r="O308" s="31" t="s">
        <v>78</v>
      </c>
      <c r="P308" s="31" t="s">
        <v>173</v>
      </c>
      <c r="Q308" s="31" t="s">
        <v>158</v>
      </c>
      <c r="R308" s="31" t="s">
        <v>1561</v>
      </c>
      <c r="S308" s="103">
        <v>25569.916666666701</v>
      </c>
      <c r="T308" s="103">
        <v>25569.261805555601</v>
      </c>
      <c r="U308" s="31" t="s">
        <v>1562</v>
      </c>
      <c r="V308" s="102"/>
      <c r="W308" s="101"/>
    </row>
    <row r="309" spans="2:23" s="16" customFormat="1" ht="62.45" customHeight="1" x14ac:dyDescent="0.2">
      <c r="B309" s="100">
        <v>43072</v>
      </c>
      <c r="C309" s="97">
        <v>25569.875</v>
      </c>
      <c r="D309" s="99" t="s">
        <v>1563</v>
      </c>
      <c r="E309" s="24" t="s">
        <v>1564</v>
      </c>
      <c r="F309" s="24" t="s">
        <v>1565</v>
      </c>
      <c r="G309" s="98">
        <v>50</v>
      </c>
      <c r="H309" s="99" t="s">
        <v>1566</v>
      </c>
      <c r="I309" s="99" t="s">
        <v>1571</v>
      </c>
      <c r="J309" s="99" t="s">
        <v>3</v>
      </c>
      <c r="K309" s="112" t="s">
        <v>4</v>
      </c>
      <c r="L309" s="112" t="s">
        <v>34</v>
      </c>
      <c r="M309" s="112" t="s">
        <v>34</v>
      </c>
      <c r="N309" s="113"/>
      <c r="O309" s="24" t="s">
        <v>78</v>
      </c>
      <c r="P309" s="24" t="s">
        <v>61</v>
      </c>
      <c r="Q309" s="24" t="s">
        <v>62</v>
      </c>
      <c r="R309" s="24" t="s">
        <v>1567</v>
      </c>
      <c r="S309" s="97">
        <v>25569.583333333299</v>
      </c>
      <c r="T309" s="97">
        <v>25569.947916666701</v>
      </c>
      <c r="U309" s="24"/>
      <c r="V309" s="96"/>
      <c r="W309" s="95"/>
    </row>
    <row r="310" spans="2:23" s="16" customFormat="1" ht="30.4" customHeight="1" x14ac:dyDescent="0.2">
      <c r="K310" s="61"/>
      <c r="L310" s="61"/>
      <c r="M310" s="61"/>
      <c r="N310" s="63"/>
    </row>
    <row r="311" spans="2:23" x14ac:dyDescent="0.2">
      <c r="K311" s="62"/>
      <c r="L311" s="62"/>
      <c r="M311" s="62"/>
      <c r="N311" s="64"/>
    </row>
    <row r="312" spans="2:23" x14ac:dyDescent="0.2">
      <c r="K312" s="62"/>
      <c r="L312" s="62"/>
      <c r="M312" s="62"/>
      <c r="N312" s="64"/>
    </row>
    <row r="313" spans="2:23" x14ac:dyDescent="0.2">
      <c r="K313" s="62"/>
      <c r="L313" s="62"/>
      <c r="M313" s="62"/>
      <c r="N313" s="64"/>
    </row>
    <row r="314" spans="2:23" x14ac:dyDescent="0.2">
      <c r="K314" s="62"/>
      <c r="L314" s="62"/>
      <c r="M314" s="62"/>
      <c r="N314" s="64"/>
    </row>
    <row r="315" spans="2:23" x14ac:dyDescent="0.2">
      <c r="K315" s="62"/>
      <c r="L315" s="62"/>
      <c r="M315" s="62"/>
      <c r="N315" s="64"/>
    </row>
    <row r="316" spans="2:23" x14ac:dyDescent="0.2">
      <c r="K316" s="62"/>
      <c r="L316" s="62"/>
      <c r="M316" s="62"/>
      <c r="N316" s="64"/>
    </row>
    <row r="317" spans="2:23" x14ac:dyDescent="0.2">
      <c r="K317" s="62"/>
      <c r="L317" s="62"/>
      <c r="M317" s="62"/>
      <c r="N317" s="64"/>
    </row>
    <row r="318" spans="2:23" x14ac:dyDescent="0.2">
      <c r="K318" s="62"/>
      <c r="L318" s="62"/>
      <c r="M318" s="62"/>
      <c r="N318" s="64"/>
    </row>
    <row r="319" spans="2:23" x14ac:dyDescent="0.2">
      <c r="K319" s="62"/>
      <c r="L319" s="62"/>
      <c r="M319" s="62"/>
      <c r="N319" s="64"/>
    </row>
    <row r="320" spans="2:23" x14ac:dyDescent="0.2">
      <c r="K320" s="62"/>
      <c r="L320" s="62"/>
      <c r="M320" s="62"/>
      <c r="N320" s="64"/>
    </row>
    <row r="321" spans="11:14" x14ac:dyDescent="0.2">
      <c r="K321" s="62"/>
      <c r="L321" s="62"/>
      <c r="M321" s="62"/>
      <c r="N321" s="64"/>
    </row>
    <row r="322" spans="11:14" x14ac:dyDescent="0.2">
      <c r="K322" s="62"/>
      <c r="L322" s="62"/>
      <c r="M322" s="62"/>
      <c r="N322" s="64"/>
    </row>
    <row r="323" spans="11:14" x14ac:dyDescent="0.2">
      <c r="K323" s="62"/>
      <c r="L323" s="62"/>
      <c r="M323" s="62"/>
      <c r="N323" s="64"/>
    </row>
    <row r="324" spans="11:14" x14ac:dyDescent="0.2">
      <c r="K324" s="62"/>
      <c r="L324" s="62"/>
      <c r="M324" s="62"/>
      <c r="N324" s="64"/>
    </row>
    <row r="325" spans="11:14" x14ac:dyDescent="0.2">
      <c r="K325" s="62"/>
      <c r="L325" s="62"/>
      <c r="M325" s="62"/>
      <c r="N325" s="64"/>
    </row>
    <row r="326" spans="11:14" x14ac:dyDescent="0.2">
      <c r="K326" s="62"/>
      <c r="L326" s="62"/>
      <c r="M326" s="62"/>
      <c r="N326" s="64"/>
    </row>
    <row r="327" spans="11:14" x14ac:dyDescent="0.2">
      <c r="K327" s="62"/>
      <c r="L327" s="62"/>
      <c r="M327" s="62"/>
      <c r="N327" s="64"/>
    </row>
    <row r="328" spans="11:14" x14ac:dyDescent="0.2">
      <c r="K328" s="62"/>
      <c r="L328" s="62"/>
      <c r="M328" s="62"/>
      <c r="N328" s="64"/>
    </row>
    <row r="329" spans="11:14" x14ac:dyDescent="0.2">
      <c r="K329" s="62"/>
      <c r="L329" s="62"/>
      <c r="M329" s="62"/>
      <c r="N329" s="64"/>
    </row>
    <row r="330" spans="11:14" x14ac:dyDescent="0.2">
      <c r="K330" s="62"/>
      <c r="L330" s="62"/>
      <c r="M330" s="62"/>
      <c r="N330" s="64"/>
    </row>
    <row r="331" spans="11:14" x14ac:dyDescent="0.2">
      <c r="K331" s="62"/>
      <c r="L331" s="62"/>
      <c r="M331" s="62"/>
      <c r="N331" s="64"/>
    </row>
    <row r="332" spans="11:14" x14ac:dyDescent="0.2">
      <c r="K332" s="62"/>
      <c r="L332" s="62"/>
      <c r="M332" s="62"/>
      <c r="N332" s="64"/>
    </row>
    <row r="333" spans="11:14" x14ac:dyDescent="0.2">
      <c r="K333" s="62"/>
      <c r="L333" s="62"/>
      <c r="M333" s="62"/>
      <c r="N333" s="64"/>
    </row>
    <row r="334" spans="11:14" x14ac:dyDescent="0.2">
      <c r="K334" s="62"/>
      <c r="L334" s="62"/>
      <c r="M334" s="62"/>
      <c r="N334" s="64"/>
    </row>
    <row r="335" spans="11:14" x14ac:dyDescent="0.2">
      <c r="K335" s="62"/>
      <c r="L335" s="62"/>
      <c r="M335" s="62"/>
      <c r="N335" s="64"/>
    </row>
    <row r="336" spans="11:14" x14ac:dyDescent="0.2">
      <c r="K336" s="62"/>
      <c r="L336" s="62"/>
      <c r="M336" s="62"/>
      <c r="N336" s="64"/>
    </row>
    <row r="337" spans="11:14" x14ac:dyDescent="0.2">
      <c r="K337" s="62"/>
      <c r="L337" s="62"/>
      <c r="M337" s="62"/>
      <c r="N337" s="64"/>
    </row>
    <row r="338" spans="11:14" x14ac:dyDescent="0.2">
      <c r="K338" s="62"/>
      <c r="L338" s="62"/>
      <c r="M338" s="62"/>
      <c r="N338" s="64"/>
    </row>
    <row r="339" spans="11:14" x14ac:dyDescent="0.2">
      <c r="K339" s="62"/>
      <c r="L339" s="62"/>
      <c r="M339" s="62"/>
      <c r="N339" s="64"/>
    </row>
    <row r="340" spans="11:14" x14ac:dyDescent="0.2">
      <c r="K340" s="62"/>
      <c r="L340" s="62"/>
      <c r="M340" s="62"/>
      <c r="N340" s="64"/>
    </row>
    <row r="341" spans="11:14" x14ac:dyDescent="0.2">
      <c r="K341" s="62"/>
      <c r="L341" s="62"/>
      <c r="M341" s="62"/>
      <c r="N341" s="64"/>
    </row>
    <row r="342" spans="11:14" x14ac:dyDescent="0.2">
      <c r="K342" s="62"/>
      <c r="L342" s="62"/>
      <c r="M342" s="62"/>
      <c r="N342" s="64"/>
    </row>
    <row r="343" spans="11:14" x14ac:dyDescent="0.2">
      <c r="K343" s="62"/>
      <c r="L343" s="62"/>
      <c r="M343" s="62"/>
      <c r="N343" s="64"/>
    </row>
    <row r="344" spans="11:14" x14ac:dyDescent="0.2">
      <c r="K344" s="62"/>
      <c r="L344" s="62"/>
      <c r="M344" s="62"/>
      <c r="N344" s="64"/>
    </row>
    <row r="345" spans="11:14" x14ac:dyDescent="0.2">
      <c r="K345" s="62"/>
      <c r="L345" s="62"/>
      <c r="M345" s="62"/>
      <c r="N345" s="64"/>
    </row>
    <row r="346" spans="11:14" x14ac:dyDescent="0.2">
      <c r="K346" s="62"/>
      <c r="L346" s="62"/>
      <c r="M346" s="62"/>
      <c r="N346" s="64"/>
    </row>
    <row r="347" spans="11:14" x14ac:dyDescent="0.2">
      <c r="K347" s="62"/>
      <c r="L347" s="62"/>
      <c r="M347" s="62"/>
      <c r="N347" s="64"/>
    </row>
    <row r="348" spans="11:14" x14ac:dyDescent="0.2">
      <c r="K348" s="62"/>
      <c r="L348" s="62"/>
      <c r="M348" s="62"/>
      <c r="N348" s="64"/>
    </row>
    <row r="349" spans="11:14" x14ac:dyDescent="0.2">
      <c r="K349" s="62"/>
      <c r="L349" s="62"/>
      <c r="M349" s="62"/>
      <c r="N349" s="64"/>
    </row>
    <row r="350" spans="11:14" x14ac:dyDescent="0.2">
      <c r="K350" s="62"/>
      <c r="L350" s="62"/>
      <c r="M350" s="62"/>
      <c r="N350" s="64"/>
    </row>
    <row r="351" spans="11:14" x14ac:dyDescent="0.2">
      <c r="K351" s="62"/>
      <c r="L351" s="62"/>
      <c r="M351" s="62"/>
      <c r="N351" s="64"/>
    </row>
    <row r="352" spans="11:14" x14ac:dyDescent="0.2">
      <c r="K352" s="62"/>
      <c r="L352" s="62"/>
      <c r="M352" s="62"/>
      <c r="N352" s="64"/>
    </row>
    <row r="353" spans="11:14" x14ac:dyDescent="0.2">
      <c r="K353" s="62"/>
      <c r="L353" s="62"/>
      <c r="M353" s="62"/>
      <c r="N353" s="64"/>
    </row>
    <row r="354" spans="11:14" x14ac:dyDescent="0.2">
      <c r="K354" s="62"/>
      <c r="L354" s="62"/>
      <c r="M354" s="62"/>
      <c r="N354" s="64"/>
    </row>
    <row r="355" spans="11:14" x14ac:dyDescent="0.2">
      <c r="K355" s="62"/>
      <c r="L355" s="62"/>
      <c r="M355" s="62"/>
      <c r="N355" s="64"/>
    </row>
    <row r="356" spans="11:14" x14ac:dyDescent="0.2">
      <c r="K356" s="62"/>
      <c r="L356" s="62"/>
      <c r="M356" s="62"/>
      <c r="N356" s="64"/>
    </row>
    <row r="357" spans="11:14" x14ac:dyDescent="0.2">
      <c r="K357" s="62"/>
      <c r="L357" s="62"/>
      <c r="M357" s="62"/>
      <c r="N357" s="64"/>
    </row>
    <row r="358" spans="11:14" x14ac:dyDescent="0.2">
      <c r="K358" s="62"/>
      <c r="L358" s="62"/>
      <c r="M358" s="62"/>
      <c r="N358" s="64"/>
    </row>
    <row r="359" spans="11:14" x14ac:dyDescent="0.2">
      <c r="K359" s="62"/>
      <c r="L359" s="62"/>
      <c r="M359" s="62"/>
      <c r="N359" s="64"/>
    </row>
    <row r="360" spans="11:14" x14ac:dyDescent="0.2">
      <c r="K360" s="62"/>
      <c r="L360" s="62"/>
      <c r="M360" s="62"/>
      <c r="N360" s="64"/>
    </row>
    <row r="361" spans="11:14" x14ac:dyDescent="0.2">
      <c r="K361" s="62"/>
      <c r="L361" s="62"/>
      <c r="M361" s="62"/>
      <c r="N361" s="64"/>
    </row>
    <row r="362" spans="11:14" x14ac:dyDescent="0.2">
      <c r="K362" s="62"/>
      <c r="L362" s="62"/>
      <c r="M362" s="62"/>
      <c r="N362" s="64"/>
    </row>
    <row r="363" spans="11:14" x14ac:dyDescent="0.2">
      <c r="K363" s="62"/>
      <c r="L363" s="62"/>
      <c r="M363" s="62"/>
      <c r="N363" s="64"/>
    </row>
    <row r="364" spans="11:14" x14ac:dyDescent="0.2">
      <c r="K364" s="62"/>
      <c r="L364" s="62"/>
      <c r="M364" s="62"/>
      <c r="N364" s="64"/>
    </row>
    <row r="365" spans="11:14" x14ac:dyDescent="0.2">
      <c r="K365" s="62"/>
      <c r="L365" s="62"/>
      <c r="M365" s="62"/>
      <c r="N365" s="64"/>
    </row>
    <row r="366" spans="11:14" x14ac:dyDescent="0.2">
      <c r="K366" s="62"/>
      <c r="L366" s="62"/>
      <c r="M366" s="62"/>
      <c r="N366" s="64"/>
    </row>
    <row r="367" spans="11:14" x14ac:dyDescent="0.2">
      <c r="K367" s="62"/>
      <c r="L367" s="62"/>
      <c r="M367" s="62"/>
      <c r="N367" s="64"/>
    </row>
    <row r="368" spans="11:14" x14ac:dyDescent="0.2">
      <c r="K368" s="62"/>
      <c r="L368" s="62"/>
      <c r="M368" s="62"/>
      <c r="N368" s="64"/>
    </row>
    <row r="369" spans="11:14" x14ac:dyDescent="0.2">
      <c r="K369" s="62"/>
      <c r="L369" s="62"/>
      <c r="M369" s="62"/>
      <c r="N369" s="64"/>
    </row>
    <row r="370" spans="11:14" x14ac:dyDescent="0.2">
      <c r="K370" s="62"/>
      <c r="L370" s="62"/>
      <c r="M370" s="62"/>
      <c r="N370" s="64"/>
    </row>
    <row r="371" spans="11:14" x14ac:dyDescent="0.2">
      <c r="K371" s="62"/>
      <c r="L371" s="62"/>
      <c r="M371" s="62"/>
      <c r="N371" s="64"/>
    </row>
    <row r="372" spans="11:14" x14ac:dyDescent="0.2">
      <c r="K372" s="62"/>
      <c r="L372" s="62"/>
      <c r="M372" s="62"/>
      <c r="N372" s="64"/>
    </row>
    <row r="373" spans="11:14" x14ac:dyDescent="0.2">
      <c r="K373" s="62"/>
      <c r="L373" s="62"/>
      <c r="M373" s="62"/>
      <c r="N373" s="64"/>
    </row>
    <row r="374" spans="11:14" x14ac:dyDescent="0.2">
      <c r="K374" s="62"/>
      <c r="L374" s="62"/>
      <c r="M374" s="62"/>
      <c r="N374" s="64"/>
    </row>
    <row r="375" spans="11:14" x14ac:dyDescent="0.2">
      <c r="K375" s="62"/>
      <c r="L375" s="62"/>
      <c r="M375" s="62"/>
      <c r="N375" s="64"/>
    </row>
    <row r="376" spans="11:14" x14ac:dyDescent="0.2">
      <c r="K376" s="62"/>
      <c r="L376" s="62"/>
      <c r="M376" s="62"/>
      <c r="N376" s="64"/>
    </row>
    <row r="377" spans="11:14" x14ac:dyDescent="0.2">
      <c r="K377" s="62"/>
      <c r="L377" s="62"/>
      <c r="M377" s="62"/>
      <c r="N377" s="64"/>
    </row>
    <row r="378" spans="11:14" x14ac:dyDescent="0.2">
      <c r="K378" s="62"/>
      <c r="L378" s="62"/>
      <c r="M378" s="62"/>
      <c r="N378" s="64"/>
    </row>
    <row r="379" spans="11:14" x14ac:dyDescent="0.2">
      <c r="K379" s="62"/>
      <c r="L379" s="62"/>
      <c r="M379" s="62"/>
      <c r="N379" s="64"/>
    </row>
    <row r="380" spans="11:14" x14ac:dyDescent="0.2">
      <c r="K380" s="62"/>
      <c r="L380" s="62"/>
      <c r="M380" s="62"/>
      <c r="N380" s="64"/>
    </row>
    <row r="381" spans="11:14" x14ac:dyDescent="0.2">
      <c r="K381" s="62"/>
      <c r="L381" s="62"/>
      <c r="M381" s="62"/>
      <c r="N381" s="64"/>
    </row>
    <row r="382" spans="11:14" x14ac:dyDescent="0.2">
      <c r="K382" s="62"/>
      <c r="L382" s="62"/>
      <c r="M382" s="62"/>
      <c r="N382" s="64"/>
    </row>
    <row r="383" spans="11:14" x14ac:dyDescent="0.2">
      <c r="K383" s="62"/>
      <c r="L383" s="62"/>
      <c r="M383" s="62"/>
      <c r="N383" s="64"/>
    </row>
    <row r="384" spans="11:14" x14ac:dyDescent="0.2">
      <c r="K384" s="62"/>
      <c r="L384" s="62"/>
      <c r="M384" s="62"/>
      <c r="N384" s="64"/>
    </row>
    <row r="385" spans="11:14" x14ac:dyDescent="0.2">
      <c r="K385" s="62"/>
      <c r="L385" s="62"/>
      <c r="M385" s="62"/>
      <c r="N385" s="64"/>
    </row>
    <row r="386" spans="11:14" x14ac:dyDescent="0.2">
      <c r="K386" s="62"/>
      <c r="L386" s="62"/>
      <c r="M386" s="62"/>
      <c r="N386" s="64"/>
    </row>
    <row r="387" spans="11:14" x14ac:dyDescent="0.2">
      <c r="K387" s="62"/>
      <c r="L387" s="62"/>
      <c r="M387" s="62"/>
      <c r="N387" s="64"/>
    </row>
    <row r="388" spans="11:14" x14ac:dyDescent="0.2">
      <c r="K388" s="62"/>
      <c r="L388" s="62"/>
      <c r="M388" s="62"/>
      <c r="N388" s="64"/>
    </row>
    <row r="389" spans="11:14" x14ac:dyDescent="0.2">
      <c r="K389" s="62"/>
      <c r="L389" s="62"/>
      <c r="M389" s="62"/>
      <c r="N389" s="64"/>
    </row>
    <row r="390" spans="11:14" x14ac:dyDescent="0.2">
      <c r="K390" s="62"/>
      <c r="L390" s="62"/>
      <c r="M390" s="62"/>
      <c r="N390" s="64"/>
    </row>
    <row r="391" spans="11:14" x14ac:dyDescent="0.2">
      <c r="K391" s="62"/>
      <c r="L391" s="62"/>
      <c r="M391" s="62"/>
      <c r="N391" s="64"/>
    </row>
    <row r="392" spans="11:14" x14ac:dyDescent="0.2">
      <c r="K392" s="62"/>
      <c r="L392" s="62"/>
      <c r="M392" s="62"/>
      <c r="N392" s="64"/>
    </row>
    <row r="393" spans="11:14" x14ac:dyDescent="0.2">
      <c r="K393" s="62"/>
      <c r="L393" s="62"/>
      <c r="M393" s="62"/>
      <c r="N393" s="64"/>
    </row>
    <row r="394" spans="11:14" x14ac:dyDescent="0.2">
      <c r="K394" s="62"/>
      <c r="L394" s="62"/>
      <c r="M394" s="62"/>
      <c r="N394" s="64"/>
    </row>
    <row r="395" spans="11:14" x14ac:dyDescent="0.2">
      <c r="K395" s="62"/>
      <c r="L395" s="62"/>
      <c r="M395" s="62"/>
      <c r="N395" s="64"/>
    </row>
    <row r="396" spans="11:14" x14ac:dyDescent="0.2">
      <c r="K396" s="62"/>
      <c r="L396" s="62"/>
      <c r="M396" s="62"/>
      <c r="N396" s="64"/>
    </row>
    <row r="397" spans="11:14" x14ac:dyDescent="0.2">
      <c r="K397" s="62"/>
      <c r="L397" s="62"/>
      <c r="M397" s="62"/>
      <c r="N397" s="64"/>
    </row>
    <row r="398" spans="11:14" x14ac:dyDescent="0.2">
      <c r="K398" s="62"/>
      <c r="L398" s="62"/>
      <c r="M398" s="62"/>
      <c r="N398" s="64"/>
    </row>
    <row r="399" spans="11:14" x14ac:dyDescent="0.2">
      <c r="K399" s="62"/>
      <c r="L399" s="62"/>
      <c r="M399" s="62"/>
      <c r="N399" s="64"/>
    </row>
    <row r="400" spans="11:14" x14ac:dyDescent="0.2">
      <c r="K400" s="62"/>
      <c r="L400" s="62"/>
      <c r="M400" s="62"/>
      <c r="N400" s="64"/>
    </row>
    <row r="401" spans="11:14" x14ac:dyDescent="0.2">
      <c r="K401" s="62"/>
      <c r="L401" s="62"/>
      <c r="M401" s="62"/>
      <c r="N401" s="64"/>
    </row>
    <row r="402" spans="11:14" x14ac:dyDescent="0.2">
      <c r="K402" s="62"/>
      <c r="L402" s="62"/>
      <c r="M402" s="62"/>
      <c r="N402" s="64"/>
    </row>
    <row r="403" spans="11:14" x14ac:dyDescent="0.2">
      <c r="K403" s="62"/>
      <c r="L403" s="62"/>
      <c r="M403" s="62"/>
      <c r="N403" s="64"/>
    </row>
    <row r="404" spans="11:14" x14ac:dyDescent="0.2">
      <c r="K404" s="62"/>
      <c r="L404" s="62"/>
      <c r="M404" s="62"/>
      <c r="N404" s="64"/>
    </row>
    <row r="405" spans="11:14" x14ac:dyDescent="0.2">
      <c r="K405" s="62"/>
      <c r="L405" s="62"/>
      <c r="M405" s="62"/>
      <c r="N405" s="64"/>
    </row>
    <row r="406" spans="11:14" x14ac:dyDescent="0.2">
      <c r="K406" s="62"/>
      <c r="L406" s="62"/>
      <c r="M406" s="62"/>
      <c r="N406" s="64"/>
    </row>
    <row r="407" spans="11:14" x14ac:dyDescent="0.2">
      <c r="K407" s="62"/>
      <c r="L407" s="62"/>
      <c r="M407" s="62"/>
      <c r="N407" s="64"/>
    </row>
    <row r="408" spans="11:14" x14ac:dyDescent="0.2">
      <c r="K408" s="62"/>
      <c r="L408" s="62"/>
      <c r="M408" s="62"/>
      <c r="N408" s="64"/>
    </row>
    <row r="409" spans="11:14" x14ac:dyDescent="0.2">
      <c r="K409" s="62"/>
      <c r="L409" s="62"/>
      <c r="M409" s="62"/>
      <c r="N409" s="64"/>
    </row>
    <row r="410" spans="11:14" x14ac:dyDescent="0.2">
      <c r="K410" s="62"/>
      <c r="L410" s="62"/>
      <c r="M410" s="62"/>
      <c r="N410" s="64"/>
    </row>
    <row r="411" spans="11:14" x14ac:dyDescent="0.2">
      <c r="K411" s="62"/>
      <c r="L411" s="62"/>
      <c r="M411" s="62"/>
      <c r="N411" s="64"/>
    </row>
    <row r="412" spans="11:14" x14ac:dyDescent="0.2">
      <c r="K412" s="62"/>
      <c r="L412" s="62"/>
      <c r="M412" s="62"/>
      <c r="N412" s="64"/>
    </row>
    <row r="413" spans="11:14" x14ac:dyDescent="0.2">
      <c r="K413" s="62"/>
      <c r="L413" s="62"/>
      <c r="M413" s="62"/>
      <c r="N413" s="64"/>
    </row>
    <row r="414" spans="11:14" x14ac:dyDescent="0.2">
      <c r="K414" s="62"/>
      <c r="L414" s="62"/>
      <c r="M414" s="62"/>
      <c r="N414" s="64"/>
    </row>
    <row r="415" spans="11:14" x14ac:dyDescent="0.2">
      <c r="K415" s="62"/>
      <c r="L415" s="62"/>
      <c r="M415" s="62"/>
      <c r="N415" s="64"/>
    </row>
    <row r="416" spans="11:14" x14ac:dyDescent="0.2">
      <c r="K416" s="62"/>
      <c r="L416" s="62"/>
      <c r="M416" s="62"/>
      <c r="N416" s="64"/>
    </row>
    <row r="417" spans="11:14" x14ac:dyDescent="0.2">
      <c r="K417" s="62"/>
      <c r="L417" s="62"/>
      <c r="M417" s="62"/>
      <c r="N417" s="64"/>
    </row>
    <row r="418" spans="11:14" x14ac:dyDescent="0.2">
      <c r="K418" s="62"/>
      <c r="L418" s="62"/>
      <c r="M418" s="62"/>
      <c r="N418" s="64"/>
    </row>
    <row r="419" spans="11:14" x14ac:dyDescent="0.2">
      <c r="K419" s="62"/>
      <c r="L419" s="62"/>
      <c r="M419" s="62"/>
      <c r="N419" s="64"/>
    </row>
    <row r="420" spans="11:14" x14ac:dyDescent="0.2">
      <c r="K420" s="62"/>
      <c r="L420" s="62"/>
      <c r="M420" s="62"/>
      <c r="N420" s="64"/>
    </row>
    <row r="421" spans="11:14" x14ac:dyDescent="0.2">
      <c r="K421" s="62"/>
      <c r="L421" s="62"/>
      <c r="M421" s="62"/>
      <c r="N421" s="64"/>
    </row>
    <row r="422" spans="11:14" x14ac:dyDescent="0.2">
      <c r="K422" s="62"/>
      <c r="L422" s="62"/>
      <c r="M422" s="62"/>
      <c r="N422" s="64"/>
    </row>
    <row r="423" spans="11:14" x14ac:dyDescent="0.2">
      <c r="K423" s="62"/>
      <c r="L423" s="62"/>
      <c r="M423" s="62"/>
      <c r="N423" s="64"/>
    </row>
    <row r="424" spans="11:14" x14ac:dyDescent="0.2">
      <c r="K424" s="62"/>
      <c r="L424" s="62"/>
      <c r="M424" s="62"/>
      <c r="N424" s="64"/>
    </row>
    <row r="425" spans="11:14" x14ac:dyDescent="0.2">
      <c r="K425" s="62"/>
      <c r="L425" s="62"/>
      <c r="M425" s="62"/>
      <c r="N425" s="64"/>
    </row>
    <row r="426" spans="11:14" x14ac:dyDescent="0.2">
      <c r="K426" s="62"/>
      <c r="L426" s="62"/>
      <c r="M426" s="62"/>
      <c r="N426" s="64"/>
    </row>
    <row r="427" spans="11:14" x14ac:dyDescent="0.2">
      <c r="K427" s="62"/>
      <c r="L427" s="62"/>
      <c r="M427" s="62"/>
      <c r="N427" s="64"/>
    </row>
    <row r="428" spans="11:14" x14ac:dyDescent="0.2">
      <c r="K428" s="62"/>
      <c r="L428" s="62"/>
      <c r="M428" s="62"/>
      <c r="N428" s="64"/>
    </row>
    <row r="429" spans="11:14" x14ac:dyDescent="0.2">
      <c r="K429" s="62"/>
      <c r="L429" s="62"/>
      <c r="M429" s="62"/>
      <c r="N429" s="64"/>
    </row>
    <row r="430" spans="11:14" x14ac:dyDescent="0.2">
      <c r="K430" s="62"/>
      <c r="L430" s="62"/>
      <c r="M430" s="62"/>
      <c r="N430" s="64"/>
    </row>
    <row r="431" spans="11:14" x14ac:dyDescent="0.2">
      <c r="K431" s="62"/>
      <c r="L431" s="62"/>
      <c r="M431" s="62"/>
      <c r="N431" s="64"/>
    </row>
    <row r="432" spans="11:14" x14ac:dyDescent="0.2">
      <c r="K432" s="62"/>
      <c r="L432" s="62"/>
      <c r="M432" s="62"/>
      <c r="N432" s="64"/>
    </row>
    <row r="433" spans="11:14" x14ac:dyDescent="0.2">
      <c r="K433" s="62"/>
      <c r="L433" s="62"/>
      <c r="M433" s="62"/>
      <c r="N433" s="64"/>
    </row>
    <row r="434" spans="11:14" x14ac:dyDescent="0.2">
      <c r="K434" s="62"/>
      <c r="L434" s="62"/>
      <c r="M434" s="62"/>
      <c r="N434" s="64"/>
    </row>
    <row r="435" spans="11:14" x14ac:dyDescent="0.2">
      <c r="K435" s="62"/>
      <c r="L435" s="62"/>
      <c r="M435" s="62"/>
      <c r="N435" s="64"/>
    </row>
    <row r="436" spans="11:14" x14ac:dyDescent="0.2">
      <c r="K436" s="62"/>
      <c r="L436" s="62"/>
      <c r="M436" s="62"/>
      <c r="N436" s="64"/>
    </row>
    <row r="437" spans="11:14" x14ac:dyDescent="0.2">
      <c r="K437" s="62"/>
      <c r="L437" s="62"/>
      <c r="M437" s="62"/>
      <c r="N437" s="64"/>
    </row>
    <row r="438" spans="11:14" x14ac:dyDescent="0.2">
      <c r="K438" s="62"/>
      <c r="L438" s="62"/>
      <c r="M438" s="62"/>
      <c r="N438" s="64"/>
    </row>
    <row r="439" spans="11:14" x14ac:dyDescent="0.2">
      <c r="K439" s="62"/>
      <c r="L439" s="62"/>
      <c r="M439" s="62"/>
      <c r="N439" s="64"/>
    </row>
    <row r="440" spans="11:14" x14ac:dyDescent="0.2">
      <c r="K440" s="62"/>
      <c r="L440" s="62"/>
      <c r="M440" s="62"/>
      <c r="N440" s="64"/>
    </row>
    <row r="441" spans="11:14" x14ac:dyDescent="0.2">
      <c r="K441" s="62"/>
      <c r="L441" s="62"/>
      <c r="M441" s="62"/>
      <c r="N441" s="64"/>
    </row>
    <row r="442" spans="11:14" x14ac:dyDescent="0.2">
      <c r="K442" s="62"/>
      <c r="L442" s="62"/>
      <c r="M442" s="62"/>
      <c r="N442" s="64"/>
    </row>
    <row r="443" spans="11:14" x14ac:dyDescent="0.2">
      <c r="K443" s="62"/>
      <c r="L443" s="62"/>
      <c r="M443" s="62"/>
      <c r="N443" s="64"/>
    </row>
    <row r="444" spans="11:14" x14ac:dyDescent="0.2">
      <c r="K444" s="62"/>
      <c r="L444" s="62"/>
      <c r="M444" s="62"/>
      <c r="N444" s="64"/>
    </row>
    <row r="445" spans="11:14" x14ac:dyDescent="0.2">
      <c r="K445" s="62"/>
      <c r="L445" s="62"/>
      <c r="M445" s="62"/>
      <c r="N445" s="64"/>
    </row>
    <row r="446" spans="11:14" x14ac:dyDescent="0.2">
      <c r="K446" s="62"/>
      <c r="L446" s="62"/>
      <c r="M446" s="62"/>
      <c r="N446" s="64"/>
    </row>
    <row r="447" spans="11:14" x14ac:dyDescent="0.2">
      <c r="K447" s="62"/>
      <c r="L447" s="62"/>
      <c r="M447" s="62"/>
      <c r="N447" s="64"/>
    </row>
    <row r="448" spans="11:14" x14ac:dyDescent="0.2">
      <c r="K448" s="62"/>
      <c r="L448" s="62"/>
      <c r="M448" s="62"/>
      <c r="N448" s="64"/>
    </row>
    <row r="449" spans="11:14" x14ac:dyDescent="0.2">
      <c r="K449" s="62"/>
      <c r="L449" s="62"/>
      <c r="M449" s="62"/>
      <c r="N449" s="64"/>
    </row>
    <row r="450" spans="11:14" x14ac:dyDescent="0.2">
      <c r="K450" s="62"/>
      <c r="L450" s="62"/>
      <c r="M450" s="62"/>
      <c r="N450" s="64"/>
    </row>
    <row r="451" spans="11:14" x14ac:dyDescent="0.2">
      <c r="K451" s="62"/>
      <c r="L451" s="62"/>
      <c r="M451" s="62"/>
      <c r="N451" s="64"/>
    </row>
    <row r="452" spans="11:14" x14ac:dyDescent="0.2">
      <c r="K452" s="62"/>
      <c r="L452" s="62"/>
      <c r="M452" s="62"/>
      <c r="N452" s="64"/>
    </row>
    <row r="453" spans="11:14" x14ac:dyDescent="0.2">
      <c r="K453" s="62"/>
      <c r="L453" s="62"/>
      <c r="M453" s="62"/>
      <c r="N453" s="64"/>
    </row>
    <row r="454" spans="11:14" x14ac:dyDescent="0.2">
      <c r="K454" s="62"/>
      <c r="L454" s="62"/>
      <c r="M454" s="62"/>
      <c r="N454" s="64"/>
    </row>
    <row r="455" spans="11:14" x14ac:dyDescent="0.2">
      <c r="K455" s="62"/>
      <c r="L455" s="62"/>
      <c r="M455" s="62"/>
      <c r="N455" s="64"/>
    </row>
    <row r="456" spans="11:14" x14ac:dyDescent="0.2">
      <c r="K456" s="62"/>
      <c r="L456" s="62"/>
      <c r="M456" s="62"/>
      <c r="N456" s="64"/>
    </row>
    <row r="457" spans="11:14" x14ac:dyDescent="0.2">
      <c r="K457" s="62"/>
      <c r="L457" s="62"/>
      <c r="M457" s="62"/>
      <c r="N457" s="64"/>
    </row>
    <row r="458" spans="11:14" x14ac:dyDescent="0.2">
      <c r="K458" s="62"/>
      <c r="L458" s="62"/>
      <c r="M458" s="62"/>
      <c r="N458" s="64"/>
    </row>
    <row r="459" spans="11:14" x14ac:dyDescent="0.2">
      <c r="K459" s="62"/>
      <c r="L459" s="62"/>
      <c r="M459" s="62"/>
      <c r="N459" s="64"/>
    </row>
    <row r="460" spans="11:14" x14ac:dyDescent="0.2">
      <c r="K460" s="62"/>
      <c r="L460" s="62"/>
      <c r="M460" s="62"/>
      <c r="N460" s="64"/>
    </row>
    <row r="461" spans="11:14" x14ac:dyDescent="0.2">
      <c r="K461" s="62"/>
      <c r="L461" s="62"/>
      <c r="M461" s="62"/>
      <c r="N461" s="64"/>
    </row>
    <row r="462" spans="11:14" x14ac:dyDescent="0.2">
      <c r="K462" s="62"/>
      <c r="L462" s="62"/>
      <c r="M462" s="62"/>
      <c r="N462" s="64"/>
    </row>
    <row r="463" spans="11:14" x14ac:dyDescent="0.2">
      <c r="K463" s="62"/>
      <c r="L463" s="62"/>
      <c r="M463" s="62"/>
      <c r="N463" s="64"/>
    </row>
    <row r="464" spans="11:14" x14ac:dyDescent="0.2">
      <c r="K464" s="62"/>
      <c r="L464" s="62"/>
      <c r="M464" s="62"/>
      <c r="N464" s="64"/>
    </row>
    <row r="465" spans="11:14" x14ac:dyDescent="0.2">
      <c r="K465" s="62"/>
      <c r="L465" s="62"/>
      <c r="M465" s="62"/>
      <c r="N465" s="64"/>
    </row>
    <row r="466" spans="11:14" x14ac:dyDescent="0.2">
      <c r="K466" s="62"/>
      <c r="L466" s="62"/>
      <c r="M466" s="62"/>
      <c r="N466" s="64"/>
    </row>
    <row r="467" spans="11:14" x14ac:dyDescent="0.2">
      <c r="K467" s="62"/>
      <c r="L467" s="62"/>
      <c r="M467" s="62"/>
      <c r="N467" s="64"/>
    </row>
    <row r="468" spans="11:14" x14ac:dyDescent="0.2">
      <c r="K468" s="62"/>
      <c r="L468" s="62"/>
      <c r="M468" s="62"/>
      <c r="N468" s="64"/>
    </row>
    <row r="469" spans="11:14" x14ac:dyDescent="0.2">
      <c r="K469" s="62"/>
      <c r="L469" s="62"/>
      <c r="M469" s="62"/>
      <c r="N469" s="64"/>
    </row>
    <row r="470" spans="11:14" x14ac:dyDescent="0.2">
      <c r="K470" s="62"/>
      <c r="L470" s="62"/>
      <c r="M470" s="62"/>
      <c r="N470" s="64"/>
    </row>
    <row r="471" spans="11:14" x14ac:dyDescent="0.2">
      <c r="K471" s="62"/>
      <c r="L471" s="62"/>
      <c r="M471" s="62"/>
      <c r="N471" s="64"/>
    </row>
    <row r="472" spans="11:14" x14ac:dyDescent="0.2">
      <c r="K472" s="62"/>
      <c r="L472" s="62"/>
      <c r="M472" s="62"/>
      <c r="N472" s="64"/>
    </row>
    <row r="473" spans="11:14" x14ac:dyDescent="0.2">
      <c r="K473" s="62"/>
      <c r="L473" s="62"/>
      <c r="M473" s="62"/>
      <c r="N473" s="64"/>
    </row>
    <row r="474" spans="11:14" x14ac:dyDescent="0.2">
      <c r="K474" s="62"/>
      <c r="L474" s="62"/>
      <c r="M474" s="62"/>
      <c r="N474" s="64"/>
    </row>
    <row r="475" spans="11:14" x14ac:dyDescent="0.2">
      <c r="K475" s="62"/>
      <c r="L475" s="62"/>
      <c r="M475" s="62"/>
      <c r="N475" s="64"/>
    </row>
    <row r="476" spans="11:14" x14ac:dyDescent="0.2">
      <c r="K476" s="62"/>
      <c r="L476" s="62"/>
      <c r="M476" s="62"/>
      <c r="N476" s="64"/>
    </row>
    <row r="477" spans="11:14" x14ac:dyDescent="0.2">
      <c r="K477" s="62"/>
      <c r="L477" s="62"/>
      <c r="M477" s="62"/>
      <c r="N477" s="64"/>
    </row>
    <row r="478" spans="11:14" x14ac:dyDescent="0.2">
      <c r="K478" s="62"/>
      <c r="L478" s="62"/>
      <c r="M478" s="62"/>
      <c r="N478" s="64"/>
    </row>
    <row r="479" spans="11:14" x14ac:dyDescent="0.2">
      <c r="K479" s="62"/>
      <c r="L479" s="62"/>
      <c r="M479" s="62"/>
      <c r="N479" s="64"/>
    </row>
    <row r="480" spans="11:14" x14ac:dyDescent="0.2">
      <c r="K480" s="62"/>
      <c r="L480" s="62"/>
      <c r="M480" s="62"/>
      <c r="N480" s="64"/>
    </row>
    <row r="481" spans="11:14" x14ac:dyDescent="0.2">
      <c r="K481" s="62"/>
      <c r="L481" s="62"/>
      <c r="M481" s="62"/>
      <c r="N481" s="64"/>
    </row>
    <row r="482" spans="11:14" x14ac:dyDescent="0.2">
      <c r="K482" s="62"/>
      <c r="L482" s="62"/>
      <c r="M482" s="62"/>
      <c r="N482" s="64"/>
    </row>
    <row r="483" spans="11:14" x14ac:dyDescent="0.2">
      <c r="K483" s="62"/>
      <c r="L483" s="62"/>
      <c r="M483" s="62"/>
      <c r="N483" s="64"/>
    </row>
    <row r="484" spans="11:14" x14ac:dyDescent="0.2">
      <c r="K484" s="62"/>
      <c r="L484" s="62"/>
      <c r="M484" s="62"/>
      <c r="N484" s="64"/>
    </row>
    <row r="485" spans="11:14" x14ac:dyDescent="0.2">
      <c r="K485" s="62"/>
      <c r="L485" s="62"/>
      <c r="M485" s="62"/>
      <c r="N485" s="64"/>
    </row>
    <row r="486" spans="11:14" x14ac:dyDescent="0.2">
      <c r="K486" s="62"/>
      <c r="L486" s="62"/>
      <c r="M486" s="62"/>
      <c r="N486" s="64"/>
    </row>
    <row r="487" spans="11:14" x14ac:dyDescent="0.2">
      <c r="K487" s="62"/>
      <c r="L487" s="62"/>
      <c r="M487" s="62"/>
      <c r="N487" s="64"/>
    </row>
    <row r="488" spans="11:14" x14ac:dyDescent="0.2">
      <c r="K488" s="62"/>
      <c r="L488" s="62"/>
      <c r="M488" s="62"/>
      <c r="N488" s="64"/>
    </row>
    <row r="489" spans="11:14" x14ac:dyDescent="0.2">
      <c r="K489" s="62"/>
      <c r="L489" s="62"/>
      <c r="M489" s="62"/>
      <c r="N489" s="64"/>
    </row>
    <row r="490" spans="11:14" x14ac:dyDescent="0.2">
      <c r="K490" s="62"/>
      <c r="L490" s="62"/>
      <c r="M490" s="62"/>
      <c r="N490" s="64"/>
    </row>
    <row r="491" spans="11:14" x14ac:dyDescent="0.2">
      <c r="K491" s="62"/>
      <c r="L491" s="62"/>
      <c r="M491" s="62"/>
      <c r="N491" s="64"/>
    </row>
    <row r="492" spans="11:14" x14ac:dyDescent="0.2">
      <c r="K492" s="62"/>
      <c r="L492" s="62"/>
      <c r="M492" s="62"/>
      <c r="N492" s="64"/>
    </row>
    <row r="493" spans="11:14" x14ac:dyDescent="0.2">
      <c r="K493" s="62"/>
      <c r="L493" s="62"/>
      <c r="M493" s="62"/>
      <c r="N493" s="64"/>
    </row>
    <row r="494" spans="11:14" x14ac:dyDescent="0.2">
      <c r="K494" s="62"/>
      <c r="L494" s="62"/>
      <c r="M494" s="62"/>
      <c r="N494" s="64"/>
    </row>
    <row r="495" spans="11:14" x14ac:dyDescent="0.2">
      <c r="K495" s="62"/>
      <c r="L495" s="62"/>
      <c r="M495" s="62"/>
      <c r="N495" s="64"/>
    </row>
    <row r="496" spans="11:14" x14ac:dyDescent="0.2">
      <c r="K496" s="62"/>
      <c r="L496" s="62"/>
      <c r="M496" s="62"/>
      <c r="N496" s="64"/>
    </row>
    <row r="497" spans="11:14" x14ac:dyDescent="0.2">
      <c r="K497" s="62"/>
      <c r="L497" s="62"/>
      <c r="M497" s="62"/>
      <c r="N497" s="64"/>
    </row>
    <row r="498" spans="11:14" x14ac:dyDescent="0.2">
      <c r="K498" s="62"/>
      <c r="L498" s="62"/>
      <c r="M498" s="62"/>
      <c r="N498" s="64"/>
    </row>
    <row r="499" spans="11:14" x14ac:dyDescent="0.2">
      <c r="K499" s="62"/>
      <c r="L499" s="62"/>
      <c r="M499" s="62"/>
      <c r="N499" s="64"/>
    </row>
    <row r="500" spans="11:14" x14ac:dyDescent="0.2">
      <c r="K500" s="62"/>
      <c r="L500" s="62"/>
      <c r="M500" s="62"/>
      <c r="N500" s="64"/>
    </row>
  </sheetData>
  <autoFilter ref="B2:W309"/>
  <pageMargins left="0.7" right="0.7" top="0.75" bottom="0.75" header="0.3" footer="0.3"/>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filterMode="1"/>
  <dimension ref="B1:W500"/>
  <sheetViews>
    <sheetView topLeftCell="A74" workbookViewId="0">
      <selection activeCell="N24" sqref="N24"/>
    </sheetView>
  </sheetViews>
  <sheetFormatPr baseColWidth="10" defaultRowHeight="12.75" x14ac:dyDescent="0.2"/>
  <cols>
    <col min="1" max="1" width="2.42578125" style="35" customWidth="1"/>
    <col min="2" max="2" width="10.7109375" style="35" customWidth="1"/>
    <col min="3" max="3" width="8.28515625" style="35" customWidth="1"/>
    <col min="4" max="4" width="8.7109375" style="35" customWidth="1"/>
    <col min="5" max="5" width="20.140625" style="35" customWidth="1"/>
    <col min="6" max="6" width="20.42578125" style="35" customWidth="1"/>
    <col min="7" max="7" width="7.42578125" style="35" customWidth="1"/>
    <col min="8" max="8" width="10.7109375" style="35" customWidth="1"/>
    <col min="9" max="9" width="12.42578125" style="35" customWidth="1"/>
    <col min="10" max="10" width="10.7109375" style="35" customWidth="1"/>
    <col min="11" max="11" width="8.7109375" style="35" customWidth="1"/>
    <col min="12" max="12" width="9" style="35" customWidth="1"/>
    <col min="13" max="13" width="9.42578125" style="35" customWidth="1"/>
    <col min="14" max="14" width="10.7109375" style="35" customWidth="1"/>
    <col min="15" max="15" width="29.28515625" style="35" customWidth="1"/>
    <col min="16" max="16" width="13.85546875" style="35" customWidth="1"/>
    <col min="17" max="17" width="10.7109375" style="35" customWidth="1"/>
    <col min="18" max="18" width="40.7109375" style="35" customWidth="1"/>
    <col min="19" max="20" width="10.7109375" style="35" customWidth="1"/>
    <col min="21" max="21" width="10.7109375" style="94" customWidth="1"/>
    <col min="22" max="22" width="13" style="35" customWidth="1"/>
    <col min="23" max="23" width="10.7109375" style="35" customWidth="1"/>
    <col min="24" max="16384" width="11.42578125" style="35"/>
  </cols>
  <sheetData>
    <row r="1" spans="2:23" s="16" customFormat="1" ht="5.85" customHeight="1" x14ac:dyDescent="0.2">
      <c r="U1" s="93"/>
    </row>
    <row r="2" spans="2:23" s="16" customFormat="1" ht="45.4" customHeight="1" x14ac:dyDescent="0.2">
      <c r="B2" s="17" t="s">
        <v>36</v>
      </c>
      <c r="C2" s="17" t="s">
        <v>37</v>
      </c>
      <c r="D2" s="17" t="s">
        <v>38</v>
      </c>
      <c r="E2" s="17" t="s">
        <v>0</v>
      </c>
      <c r="F2" s="17" t="s">
        <v>1</v>
      </c>
      <c r="G2" s="17" t="s">
        <v>2</v>
      </c>
      <c r="H2" s="17" t="s">
        <v>39</v>
      </c>
      <c r="I2" s="17" t="s">
        <v>40</v>
      </c>
      <c r="J2" s="17" t="s">
        <v>41</v>
      </c>
      <c r="K2" s="17" t="s">
        <v>42</v>
      </c>
      <c r="L2" s="17" t="s">
        <v>43</v>
      </c>
      <c r="M2" s="17" t="s">
        <v>44</v>
      </c>
      <c r="N2" s="18" t="s">
        <v>45</v>
      </c>
      <c r="O2" s="17" t="s">
        <v>46</v>
      </c>
      <c r="P2" s="17" t="s">
        <v>47</v>
      </c>
      <c r="Q2" s="17" t="s">
        <v>48</v>
      </c>
      <c r="R2" s="17" t="s">
        <v>49</v>
      </c>
      <c r="S2" s="17" t="s">
        <v>50</v>
      </c>
      <c r="T2" s="17" t="s">
        <v>51</v>
      </c>
      <c r="U2" s="17" t="s">
        <v>52</v>
      </c>
      <c r="V2" s="17" t="s">
        <v>53</v>
      </c>
      <c r="W2" s="70" t="s">
        <v>54</v>
      </c>
    </row>
    <row r="3" spans="2:23" s="16" customFormat="1" ht="41.1" hidden="1" customHeight="1" x14ac:dyDescent="0.2">
      <c r="B3" s="19">
        <v>42736</v>
      </c>
      <c r="C3" s="20">
        <v>25569.902777777799</v>
      </c>
      <c r="D3" s="21" t="s">
        <v>55</v>
      </c>
      <c r="E3" s="22" t="s">
        <v>56</v>
      </c>
      <c r="F3" s="22" t="s">
        <v>57</v>
      </c>
      <c r="G3" s="23">
        <v>46</v>
      </c>
      <c r="H3" s="21" t="s">
        <v>58</v>
      </c>
      <c r="I3" s="21" t="s">
        <v>1403</v>
      </c>
      <c r="J3" s="23" t="s">
        <v>3</v>
      </c>
      <c r="K3" s="57" t="s">
        <v>1404</v>
      </c>
      <c r="L3" s="58" t="s">
        <v>34</v>
      </c>
      <c r="M3" s="56" t="s">
        <v>34</v>
      </c>
      <c r="N3" s="54"/>
      <c r="O3" s="24" t="s">
        <v>60</v>
      </c>
      <c r="P3" s="24" t="s">
        <v>61</v>
      </c>
      <c r="Q3" s="22" t="s">
        <v>62</v>
      </c>
      <c r="R3" s="24" t="s">
        <v>63</v>
      </c>
      <c r="S3" s="20">
        <v>25569.916666666701</v>
      </c>
      <c r="T3" s="20">
        <v>25569.260416666701</v>
      </c>
      <c r="U3" s="22"/>
      <c r="V3" s="25"/>
      <c r="W3" s="71"/>
    </row>
    <row r="4" spans="2:23" s="16" customFormat="1" ht="41.1" hidden="1" customHeight="1" x14ac:dyDescent="0.2">
      <c r="B4" s="26">
        <v>42737</v>
      </c>
      <c r="C4" s="27">
        <v>25569.791666666701</v>
      </c>
      <c r="D4" s="28" t="s">
        <v>64</v>
      </c>
      <c r="E4" s="29" t="s">
        <v>65</v>
      </c>
      <c r="F4" s="29" t="s">
        <v>66</v>
      </c>
      <c r="G4" s="30">
        <v>39</v>
      </c>
      <c r="H4" s="28" t="s">
        <v>67</v>
      </c>
      <c r="I4" s="28" t="s">
        <v>1405</v>
      </c>
      <c r="J4" s="30" t="s">
        <v>3</v>
      </c>
      <c r="K4" s="55" t="s">
        <v>4</v>
      </c>
      <c r="L4" s="58" t="s">
        <v>34</v>
      </c>
      <c r="M4" s="56" t="s">
        <v>34</v>
      </c>
      <c r="N4" s="54"/>
      <c r="O4" s="31" t="s">
        <v>69</v>
      </c>
      <c r="P4" s="31" t="s">
        <v>70</v>
      </c>
      <c r="Q4" s="29" t="s">
        <v>71</v>
      </c>
      <c r="R4" s="31" t="s">
        <v>72</v>
      </c>
      <c r="S4" s="27">
        <v>25569.604166666701</v>
      </c>
      <c r="T4" s="27">
        <v>25569.972222222201</v>
      </c>
      <c r="U4" s="29"/>
      <c r="V4" s="32"/>
      <c r="W4" s="72" t="s">
        <v>73</v>
      </c>
    </row>
    <row r="5" spans="2:23" s="16" customFormat="1" ht="51.75" hidden="1" customHeight="1" x14ac:dyDescent="0.2">
      <c r="B5" s="19">
        <v>42737</v>
      </c>
      <c r="C5" s="20">
        <v>25569.909722222201</v>
      </c>
      <c r="D5" s="21" t="s">
        <v>74</v>
      </c>
      <c r="E5" s="22" t="s">
        <v>75</v>
      </c>
      <c r="F5" s="22" t="s">
        <v>76</v>
      </c>
      <c r="G5" s="23">
        <v>49</v>
      </c>
      <c r="H5" s="21" t="s">
        <v>77</v>
      </c>
      <c r="I5" s="21" t="s">
        <v>1405</v>
      </c>
      <c r="J5" s="23" t="s">
        <v>3</v>
      </c>
      <c r="K5" s="55" t="s">
        <v>4</v>
      </c>
      <c r="L5" s="59" t="s">
        <v>33</v>
      </c>
      <c r="M5" s="56" t="s">
        <v>34</v>
      </c>
      <c r="N5" s="54">
        <v>27</v>
      </c>
      <c r="O5" s="24" t="s">
        <v>78</v>
      </c>
      <c r="P5" s="24" t="s">
        <v>61</v>
      </c>
      <c r="Q5" s="22" t="s">
        <v>79</v>
      </c>
      <c r="R5" s="24" t="s">
        <v>80</v>
      </c>
      <c r="S5" s="20">
        <v>25569.875</v>
      </c>
      <c r="T5" s="20">
        <v>25569.261805555601</v>
      </c>
      <c r="U5" s="22"/>
      <c r="V5" s="25"/>
      <c r="W5" s="71" t="s">
        <v>81</v>
      </c>
    </row>
    <row r="6" spans="2:23" s="16" customFormat="1" ht="51.75" hidden="1" customHeight="1" x14ac:dyDescent="0.2">
      <c r="B6" s="26">
        <v>42738</v>
      </c>
      <c r="C6" s="27">
        <v>25569.479166666701</v>
      </c>
      <c r="D6" s="28" t="s">
        <v>82</v>
      </c>
      <c r="E6" s="29" t="s">
        <v>83</v>
      </c>
      <c r="F6" s="29" t="s">
        <v>84</v>
      </c>
      <c r="G6" s="30">
        <v>18</v>
      </c>
      <c r="H6" s="28" t="s">
        <v>85</v>
      </c>
      <c r="I6" s="28" t="s">
        <v>1406</v>
      </c>
      <c r="J6" s="30" t="s">
        <v>3</v>
      </c>
      <c r="K6" s="55" t="s">
        <v>4</v>
      </c>
      <c r="L6" s="58" t="s">
        <v>34</v>
      </c>
      <c r="M6" s="56" t="s">
        <v>34</v>
      </c>
      <c r="N6" s="54"/>
      <c r="O6" s="31" t="s">
        <v>87</v>
      </c>
      <c r="P6" s="31" t="s">
        <v>88</v>
      </c>
      <c r="Q6" s="29" t="s">
        <v>8</v>
      </c>
      <c r="R6" s="31" t="s">
        <v>89</v>
      </c>
      <c r="S6" s="27">
        <v>25569.333333333299</v>
      </c>
      <c r="T6" s="27">
        <v>25569.6944444445</v>
      </c>
      <c r="U6" s="31"/>
      <c r="V6" s="32"/>
      <c r="W6" s="72"/>
    </row>
    <row r="7" spans="2:23" s="16" customFormat="1" ht="41.1" hidden="1" customHeight="1" x14ac:dyDescent="0.2">
      <c r="B7" s="19">
        <v>42738</v>
      </c>
      <c r="C7" s="20">
        <v>25569.479166666701</v>
      </c>
      <c r="D7" s="21" t="s">
        <v>90</v>
      </c>
      <c r="E7" s="22" t="s">
        <v>83</v>
      </c>
      <c r="F7" s="22" t="s">
        <v>84</v>
      </c>
      <c r="G7" s="23">
        <v>18</v>
      </c>
      <c r="H7" s="21" t="s">
        <v>85</v>
      </c>
      <c r="I7" s="21" t="s">
        <v>1406</v>
      </c>
      <c r="J7" s="23" t="s">
        <v>3</v>
      </c>
      <c r="K7" s="55" t="s">
        <v>4</v>
      </c>
      <c r="L7" s="58" t="s">
        <v>34</v>
      </c>
      <c r="M7" s="56" t="s">
        <v>34</v>
      </c>
      <c r="N7" s="54"/>
      <c r="O7" s="24" t="s">
        <v>69</v>
      </c>
      <c r="P7" s="24" t="s">
        <v>5</v>
      </c>
      <c r="Q7" s="22" t="s">
        <v>1407</v>
      </c>
      <c r="R7" s="24" t="s">
        <v>91</v>
      </c>
      <c r="S7" s="20">
        <v>25569.333333333299</v>
      </c>
      <c r="T7" s="20">
        <v>25569.6944444445</v>
      </c>
      <c r="U7" s="24"/>
      <c r="V7" s="25"/>
      <c r="W7" s="71" t="s">
        <v>81</v>
      </c>
    </row>
    <row r="8" spans="2:23" s="16" customFormat="1" ht="51.75" hidden="1" customHeight="1" x14ac:dyDescent="0.2">
      <c r="B8" s="26">
        <v>42738</v>
      </c>
      <c r="C8" s="27">
        <v>25569.53125</v>
      </c>
      <c r="D8" s="28" t="s">
        <v>92</v>
      </c>
      <c r="E8" s="29" t="s">
        <v>93</v>
      </c>
      <c r="F8" s="29" t="s">
        <v>94</v>
      </c>
      <c r="G8" s="30">
        <v>48</v>
      </c>
      <c r="H8" s="28" t="s">
        <v>95</v>
      </c>
      <c r="I8" s="28" t="s">
        <v>1408</v>
      </c>
      <c r="J8" s="30" t="s">
        <v>3</v>
      </c>
      <c r="K8" s="57" t="s">
        <v>1404</v>
      </c>
      <c r="L8" s="58" t="s">
        <v>34</v>
      </c>
      <c r="M8" s="56" t="s">
        <v>34</v>
      </c>
      <c r="N8" s="54"/>
      <c r="O8" s="31" t="s">
        <v>87</v>
      </c>
      <c r="P8" s="31" t="s">
        <v>61</v>
      </c>
      <c r="Q8" s="29" t="s">
        <v>79</v>
      </c>
      <c r="R8" s="31" t="s">
        <v>97</v>
      </c>
      <c r="S8" s="27">
        <v>25569.5625</v>
      </c>
      <c r="T8" s="27">
        <v>25569.922916666699</v>
      </c>
      <c r="U8" s="29"/>
      <c r="V8" s="32"/>
      <c r="W8" s="72" t="s">
        <v>73</v>
      </c>
    </row>
    <row r="9" spans="2:23" s="16" customFormat="1" ht="62.45" hidden="1" customHeight="1" x14ac:dyDescent="0.2">
      <c r="B9" s="19">
        <v>42739</v>
      </c>
      <c r="C9" s="20">
        <v>25569.354166666701</v>
      </c>
      <c r="D9" s="21" t="s">
        <v>98</v>
      </c>
      <c r="E9" s="22" t="s">
        <v>99</v>
      </c>
      <c r="F9" s="22" t="s">
        <v>100</v>
      </c>
      <c r="G9" s="23">
        <v>52</v>
      </c>
      <c r="H9" s="21" t="s">
        <v>101</v>
      </c>
      <c r="I9" s="21" t="s">
        <v>1403</v>
      </c>
      <c r="J9" s="23" t="s">
        <v>3</v>
      </c>
      <c r="K9" s="55" t="s">
        <v>4</v>
      </c>
      <c r="L9" s="59" t="s">
        <v>33</v>
      </c>
      <c r="M9" s="56" t="s">
        <v>34</v>
      </c>
      <c r="N9" s="54">
        <v>82</v>
      </c>
      <c r="O9" s="53" t="s">
        <v>60</v>
      </c>
      <c r="P9" s="24" t="s">
        <v>1407</v>
      </c>
      <c r="Q9" s="22" t="s">
        <v>71</v>
      </c>
      <c r="R9" s="24" t="s">
        <v>102</v>
      </c>
      <c r="S9" s="20">
        <v>25569.253472222201</v>
      </c>
      <c r="T9" s="20">
        <v>25569.604166666701</v>
      </c>
      <c r="U9" s="22"/>
      <c r="V9" s="25"/>
      <c r="W9" s="71" t="s">
        <v>81</v>
      </c>
    </row>
    <row r="10" spans="2:23" s="16" customFormat="1" ht="62.45" hidden="1" customHeight="1" x14ac:dyDescent="0.2">
      <c r="B10" s="26">
        <v>42740</v>
      </c>
      <c r="C10" s="27">
        <v>25569.270833333299</v>
      </c>
      <c r="D10" s="28" t="s">
        <v>103</v>
      </c>
      <c r="E10" s="29" t="s">
        <v>104</v>
      </c>
      <c r="F10" s="29" t="s">
        <v>105</v>
      </c>
      <c r="G10" s="30">
        <v>35</v>
      </c>
      <c r="H10" s="28" t="s">
        <v>106</v>
      </c>
      <c r="I10" s="28" t="s">
        <v>1405</v>
      </c>
      <c r="J10" s="30" t="s">
        <v>3</v>
      </c>
      <c r="K10" s="55" t="s">
        <v>4</v>
      </c>
      <c r="L10" s="59" t="s">
        <v>33</v>
      </c>
      <c r="M10" s="56" t="s">
        <v>34</v>
      </c>
      <c r="N10" s="54">
        <v>24</v>
      </c>
      <c r="O10" s="31" t="s">
        <v>107</v>
      </c>
      <c r="P10" s="31" t="s">
        <v>61</v>
      </c>
      <c r="Q10" s="29" t="s">
        <v>79</v>
      </c>
      <c r="R10" s="31" t="s">
        <v>108</v>
      </c>
      <c r="S10" s="27">
        <v>25569.25</v>
      </c>
      <c r="T10" s="27">
        <v>25569.617361111101</v>
      </c>
      <c r="U10" s="29"/>
      <c r="V10" s="32"/>
      <c r="W10" s="72" t="s">
        <v>81</v>
      </c>
    </row>
    <row r="11" spans="2:23" s="16" customFormat="1" ht="41.1" hidden="1" customHeight="1" x14ac:dyDescent="0.2">
      <c r="B11" s="19">
        <v>42741</v>
      </c>
      <c r="C11" s="20">
        <v>25569.458333333299</v>
      </c>
      <c r="D11" s="21" t="s">
        <v>109</v>
      </c>
      <c r="E11" s="22" t="s">
        <v>110</v>
      </c>
      <c r="F11" s="22" t="s">
        <v>111</v>
      </c>
      <c r="G11" s="23">
        <v>56</v>
      </c>
      <c r="H11" s="21" t="s">
        <v>112</v>
      </c>
      <c r="I11" s="21" t="s">
        <v>1409</v>
      </c>
      <c r="J11" s="23" t="s">
        <v>3</v>
      </c>
      <c r="K11" s="55" t="s">
        <v>4</v>
      </c>
      <c r="L11" s="58" t="s">
        <v>34</v>
      </c>
      <c r="M11" s="60" t="s">
        <v>33</v>
      </c>
      <c r="N11" s="54"/>
      <c r="O11" s="24" t="s">
        <v>69</v>
      </c>
      <c r="P11" s="24" t="s">
        <v>61</v>
      </c>
      <c r="Q11" s="22" t="s">
        <v>114</v>
      </c>
      <c r="R11" s="24" t="s">
        <v>115</v>
      </c>
      <c r="S11" s="20">
        <v>25569.291666666701</v>
      </c>
      <c r="T11" s="20">
        <v>25569.791666666701</v>
      </c>
      <c r="U11" s="22"/>
      <c r="V11" s="25"/>
      <c r="W11" s="71"/>
    </row>
    <row r="12" spans="2:23" s="16" customFormat="1" ht="83.65" hidden="1" customHeight="1" x14ac:dyDescent="0.2">
      <c r="B12" s="26">
        <v>42741</v>
      </c>
      <c r="C12" s="27">
        <v>25569.986111111099</v>
      </c>
      <c r="D12" s="28" t="s">
        <v>116</v>
      </c>
      <c r="E12" s="29" t="s">
        <v>117</v>
      </c>
      <c r="F12" s="29" t="s">
        <v>118</v>
      </c>
      <c r="G12" s="30">
        <v>31</v>
      </c>
      <c r="H12" s="28" t="s">
        <v>119</v>
      </c>
      <c r="I12" s="28" t="s">
        <v>1405</v>
      </c>
      <c r="J12" s="30" t="s">
        <v>3</v>
      </c>
      <c r="K12" s="55" t="s">
        <v>4</v>
      </c>
      <c r="L12" s="58" t="s">
        <v>34</v>
      </c>
      <c r="M12" s="56" t="s">
        <v>34</v>
      </c>
      <c r="N12" s="54"/>
      <c r="O12" s="31" t="s">
        <v>120</v>
      </c>
      <c r="P12" s="31" t="s">
        <v>121</v>
      </c>
      <c r="Q12" s="29" t="s">
        <v>122</v>
      </c>
      <c r="R12" s="31" t="s">
        <v>123</v>
      </c>
      <c r="S12" s="27">
        <v>25569.916666666701</v>
      </c>
      <c r="T12" s="27">
        <v>25569.261805555601</v>
      </c>
      <c r="U12" s="29"/>
      <c r="V12" s="32"/>
      <c r="W12" s="72" t="s">
        <v>81</v>
      </c>
    </row>
    <row r="13" spans="2:23" s="16" customFormat="1" ht="62.45" hidden="1" customHeight="1" x14ac:dyDescent="0.2">
      <c r="B13" s="19">
        <v>42742</v>
      </c>
      <c r="C13" s="20">
        <v>25569.891666666699</v>
      </c>
      <c r="D13" s="21" t="s">
        <v>124</v>
      </c>
      <c r="E13" s="22" t="s">
        <v>125</v>
      </c>
      <c r="F13" s="22" t="s">
        <v>126</v>
      </c>
      <c r="G13" s="23">
        <v>46</v>
      </c>
      <c r="H13" s="21" t="s">
        <v>127</v>
      </c>
      <c r="I13" s="21" t="s">
        <v>1405</v>
      </c>
      <c r="J13" s="23" t="s">
        <v>3</v>
      </c>
      <c r="K13" s="57" t="s">
        <v>1404</v>
      </c>
      <c r="L13" s="59" t="s">
        <v>33</v>
      </c>
      <c r="M13" s="56" t="s">
        <v>34</v>
      </c>
      <c r="N13" s="54">
        <v>78</v>
      </c>
      <c r="O13" s="24" t="s">
        <v>120</v>
      </c>
      <c r="P13" s="24" t="s">
        <v>88</v>
      </c>
      <c r="Q13" s="22" t="s">
        <v>71</v>
      </c>
      <c r="R13" s="24" t="s">
        <v>128</v>
      </c>
      <c r="S13" s="20">
        <v>25569.916666666701</v>
      </c>
      <c r="T13" s="20">
        <v>25569.261805555601</v>
      </c>
      <c r="U13" s="22" t="s">
        <v>129</v>
      </c>
      <c r="V13" s="25"/>
      <c r="W13" s="71" t="s">
        <v>81</v>
      </c>
    </row>
    <row r="14" spans="2:23" s="16" customFormat="1" ht="51.75" hidden="1" customHeight="1" x14ac:dyDescent="0.2">
      <c r="B14" s="26">
        <v>42743</v>
      </c>
      <c r="C14" s="27">
        <v>25569.416666666701</v>
      </c>
      <c r="D14" s="28" t="s">
        <v>1453</v>
      </c>
      <c r="E14" s="29" t="s">
        <v>130</v>
      </c>
      <c r="F14" s="29" t="s">
        <v>131</v>
      </c>
      <c r="G14" s="30">
        <v>53</v>
      </c>
      <c r="H14" s="28" t="s">
        <v>1454</v>
      </c>
      <c r="I14" s="28" t="s">
        <v>1410</v>
      </c>
      <c r="J14" s="30" t="s">
        <v>3</v>
      </c>
      <c r="K14" s="55" t="s">
        <v>4</v>
      </c>
      <c r="L14" s="59" t="s">
        <v>33</v>
      </c>
      <c r="M14" s="56" t="s">
        <v>34</v>
      </c>
      <c r="N14" s="54">
        <v>104</v>
      </c>
      <c r="O14" s="31" t="s">
        <v>133</v>
      </c>
      <c r="P14" s="31" t="s">
        <v>61</v>
      </c>
      <c r="Q14" s="29" t="s">
        <v>71</v>
      </c>
      <c r="R14" s="31" t="s">
        <v>134</v>
      </c>
      <c r="S14" s="27">
        <v>25569.25</v>
      </c>
      <c r="T14" s="27">
        <v>25569.590277777799</v>
      </c>
      <c r="U14" s="29"/>
      <c r="V14" s="32"/>
      <c r="W14" s="72" t="s">
        <v>81</v>
      </c>
    </row>
    <row r="15" spans="2:23" s="16" customFormat="1" ht="73.150000000000006" hidden="1" customHeight="1" x14ac:dyDescent="0.2">
      <c r="B15" s="19">
        <v>42744</v>
      </c>
      <c r="C15" s="20">
        <v>25569.055555555598</v>
      </c>
      <c r="D15" s="21" t="s">
        <v>135</v>
      </c>
      <c r="E15" s="22" t="s">
        <v>136</v>
      </c>
      <c r="F15" s="22" t="s">
        <v>137</v>
      </c>
      <c r="G15" s="23">
        <v>44</v>
      </c>
      <c r="H15" s="21" t="s">
        <v>138</v>
      </c>
      <c r="I15" s="21" t="s">
        <v>1405</v>
      </c>
      <c r="J15" s="23" t="s">
        <v>3</v>
      </c>
      <c r="K15" s="55" t="s">
        <v>4</v>
      </c>
      <c r="L15" s="59" t="s">
        <v>33</v>
      </c>
      <c r="M15" s="56" t="s">
        <v>34</v>
      </c>
      <c r="N15" s="54">
        <v>3</v>
      </c>
      <c r="O15" s="24" t="s">
        <v>78</v>
      </c>
      <c r="P15" s="24" t="s">
        <v>1407</v>
      </c>
      <c r="Q15" s="22" t="s">
        <v>71</v>
      </c>
      <c r="R15" s="33" t="s">
        <v>139</v>
      </c>
      <c r="S15" s="20">
        <v>25569.893749999999</v>
      </c>
      <c r="T15" s="20">
        <v>25569.261805555601</v>
      </c>
      <c r="U15" s="22"/>
      <c r="V15" s="25"/>
      <c r="W15" s="71" t="s">
        <v>81</v>
      </c>
    </row>
    <row r="16" spans="2:23" s="16" customFormat="1" ht="51.75" hidden="1" customHeight="1" x14ac:dyDescent="0.2">
      <c r="B16" s="26">
        <v>42745</v>
      </c>
      <c r="C16" s="27">
        <v>25569.041666666701</v>
      </c>
      <c r="D16" s="28" t="s">
        <v>140</v>
      </c>
      <c r="E16" s="29" t="s">
        <v>141</v>
      </c>
      <c r="F16" s="29" t="s">
        <v>142</v>
      </c>
      <c r="G16" s="30">
        <v>33</v>
      </c>
      <c r="H16" s="28" t="s">
        <v>143</v>
      </c>
      <c r="I16" s="28" t="s">
        <v>1405</v>
      </c>
      <c r="J16" s="30" t="s">
        <v>3</v>
      </c>
      <c r="K16" s="55" t="s">
        <v>4</v>
      </c>
      <c r="L16" s="58" t="s">
        <v>34</v>
      </c>
      <c r="M16" s="56" t="s">
        <v>34</v>
      </c>
      <c r="N16" s="54"/>
      <c r="O16" s="31" t="s">
        <v>144</v>
      </c>
      <c r="P16" s="31" t="s">
        <v>145</v>
      </c>
      <c r="Q16" s="29" t="s">
        <v>146</v>
      </c>
      <c r="R16" s="31" t="s">
        <v>147</v>
      </c>
      <c r="S16" s="27">
        <v>25569.916666666701</v>
      </c>
      <c r="T16" s="27">
        <v>25569.261805555601</v>
      </c>
      <c r="U16" s="29"/>
      <c r="V16" s="32"/>
      <c r="W16" s="72"/>
    </row>
    <row r="17" spans="2:23" s="16" customFormat="1" ht="41.1" hidden="1" customHeight="1" x14ac:dyDescent="0.2">
      <c r="B17" s="19">
        <v>42745</v>
      </c>
      <c r="C17" s="20">
        <v>25569.625</v>
      </c>
      <c r="D17" s="21" t="s">
        <v>148</v>
      </c>
      <c r="E17" s="22" t="s">
        <v>149</v>
      </c>
      <c r="F17" s="22" t="s">
        <v>150</v>
      </c>
      <c r="G17" s="23">
        <v>52</v>
      </c>
      <c r="H17" s="21" t="s">
        <v>151</v>
      </c>
      <c r="I17" s="21" t="s">
        <v>1411</v>
      </c>
      <c r="J17" s="23" t="s">
        <v>3</v>
      </c>
      <c r="K17" s="55" t="s">
        <v>4</v>
      </c>
      <c r="L17" s="58" t="s">
        <v>34</v>
      </c>
      <c r="M17" s="56" t="s">
        <v>34</v>
      </c>
      <c r="N17" s="54"/>
      <c r="O17" s="24" t="s">
        <v>133</v>
      </c>
      <c r="P17" s="24" t="s">
        <v>70</v>
      </c>
      <c r="Q17" s="22" t="s">
        <v>71</v>
      </c>
      <c r="R17" s="24" t="s">
        <v>153</v>
      </c>
      <c r="S17" s="20">
        <v>25569.583333333299</v>
      </c>
      <c r="T17" s="20">
        <v>25569.947916666701</v>
      </c>
      <c r="U17" s="22"/>
      <c r="V17" s="25"/>
      <c r="W17" s="71"/>
    </row>
    <row r="18" spans="2:23" s="16" customFormat="1" ht="51.75" hidden="1" customHeight="1" x14ac:dyDescent="0.2">
      <c r="B18" s="26">
        <v>42745</v>
      </c>
      <c r="C18" s="27">
        <v>25569.833333333299</v>
      </c>
      <c r="D18" s="28" t="s">
        <v>154</v>
      </c>
      <c r="E18" s="29" t="s">
        <v>155</v>
      </c>
      <c r="F18" s="29" t="s">
        <v>156</v>
      </c>
      <c r="G18" s="30">
        <v>49</v>
      </c>
      <c r="H18" s="28" t="s">
        <v>157</v>
      </c>
      <c r="I18" s="28" t="s">
        <v>1403</v>
      </c>
      <c r="J18" s="30" t="s">
        <v>3</v>
      </c>
      <c r="K18" s="55" t="s">
        <v>4</v>
      </c>
      <c r="L18" s="59" t="s">
        <v>33</v>
      </c>
      <c r="M18" s="56" t="s">
        <v>34</v>
      </c>
      <c r="N18" s="54">
        <v>5</v>
      </c>
      <c r="O18" s="31" t="s">
        <v>78</v>
      </c>
      <c r="P18" s="31" t="s">
        <v>88</v>
      </c>
      <c r="Q18" s="29" t="s">
        <v>158</v>
      </c>
      <c r="R18" s="31" t="s">
        <v>159</v>
      </c>
      <c r="S18" s="27">
        <v>25569.590277777799</v>
      </c>
      <c r="T18" s="27">
        <v>25569.940972222201</v>
      </c>
      <c r="U18" s="29"/>
      <c r="V18" s="32"/>
      <c r="W18" s="72" t="s">
        <v>81</v>
      </c>
    </row>
    <row r="19" spans="2:23" s="16" customFormat="1" ht="30.4" hidden="1" customHeight="1" x14ac:dyDescent="0.2">
      <c r="B19" s="19">
        <v>42751</v>
      </c>
      <c r="C19" s="20">
        <v>25569.177083333299</v>
      </c>
      <c r="D19" s="21" t="s">
        <v>160</v>
      </c>
      <c r="E19" s="22" t="s">
        <v>161</v>
      </c>
      <c r="F19" s="22" t="s">
        <v>162</v>
      </c>
      <c r="G19" s="23">
        <v>41</v>
      </c>
      <c r="H19" s="21" t="s">
        <v>163</v>
      </c>
      <c r="I19" s="21" t="s">
        <v>1403</v>
      </c>
      <c r="J19" s="23" t="s">
        <v>3</v>
      </c>
      <c r="K19" s="55" t="s">
        <v>4</v>
      </c>
      <c r="L19" s="58" t="s">
        <v>34</v>
      </c>
      <c r="M19" s="56" t="s">
        <v>34</v>
      </c>
      <c r="N19" s="54"/>
      <c r="O19" s="24" t="s">
        <v>60</v>
      </c>
      <c r="P19" s="24" t="s">
        <v>121</v>
      </c>
      <c r="Q19" s="22" t="s">
        <v>122</v>
      </c>
      <c r="R19" s="24" t="s">
        <v>164</v>
      </c>
      <c r="S19" s="20">
        <v>25569.916666666701</v>
      </c>
      <c r="T19" s="20">
        <v>25569.260416666701</v>
      </c>
      <c r="U19" s="22"/>
      <c r="V19" s="25"/>
      <c r="W19" s="71"/>
    </row>
    <row r="20" spans="2:23" s="16" customFormat="1" ht="30.4" hidden="1" customHeight="1" x14ac:dyDescent="0.2">
      <c r="B20" s="26">
        <v>42751</v>
      </c>
      <c r="C20" s="27">
        <v>25569.239583333299</v>
      </c>
      <c r="D20" s="28" t="s">
        <v>165</v>
      </c>
      <c r="E20" s="29" t="s">
        <v>166</v>
      </c>
      <c r="F20" s="29" t="s">
        <v>66</v>
      </c>
      <c r="G20" s="30">
        <v>41</v>
      </c>
      <c r="H20" s="28" t="s">
        <v>167</v>
      </c>
      <c r="I20" s="28" t="s">
        <v>1403</v>
      </c>
      <c r="J20" s="30" t="s">
        <v>3</v>
      </c>
      <c r="K20" s="57" t="s">
        <v>1404</v>
      </c>
      <c r="L20" s="58" t="s">
        <v>34</v>
      </c>
      <c r="M20" s="56" t="s">
        <v>34</v>
      </c>
      <c r="N20" s="54"/>
      <c r="O20" s="31" t="s">
        <v>60</v>
      </c>
      <c r="P20" s="31" t="s">
        <v>70</v>
      </c>
      <c r="Q20" s="29" t="s">
        <v>71</v>
      </c>
      <c r="R20" s="31" t="s">
        <v>168</v>
      </c>
      <c r="S20" s="27">
        <v>25569.253472222201</v>
      </c>
      <c r="T20" s="27">
        <v>25569.604166666701</v>
      </c>
      <c r="U20" s="29"/>
      <c r="V20" s="32"/>
      <c r="W20" s="72" t="s">
        <v>73</v>
      </c>
    </row>
    <row r="21" spans="2:23" s="16" customFormat="1" ht="51.75" hidden="1" customHeight="1" x14ac:dyDescent="0.2">
      <c r="B21" s="19">
        <v>42753</v>
      </c>
      <c r="C21" s="20">
        <v>25569.458333333299</v>
      </c>
      <c r="D21" s="21" t="s">
        <v>169</v>
      </c>
      <c r="E21" s="22" t="s">
        <v>170</v>
      </c>
      <c r="F21" s="22" t="s">
        <v>57</v>
      </c>
      <c r="G21" s="23">
        <v>49</v>
      </c>
      <c r="H21" s="21" t="s">
        <v>171</v>
      </c>
      <c r="I21" s="21" t="s">
        <v>1412</v>
      </c>
      <c r="J21" s="23" t="s">
        <v>3</v>
      </c>
      <c r="K21" s="55" t="s">
        <v>4</v>
      </c>
      <c r="L21" s="58" t="s">
        <v>34</v>
      </c>
      <c r="M21" s="56" t="s">
        <v>34</v>
      </c>
      <c r="N21" s="54"/>
      <c r="O21" s="24" t="s">
        <v>78</v>
      </c>
      <c r="P21" s="24" t="s">
        <v>173</v>
      </c>
      <c r="Q21" s="22" t="s">
        <v>158</v>
      </c>
      <c r="R21" s="24" t="s">
        <v>174</v>
      </c>
      <c r="S21" s="20">
        <v>25569.302083333299</v>
      </c>
      <c r="T21" s="20">
        <v>25569.645833333299</v>
      </c>
      <c r="U21" s="22"/>
      <c r="V21" s="25"/>
      <c r="W21" s="71" t="s">
        <v>81</v>
      </c>
    </row>
    <row r="22" spans="2:23" s="16" customFormat="1" ht="41.1" hidden="1" customHeight="1" x14ac:dyDescent="0.2">
      <c r="B22" s="26">
        <v>42755</v>
      </c>
      <c r="C22" s="27">
        <v>25569.458333333299</v>
      </c>
      <c r="D22" s="28" t="s">
        <v>175</v>
      </c>
      <c r="E22" s="29" t="s">
        <v>176</v>
      </c>
      <c r="F22" s="29" t="s">
        <v>177</v>
      </c>
      <c r="G22" s="30">
        <v>36</v>
      </c>
      <c r="H22" s="28" t="s">
        <v>178</v>
      </c>
      <c r="I22" s="28" t="s">
        <v>1413</v>
      </c>
      <c r="J22" s="30" t="s">
        <v>3</v>
      </c>
      <c r="K22" s="55" t="s">
        <v>4</v>
      </c>
      <c r="L22" s="58" t="s">
        <v>34</v>
      </c>
      <c r="M22" s="56" t="s">
        <v>34</v>
      </c>
      <c r="N22" s="54"/>
      <c r="O22" s="31" t="s">
        <v>144</v>
      </c>
      <c r="P22" s="31" t="s">
        <v>180</v>
      </c>
      <c r="Q22" s="29" t="s">
        <v>1407</v>
      </c>
      <c r="R22" s="31" t="s">
        <v>181</v>
      </c>
      <c r="S22" s="27">
        <v>25569.21875</v>
      </c>
      <c r="T22" s="27">
        <v>25569.570138888899</v>
      </c>
      <c r="U22" s="29" t="s">
        <v>182</v>
      </c>
      <c r="V22" s="32"/>
      <c r="W22" s="72" t="s">
        <v>73</v>
      </c>
    </row>
    <row r="23" spans="2:23" s="16" customFormat="1" ht="41.1" hidden="1" customHeight="1" x14ac:dyDescent="0.2">
      <c r="B23" s="19">
        <v>42756</v>
      </c>
      <c r="C23" s="20">
        <v>25569.458333333299</v>
      </c>
      <c r="D23" s="21" t="s">
        <v>183</v>
      </c>
      <c r="E23" s="22" t="s">
        <v>184</v>
      </c>
      <c r="F23" s="22" t="s">
        <v>185</v>
      </c>
      <c r="G23" s="23">
        <v>57</v>
      </c>
      <c r="H23" s="21" t="s">
        <v>186</v>
      </c>
      <c r="I23" s="21" t="s">
        <v>1411</v>
      </c>
      <c r="J23" s="23" t="s">
        <v>3</v>
      </c>
      <c r="K23" s="55" t="s">
        <v>4</v>
      </c>
      <c r="L23" s="58" t="s">
        <v>34</v>
      </c>
      <c r="M23" s="56" t="s">
        <v>34</v>
      </c>
      <c r="N23" s="54"/>
      <c r="O23" s="24" t="s">
        <v>78</v>
      </c>
      <c r="P23" s="24" t="s">
        <v>187</v>
      </c>
      <c r="Q23" s="22" t="s">
        <v>158</v>
      </c>
      <c r="R23" s="24" t="s">
        <v>188</v>
      </c>
      <c r="S23" s="20">
        <v>25569.260416666701</v>
      </c>
      <c r="T23" s="20">
        <v>25569.59375</v>
      </c>
      <c r="U23" s="22"/>
      <c r="V23" s="25"/>
      <c r="W23" s="71" t="s">
        <v>81</v>
      </c>
    </row>
    <row r="24" spans="2:23" s="16" customFormat="1" ht="51.75" hidden="1" customHeight="1" x14ac:dyDescent="0.2">
      <c r="B24" s="26">
        <v>42758</v>
      </c>
      <c r="C24" s="27">
        <v>25569.336805555598</v>
      </c>
      <c r="D24" s="28" t="s">
        <v>189</v>
      </c>
      <c r="E24" s="29" t="s">
        <v>190</v>
      </c>
      <c r="F24" s="29" t="s">
        <v>191</v>
      </c>
      <c r="G24" s="30">
        <v>25</v>
      </c>
      <c r="H24" s="28" t="s">
        <v>192</v>
      </c>
      <c r="I24" s="28" t="s">
        <v>1414</v>
      </c>
      <c r="J24" s="30" t="s">
        <v>3</v>
      </c>
      <c r="K24" s="57" t="s">
        <v>1404</v>
      </c>
      <c r="L24" s="59" t="s">
        <v>33</v>
      </c>
      <c r="M24" s="56" t="s">
        <v>34</v>
      </c>
      <c r="N24" s="54">
        <v>0</v>
      </c>
      <c r="O24" s="31" t="s">
        <v>60</v>
      </c>
      <c r="P24" s="31" t="s">
        <v>61</v>
      </c>
      <c r="Q24" s="29" t="s">
        <v>62</v>
      </c>
      <c r="R24" s="31" t="s">
        <v>194</v>
      </c>
      <c r="S24" s="27">
        <v>25569.333333333299</v>
      </c>
      <c r="T24" s="27">
        <v>25569.666666666701</v>
      </c>
      <c r="U24" s="31"/>
      <c r="V24" s="32"/>
      <c r="W24" s="72" t="s">
        <v>195</v>
      </c>
    </row>
    <row r="25" spans="2:23" s="16" customFormat="1" ht="51.75" hidden="1" customHeight="1" x14ac:dyDescent="0.2">
      <c r="B25" s="19">
        <v>42759</v>
      </c>
      <c r="C25" s="20">
        <v>25569.416666666701</v>
      </c>
      <c r="D25" s="21" t="s">
        <v>196</v>
      </c>
      <c r="E25" s="22" t="s">
        <v>197</v>
      </c>
      <c r="F25" s="22" t="s">
        <v>198</v>
      </c>
      <c r="G25" s="23">
        <v>35</v>
      </c>
      <c r="H25" s="21" t="s">
        <v>199</v>
      </c>
      <c r="I25" s="21" t="s">
        <v>1415</v>
      </c>
      <c r="J25" s="23" t="s">
        <v>3</v>
      </c>
      <c r="K25" s="55" t="s">
        <v>4</v>
      </c>
      <c r="L25" s="59" t="s">
        <v>33</v>
      </c>
      <c r="M25" s="56" t="s">
        <v>34</v>
      </c>
      <c r="N25" s="54">
        <v>3</v>
      </c>
      <c r="O25" s="24" t="s">
        <v>133</v>
      </c>
      <c r="P25" s="24" t="s">
        <v>88</v>
      </c>
      <c r="Q25" s="22" t="s">
        <v>71</v>
      </c>
      <c r="R25" s="24" t="s">
        <v>201</v>
      </c>
      <c r="S25" s="20">
        <v>25569.2791666667</v>
      </c>
      <c r="T25" s="20">
        <v>25569.611111111099</v>
      </c>
      <c r="U25" s="22"/>
      <c r="V25" s="25"/>
      <c r="W25" s="71" t="s">
        <v>81</v>
      </c>
    </row>
    <row r="26" spans="2:23" s="16" customFormat="1" ht="62.45" hidden="1" customHeight="1" x14ac:dyDescent="0.2">
      <c r="B26" s="26">
        <v>42759</v>
      </c>
      <c r="C26" s="27">
        <v>25569.645833333299</v>
      </c>
      <c r="D26" s="28" t="s">
        <v>202</v>
      </c>
      <c r="E26" s="29" t="s">
        <v>203</v>
      </c>
      <c r="F26" s="29" t="s">
        <v>204</v>
      </c>
      <c r="G26" s="30">
        <v>18</v>
      </c>
      <c r="H26" s="28" t="s">
        <v>205</v>
      </c>
      <c r="I26" s="28" t="s">
        <v>1406</v>
      </c>
      <c r="J26" s="30" t="s">
        <v>3</v>
      </c>
      <c r="K26" s="55" t="s">
        <v>4</v>
      </c>
      <c r="L26" s="58" t="s">
        <v>34</v>
      </c>
      <c r="M26" s="56" t="s">
        <v>34</v>
      </c>
      <c r="N26" s="54"/>
      <c r="O26" s="31" t="s">
        <v>60</v>
      </c>
      <c r="P26" s="31" t="s">
        <v>206</v>
      </c>
      <c r="Q26" s="29" t="s">
        <v>158</v>
      </c>
      <c r="R26" s="34" t="s">
        <v>207</v>
      </c>
      <c r="S26" s="27">
        <v>25569.3125</v>
      </c>
      <c r="T26" s="27">
        <v>25569.645833333299</v>
      </c>
      <c r="U26" s="31"/>
      <c r="V26" s="32"/>
      <c r="W26" s="72" t="s">
        <v>73</v>
      </c>
    </row>
    <row r="27" spans="2:23" s="16" customFormat="1" ht="51.75" hidden="1" customHeight="1" x14ac:dyDescent="0.2">
      <c r="B27" s="19">
        <v>42759</v>
      </c>
      <c r="C27" s="20">
        <v>25569.9375</v>
      </c>
      <c r="D27" s="21" t="s">
        <v>208</v>
      </c>
      <c r="E27" s="22" t="s">
        <v>209</v>
      </c>
      <c r="F27" s="22" t="s">
        <v>210</v>
      </c>
      <c r="G27" s="23">
        <v>38</v>
      </c>
      <c r="H27" s="21" t="s">
        <v>211</v>
      </c>
      <c r="I27" s="21" t="s">
        <v>1416</v>
      </c>
      <c r="J27" s="23" t="s">
        <v>3</v>
      </c>
      <c r="K27" s="57" t="s">
        <v>1404</v>
      </c>
      <c r="L27" s="58" t="s">
        <v>34</v>
      </c>
      <c r="M27" s="56" t="s">
        <v>34</v>
      </c>
      <c r="N27" s="54"/>
      <c r="O27" s="24" t="s">
        <v>87</v>
      </c>
      <c r="P27" s="24" t="s">
        <v>213</v>
      </c>
      <c r="Q27" s="22" t="s">
        <v>122</v>
      </c>
      <c r="R27" s="24" t="s">
        <v>214</v>
      </c>
      <c r="S27" s="20">
        <v>25569.583333333299</v>
      </c>
      <c r="T27" s="20">
        <v>25569.929861111101</v>
      </c>
      <c r="U27" s="22"/>
      <c r="V27" s="25"/>
      <c r="W27" s="71" t="s">
        <v>195</v>
      </c>
    </row>
    <row r="28" spans="2:23" s="16" customFormat="1" ht="41.1" hidden="1" customHeight="1" x14ac:dyDescent="0.2">
      <c r="B28" s="26">
        <v>42761</v>
      </c>
      <c r="C28" s="27">
        <v>25569.041666666701</v>
      </c>
      <c r="D28" s="28" t="s">
        <v>215</v>
      </c>
      <c r="E28" s="29" t="s">
        <v>216</v>
      </c>
      <c r="F28" s="29" t="s">
        <v>217</v>
      </c>
      <c r="G28" s="30">
        <v>44</v>
      </c>
      <c r="H28" s="28" t="s">
        <v>218</v>
      </c>
      <c r="I28" s="28" t="s">
        <v>1403</v>
      </c>
      <c r="J28" s="30" t="s">
        <v>3</v>
      </c>
      <c r="K28" s="55" t="s">
        <v>4</v>
      </c>
      <c r="L28" s="58" t="s">
        <v>34</v>
      </c>
      <c r="M28" s="56" t="s">
        <v>34</v>
      </c>
      <c r="N28" s="54"/>
      <c r="O28" s="31" t="s">
        <v>60</v>
      </c>
      <c r="P28" s="31" t="s">
        <v>219</v>
      </c>
      <c r="Q28" s="29" t="s">
        <v>146</v>
      </c>
      <c r="R28" s="31" t="s">
        <v>220</v>
      </c>
      <c r="S28" s="27">
        <v>25569.916666666701</v>
      </c>
      <c r="T28" s="27">
        <v>25569.260416666701</v>
      </c>
      <c r="U28" s="29"/>
      <c r="V28" s="32"/>
      <c r="W28" s="72" t="s">
        <v>73</v>
      </c>
    </row>
    <row r="29" spans="2:23" s="16" customFormat="1" ht="62.45" hidden="1" customHeight="1" x14ac:dyDescent="0.2">
      <c r="B29" s="19">
        <v>42761</v>
      </c>
      <c r="C29" s="20">
        <v>25569.75</v>
      </c>
      <c r="D29" s="21" t="s">
        <v>221</v>
      </c>
      <c r="E29" s="22" t="s">
        <v>222</v>
      </c>
      <c r="F29" s="22" t="s">
        <v>223</v>
      </c>
      <c r="G29" s="23">
        <v>43</v>
      </c>
      <c r="H29" s="21" t="s">
        <v>224</v>
      </c>
      <c r="I29" s="21" t="s">
        <v>1417</v>
      </c>
      <c r="J29" s="23" t="s">
        <v>3</v>
      </c>
      <c r="K29" s="55" t="s">
        <v>4</v>
      </c>
      <c r="L29" s="59" t="s">
        <v>33</v>
      </c>
      <c r="M29" s="56" t="s">
        <v>34</v>
      </c>
      <c r="N29" s="54">
        <v>14</v>
      </c>
      <c r="O29" s="24" t="s">
        <v>69</v>
      </c>
      <c r="P29" s="24" t="s">
        <v>1407</v>
      </c>
      <c r="Q29" s="22" t="s">
        <v>71</v>
      </c>
      <c r="R29" s="24" t="s">
        <v>226</v>
      </c>
      <c r="S29" s="20">
        <v>25569.583333333299</v>
      </c>
      <c r="T29" s="20">
        <v>25569.927083333299</v>
      </c>
      <c r="U29" s="22"/>
      <c r="V29" s="25"/>
      <c r="W29" s="71" t="s">
        <v>73</v>
      </c>
    </row>
    <row r="30" spans="2:23" s="16" customFormat="1" ht="62.45" hidden="1" customHeight="1" x14ac:dyDescent="0.2">
      <c r="B30" s="26">
        <v>42761</v>
      </c>
      <c r="C30" s="27">
        <v>25569.833333333299</v>
      </c>
      <c r="D30" s="28" t="s">
        <v>227</v>
      </c>
      <c r="E30" s="29" t="s">
        <v>228</v>
      </c>
      <c r="F30" s="29" t="s">
        <v>66</v>
      </c>
      <c r="G30" s="30">
        <v>44</v>
      </c>
      <c r="H30" s="28" t="s">
        <v>229</v>
      </c>
      <c r="I30" s="28" t="s">
        <v>1418</v>
      </c>
      <c r="J30" s="30" t="s">
        <v>3</v>
      </c>
      <c r="K30" s="55" t="s">
        <v>4</v>
      </c>
      <c r="L30" s="59" t="s">
        <v>33</v>
      </c>
      <c r="M30" s="56" t="s">
        <v>34</v>
      </c>
      <c r="N30" s="54">
        <v>70</v>
      </c>
      <c r="O30" s="31" t="s">
        <v>69</v>
      </c>
      <c r="P30" s="31" t="s">
        <v>6</v>
      </c>
      <c r="Q30" s="29" t="s">
        <v>71</v>
      </c>
      <c r="R30" s="31" t="s">
        <v>231</v>
      </c>
      <c r="S30" s="27">
        <v>25569.375</v>
      </c>
      <c r="T30" s="27">
        <v>25569.708333333299</v>
      </c>
      <c r="U30" s="29"/>
      <c r="V30" s="32"/>
      <c r="W30" s="72" t="s">
        <v>81</v>
      </c>
    </row>
    <row r="31" spans="2:23" s="16" customFormat="1" ht="62.45" hidden="1" customHeight="1" x14ac:dyDescent="0.2">
      <c r="B31" s="19">
        <v>42762</v>
      </c>
      <c r="C31" s="20">
        <v>25569.197916666701</v>
      </c>
      <c r="D31" s="21" t="s">
        <v>232</v>
      </c>
      <c r="E31" s="22" t="s">
        <v>233</v>
      </c>
      <c r="F31" s="22" t="s">
        <v>234</v>
      </c>
      <c r="G31" s="23">
        <v>32</v>
      </c>
      <c r="H31" s="21" t="s">
        <v>235</v>
      </c>
      <c r="I31" s="21" t="s">
        <v>1413</v>
      </c>
      <c r="J31" s="23" t="s">
        <v>3</v>
      </c>
      <c r="K31" s="57" t="s">
        <v>1404</v>
      </c>
      <c r="L31" s="58" t="s">
        <v>34</v>
      </c>
      <c r="M31" s="56" t="s">
        <v>34</v>
      </c>
      <c r="N31" s="54"/>
      <c r="O31" s="24" t="s">
        <v>87</v>
      </c>
      <c r="P31" s="24" t="s">
        <v>61</v>
      </c>
      <c r="Q31" s="22" t="s">
        <v>71</v>
      </c>
      <c r="R31" s="24" t="s">
        <v>236</v>
      </c>
      <c r="S31" s="20">
        <v>25569.21875</v>
      </c>
      <c r="T31" s="20">
        <v>25569.570138888899</v>
      </c>
      <c r="U31" s="22"/>
      <c r="V31" s="25"/>
      <c r="W31" s="71" t="s">
        <v>73</v>
      </c>
    </row>
    <row r="32" spans="2:23" s="16" customFormat="1" ht="51.75" hidden="1" customHeight="1" x14ac:dyDescent="0.2">
      <c r="B32" s="26">
        <v>42762</v>
      </c>
      <c r="C32" s="27">
        <v>25569.222222222201</v>
      </c>
      <c r="D32" s="28" t="s">
        <v>1455</v>
      </c>
      <c r="E32" s="29" t="s">
        <v>237</v>
      </c>
      <c r="F32" s="29" t="s">
        <v>238</v>
      </c>
      <c r="G32" s="30">
        <v>58</v>
      </c>
      <c r="H32" s="28" t="s">
        <v>1456</v>
      </c>
      <c r="I32" s="28" t="s">
        <v>1410</v>
      </c>
      <c r="J32" s="30" t="s">
        <v>3</v>
      </c>
      <c r="K32" s="57" t="s">
        <v>1404</v>
      </c>
      <c r="L32" s="58" t="s">
        <v>34</v>
      </c>
      <c r="M32" s="56" t="s">
        <v>34</v>
      </c>
      <c r="N32" s="54"/>
      <c r="O32" s="31" t="s">
        <v>87</v>
      </c>
      <c r="P32" s="31" t="s">
        <v>5</v>
      </c>
      <c r="Q32" s="29" t="s">
        <v>1407</v>
      </c>
      <c r="R32" s="31" t="s">
        <v>239</v>
      </c>
      <c r="S32" s="27">
        <v>25569.25</v>
      </c>
      <c r="T32" s="27">
        <v>25569.6430555556</v>
      </c>
      <c r="U32" s="29"/>
      <c r="V32" s="32"/>
      <c r="W32" s="72" t="s">
        <v>73</v>
      </c>
    </row>
    <row r="33" spans="2:23" s="16" customFormat="1" ht="51.75" hidden="1" customHeight="1" x14ac:dyDescent="0.2">
      <c r="B33" s="19">
        <v>42762</v>
      </c>
      <c r="C33" s="20">
        <v>25569.302083333299</v>
      </c>
      <c r="D33" s="21" t="s">
        <v>240</v>
      </c>
      <c r="E33" s="22" t="s">
        <v>241</v>
      </c>
      <c r="F33" s="22" t="s">
        <v>210</v>
      </c>
      <c r="G33" s="23">
        <v>51</v>
      </c>
      <c r="H33" s="21" t="s">
        <v>242</v>
      </c>
      <c r="I33" s="21" t="s">
        <v>1419</v>
      </c>
      <c r="J33" s="23" t="s">
        <v>3</v>
      </c>
      <c r="K33" s="57" t="s">
        <v>1404</v>
      </c>
      <c r="L33" s="58" t="s">
        <v>34</v>
      </c>
      <c r="M33" s="56" t="s">
        <v>34</v>
      </c>
      <c r="N33" s="54"/>
      <c r="O33" s="24" t="s">
        <v>69</v>
      </c>
      <c r="P33" s="24" t="s">
        <v>1407</v>
      </c>
      <c r="Q33" s="22" t="s">
        <v>62</v>
      </c>
      <c r="R33" s="24" t="s">
        <v>244</v>
      </c>
      <c r="S33" s="20">
        <v>25569.333333333299</v>
      </c>
      <c r="T33" s="20">
        <v>25569.510416666701</v>
      </c>
      <c r="U33" s="22"/>
      <c r="V33" s="25"/>
      <c r="W33" s="71" t="s">
        <v>73</v>
      </c>
    </row>
    <row r="34" spans="2:23" s="16" customFormat="1" ht="51.75" hidden="1" customHeight="1" x14ac:dyDescent="0.2">
      <c r="B34" s="26">
        <v>42762</v>
      </c>
      <c r="C34" s="27">
        <v>25569.3125</v>
      </c>
      <c r="D34" s="28" t="s">
        <v>245</v>
      </c>
      <c r="E34" s="29" t="s">
        <v>246</v>
      </c>
      <c r="F34" s="29" t="s">
        <v>247</v>
      </c>
      <c r="G34" s="30">
        <v>48</v>
      </c>
      <c r="H34" s="28" t="s">
        <v>248</v>
      </c>
      <c r="I34" s="28" t="s">
        <v>1420</v>
      </c>
      <c r="J34" s="30" t="s">
        <v>3</v>
      </c>
      <c r="K34" s="57" t="s">
        <v>1404</v>
      </c>
      <c r="L34" s="58" t="s">
        <v>34</v>
      </c>
      <c r="M34" s="56" t="s">
        <v>34</v>
      </c>
      <c r="N34" s="54"/>
      <c r="O34" s="31" t="s">
        <v>60</v>
      </c>
      <c r="P34" s="31" t="s">
        <v>61</v>
      </c>
      <c r="Q34" s="29" t="s">
        <v>62</v>
      </c>
      <c r="R34" s="31" t="s">
        <v>250</v>
      </c>
      <c r="S34" s="27">
        <v>25569.333333333299</v>
      </c>
      <c r="T34" s="27">
        <v>25569.663888888899</v>
      </c>
      <c r="U34" s="29" t="s">
        <v>251</v>
      </c>
      <c r="V34" s="32"/>
      <c r="W34" s="72" t="s">
        <v>73</v>
      </c>
    </row>
    <row r="35" spans="2:23" s="16" customFormat="1" ht="41.1" hidden="1" customHeight="1" x14ac:dyDescent="0.2">
      <c r="B35" s="19">
        <v>42763</v>
      </c>
      <c r="C35" s="20">
        <v>25569.583333333299</v>
      </c>
      <c r="D35" s="21" t="s">
        <v>252</v>
      </c>
      <c r="E35" s="22" t="s">
        <v>253</v>
      </c>
      <c r="F35" s="22" t="s">
        <v>254</v>
      </c>
      <c r="G35" s="23">
        <v>37</v>
      </c>
      <c r="H35" s="21" t="s">
        <v>255</v>
      </c>
      <c r="I35" s="21" t="s">
        <v>1405</v>
      </c>
      <c r="J35" s="23" t="s">
        <v>3</v>
      </c>
      <c r="K35" s="55" t="s">
        <v>4</v>
      </c>
      <c r="L35" s="59" t="s">
        <v>33</v>
      </c>
      <c r="M35" s="56" t="s">
        <v>34</v>
      </c>
      <c r="N35" s="54">
        <v>120</v>
      </c>
      <c r="O35" s="24" t="s">
        <v>69</v>
      </c>
      <c r="P35" s="24" t="s">
        <v>88</v>
      </c>
      <c r="Q35" s="22" t="s">
        <v>8</v>
      </c>
      <c r="R35" s="24" t="s">
        <v>256</v>
      </c>
      <c r="S35" s="20">
        <v>25569.28125</v>
      </c>
      <c r="T35" s="20">
        <v>25569.649305555598</v>
      </c>
      <c r="U35" s="22"/>
      <c r="V35" s="25"/>
      <c r="W35" s="71" t="s">
        <v>81</v>
      </c>
    </row>
    <row r="36" spans="2:23" s="16" customFormat="1" ht="41.1" customHeight="1" x14ac:dyDescent="0.2">
      <c r="B36" s="26">
        <v>42764</v>
      </c>
      <c r="C36" s="27">
        <v>25569.208333333299</v>
      </c>
      <c r="D36" s="28" t="s">
        <v>257</v>
      </c>
      <c r="E36" s="29" t="s">
        <v>258</v>
      </c>
      <c r="F36" s="29" t="s">
        <v>259</v>
      </c>
      <c r="G36" s="30">
        <v>51</v>
      </c>
      <c r="H36" s="28" t="s">
        <v>260</v>
      </c>
      <c r="I36" s="28" t="s">
        <v>1421</v>
      </c>
      <c r="J36" s="30" t="s">
        <v>3</v>
      </c>
      <c r="K36" s="55" t="s">
        <v>4</v>
      </c>
      <c r="L36" s="58" t="s">
        <v>34</v>
      </c>
      <c r="M36" s="56" t="s">
        <v>34</v>
      </c>
      <c r="N36" s="54"/>
      <c r="O36" s="31" t="s">
        <v>69</v>
      </c>
      <c r="P36" s="31" t="s">
        <v>88</v>
      </c>
      <c r="Q36" s="29" t="s">
        <v>8</v>
      </c>
      <c r="R36" s="31" t="s">
        <v>262</v>
      </c>
      <c r="S36" s="27">
        <v>25569.916666666701</v>
      </c>
      <c r="T36" s="27">
        <v>25569.259722222199</v>
      </c>
      <c r="U36" s="29"/>
      <c r="V36" s="32"/>
      <c r="W36" s="72" t="s">
        <v>81</v>
      </c>
    </row>
    <row r="37" spans="2:23" s="16" customFormat="1" ht="51.75" hidden="1" customHeight="1" x14ac:dyDescent="0.2">
      <c r="B37" s="19">
        <v>42765</v>
      </c>
      <c r="C37" s="20">
        <v>25569.395833333299</v>
      </c>
      <c r="D37" s="21" t="s">
        <v>263</v>
      </c>
      <c r="E37" s="22" t="s">
        <v>264</v>
      </c>
      <c r="F37" s="22" t="s">
        <v>265</v>
      </c>
      <c r="G37" s="23">
        <v>37</v>
      </c>
      <c r="H37" s="21" t="s">
        <v>266</v>
      </c>
      <c r="I37" s="21" t="s">
        <v>1417</v>
      </c>
      <c r="J37" s="23" t="s">
        <v>3</v>
      </c>
      <c r="K37" s="55" t="s">
        <v>4</v>
      </c>
      <c r="L37" s="59" t="s">
        <v>33</v>
      </c>
      <c r="M37" s="56" t="s">
        <v>34</v>
      </c>
      <c r="N37" s="54">
        <v>17</v>
      </c>
      <c r="O37" s="24" t="s">
        <v>78</v>
      </c>
      <c r="P37" s="24" t="s">
        <v>61</v>
      </c>
      <c r="Q37" s="22" t="s">
        <v>158</v>
      </c>
      <c r="R37" s="24" t="s">
        <v>267</v>
      </c>
      <c r="S37" s="20">
        <v>25569.25</v>
      </c>
      <c r="T37" s="20">
        <v>25569.601388888899</v>
      </c>
      <c r="U37" s="22"/>
      <c r="V37" s="25"/>
      <c r="W37" s="71" t="s">
        <v>81</v>
      </c>
    </row>
    <row r="38" spans="2:23" s="16" customFormat="1" ht="51.75" hidden="1" customHeight="1" x14ac:dyDescent="0.2">
      <c r="B38" s="26">
        <v>42767</v>
      </c>
      <c r="C38" s="27">
        <v>25569.236111111099</v>
      </c>
      <c r="D38" s="28" t="s">
        <v>268</v>
      </c>
      <c r="E38" s="29" t="s">
        <v>269</v>
      </c>
      <c r="F38" s="29" t="s">
        <v>270</v>
      </c>
      <c r="G38" s="30">
        <v>47</v>
      </c>
      <c r="H38" s="28" t="s">
        <v>271</v>
      </c>
      <c r="I38" s="28" t="s">
        <v>1422</v>
      </c>
      <c r="J38" s="30" t="s">
        <v>3</v>
      </c>
      <c r="K38" s="57" t="s">
        <v>1404</v>
      </c>
      <c r="L38" s="58" t="s">
        <v>34</v>
      </c>
      <c r="M38" s="56" t="s">
        <v>34</v>
      </c>
      <c r="N38" s="54"/>
      <c r="O38" s="31" t="s">
        <v>87</v>
      </c>
      <c r="P38" s="31" t="s">
        <v>206</v>
      </c>
      <c r="Q38" s="29" t="s">
        <v>122</v>
      </c>
      <c r="R38" s="31" t="s">
        <v>273</v>
      </c>
      <c r="S38" s="27">
        <v>25569.239583333299</v>
      </c>
      <c r="T38" s="27">
        <v>25569.614583333299</v>
      </c>
      <c r="U38" s="29"/>
      <c r="V38" s="32"/>
      <c r="W38" s="72" t="s">
        <v>73</v>
      </c>
    </row>
    <row r="39" spans="2:23" s="16" customFormat="1" ht="62.45" hidden="1" customHeight="1" x14ac:dyDescent="0.2">
      <c r="B39" s="19">
        <v>42767</v>
      </c>
      <c r="C39" s="20">
        <v>25569.5</v>
      </c>
      <c r="D39" s="21" t="s">
        <v>274</v>
      </c>
      <c r="E39" s="22" t="s">
        <v>275</v>
      </c>
      <c r="F39" s="22" t="s">
        <v>276</v>
      </c>
      <c r="G39" s="23">
        <v>27</v>
      </c>
      <c r="H39" s="21" t="s">
        <v>277</v>
      </c>
      <c r="I39" s="21" t="s">
        <v>1423</v>
      </c>
      <c r="J39" s="23" t="s">
        <v>3</v>
      </c>
      <c r="K39" s="55" t="s">
        <v>4</v>
      </c>
      <c r="L39" s="58" t="s">
        <v>34</v>
      </c>
      <c r="M39" s="56" t="s">
        <v>34</v>
      </c>
      <c r="N39" s="54"/>
      <c r="O39" s="24" t="s">
        <v>78</v>
      </c>
      <c r="P39" s="24" t="s">
        <v>173</v>
      </c>
      <c r="Q39" s="22" t="s">
        <v>158</v>
      </c>
      <c r="R39" s="24" t="s">
        <v>279</v>
      </c>
      <c r="S39" s="20">
        <v>25569.253472222201</v>
      </c>
      <c r="T39" s="20">
        <v>25569.604166666701</v>
      </c>
      <c r="U39" s="22"/>
      <c r="V39" s="25"/>
      <c r="W39" s="71" t="s">
        <v>73</v>
      </c>
    </row>
    <row r="40" spans="2:23" s="16" customFormat="1" ht="62.45" hidden="1" customHeight="1" x14ac:dyDescent="0.2">
      <c r="B40" s="26">
        <v>42768</v>
      </c>
      <c r="C40" s="27">
        <v>25569.197916666701</v>
      </c>
      <c r="D40" s="28" t="s">
        <v>280</v>
      </c>
      <c r="E40" s="29" t="s">
        <v>281</v>
      </c>
      <c r="F40" s="29" t="s">
        <v>66</v>
      </c>
      <c r="G40" s="30">
        <v>51</v>
      </c>
      <c r="H40" s="28" t="s">
        <v>282</v>
      </c>
      <c r="I40" s="28" t="s">
        <v>1424</v>
      </c>
      <c r="J40" s="30" t="s">
        <v>3</v>
      </c>
      <c r="K40" s="57" t="s">
        <v>1404</v>
      </c>
      <c r="L40" s="58" t="s">
        <v>34</v>
      </c>
      <c r="M40" s="60" t="s">
        <v>33</v>
      </c>
      <c r="N40" s="54"/>
      <c r="O40" s="31" t="s">
        <v>87</v>
      </c>
      <c r="P40" s="31" t="s">
        <v>1407</v>
      </c>
      <c r="Q40" s="29" t="s">
        <v>114</v>
      </c>
      <c r="R40" s="31" t="s">
        <v>284</v>
      </c>
      <c r="S40" s="27">
        <v>25569.208333333299</v>
      </c>
      <c r="T40" s="27">
        <v>25569.6138888889</v>
      </c>
      <c r="U40" s="29"/>
      <c r="V40" s="32"/>
      <c r="W40" s="72"/>
    </row>
    <row r="41" spans="2:23" s="16" customFormat="1" ht="51.75" hidden="1" customHeight="1" x14ac:dyDescent="0.2">
      <c r="B41" s="19">
        <v>42768</v>
      </c>
      <c r="C41" s="20">
        <v>25569.248611111099</v>
      </c>
      <c r="D41" s="21" t="s">
        <v>285</v>
      </c>
      <c r="E41" s="22" t="s">
        <v>286</v>
      </c>
      <c r="F41" s="22" t="s">
        <v>287</v>
      </c>
      <c r="G41" s="23">
        <v>29</v>
      </c>
      <c r="H41" s="21" t="s">
        <v>288</v>
      </c>
      <c r="I41" s="21" t="s">
        <v>1417</v>
      </c>
      <c r="J41" s="23" t="s">
        <v>3</v>
      </c>
      <c r="K41" s="57" t="s">
        <v>1404</v>
      </c>
      <c r="L41" s="59" t="s">
        <v>33</v>
      </c>
      <c r="M41" s="56" t="s">
        <v>34</v>
      </c>
      <c r="N41" s="54">
        <v>1</v>
      </c>
      <c r="O41" s="24" t="s">
        <v>60</v>
      </c>
      <c r="P41" s="24" t="s">
        <v>289</v>
      </c>
      <c r="Q41" s="22" t="s">
        <v>146</v>
      </c>
      <c r="R41" s="24" t="s">
        <v>290</v>
      </c>
      <c r="S41" s="20">
        <v>25569.25</v>
      </c>
      <c r="T41" s="20">
        <v>25569.601388888899</v>
      </c>
      <c r="U41" s="22"/>
      <c r="V41" s="25"/>
      <c r="W41" s="71" t="s">
        <v>81</v>
      </c>
    </row>
    <row r="42" spans="2:23" s="16" customFormat="1" ht="73.150000000000006" hidden="1" customHeight="1" x14ac:dyDescent="0.2">
      <c r="B42" s="26">
        <v>42768</v>
      </c>
      <c r="C42" s="27">
        <v>25569.770833333299</v>
      </c>
      <c r="D42" s="28" t="s">
        <v>291</v>
      </c>
      <c r="E42" s="29" t="s">
        <v>292</v>
      </c>
      <c r="F42" s="29" t="s">
        <v>247</v>
      </c>
      <c r="G42" s="30">
        <v>34</v>
      </c>
      <c r="H42" s="28" t="s">
        <v>293</v>
      </c>
      <c r="I42" s="28" t="s">
        <v>1405</v>
      </c>
      <c r="J42" s="30" t="s">
        <v>3</v>
      </c>
      <c r="K42" s="55" t="s">
        <v>4</v>
      </c>
      <c r="L42" s="59" t="s">
        <v>33</v>
      </c>
      <c r="M42" s="56" t="s">
        <v>34</v>
      </c>
      <c r="N42" s="54">
        <v>19</v>
      </c>
      <c r="O42" s="31" t="s">
        <v>133</v>
      </c>
      <c r="P42" s="31" t="s">
        <v>1407</v>
      </c>
      <c r="Q42" s="29" t="s">
        <v>79</v>
      </c>
      <c r="R42" s="34" t="s">
        <v>294</v>
      </c>
      <c r="S42" s="27">
        <v>25569.604166666701</v>
      </c>
      <c r="T42" s="27">
        <v>25569.999305555601</v>
      </c>
      <c r="U42" s="29"/>
      <c r="V42" s="32"/>
      <c r="W42" s="72" t="s">
        <v>81</v>
      </c>
    </row>
    <row r="43" spans="2:23" s="16" customFormat="1" ht="41.1" hidden="1" customHeight="1" x14ac:dyDescent="0.2">
      <c r="B43" s="19">
        <v>42769</v>
      </c>
      <c r="C43" s="20">
        <v>25569.020833333299</v>
      </c>
      <c r="D43" s="21" t="s">
        <v>295</v>
      </c>
      <c r="E43" s="22" t="s">
        <v>296</v>
      </c>
      <c r="F43" s="22" t="s">
        <v>297</v>
      </c>
      <c r="G43" s="23">
        <v>56</v>
      </c>
      <c r="H43" s="21" t="s">
        <v>298</v>
      </c>
      <c r="I43" s="21" t="s">
        <v>1411</v>
      </c>
      <c r="J43" s="23" t="s">
        <v>3</v>
      </c>
      <c r="K43" s="55" t="s">
        <v>4</v>
      </c>
      <c r="L43" s="59" t="s">
        <v>33</v>
      </c>
      <c r="M43" s="56" t="s">
        <v>34</v>
      </c>
      <c r="N43" s="54">
        <v>37</v>
      </c>
      <c r="O43" s="24" t="s">
        <v>78</v>
      </c>
      <c r="P43" s="24" t="s">
        <v>61</v>
      </c>
      <c r="Q43" s="22" t="s">
        <v>62</v>
      </c>
      <c r="R43" s="24" t="s">
        <v>299</v>
      </c>
      <c r="S43" s="20">
        <v>25569.916666666701</v>
      </c>
      <c r="T43" s="20">
        <v>25569.25</v>
      </c>
      <c r="U43" s="22"/>
      <c r="V43" s="25"/>
      <c r="W43" s="71" t="s">
        <v>81</v>
      </c>
    </row>
    <row r="44" spans="2:23" s="16" customFormat="1" ht="51.75" hidden="1" customHeight="1" x14ac:dyDescent="0.2">
      <c r="B44" s="26">
        <v>42770</v>
      </c>
      <c r="C44" s="27">
        <v>25569.166666666701</v>
      </c>
      <c r="D44" s="28" t="s">
        <v>300</v>
      </c>
      <c r="E44" s="29" t="s">
        <v>301</v>
      </c>
      <c r="F44" s="29" t="s">
        <v>247</v>
      </c>
      <c r="G44" s="30">
        <v>44</v>
      </c>
      <c r="H44" s="28" t="s">
        <v>302</v>
      </c>
      <c r="I44" s="28" t="s">
        <v>1411</v>
      </c>
      <c r="J44" s="30" t="s">
        <v>3</v>
      </c>
      <c r="K44" s="55" t="s">
        <v>4</v>
      </c>
      <c r="L44" s="58" t="s">
        <v>34</v>
      </c>
      <c r="M44" s="56" t="s">
        <v>34</v>
      </c>
      <c r="N44" s="54"/>
      <c r="O44" s="31" t="s">
        <v>133</v>
      </c>
      <c r="P44" s="31" t="s">
        <v>61</v>
      </c>
      <c r="Q44" s="29" t="s">
        <v>62</v>
      </c>
      <c r="R44" s="31" t="s">
        <v>303</v>
      </c>
      <c r="S44" s="27">
        <v>25569.916666666701</v>
      </c>
      <c r="T44" s="27">
        <v>25569.25</v>
      </c>
      <c r="U44" s="29"/>
      <c r="V44" s="32"/>
      <c r="W44" s="72" t="s">
        <v>73</v>
      </c>
    </row>
    <row r="45" spans="2:23" s="16" customFormat="1" ht="62.45" hidden="1" customHeight="1" x14ac:dyDescent="0.2">
      <c r="B45" s="19">
        <v>42770</v>
      </c>
      <c r="C45" s="20">
        <v>25569.677083333299</v>
      </c>
      <c r="D45" s="21" t="s">
        <v>304</v>
      </c>
      <c r="E45" s="22" t="s">
        <v>305</v>
      </c>
      <c r="F45" s="22" t="s">
        <v>306</v>
      </c>
      <c r="G45" s="23">
        <v>38</v>
      </c>
      <c r="H45" s="21" t="s">
        <v>307</v>
      </c>
      <c r="I45" s="21" t="s">
        <v>1405</v>
      </c>
      <c r="J45" s="23" t="s">
        <v>3</v>
      </c>
      <c r="K45" s="57" t="s">
        <v>1404</v>
      </c>
      <c r="L45" s="59" t="s">
        <v>33</v>
      </c>
      <c r="M45" s="56" t="s">
        <v>34</v>
      </c>
      <c r="N45" s="54">
        <v>23</v>
      </c>
      <c r="O45" s="24" t="s">
        <v>87</v>
      </c>
      <c r="P45" s="24" t="s">
        <v>5</v>
      </c>
      <c r="Q45" s="22" t="s">
        <v>62</v>
      </c>
      <c r="R45" s="24" t="s">
        <v>308</v>
      </c>
      <c r="S45" s="20">
        <v>25569.284722222201</v>
      </c>
      <c r="T45" s="20">
        <v>25569.649305555598</v>
      </c>
      <c r="U45" s="22" t="s">
        <v>309</v>
      </c>
      <c r="V45" s="25"/>
      <c r="W45" s="71" t="s">
        <v>81</v>
      </c>
    </row>
    <row r="46" spans="2:23" s="16" customFormat="1" ht="73.150000000000006" customHeight="1" x14ac:dyDescent="0.2">
      <c r="B46" s="26">
        <v>42771</v>
      </c>
      <c r="C46" s="27">
        <v>25569.833333333299</v>
      </c>
      <c r="D46" s="28" t="s">
        <v>310</v>
      </c>
      <c r="E46" s="29" t="s">
        <v>311</v>
      </c>
      <c r="F46" s="29" t="s">
        <v>312</v>
      </c>
      <c r="G46" s="30">
        <v>47</v>
      </c>
      <c r="H46" s="28" t="s">
        <v>313</v>
      </c>
      <c r="I46" s="28" t="s">
        <v>1421</v>
      </c>
      <c r="J46" s="30" t="s">
        <v>3</v>
      </c>
      <c r="K46" s="55" t="s">
        <v>4</v>
      </c>
      <c r="L46" s="59" t="s">
        <v>33</v>
      </c>
      <c r="M46" s="56" t="s">
        <v>34</v>
      </c>
      <c r="N46" s="54">
        <v>22</v>
      </c>
      <c r="O46" s="31" t="s">
        <v>133</v>
      </c>
      <c r="P46" s="31" t="s">
        <v>88</v>
      </c>
      <c r="Q46" s="29" t="s">
        <v>8</v>
      </c>
      <c r="R46" s="34" t="s">
        <v>314</v>
      </c>
      <c r="S46" s="27">
        <v>25569.583333333299</v>
      </c>
      <c r="T46" s="27">
        <v>25569.931250000001</v>
      </c>
      <c r="U46" s="29"/>
      <c r="V46" s="32"/>
      <c r="W46" s="72" t="s">
        <v>81</v>
      </c>
    </row>
    <row r="47" spans="2:23" s="16" customFormat="1" ht="51.75" hidden="1" customHeight="1" x14ac:dyDescent="0.2">
      <c r="B47" s="19">
        <v>42771</v>
      </c>
      <c r="C47" s="20">
        <v>25569.930555555598</v>
      </c>
      <c r="D47" s="21" t="s">
        <v>315</v>
      </c>
      <c r="E47" s="22" t="s">
        <v>316</v>
      </c>
      <c r="F47" s="22" t="s">
        <v>317</v>
      </c>
      <c r="G47" s="23">
        <v>33</v>
      </c>
      <c r="H47" s="21" t="s">
        <v>318</v>
      </c>
      <c r="I47" s="21" t="s">
        <v>1405</v>
      </c>
      <c r="J47" s="23" t="s">
        <v>3</v>
      </c>
      <c r="K47" s="55" t="s">
        <v>4</v>
      </c>
      <c r="L47" s="58" t="s">
        <v>34</v>
      </c>
      <c r="M47" s="56" t="s">
        <v>34</v>
      </c>
      <c r="N47" s="54"/>
      <c r="O47" s="24" t="s">
        <v>78</v>
      </c>
      <c r="P47" s="24" t="s">
        <v>206</v>
      </c>
      <c r="Q47" s="22" t="s">
        <v>71</v>
      </c>
      <c r="R47" s="24" t="s">
        <v>319</v>
      </c>
      <c r="S47" s="20">
        <v>25569.659722222201</v>
      </c>
      <c r="T47" s="20">
        <v>25569.020833333299</v>
      </c>
      <c r="U47" s="22" t="s">
        <v>320</v>
      </c>
      <c r="V47" s="25"/>
      <c r="W47" s="71"/>
    </row>
    <row r="48" spans="2:23" s="16" customFormat="1" ht="62.45" hidden="1" customHeight="1" x14ac:dyDescent="0.2">
      <c r="B48" s="26">
        <v>42772</v>
      </c>
      <c r="C48" s="27">
        <v>25569.333333333299</v>
      </c>
      <c r="D48" s="28" t="s">
        <v>321</v>
      </c>
      <c r="E48" s="29" t="s">
        <v>322</v>
      </c>
      <c r="F48" s="29" t="s">
        <v>323</v>
      </c>
      <c r="G48" s="30">
        <v>44</v>
      </c>
      <c r="H48" s="28" t="s">
        <v>324</v>
      </c>
      <c r="I48" s="28" t="s">
        <v>1425</v>
      </c>
      <c r="J48" s="30" t="s">
        <v>3</v>
      </c>
      <c r="K48" s="55" t="s">
        <v>4</v>
      </c>
      <c r="L48" s="58" t="s">
        <v>34</v>
      </c>
      <c r="M48" s="56" t="s">
        <v>34</v>
      </c>
      <c r="N48" s="54"/>
      <c r="O48" s="31" t="s">
        <v>69</v>
      </c>
      <c r="P48" s="31" t="s">
        <v>61</v>
      </c>
      <c r="Q48" s="29" t="s">
        <v>71</v>
      </c>
      <c r="R48" s="31" t="s">
        <v>326</v>
      </c>
      <c r="S48" s="27">
        <v>25569.291666666701</v>
      </c>
      <c r="T48" s="27">
        <v>25569.596527777801</v>
      </c>
      <c r="U48" s="29"/>
      <c r="V48" s="32"/>
      <c r="W48" s="72" t="s">
        <v>73</v>
      </c>
    </row>
    <row r="49" spans="2:23" s="16" customFormat="1" ht="51.75" hidden="1" customHeight="1" x14ac:dyDescent="0.2">
      <c r="B49" s="19">
        <v>42772</v>
      </c>
      <c r="C49" s="20">
        <v>25569.520833333299</v>
      </c>
      <c r="D49" s="21" t="s">
        <v>327</v>
      </c>
      <c r="E49" s="22" t="s">
        <v>328</v>
      </c>
      <c r="F49" s="22" t="s">
        <v>329</v>
      </c>
      <c r="G49" s="23">
        <v>59</v>
      </c>
      <c r="H49" s="21" t="s">
        <v>330</v>
      </c>
      <c r="I49" s="21" t="s">
        <v>1413</v>
      </c>
      <c r="J49" s="23" t="s">
        <v>3</v>
      </c>
      <c r="K49" s="55" t="s">
        <v>4</v>
      </c>
      <c r="L49" s="58" t="s">
        <v>34</v>
      </c>
      <c r="M49" s="60" t="s">
        <v>33</v>
      </c>
      <c r="N49" s="54"/>
      <c r="O49" s="24" t="s">
        <v>87</v>
      </c>
      <c r="P49" s="24" t="s">
        <v>187</v>
      </c>
      <c r="Q49" s="22" t="s">
        <v>122</v>
      </c>
      <c r="R49" s="24" t="s">
        <v>331</v>
      </c>
      <c r="S49" s="20">
        <v>25569.260416666701</v>
      </c>
      <c r="T49" s="20">
        <v>25569.615277777801</v>
      </c>
      <c r="U49" s="22"/>
      <c r="V49" s="25"/>
      <c r="W49" s="71"/>
    </row>
    <row r="50" spans="2:23" s="16" customFormat="1" ht="73.150000000000006" hidden="1" customHeight="1" x14ac:dyDescent="0.2">
      <c r="B50" s="26">
        <v>42774</v>
      </c>
      <c r="C50" s="27">
        <v>25569.451388888901</v>
      </c>
      <c r="D50" s="28" t="s">
        <v>332</v>
      </c>
      <c r="E50" s="29" t="s">
        <v>333</v>
      </c>
      <c r="F50" s="29" t="s">
        <v>223</v>
      </c>
      <c r="G50" s="30">
        <v>36</v>
      </c>
      <c r="H50" s="28" t="s">
        <v>334</v>
      </c>
      <c r="I50" s="28" t="s">
        <v>1413</v>
      </c>
      <c r="J50" s="30" t="s">
        <v>3</v>
      </c>
      <c r="K50" s="55" t="s">
        <v>4</v>
      </c>
      <c r="L50" s="59" t="s">
        <v>33</v>
      </c>
      <c r="M50" s="56" t="s">
        <v>34</v>
      </c>
      <c r="N50" s="54">
        <v>36</v>
      </c>
      <c r="O50" s="31" t="s">
        <v>78</v>
      </c>
      <c r="P50" s="31" t="s">
        <v>61</v>
      </c>
      <c r="Q50" s="29" t="s">
        <v>62</v>
      </c>
      <c r="R50" s="34" t="s">
        <v>335</v>
      </c>
      <c r="S50" s="27">
        <v>25569.263888888901</v>
      </c>
      <c r="T50" s="27">
        <v>25569.615277777801</v>
      </c>
      <c r="U50" s="29"/>
      <c r="V50" s="32"/>
      <c r="W50" s="72" t="s">
        <v>81</v>
      </c>
    </row>
    <row r="51" spans="2:23" s="16" customFormat="1" ht="51.75" hidden="1" customHeight="1" x14ac:dyDescent="0.2">
      <c r="B51" s="19">
        <v>42775</v>
      </c>
      <c r="C51" s="20">
        <v>25569.319444444402</v>
      </c>
      <c r="D51" s="21" t="s">
        <v>336</v>
      </c>
      <c r="E51" s="22" t="s">
        <v>337</v>
      </c>
      <c r="F51" s="22" t="s">
        <v>338</v>
      </c>
      <c r="G51" s="23">
        <v>24</v>
      </c>
      <c r="H51" s="21" t="s">
        <v>339</v>
      </c>
      <c r="I51" s="21" t="s">
        <v>1426</v>
      </c>
      <c r="J51" s="23" t="s">
        <v>3</v>
      </c>
      <c r="K51" s="57" t="s">
        <v>1404</v>
      </c>
      <c r="L51" s="58" t="s">
        <v>34</v>
      </c>
      <c r="M51" s="56" t="s">
        <v>34</v>
      </c>
      <c r="N51" s="54"/>
      <c r="O51" s="24" t="s">
        <v>87</v>
      </c>
      <c r="P51" s="24" t="s">
        <v>5</v>
      </c>
      <c r="Q51" s="22" t="s">
        <v>1407</v>
      </c>
      <c r="R51" s="24" t="s">
        <v>341</v>
      </c>
      <c r="S51" s="20">
        <v>25569.333333333299</v>
      </c>
      <c r="T51" s="20">
        <v>25569.673611111099</v>
      </c>
      <c r="U51" s="24" t="s">
        <v>342</v>
      </c>
      <c r="V51" s="25"/>
      <c r="W51" s="71" t="s">
        <v>73</v>
      </c>
    </row>
    <row r="52" spans="2:23" s="16" customFormat="1" ht="41.1" hidden="1" customHeight="1" x14ac:dyDescent="0.2">
      <c r="B52" s="26">
        <v>42775</v>
      </c>
      <c r="C52" s="27">
        <v>25569.583333333299</v>
      </c>
      <c r="D52" s="28" t="s">
        <v>343</v>
      </c>
      <c r="E52" s="29" t="s">
        <v>344</v>
      </c>
      <c r="F52" s="29" t="s">
        <v>345</v>
      </c>
      <c r="G52" s="30">
        <v>52</v>
      </c>
      <c r="H52" s="28" t="s">
        <v>346</v>
      </c>
      <c r="I52" s="28" t="s">
        <v>1408</v>
      </c>
      <c r="J52" s="30" t="s">
        <v>3</v>
      </c>
      <c r="K52" s="55" t="s">
        <v>4</v>
      </c>
      <c r="L52" s="59" t="s">
        <v>33</v>
      </c>
      <c r="M52" s="56" t="s">
        <v>34</v>
      </c>
      <c r="N52" s="54">
        <v>94</v>
      </c>
      <c r="O52" s="31" t="s">
        <v>78</v>
      </c>
      <c r="P52" s="31" t="s">
        <v>1407</v>
      </c>
      <c r="Q52" s="29" t="s">
        <v>114</v>
      </c>
      <c r="R52" s="31" t="s">
        <v>347</v>
      </c>
      <c r="S52" s="27">
        <v>25569.5625</v>
      </c>
      <c r="T52" s="27">
        <v>25569.922916666699</v>
      </c>
      <c r="U52" s="29"/>
      <c r="V52" s="32"/>
      <c r="W52" s="72" t="s">
        <v>81</v>
      </c>
    </row>
    <row r="53" spans="2:23" s="16" customFormat="1" ht="62.45" hidden="1" customHeight="1" x14ac:dyDescent="0.2">
      <c r="B53" s="19">
        <v>42776</v>
      </c>
      <c r="C53" s="20">
        <v>25569.416666666701</v>
      </c>
      <c r="D53" s="21" t="s">
        <v>348</v>
      </c>
      <c r="E53" s="22" t="s">
        <v>349</v>
      </c>
      <c r="F53" s="22" t="s">
        <v>350</v>
      </c>
      <c r="G53" s="23">
        <v>56</v>
      </c>
      <c r="H53" s="21" t="s">
        <v>351</v>
      </c>
      <c r="I53" s="21" t="s">
        <v>1405</v>
      </c>
      <c r="J53" s="23" t="s">
        <v>3</v>
      </c>
      <c r="K53" s="55" t="s">
        <v>4</v>
      </c>
      <c r="L53" s="58" t="s">
        <v>34</v>
      </c>
      <c r="M53" s="56" t="s">
        <v>34</v>
      </c>
      <c r="N53" s="54"/>
      <c r="O53" s="24" t="s">
        <v>60</v>
      </c>
      <c r="P53" s="24" t="s">
        <v>173</v>
      </c>
      <c r="Q53" s="22" t="s">
        <v>62</v>
      </c>
      <c r="R53" s="24" t="s">
        <v>352</v>
      </c>
      <c r="S53" s="20">
        <v>25569.263888888901</v>
      </c>
      <c r="T53" s="20">
        <v>25569.592361111099</v>
      </c>
      <c r="U53" s="22"/>
      <c r="V53" s="25"/>
      <c r="W53" s="71" t="s">
        <v>73</v>
      </c>
    </row>
    <row r="54" spans="2:23" s="16" customFormat="1" ht="51.75" hidden="1" customHeight="1" x14ac:dyDescent="0.2">
      <c r="B54" s="26">
        <v>42776</v>
      </c>
      <c r="C54" s="27">
        <v>25569.46875</v>
      </c>
      <c r="D54" s="28" t="s">
        <v>353</v>
      </c>
      <c r="E54" s="29" t="s">
        <v>354</v>
      </c>
      <c r="F54" s="29" t="s">
        <v>57</v>
      </c>
      <c r="G54" s="30">
        <v>45</v>
      </c>
      <c r="H54" s="28" t="s">
        <v>355</v>
      </c>
      <c r="I54" s="28" t="s">
        <v>1405</v>
      </c>
      <c r="J54" s="30" t="s">
        <v>3</v>
      </c>
      <c r="K54" s="55" t="s">
        <v>4</v>
      </c>
      <c r="L54" s="59" t="s">
        <v>33</v>
      </c>
      <c r="M54" s="56" t="s">
        <v>34</v>
      </c>
      <c r="N54" s="54">
        <v>10</v>
      </c>
      <c r="O54" s="31" t="s">
        <v>87</v>
      </c>
      <c r="P54" s="31" t="s">
        <v>121</v>
      </c>
      <c r="Q54" s="29" t="s">
        <v>158</v>
      </c>
      <c r="R54" s="31" t="s">
        <v>356</v>
      </c>
      <c r="S54" s="27">
        <v>25569.263888888901</v>
      </c>
      <c r="T54" s="27">
        <v>25569.592361111099</v>
      </c>
      <c r="U54" s="29"/>
      <c r="V54" s="32"/>
      <c r="W54" s="72" t="s">
        <v>81</v>
      </c>
    </row>
    <row r="55" spans="2:23" s="16" customFormat="1" ht="51.75" customHeight="1" x14ac:dyDescent="0.2">
      <c r="B55" s="19">
        <v>42779</v>
      </c>
      <c r="C55" s="20">
        <v>25569.465277777799</v>
      </c>
      <c r="D55" s="21" t="s">
        <v>357</v>
      </c>
      <c r="E55" s="22" t="s">
        <v>358</v>
      </c>
      <c r="F55" s="22" t="s">
        <v>359</v>
      </c>
      <c r="G55" s="23">
        <v>54</v>
      </c>
      <c r="H55" s="21" t="s">
        <v>360</v>
      </c>
      <c r="I55" s="21" t="s">
        <v>1421</v>
      </c>
      <c r="J55" s="23" t="s">
        <v>3</v>
      </c>
      <c r="K55" s="55" t="s">
        <v>4</v>
      </c>
      <c r="L55" s="58" t="s">
        <v>34</v>
      </c>
      <c r="M55" s="60" t="s">
        <v>33</v>
      </c>
      <c r="N55" s="54"/>
      <c r="O55" s="24" t="s">
        <v>78</v>
      </c>
      <c r="P55" s="24" t="s">
        <v>180</v>
      </c>
      <c r="Q55" s="22" t="s">
        <v>122</v>
      </c>
      <c r="R55" s="24" t="s">
        <v>361</v>
      </c>
      <c r="S55" s="20">
        <v>25569.25</v>
      </c>
      <c r="T55" s="20">
        <v>25569.598611111101</v>
      </c>
      <c r="U55" s="22"/>
      <c r="V55" s="25"/>
      <c r="W55" s="71"/>
    </row>
    <row r="56" spans="2:23" s="16" customFormat="1" ht="41.1" hidden="1" customHeight="1" x14ac:dyDescent="0.2">
      <c r="B56" s="26">
        <v>42780</v>
      </c>
      <c r="C56" s="27">
        <v>25569.875</v>
      </c>
      <c r="D56" s="28" t="s">
        <v>362</v>
      </c>
      <c r="E56" s="29" t="s">
        <v>363</v>
      </c>
      <c r="F56" s="29" t="s">
        <v>364</v>
      </c>
      <c r="G56" s="30">
        <v>33</v>
      </c>
      <c r="H56" s="28" t="s">
        <v>365</v>
      </c>
      <c r="I56" s="28" t="s">
        <v>1405</v>
      </c>
      <c r="J56" s="30" t="s">
        <v>3</v>
      </c>
      <c r="K56" s="55" t="s">
        <v>4</v>
      </c>
      <c r="L56" s="58" t="s">
        <v>34</v>
      </c>
      <c r="M56" s="56" t="s">
        <v>34</v>
      </c>
      <c r="N56" s="54"/>
      <c r="O56" s="31" t="s">
        <v>78</v>
      </c>
      <c r="P56" s="31" t="s">
        <v>206</v>
      </c>
      <c r="Q56" s="29" t="s">
        <v>158</v>
      </c>
      <c r="R56" s="31" t="s">
        <v>366</v>
      </c>
      <c r="S56" s="27">
        <v>25569.659722222201</v>
      </c>
      <c r="T56" s="27">
        <v>25569.020833333299</v>
      </c>
      <c r="U56" s="29"/>
      <c r="V56" s="32"/>
      <c r="W56" s="72"/>
    </row>
    <row r="57" spans="2:23" s="16" customFormat="1" ht="62.45" hidden="1" customHeight="1" x14ac:dyDescent="0.2">
      <c r="B57" s="19">
        <v>42784</v>
      </c>
      <c r="C57" s="20">
        <v>25569.666666666701</v>
      </c>
      <c r="D57" s="21" t="s">
        <v>367</v>
      </c>
      <c r="E57" s="22" t="s">
        <v>368</v>
      </c>
      <c r="F57" s="22" t="s">
        <v>369</v>
      </c>
      <c r="G57" s="23">
        <v>26</v>
      </c>
      <c r="H57" s="21" t="s">
        <v>370</v>
      </c>
      <c r="I57" s="21" t="s">
        <v>1403</v>
      </c>
      <c r="J57" s="23" t="s">
        <v>3</v>
      </c>
      <c r="K57" s="55" t="s">
        <v>4</v>
      </c>
      <c r="L57" s="58" t="s">
        <v>34</v>
      </c>
      <c r="M57" s="56" t="s">
        <v>34</v>
      </c>
      <c r="N57" s="54"/>
      <c r="O57" s="24" t="s">
        <v>60</v>
      </c>
      <c r="P57" s="24" t="s">
        <v>121</v>
      </c>
      <c r="Q57" s="22" t="s">
        <v>122</v>
      </c>
      <c r="R57" s="24" t="s">
        <v>371</v>
      </c>
      <c r="S57" s="20">
        <v>25569.590277777799</v>
      </c>
      <c r="T57" s="20">
        <v>25569.940972222201</v>
      </c>
      <c r="U57" s="22"/>
      <c r="V57" s="25"/>
      <c r="W57" s="71"/>
    </row>
    <row r="58" spans="2:23" s="16" customFormat="1" ht="51.75" hidden="1" customHeight="1" x14ac:dyDescent="0.2">
      <c r="B58" s="26">
        <v>42786</v>
      </c>
      <c r="C58" s="27">
        <v>25569.395833333299</v>
      </c>
      <c r="D58" s="28" t="s">
        <v>372</v>
      </c>
      <c r="E58" s="29" t="s">
        <v>373</v>
      </c>
      <c r="F58" s="29" t="s">
        <v>374</v>
      </c>
      <c r="G58" s="30">
        <v>55</v>
      </c>
      <c r="H58" s="28" t="s">
        <v>375</v>
      </c>
      <c r="I58" s="28" t="s">
        <v>1416</v>
      </c>
      <c r="J58" s="30" t="s">
        <v>3</v>
      </c>
      <c r="K58" s="55" t="s">
        <v>4</v>
      </c>
      <c r="L58" s="58" t="s">
        <v>34</v>
      </c>
      <c r="M58" s="56" t="s">
        <v>34</v>
      </c>
      <c r="N58" s="54"/>
      <c r="O58" s="31" t="s">
        <v>78</v>
      </c>
      <c r="P58" s="31" t="s">
        <v>61</v>
      </c>
      <c r="Q58" s="29" t="s">
        <v>79</v>
      </c>
      <c r="R58" s="31" t="s">
        <v>376</v>
      </c>
      <c r="S58" s="27">
        <v>25569.25</v>
      </c>
      <c r="T58" s="27">
        <v>25569.596527777801</v>
      </c>
      <c r="U58" s="29"/>
      <c r="V58" s="32"/>
      <c r="W58" s="72" t="s">
        <v>81</v>
      </c>
    </row>
    <row r="59" spans="2:23" s="16" customFormat="1" ht="62.45" hidden="1" customHeight="1" x14ac:dyDescent="0.2">
      <c r="B59" s="19">
        <v>42788</v>
      </c>
      <c r="C59" s="20">
        <v>25569.416666666701</v>
      </c>
      <c r="D59" s="21" t="s">
        <v>377</v>
      </c>
      <c r="E59" s="22" t="s">
        <v>378</v>
      </c>
      <c r="F59" s="22" t="s">
        <v>162</v>
      </c>
      <c r="G59" s="23">
        <v>45</v>
      </c>
      <c r="H59" s="21" t="s">
        <v>379</v>
      </c>
      <c r="I59" s="21" t="s">
        <v>1403</v>
      </c>
      <c r="J59" s="23" t="s">
        <v>3</v>
      </c>
      <c r="K59" s="55" t="s">
        <v>4</v>
      </c>
      <c r="L59" s="58" t="s">
        <v>34</v>
      </c>
      <c r="M59" s="56" t="s">
        <v>34</v>
      </c>
      <c r="N59" s="54"/>
      <c r="O59" s="24" t="s">
        <v>78</v>
      </c>
      <c r="P59" s="24" t="s">
        <v>7</v>
      </c>
      <c r="Q59" s="22" t="s">
        <v>158</v>
      </c>
      <c r="R59" s="24" t="s">
        <v>380</v>
      </c>
      <c r="S59" s="20">
        <v>25569.253472222201</v>
      </c>
      <c r="T59" s="20">
        <v>25569.604166666701</v>
      </c>
      <c r="U59" s="22"/>
      <c r="V59" s="25"/>
      <c r="W59" s="71" t="s">
        <v>81</v>
      </c>
    </row>
    <row r="60" spans="2:23" s="16" customFormat="1" ht="73.150000000000006" hidden="1" customHeight="1" x14ac:dyDescent="0.2">
      <c r="B60" s="26">
        <v>42789</v>
      </c>
      <c r="C60" s="27">
        <v>25569.000694444399</v>
      </c>
      <c r="D60" s="28" t="s">
        <v>1457</v>
      </c>
      <c r="E60" s="29" t="s">
        <v>381</v>
      </c>
      <c r="F60" s="29" t="s">
        <v>382</v>
      </c>
      <c r="G60" s="30">
        <v>39</v>
      </c>
      <c r="H60" s="28" t="s">
        <v>1458</v>
      </c>
      <c r="I60" s="28" t="s">
        <v>1410</v>
      </c>
      <c r="J60" s="30" t="s">
        <v>3</v>
      </c>
      <c r="K60" s="55" t="s">
        <v>4</v>
      </c>
      <c r="L60" s="58" t="s">
        <v>34</v>
      </c>
      <c r="M60" s="56" t="s">
        <v>34</v>
      </c>
      <c r="N60" s="54"/>
      <c r="O60" s="31" t="s">
        <v>60</v>
      </c>
      <c r="P60" s="31" t="s">
        <v>5</v>
      </c>
      <c r="Q60" s="29" t="s">
        <v>122</v>
      </c>
      <c r="R60" s="34" t="s">
        <v>383</v>
      </c>
      <c r="S60" s="27">
        <v>25569.916666666701</v>
      </c>
      <c r="T60" s="27">
        <v>25569.25</v>
      </c>
      <c r="U60" s="29" t="s">
        <v>384</v>
      </c>
      <c r="V60" s="32"/>
      <c r="W60" s="72"/>
    </row>
    <row r="61" spans="2:23" s="16" customFormat="1" ht="62.45" hidden="1" customHeight="1" x14ac:dyDescent="0.2">
      <c r="B61" s="19">
        <v>42789</v>
      </c>
      <c r="C61" s="20">
        <v>25569.461805555598</v>
      </c>
      <c r="D61" s="21" t="s">
        <v>385</v>
      </c>
      <c r="E61" s="22" t="s">
        <v>386</v>
      </c>
      <c r="F61" s="22" t="s">
        <v>387</v>
      </c>
      <c r="G61" s="23">
        <v>50</v>
      </c>
      <c r="H61" s="21" t="s">
        <v>388</v>
      </c>
      <c r="I61" s="21" t="s">
        <v>1408</v>
      </c>
      <c r="J61" s="23" t="s">
        <v>3</v>
      </c>
      <c r="K61" s="57" t="s">
        <v>1404</v>
      </c>
      <c r="L61" s="59" t="s">
        <v>33</v>
      </c>
      <c r="M61" s="56" t="s">
        <v>34</v>
      </c>
      <c r="N61" s="54">
        <v>78</v>
      </c>
      <c r="O61" s="24" t="s">
        <v>69</v>
      </c>
      <c r="P61" s="24" t="s">
        <v>88</v>
      </c>
      <c r="Q61" s="22" t="s">
        <v>8</v>
      </c>
      <c r="R61" s="24" t="s">
        <v>389</v>
      </c>
      <c r="S61" s="20">
        <v>25569.222222222201</v>
      </c>
      <c r="T61" s="20">
        <v>25569.583333333299</v>
      </c>
      <c r="U61" s="22"/>
      <c r="V61" s="25"/>
      <c r="W61" s="71" t="s">
        <v>81</v>
      </c>
    </row>
    <row r="62" spans="2:23" s="16" customFormat="1" ht="51.75" hidden="1" customHeight="1" x14ac:dyDescent="0.2">
      <c r="B62" s="26">
        <v>42789</v>
      </c>
      <c r="C62" s="27">
        <v>25569.743055555598</v>
      </c>
      <c r="D62" s="28" t="s">
        <v>390</v>
      </c>
      <c r="E62" s="29" t="s">
        <v>391</v>
      </c>
      <c r="F62" s="29" t="s">
        <v>392</v>
      </c>
      <c r="G62" s="30">
        <v>54</v>
      </c>
      <c r="H62" s="28" t="s">
        <v>393</v>
      </c>
      <c r="I62" s="28" t="s">
        <v>1411</v>
      </c>
      <c r="J62" s="30" t="s">
        <v>3</v>
      </c>
      <c r="K62" s="55" t="s">
        <v>4</v>
      </c>
      <c r="L62" s="59" t="s">
        <v>33</v>
      </c>
      <c r="M62" s="56" t="s">
        <v>34</v>
      </c>
      <c r="N62" s="54">
        <v>82</v>
      </c>
      <c r="O62" s="31" t="s">
        <v>78</v>
      </c>
      <c r="P62" s="31" t="s">
        <v>121</v>
      </c>
      <c r="Q62" s="29" t="s">
        <v>158</v>
      </c>
      <c r="R62" s="31" t="s">
        <v>394</v>
      </c>
      <c r="S62" s="27">
        <v>25569.583333333299</v>
      </c>
      <c r="T62" s="27">
        <v>25569.947916666701</v>
      </c>
      <c r="U62" s="29"/>
      <c r="V62" s="32"/>
      <c r="W62" s="72"/>
    </row>
    <row r="63" spans="2:23" s="16" customFormat="1" ht="41.1" hidden="1" customHeight="1" x14ac:dyDescent="0.2">
      <c r="B63" s="19">
        <v>42790</v>
      </c>
      <c r="C63" s="20">
        <v>25569.671527777798</v>
      </c>
      <c r="D63" s="21" t="s">
        <v>395</v>
      </c>
      <c r="E63" s="22" t="s">
        <v>396</v>
      </c>
      <c r="F63" s="22" t="s">
        <v>397</v>
      </c>
      <c r="G63" s="23">
        <v>24</v>
      </c>
      <c r="H63" s="21" t="s">
        <v>398</v>
      </c>
      <c r="I63" s="21" t="s">
        <v>1427</v>
      </c>
      <c r="J63" s="23" t="s">
        <v>3</v>
      </c>
      <c r="K63" s="55" t="s">
        <v>4</v>
      </c>
      <c r="L63" s="58" t="s">
        <v>34</v>
      </c>
      <c r="M63" s="56" t="s">
        <v>34</v>
      </c>
      <c r="N63" s="54"/>
      <c r="O63" s="24" t="s">
        <v>69</v>
      </c>
      <c r="P63" s="24" t="s">
        <v>88</v>
      </c>
      <c r="Q63" s="22" t="s">
        <v>8</v>
      </c>
      <c r="R63" s="24" t="s">
        <v>400</v>
      </c>
      <c r="S63" s="20">
        <v>25569.333333333299</v>
      </c>
      <c r="T63" s="20">
        <v>25569.6944444445</v>
      </c>
      <c r="U63" s="24"/>
      <c r="V63" s="25"/>
      <c r="W63" s="71" t="s">
        <v>73</v>
      </c>
    </row>
    <row r="64" spans="2:23" s="16" customFormat="1" ht="73.150000000000006" hidden="1" customHeight="1" x14ac:dyDescent="0.2">
      <c r="B64" s="26">
        <v>42791</v>
      </c>
      <c r="C64" s="27">
        <v>25569.041666666701</v>
      </c>
      <c r="D64" s="28" t="s">
        <v>401</v>
      </c>
      <c r="E64" s="29" t="s">
        <v>402</v>
      </c>
      <c r="F64" s="29" t="s">
        <v>403</v>
      </c>
      <c r="G64" s="30">
        <v>32</v>
      </c>
      <c r="H64" s="28" t="s">
        <v>404</v>
      </c>
      <c r="I64" s="28" t="s">
        <v>1403</v>
      </c>
      <c r="J64" s="30" t="s">
        <v>3</v>
      </c>
      <c r="K64" s="55" t="s">
        <v>4</v>
      </c>
      <c r="L64" s="58" t="s">
        <v>34</v>
      </c>
      <c r="M64" s="56" t="s">
        <v>34</v>
      </c>
      <c r="N64" s="54"/>
      <c r="O64" s="31" t="s">
        <v>405</v>
      </c>
      <c r="P64" s="31" t="s">
        <v>173</v>
      </c>
      <c r="Q64" s="29" t="s">
        <v>158</v>
      </c>
      <c r="R64" s="34" t="s">
        <v>406</v>
      </c>
      <c r="S64" s="27">
        <v>25569.916666666701</v>
      </c>
      <c r="T64" s="27">
        <v>25569.260416666701</v>
      </c>
      <c r="U64" s="29"/>
      <c r="V64" s="32"/>
      <c r="W64" s="72"/>
    </row>
    <row r="65" spans="2:23" s="16" customFormat="1" ht="62.45" hidden="1" customHeight="1" x14ac:dyDescent="0.2">
      <c r="B65" s="19">
        <v>42791</v>
      </c>
      <c r="C65" s="20">
        <v>25569.239583333299</v>
      </c>
      <c r="D65" s="21" t="s">
        <v>1459</v>
      </c>
      <c r="E65" s="22" t="s">
        <v>407</v>
      </c>
      <c r="F65" s="22" t="s">
        <v>408</v>
      </c>
      <c r="G65" s="23">
        <v>35</v>
      </c>
      <c r="H65" s="21" t="s">
        <v>1460</v>
      </c>
      <c r="I65" s="21" t="s">
        <v>1410</v>
      </c>
      <c r="J65" s="23" t="s">
        <v>3</v>
      </c>
      <c r="K65" s="57" t="s">
        <v>1404</v>
      </c>
      <c r="L65" s="59" t="s">
        <v>33</v>
      </c>
      <c r="M65" s="56" t="s">
        <v>34</v>
      </c>
      <c r="N65" s="54">
        <v>37</v>
      </c>
      <c r="O65" s="24" t="s">
        <v>87</v>
      </c>
      <c r="P65" s="24" t="s">
        <v>70</v>
      </c>
      <c r="Q65" s="22" t="s">
        <v>114</v>
      </c>
      <c r="R65" s="24" t="s">
        <v>409</v>
      </c>
      <c r="S65" s="20">
        <v>25569.25</v>
      </c>
      <c r="T65" s="20">
        <v>25569.590277777799</v>
      </c>
      <c r="U65" s="22"/>
      <c r="V65" s="25"/>
      <c r="W65" s="71" t="s">
        <v>81</v>
      </c>
    </row>
    <row r="66" spans="2:23" s="16" customFormat="1" ht="41.1" customHeight="1" x14ac:dyDescent="0.2">
      <c r="B66" s="26">
        <v>42793</v>
      </c>
      <c r="C66" s="27">
        <v>25569.5625</v>
      </c>
      <c r="D66" s="28" t="s">
        <v>410</v>
      </c>
      <c r="E66" s="29" t="s">
        <v>411</v>
      </c>
      <c r="F66" s="29" t="s">
        <v>265</v>
      </c>
      <c r="G66" s="30">
        <v>37</v>
      </c>
      <c r="H66" s="28" t="s">
        <v>412</v>
      </c>
      <c r="I66" s="28" t="s">
        <v>1421</v>
      </c>
      <c r="J66" s="30" t="s">
        <v>3</v>
      </c>
      <c r="K66" s="55" t="s">
        <v>4</v>
      </c>
      <c r="L66" s="58" t="s">
        <v>34</v>
      </c>
      <c r="M66" s="56" t="s">
        <v>34</v>
      </c>
      <c r="N66" s="54"/>
      <c r="O66" s="31" t="s">
        <v>78</v>
      </c>
      <c r="P66" s="31" t="s">
        <v>173</v>
      </c>
      <c r="Q66" s="29" t="s">
        <v>158</v>
      </c>
      <c r="R66" s="31" t="s">
        <v>413</v>
      </c>
      <c r="S66" s="27">
        <v>25569.270833333299</v>
      </c>
      <c r="T66" s="27">
        <v>25569.597222222201</v>
      </c>
      <c r="U66" s="29"/>
      <c r="V66" s="32"/>
      <c r="W66" s="72" t="s">
        <v>73</v>
      </c>
    </row>
    <row r="67" spans="2:23" s="16" customFormat="1" ht="30.4" hidden="1" customHeight="1" x14ac:dyDescent="0.2">
      <c r="B67" s="19">
        <v>42793</v>
      </c>
      <c r="C67" s="20">
        <v>25569.916666666701</v>
      </c>
      <c r="D67" s="21" t="s">
        <v>414</v>
      </c>
      <c r="E67" s="22" t="s">
        <v>415</v>
      </c>
      <c r="F67" s="22" t="s">
        <v>416</v>
      </c>
      <c r="G67" s="23">
        <v>17</v>
      </c>
      <c r="H67" s="21" t="s">
        <v>417</v>
      </c>
      <c r="I67" s="21" t="s">
        <v>1406</v>
      </c>
      <c r="J67" s="23" t="s">
        <v>3</v>
      </c>
      <c r="K67" s="55" t="s">
        <v>4</v>
      </c>
      <c r="L67" s="58" t="s">
        <v>34</v>
      </c>
      <c r="M67" s="56" t="s">
        <v>34</v>
      </c>
      <c r="N67" s="54"/>
      <c r="O67" s="24" t="s">
        <v>60</v>
      </c>
      <c r="P67" s="24" t="s">
        <v>6</v>
      </c>
      <c r="Q67" s="22" t="s">
        <v>79</v>
      </c>
      <c r="R67" s="24" t="s">
        <v>418</v>
      </c>
      <c r="S67" s="20">
        <v>25569.375</v>
      </c>
      <c r="T67" s="20">
        <v>25569.729166666701</v>
      </c>
      <c r="U67" s="24"/>
      <c r="V67" s="25"/>
      <c r="W67" s="71" t="s">
        <v>73</v>
      </c>
    </row>
    <row r="68" spans="2:23" s="16" customFormat="1" ht="30.4" hidden="1" customHeight="1" x14ac:dyDescent="0.2">
      <c r="B68" s="26">
        <v>42796</v>
      </c>
      <c r="C68" s="27">
        <v>25569.458333333299</v>
      </c>
      <c r="D68" s="28" t="s">
        <v>419</v>
      </c>
      <c r="E68" s="29" t="s">
        <v>420</v>
      </c>
      <c r="F68" s="29" t="s">
        <v>247</v>
      </c>
      <c r="G68" s="30">
        <v>48</v>
      </c>
      <c r="H68" s="28" t="s">
        <v>421</v>
      </c>
      <c r="I68" s="28" t="s">
        <v>1428</v>
      </c>
      <c r="J68" s="30" t="s">
        <v>3</v>
      </c>
      <c r="K68" s="55" t="s">
        <v>4</v>
      </c>
      <c r="L68" s="58" t="s">
        <v>34</v>
      </c>
      <c r="M68" s="56" t="s">
        <v>34</v>
      </c>
      <c r="N68" s="54"/>
      <c r="O68" s="31" t="s">
        <v>60</v>
      </c>
      <c r="P68" s="31" t="s">
        <v>423</v>
      </c>
      <c r="Q68" s="29" t="s">
        <v>1407</v>
      </c>
      <c r="R68" s="31" t="s">
        <v>424</v>
      </c>
      <c r="S68" s="27">
        <v>25569.333333333299</v>
      </c>
      <c r="T68" s="27">
        <v>25569.666666666701</v>
      </c>
      <c r="U68" s="29" t="s">
        <v>425</v>
      </c>
      <c r="V68" s="32"/>
      <c r="W68" s="72" t="s">
        <v>73</v>
      </c>
    </row>
    <row r="69" spans="2:23" s="16" customFormat="1" ht="30.4" hidden="1" customHeight="1" x14ac:dyDescent="0.2">
      <c r="B69" s="19">
        <v>42797</v>
      </c>
      <c r="C69" s="20">
        <v>25569.229166666701</v>
      </c>
      <c r="D69" s="21" t="s">
        <v>426</v>
      </c>
      <c r="E69" s="22" t="s">
        <v>427</v>
      </c>
      <c r="F69" s="22" t="s">
        <v>131</v>
      </c>
      <c r="G69" s="23">
        <v>41</v>
      </c>
      <c r="H69" s="21" t="s">
        <v>428</v>
      </c>
      <c r="I69" s="21" t="s">
        <v>1413</v>
      </c>
      <c r="J69" s="23" t="s">
        <v>3</v>
      </c>
      <c r="K69" s="55" t="s">
        <v>4</v>
      </c>
      <c r="L69" s="58" t="s">
        <v>34</v>
      </c>
      <c r="M69" s="56" t="s">
        <v>34</v>
      </c>
      <c r="N69" s="54"/>
      <c r="O69" s="24" t="s">
        <v>60</v>
      </c>
      <c r="P69" s="24" t="s">
        <v>429</v>
      </c>
      <c r="Q69" s="22" t="s">
        <v>1407</v>
      </c>
      <c r="R69" s="24" t="s">
        <v>430</v>
      </c>
      <c r="S69" s="20">
        <v>25569.902083333302</v>
      </c>
      <c r="T69" s="20">
        <v>25569.253472222201</v>
      </c>
      <c r="U69" s="22" t="s">
        <v>431</v>
      </c>
      <c r="V69" s="25"/>
      <c r="W69" s="71" t="s">
        <v>73</v>
      </c>
    </row>
    <row r="70" spans="2:23" s="16" customFormat="1" ht="51.75" hidden="1" customHeight="1" x14ac:dyDescent="0.2">
      <c r="B70" s="26">
        <v>42797</v>
      </c>
      <c r="C70" s="27">
        <v>25569.486111111099</v>
      </c>
      <c r="D70" s="28" t="s">
        <v>432</v>
      </c>
      <c r="E70" s="29" t="s">
        <v>433</v>
      </c>
      <c r="F70" s="29" t="s">
        <v>359</v>
      </c>
      <c r="G70" s="30">
        <v>59</v>
      </c>
      <c r="H70" s="28" t="s">
        <v>434</v>
      </c>
      <c r="I70" s="28" t="s">
        <v>1417</v>
      </c>
      <c r="J70" s="30" t="s">
        <v>3</v>
      </c>
      <c r="K70" s="57" t="s">
        <v>1404</v>
      </c>
      <c r="L70" s="59" t="s">
        <v>33</v>
      </c>
      <c r="M70" s="56" t="s">
        <v>34</v>
      </c>
      <c r="N70" s="54">
        <v>155</v>
      </c>
      <c r="O70" s="31" t="s">
        <v>133</v>
      </c>
      <c r="P70" s="31" t="s">
        <v>1407</v>
      </c>
      <c r="Q70" s="29" t="s">
        <v>8</v>
      </c>
      <c r="R70" s="31" t="s">
        <v>435</v>
      </c>
      <c r="S70" s="27">
        <v>25569.270833333299</v>
      </c>
      <c r="T70" s="27">
        <v>25569.625</v>
      </c>
      <c r="U70" s="29"/>
      <c r="V70" s="32"/>
      <c r="W70" s="72" t="s">
        <v>81</v>
      </c>
    </row>
    <row r="71" spans="2:23" s="16" customFormat="1" ht="51.75" hidden="1" customHeight="1" x14ac:dyDescent="0.2">
      <c r="B71" s="19">
        <v>42797</v>
      </c>
      <c r="C71" s="20">
        <v>25569.645833333299</v>
      </c>
      <c r="D71" s="21" t="s">
        <v>436</v>
      </c>
      <c r="E71" s="22" t="s">
        <v>437</v>
      </c>
      <c r="F71" s="22" t="s">
        <v>397</v>
      </c>
      <c r="G71" s="23">
        <v>25</v>
      </c>
      <c r="H71" s="21" t="s">
        <v>438</v>
      </c>
      <c r="I71" s="21" t="s">
        <v>1417</v>
      </c>
      <c r="J71" s="23" t="s">
        <v>3</v>
      </c>
      <c r="K71" s="55" t="s">
        <v>4</v>
      </c>
      <c r="L71" s="59" t="s">
        <v>33</v>
      </c>
      <c r="M71" s="56" t="s">
        <v>34</v>
      </c>
      <c r="N71" s="54">
        <v>21</v>
      </c>
      <c r="O71" s="24" t="s">
        <v>60</v>
      </c>
      <c r="P71" s="24" t="s">
        <v>61</v>
      </c>
      <c r="Q71" s="22" t="s">
        <v>71</v>
      </c>
      <c r="R71" s="24" t="s">
        <v>439</v>
      </c>
      <c r="S71" s="20">
        <v>25569.583333333299</v>
      </c>
      <c r="T71" s="20">
        <v>25569.934027777799</v>
      </c>
      <c r="U71" s="22"/>
      <c r="V71" s="25"/>
      <c r="W71" s="71" t="s">
        <v>81</v>
      </c>
    </row>
    <row r="72" spans="2:23" s="16" customFormat="1" ht="41.1" hidden="1" customHeight="1" x14ac:dyDescent="0.2">
      <c r="B72" s="26">
        <v>42802</v>
      </c>
      <c r="C72" s="27">
        <v>25569.215277777799</v>
      </c>
      <c r="D72" s="28" t="s">
        <v>440</v>
      </c>
      <c r="E72" s="29" t="s">
        <v>441</v>
      </c>
      <c r="F72" s="29" t="s">
        <v>442</v>
      </c>
      <c r="G72" s="30">
        <v>42</v>
      </c>
      <c r="H72" s="28" t="s">
        <v>443</v>
      </c>
      <c r="I72" s="28" t="s">
        <v>1413</v>
      </c>
      <c r="J72" s="30" t="s">
        <v>3</v>
      </c>
      <c r="K72" s="55" t="s">
        <v>4</v>
      </c>
      <c r="L72" s="58" t="s">
        <v>34</v>
      </c>
      <c r="M72" s="56" t="s">
        <v>34</v>
      </c>
      <c r="N72" s="54"/>
      <c r="O72" s="31" t="s">
        <v>78</v>
      </c>
      <c r="P72" s="31" t="s">
        <v>173</v>
      </c>
      <c r="Q72" s="29" t="s">
        <v>158</v>
      </c>
      <c r="R72" s="31" t="s">
        <v>444</v>
      </c>
      <c r="S72" s="27">
        <v>25569.902777777799</v>
      </c>
      <c r="T72" s="27">
        <v>25569.253472222201</v>
      </c>
      <c r="U72" s="29"/>
      <c r="V72" s="32"/>
      <c r="W72" s="72" t="s">
        <v>81</v>
      </c>
    </row>
    <row r="73" spans="2:23" s="16" customFormat="1" ht="51.75" hidden="1" customHeight="1" x14ac:dyDescent="0.2">
      <c r="B73" s="19">
        <v>42802</v>
      </c>
      <c r="C73" s="20">
        <v>25569.40625</v>
      </c>
      <c r="D73" s="21" t="s">
        <v>445</v>
      </c>
      <c r="E73" s="22" t="s">
        <v>446</v>
      </c>
      <c r="F73" s="22" t="s">
        <v>447</v>
      </c>
      <c r="G73" s="23">
        <v>30</v>
      </c>
      <c r="H73" s="21" t="s">
        <v>448</v>
      </c>
      <c r="I73" s="21" t="s">
        <v>1423</v>
      </c>
      <c r="J73" s="23" t="s">
        <v>3</v>
      </c>
      <c r="K73" s="55" t="s">
        <v>4</v>
      </c>
      <c r="L73" s="58" t="s">
        <v>34</v>
      </c>
      <c r="M73" s="56" t="s">
        <v>34</v>
      </c>
      <c r="N73" s="54"/>
      <c r="O73" s="24" t="s">
        <v>78</v>
      </c>
      <c r="P73" s="24" t="s">
        <v>61</v>
      </c>
      <c r="Q73" s="22" t="s">
        <v>158</v>
      </c>
      <c r="R73" s="24" t="s">
        <v>449</v>
      </c>
      <c r="S73" s="20">
        <v>25569.2791666667</v>
      </c>
      <c r="T73" s="20">
        <v>25569.611111111099</v>
      </c>
      <c r="U73" s="22"/>
      <c r="V73" s="25"/>
      <c r="W73" s="71" t="s">
        <v>73</v>
      </c>
    </row>
    <row r="74" spans="2:23" s="16" customFormat="1" ht="51.75" customHeight="1" x14ac:dyDescent="0.2">
      <c r="B74" s="26">
        <v>42804</v>
      </c>
      <c r="C74" s="27">
        <v>25569.96875</v>
      </c>
      <c r="D74" s="28" t="s">
        <v>450</v>
      </c>
      <c r="E74" s="29" t="s">
        <v>451</v>
      </c>
      <c r="F74" s="29" t="s">
        <v>452</v>
      </c>
      <c r="G74" s="30">
        <v>32</v>
      </c>
      <c r="H74" s="28" t="s">
        <v>453</v>
      </c>
      <c r="I74" s="28" t="s">
        <v>1421</v>
      </c>
      <c r="J74" s="30" t="s">
        <v>3</v>
      </c>
      <c r="K74" s="55" t="s">
        <v>4</v>
      </c>
      <c r="L74" s="58" t="s">
        <v>34</v>
      </c>
      <c r="M74" s="56" t="s">
        <v>34</v>
      </c>
      <c r="N74" s="54"/>
      <c r="O74" s="31" t="s">
        <v>78</v>
      </c>
      <c r="P74" s="31" t="s">
        <v>173</v>
      </c>
      <c r="Q74" s="29" t="s">
        <v>158</v>
      </c>
      <c r="R74" s="31" t="s">
        <v>454</v>
      </c>
      <c r="S74" s="27">
        <v>25569.916666666701</v>
      </c>
      <c r="T74" s="27">
        <v>25569.259722222199</v>
      </c>
      <c r="U74" s="29"/>
      <c r="V74" s="32"/>
      <c r="W74" s="72" t="s">
        <v>73</v>
      </c>
    </row>
    <row r="75" spans="2:23" s="16" customFormat="1" ht="62.45" hidden="1" customHeight="1" x14ac:dyDescent="0.2">
      <c r="B75" s="19">
        <v>42806</v>
      </c>
      <c r="C75" s="20">
        <v>25569.983333333301</v>
      </c>
      <c r="D75" s="21" t="s">
        <v>455</v>
      </c>
      <c r="E75" s="22" t="s">
        <v>456</v>
      </c>
      <c r="F75" s="22" t="s">
        <v>247</v>
      </c>
      <c r="G75" s="23">
        <v>48</v>
      </c>
      <c r="H75" s="21" t="s">
        <v>457</v>
      </c>
      <c r="I75" s="21" t="s">
        <v>1411</v>
      </c>
      <c r="J75" s="23" t="s">
        <v>3</v>
      </c>
      <c r="K75" s="55" t="s">
        <v>4</v>
      </c>
      <c r="L75" s="59" t="s">
        <v>33</v>
      </c>
      <c r="M75" s="56" t="s">
        <v>34</v>
      </c>
      <c r="N75" s="54">
        <v>54</v>
      </c>
      <c r="O75" s="24" t="s">
        <v>133</v>
      </c>
      <c r="P75" s="24" t="s">
        <v>61</v>
      </c>
      <c r="Q75" s="22" t="s">
        <v>71</v>
      </c>
      <c r="R75" s="24" t="s">
        <v>458</v>
      </c>
      <c r="S75" s="20">
        <v>25569.916666666701</v>
      </c>
      <c r="T75" s="20">
        <v>25569.25</v>
      </c>
      <c r="U75" s="22"/>
      <c r="V75" s="25"/>
      <c r="W75" s="71" t="s">
        <v>81</v>
      </c>
    </row>
    <row r="76" spans="2:23" s="16" customFormat="1" ht="62.45" hidden="1" customHeight="1" x14ac:dyDescent="0.2">
      <c r="B76" s="26">
        <v>42807</v>
      </c>
      <c r="C76" s="27">
        <v>25569.743055555598</v>
      </c>
      <c r="D76" s="28" t="s">
        <v>459</v>
      </c>
      <c r="E76" s="29" t="s">
        <v>460</v>
      </c>
      <c r="F76" s="29" t="s">
        <v>345</v>
      </c>
      <c r="G76" s="30">
        <v>47</v>
      </c>
      <c r="H76" s="28" t="s">
        <v>461</v>
      </c>
      <c r="I76" s="28" t="s">
        <v>1429</v>
      </c>
      <c r="J76" s="30" t="s">
        <v>3</v>
      </c>
      <c r="K76" s="57" t="s">
        <v>1404</v>
      </c>
      <c r="L76" s="59" t="s">
        <v>33</v>
      </c>
      <c r="M76" s="56" t="s">
        <v>34</v>
      </c>
      <c r="N76" s="54">
        <v>7</v>
      </c>
      <c r="O76" s="31" t="s">
        <v>87</v>
      </c>
      <c r="P76" s="31" t="s">
        <v>61</v>
      </c>
      <c r="Q76" s="29" t="s">
        <v>79</v>
      </c>
      <c r="R76" s="31" t="s">
        <v>463</v>
      </c>
      <c r="S76" s="27">
        <v>25569.354166666701</v>
      </c>
      <c r="T76" s="27">
        <v>25569.5</v>
      </c>
      <c r="U76" s="29"/>
      <c r="V76" s="32"/>
      <c r="W76" s="72" t="s">
        <v>81</v>
      </c>
    </row>
    <row r="77" spans="2:23" s="16" customFormat="1" ht="51.75" hidden="1" customHeight="1" x14ac:dyDescent="0.2">
      <c r="B77" s="19">
        <v>42809</v>
      </c>
      <c r="C77" s="20">
        <v>25569.479166666701</v>
      </c>
      <c r="D77" s="21" t="s">
        <v>464</v>
      </c>
      <c r="E77" s="22" t="s">
        <v>83</v>
      </c>
      <c r="F77" s="22" t="s">
        <v>84</v>
      </c>
      <c r="G77" s="23">
        <v>18</v>
      </c>
      <c r="H77" s="21" t="s">
        <v>85</v>
      </c>
      <c r="I77" s="21" t="s">
        <v>1406</v>
      </c>
      <c r="J77" s="23" t="s">
        <v>3</v>
      </c>
      <c r="K77" s="55" t="s">
        <v>4</v>
      </c>
      <c r="L77" s="58" t="s">
        <v>34</v>
      </c>
      <c r="M77" s="56" t="s">
        <v>34</v>
      </c>
      <c r="N77" s="54"/>
      <c r="O77" s="24" t="s">
        <v>78</v>
      </c>
      <c r="P77" s="24" t="s">
        <v>61</v>
      </c>
      <c r="Q77" s="22" t="s">
        <v>158</v>
      </c>
      <c r="R77" s="24" t="s">
        <v>465</v>
      </c>
      <c r="S77" s="20">
        <v>25569.3125</v>
      </c>
      <c r="T77" s="20">
        <v>25569.639583333301</v>
      </c>
      <c r="U77" s="24"/>
      <c r="V77" s="25"/>
      <c r="W77" s="71" t="s">
        <v>73</v>
      </c>
    </row>
    <row r="78" spans="2:23" s="16" customFormat="1" ht="41.1" hidden="1" customHeight="1" x14ac:dyDescent="0.2">
      <c r="B78" s="26">
        <v>42810</v>
      </c>
      <c r="C78" s="27">
        <v>25569.666666666701</v>
      </c>
      <c r="D78" s="28" t="s">
        <v>466</v>
      </c>
      <c r="E78" s="29" t="s">
        <v>467</v>
      </c>
      <c r="F78" s="29" t="s">
        <v>76</v>
      </c>
      <c r="G78" s="30">
        <v>57</v>
      </c>
      <c r="H78" s="28" t="s">
        <v>468</v>
      </c>
      <c r="I78" s="28" t="s">
        <v>1413</v>
      </c>
      <c r="J78" s="30" t="s">
        <v>3</v>
      </c>
      <c r="K78" s="55" t="s">
        <v>4</v>
      </c>
      <c r="L78" s="59" t="s">
        <v>33</v>
      </c>
      <c r="M78" s="56" t="s">
        <v>34</v>
      </c>
      <c r="N78" s="54">
        <v>0</v>
      </c>
      <c r="O78" s="31" t="s">
        <v>60</v>
      </c>
      <c r="P78" s="31" t="s">
        <v>423</v>
      </c>
      <c r="Q78" s="29" t="s">
        <v>122</v>
      </c>
      <c r="R78" s="31" t="s">
        <v>469</v>
      </c>
      <c r="S78" s="27">
        <v>25569.615277777801</v>
      </c>
      <c r="T78" s="27">
        <v>25569.990277777801</v>
      </c>
      <c r="U78" s="29" t="s">
        <v>470</v>
      </c>
      <c r="V78" s="32"/>
      <c r="W78" s="72" t="s">
        <v>195</v>
      </c>
    </row>
    <row r="79" spans="2:23" s="16" customFormat="1" ht="62.45" customHeight="1" x14ac:dyDescent="0.2">
      <c r="B79" s="19">
        <v>42811</v>
      </c>
      <c r="C79" s="20">
        <v>25569.645833333299</v>
      </c>
      <c r="D79" s="21" t="s">
        <v>471</v>
      </c>
      <c r="E79" s="22" t="s">
        <v>472</v>
      </c>
      <c r="F79" s="22" t="s">
        <v>473</v>
      </c>
      <c r="G79" s="23">
        <v>45</v>
      </c>
      <c r="H79" s="21" t="s">
        <v>474</v>
      </c>
      <c r="I79" s="21" t="s">
        <v>1421</v>
      </c>
      <c r="J79" s="23" t="s">
        <v>3</v>
      </c>
      <c r="K79" s="57" t="s">
        <v>1404</v>
      </c>
      <c r="L79" s="59" t="s">
        <v>33</v>
      </c>
      <c r="M79" s="56" t="s">
        <v>34</v>
      </c>
      <c r="N79" s="54">
        <v>8</v>
      </c>
      <c r="O79" s="24" t="s">
        <v>87</v>
      </c>
      <c r="P79" s="24" t="s">
        <v>187</v>
      </c>
      <c r="Q79" s="22" t="s">
        <v>62</v>
      </c>
      <c r="R79" s="24" t="s">
        <v>475</v>
      </c>
      <c r="S79" s="20">
        <v>25569.25</v>
      </c>
      <c r="T79" s="20">
        <v>25569.598611111101</v>
      </c>
      <c r="U79" s="22"/>
      <c r="V79" s="25"/>
      <c r="W79" s="71" t="s">
        <v>81</v>
      </c>
    </row>
    <row r="80" spans="2:23" s="16" customFormat="1" ht="73.150000000000006" hidden="1" customHeight="1" x14ac:dyDescent="0.2">
      <c r="B80" s="26">
        <v>42812</v>
      </c>
      <c r="C80" s="27">
        <v>25569.40625</v>
      </c>
      <c r="D80" s="28" t="s">
        <v>476</v>
      </c>
      <c r="E80" s="29" t="s">
        <v>477</v>
      </c>
      <c r="F80" s="29" t="s">
        <v>247</v>
      </c>
      <c r="G80" s="30">
        <v>45</v>
      </c>
      <c r="H80" s="28" t="s">
        <v>478</v>
      </c>
      <c r="I80" s="28" t="s">
        <v>1405</v>
      </c>
      <c r="J80" s="30" t="s">
        <v>3</v>
      </c>
      <c r="K80" s="55" t="s">
        <v>4</v>
      </c>
      <c r="L80" s="58" t="s">
        <v>34</v>
      </c>
      <c r="M80" s="56" t="s">
        <v>34</v>
      </c>
      <c r="N80" s="54"/>
      <c r="O80" s="31" t="s">
        <v>144</v>
      </c>
      <c r="P80" s="31" t="s">
        <v>429</v>
      </c>
      <c r="Q80" s="29" t="s">
        <v>122</v>
      </c>
      <c r="R80" s="31" t="s">
        <v>479</v>
      </c>
      <c r="S80" s="27">
        <v>25569.28125</v>
      </c>
      <c r="T80" s="27">
        <v>25569.649305555598</v>
      </c>
      <c r="U80" s="29"/>
      <c r="V80" s="32"/>
      <c r="W80" s="72" t="s">
        <v>73</v>
      </c>
    </row>
    <row r="81" spans="2:23" s="16" customFormat="1" ht="62.45" hidden="1" customHeight="1" x14ac:dyDescent="0.2">
      <c r="B81" s="19">
        <v>42813</v>
      </c>
      <c r="C81" s="20">
        <v>25569.375</v>
      </c>
      <c r="D81" s="21" t="s">
        <v>480</v>
      </c>
      <c r="E81" s="22" t="s">
        <v>481</v>
      </c>
      <c r="F81" s="22" t="s">
        <v>223</v>
      </c>
      <c r="G81" s="23">
        <v>37</v>
      </c>
      <c r="H81" s="21" t="s">
        <v>482</v>
      </c>
      <c r="I81" s="21" t="s">
        <v>1405</v>
      </c>
      <c r="J81" s="23" t="s">
        <v>3</v>
      </c>
      <c r="K81" s="55" t="s">
        <v>4</v>
      </c>
      <c r="L81" s="58" t="s">
        <v>34</v>
      </c>
      <c r="M81" s="56" t="s">
        <v>34</v>
      </c>
      <c r="N81" s="54"/>
      <c r="O81" s="24" t="s">
        <v>78</v>
      </c>
      <c r="P81" s="24" t="s">
        <v>1407</v>
      </c>
      <c r="Q81" s="22" t="s">
        <v>79</v>
      </c>
      <c r="R81" s="24" t="s">
        <v>483</v>
      </c>
      <c r="S81" s="20">
        <v>25569.28125</v>
      </c>
      <c r="T81" s="20">
        <v>25569.649305555598</v>
      </c>
      <c r="U81" s="22"/>
      <c r="V81" s="25"/>
      <c r="W81" s="71" t="s">
        <v>81</v>
      </c>
    </row>
    <row r="82" spans="2:23" s="16" customFormat="1" ht="41.1" hidden="1" customHeight="1" x14ac:dyDescent="0.2">
      <c r="B82" s="26">
        <v>42814</v>
      </c>
      <c r="C82" s="27">
        <v>25569.333333333299</v>
      </c>
      <c r="D82" s="28" t="s">
        <v>484</v>
      </c>
      <c r="E82" s="29" t="s">
        <v>485</v>
      </c>
      <c r="F82" s="29" t="s">
        <v>486</v>
      </c>
      <c r="G82" s="30">
        <v>30</v>
      </c>
      <c r="H82" s="28" t="s">
        <v>487</v>
      </c>
      <c r="I82" s="28" t="s">
        <v>1403</v>
      </c>
      <c r="J82" s="30" t="s">
        <v>3</v>
      </c>
      <c r="K82" s="55" t="s">
        <v>4</v>
      </c>
      <c r="L82" s="59" t="s">
        <v>33</v>
      </c>
      <c r="M82" s="56" t="s">
        <v>34</v>
      </c>
      <c r="N82" s="54">
        <v>38</v>
      </c>
      <c r="O82" s="31" t="s">
        <v>78</v>
      </c>
      <c r="P82" s="31" t="s">
        <v>488</v>
      </c>
      <c r="Q82" s="29" t="s">
        <v>62</v>
      </c>
      <c r="R82" s="31" t="s">
        <v>489</v>
      </c>
      <c r="S82" s="27">
        <v>25569.253472222201</v>
      </c>
      <c r="T82" s="27">
        <v>25569.604166666701</v>
      </c>
      <c r="U82" s="29"/>
      <c r="V82" s="32"/>
      <c r="W82" s="72" t="s">
        <v>81</v>
      </c>
    </row>
    <row r="83" spans="2:23" s="16" customFormat="1" ht="51.75" hidden="1" customHeight="1" x14ac:dyDescent="0.2">
      <c r="B83" s="19">
        <v>42816</v>
      </c>
      <c r="C83" s="20">
        <v>25569.5625</v>
      </c>
      <c r="D83" s="21" t="s">
        <v>490</v>
      </c>
      <c r="E83" s="22" t="s">
        <v>491</v>
      </c>
      <c r="F83" s="22" t="s">
        <v>333</v>
      </c>
      <c r="G83" s="23">
        <v>53</v>
      </c>
      <c r="H83" s="21" t="s">
        <v>492</v>
      </c>
      <c r="I83" s="21" t="s">
        <v>1405</v>
      </c>
      <c r="J83" s="23" t="s">
        <v>3</v>
      </c>
      <c r="K83" s="55" t="s">
        <v>4</v>
      </c>
      <c r="L83" s="58" t="s">
        <v>34</v>
      </c>
      <c r="M83" s="56" t="s">
        <v>34</v>
      </c>
      <c r="N83" s="54"/>
      <c r="O83" s="24" t="s">
        <v>87</v>
      </c>
      <c r="P83" s="24" t="s">
        <v>493</v>
      </c>
      <c r="Q83" s="22" t="s">
        <v>8</v>
      </c>
      <c r="R83" s="24" t="s">
        <v>494</v>
      </c>
      <c r="S83" s="20">
        <v>25569.28125</v>
      </c>
      <c r="T83" s="20">
        <v>25569.6472222222</v>
      </c>
      <c r="U83" s="22"/>
      <c r="V83" s="25"/>
      <c r="W83" s="71" t="s">
        <v>73</v>
      </c>
    </row>
    <row r="84" spans="2:23" s="16" customFormat="1" ht="51.75" hidden="1" customHeight="1" x14ac:dyDescent="0.2">
      <c r="B84" s="26">
        <v>42819</v>
      </c>
      <c r="C84" s="27">
        <v>25569.559027777799</v>
      </c>
      <c r="D84" s="28" t="s">
        <v>495</v>
      </c>
      <c r="E84" s="29" t="s">
        <v>496</v>
      </c>
      <c r="F84" s="29" t="s">
        <v>247</v>
      </c>
      <c r="G84" s="30">
        <v>45</v>
      </c>
      <c r="H84" s="28" t="s">
        <v>497</v>
      </c>
      <c r="I84" s="28" t="s">
        <v>1413</v>
      </c>
      <c r="J84" s="30" t="s">
        <v>3</v>
      </c>
      <c r="K84" s="57" t="s">
        <v>1404</v>
      </c>
      <c r="L84" s="59" t="s">
        <v>33</v>
      </c>
      <c r="M84" s="56" t="s">
        <v>34</v>
      </c>
      <c r="N84" s="54">
        <v>17</v>
      </c>
      <c r="O84" s="31" t="s">
        <v>69</v>
      </c>
      <c r="P84" s="31" t="s">
        <v>1407</v>
      </c>
      <c r="Q84" s="29" t="s">
        <v>71</v>
      </c>
      <c r="R84" s="31" t="s">
        <v>498</v>
      </c>
      <c r="S84" s="27">
        <v>25569.570138888899</v>
      </c>
      <c r="T84" s="27">
        <v>25569.916666666701</v>
      </c>
      <c r="U84" s="29" t="s">
        <v>499</v>
      </c>
      <c r="V84" s="32"/>
      <c r="W84" s="72" t="s">
        <v>81</v>
      </c>
    </row>
    <row r="85" spans="2:23" s="16" customFormat="1" ht="41.1" hidden="1" customHeight="1" x14ac:dyDescent="0.2">
      <c r="B85" s="19">
        <v>42820</v>
      </c>
      <c r="C85" s="20">
        <v>25569.5625</v>
      </c>
      <c r="D85" s="21" t="s">
        <v>500</v>
      </c>
      <c r="E85" s="22" t="s">
        <v>141</v>
      </c>
      <c r="F85" s="22" t="s">
        <v>142</v>
      </c>
      <c r="G85" s="23">
        <v>33</v>
      </c>
      <c r="H85" s="21" t="s">
        <v>143</v>
      </c>
      <c r="I85" s="21" t="s">
        <v>1405</v>
      </c>
      <c r="J85" s="23" t="s">
        <v>3</v>
      </c>
      <c r="K85" s="55" t="s">
        <v>4</v>
      </c>
      <c r="L85" s="58" t="s">
        <v>34</v>
      </c>
      <c r="M85" s="56" t="s">
        <v>34</v>
      </c>
      <c r="N85" s="54"/>
      <c r="O85" s="24" t="s">
        <v>60</v>
      </c>
      <c r="P85" s="24" t="s">
        <v>121</v>
      </c>
      <c r="Q85" s="22" t="s">
        <v>122</v>
      </c>
      <c r="R85" s="24" t="s">
        <v>501</v>
      </c>
      <c r="S85" s="20">
        <v>25569.25</v>
      </c>
      <c r="T85" s="20">
        <v>25569.613194444501</v>
      </c>
      <c r="U85" s="22" t="s">
        <v>502</v>
      </c>
      <c r="V85" s="25"/>
      <c r="W85" s="71" t="s">
        <v>81</v>
      </c>
    </row>
    <row r="86" spans="2:23" s="16" customFormat="1" ht="30.4" customHeight="1" x14ac:dyDescent="0.2">
      <c r="B86" s="26">
        <v>42821</v>
      </c>
      <c r="C86" s="27">
        <v>25569.21875</v>
      </c>
      <c r="D86" s="28" t="s">
        <v>503</v>
      </c>
      <c r="E86" s="29" t="s">
        <v>504</v>
      </c>
      <c r="F86" s="29" t="s">
        <v>57</v>
      </c>
      <c r="G86" s="30">
        <v>42</v>
      </c>
      <c r="H86" s="28" t="s">
        <v>505</v>
      </c>
      <c r="I86" s="28" t="s">
        <v>1421</v>
      </c>
      <c r="J86" s="30" t="s">
        <v>3</v>
      </c>
      <c r="K86" s="57" t="s">
        <v>1404</v>
      </c>
      <c r="L86" s="58" t="s">
        <v>34</v>
      </c>
      <c r="M86" s="56" t="s">
        <v>34</v>
      </c>
      <c r="N86" s="54">
        <v>0</v>
      </c>
      <c r="O86" s="31" t="s">
        <v>60</v>
      </c>
      <c r="P86" s="31" t="s">
        <v>61</v>
      </c>
      <c r="Q86" s="29" t="s">
        <v>506</v>
      </c>
      <c r="R86" s="31" t="s">
        <v>507</v>
      </c>
      <c r="S86" s="27">
        <v>25569.25</v>
      </c>
      <c r="T86" s="27">
        <v>25569.598611111101</v>
      </c>
      <c r="U86" s="29"/>
      <c r="V86" s="32"/>
      <c r="W86" s="72" t="s">
        <v>81</v>
      </c>
    </row>
    <row r="87" spans="2:23" s="16" customFormat="1" ht="41.1" customHeight="1" x14ac:dyDescent="0.2">
      <c r="B87" s="19">
        <v>42821</v>
      </c>
      <c r="C87" s="20">
        <v>25569.7097222222</v>
      </c>
      <c r="D87" s="21" t="s">
        <v>508</v>
      </c>
      <c r="E87" s="22" t="s">
        <v>509</v>
      </c>
      <c r="F87" s="22" t="s">
        <v>247</v>
      </c>
      <c r="G87" s="23">
        <v>35</v>
      </c>
      <c r="H87" s="21" t="s">
        <v>510</v>
      </c>
      <c r="I87" s="21" t="s">
        <v>1421</v>
      </c>
      <c r="J87" s="23" t="s">
        <v>3</v>
      </c>
      <c r="K87" s="55" t="s">
        <v>4</v>
      </c>
      <c r="L87" s="58" t="s">
        <v>34</v>
      </c>
      <c r="M87" s="56" t="s">
        <v>34</v>
      </c>
      <c r="N87" s="54"/>
      <c r="O87" s="24" t="s">
        <v>133</v>
      </c>
      <c r="P87" s="24" t="s">
        <v>61</v>
      </c>
      <c r="Q87" s="22" t="s">
        <v>71</v>
      </c>
      <c r="R87" s="24" t="s">
        <v>511</v>
      </c>
      <c r="S87" s="20">
        <v>25569.583333333299</v>
      </c>
      <c r="T87" s="20">
        <v>25569.931250000001</v>
      </c>
      <c r="U87" s="22"/>
      <c r="V87" s="25"/>
      <c r="W87" s="71" t="s">
        <v>73</v>
      </c>
    </row>
    <row r="88" spans="2:23" s="16" customFormat="1" ht="51.75" hidden="1" customHeight="1" x14ac:dyDescent="0.2">
      <c r="B88" s="26">
        <v>42821</v>
      </c>
      <c r="C88" s="27">
        <v>25569.75</v>
      </c>
      <c r="D88" s="28" t="s">
        <v>512</v>
      </c>
      <c r="E88" s="29" t="s">
        <v>513</v>
      </c>
      <c r="F88" s="29" t="s">
        <v>142</v>
      </c>
      <c r="G88" s="30">
        <v>33</v>
      </c>
      <c r="H88" s="28" t="s">
        <v>514</v>
      </c>
      <c r="I88" s="28" t="s">
        <v>1423</v>
      </c>
      <c r="J88" s="30" t="s">
        <v>3</v>
      </c>
      <c r="K88" s="55" t="s">
        <v>4</v>
      </c>
      <c r="L88" s="58" t="s">
        <v>34</v>
      </c>
      <c r="M88" s="56" t="s">
        <v>34</v>
      </c>
      <c r="N88" s="54"/>
      <c r="O88" s="31" t="s">
        <v>78</v>
      </c>
      <c r="P88" s="31" t="s">
        <v>173</v>
      </c>
      <c r="Q88" s="29" t="s">
        <v>114</v>
      </c>
      <c r="R88" s="31" t="s">
        <v>515</v>
      </c>
      <c r="S88" s="27">
        <v>25569.611111111099</v>
      </c>
      <c r="T88" s="27">
        <v>25569.958333333299</v>
      </c>
      <c r="U88" s="29"/>
      <c r="V88" s="32"/>
      <c r="W88" s="72"/>
    </row>
    <row r="89" spans="2:23" s="16" customFormat="1" ht="51.75" hidden="1" customHeight="1" x14ac:dyDescent="0.2">
      <c r="B89" s="19">
        <v>42821</v>
      </c>
      <c r="C89" s="20">
        <v>25569.989583333299</v>
      </c>
      <c r="D89" s="21" t="s">
        <v>516</v>
      </c>
      <c r="E89" s="22" t="s">
        <v>517</v>
      </c>
      <c r="F89" s="22" t="s">
        <v>156</v>
      </c>
      <c r="G89" s="23">
        <v>56</v>
      </c>
      <c r="H89" s="21" t="s">
        <v>518</v>
      </c>
      <c r="I89" s="21" t="s">
        <v>1417</v>
      </c>
      <c r="J89" s="23" t="s">
        <v>3</v>
      </c>
      <c r="K89" s="57" t="s">
        <v>1404</v>
      </c>
      <c r="L89" s="58" t="s">
        <v>34</v>
      </c>
      <c r="M89" s="56" t="s">
        <v>34</v>
      </c>
      <c r="N89" s="54"/>
      <c r="O89" s="24" t="s">
        <v>60</v>
      </c>
      <c r="P89" s="24" t="s">
        <v>213</v>
      </c>
      <c r="Q89" s="22" t="s">
        <v>122</v>
      </c>
      <c r="R89" s="24" t="s">
        <v>519</v>
      </c>
      <c r="S89" s="20">
        <v>25569.611111111099</v>
      </c>
      <c r="T89" s="20">
        <v>25569.958333333299</v>
      </c>
      <c r="U89" s="22"/>
      <c r="V89" s="25"/>
      <c r="W89" s="71" t="s">
        <v>195</v>
      </c>
    </row>
    <row r="90" spans="2:23" s="16" customFormat="1" ht="41.1" customHeight="1" x14ac:dyDescent="0.2">
      <c r="B90" s="26">
        <v>42822</v>
      </c>
      <c r="C90" s="27">
        <v>25569.666666666701</v>
      </c>
      <c r="D90" s="28" t="s">
        <v>520</v>
      </c>
      <c r="E90" s="29" t="s">
        <v>521</v>
      </c>
      <c r="F90" s="29" t="s">
        <v>522</v>
      </c>
      <c r="G90" s="30">
        <v>30</v>
      </c>
      <c r="H90" s="28" t="s">
        <v>523</v>
      </c>
      <c r="I90" s="28" t="s">
        <v>1421</v>
      </c>
      <c r="J90" s="30" t="s">
        <v>3</v>
      </c>
      <c r="K90" s="55" t="s">
        <v>4</v>
      </c>
      <c r="L90" s="59" t="s">
        <v>33</v>
      </c>
      <c r="M90" s="56" t="s">
        <v>34</v>
      </c>
      <c r="N90" s="54">
        <v>3</v>
      </c>
      <c r="O90" s="31" t="s">
        <v>78</v>
      </c>
      <c r="P90" s="31" t="s">
        <v>1407</v>
      </c>
      <c r="Q90" s="29" t="s">
        <v>62</v>
      </c>
      <c r="R90" s="31" t="s">
        <v>524</v>
      </c>
      <c r="S90" s="27">
        <v>25569.583333333299</v>
      </c>
      <c r="T90" s="27">
        <v>25569.9375</v>
      </c>
      <c r="U90" s="29"/>
      <c r="V90" s="32"/>
      <c r="W90" s="72" t="s">
        <v>81</v>
      </c>
    </row>
    <row r="91" spans="2:23" s="16" customFormat="1" ht="51.75" hidden="1" customHeight="1" x14ac:dyDescent="0.2">
      <c r="B91" s="19">
        <v>42822</v>
      </c>
      <c r="C91" s="20">
        <v>25569.958333333299</v>
      </c>
      <c r="D91" s="21" t="s">
        <v>525</v>
      </c>
      <c r="E91" s="22" t="s">
        <v>526</v>
      </c>
      <c r="F91" s="22" t="s">
        <v>270</v>
      </c>
      <c r="G91" s="23">
        <v>56</v>
      </c>
      <c r="H91" s="21" t="s">
        <v>527</v>
      </c>
      <c r="I91" s="21" t="s">
        <v>1408</v>
      </c>
      <c r="J91" s="23" t="s">
        <v>3</v>
      </c>
      <c r="K91" s="55" t="s">
        <v>4</v>
      </c>
      <c r="L91" s="59" t="s">
        <v>33</v>
      </c>
      <c r="M91" s="56" t="s">
        <v>34</v>
      </c>
      <c r="N91" s="54">
        <v>203</v>
      </c>
      <c r="O91" s="24" t="s">
        <v>78</v>
      </c>
      <c r="P91" s="24" t="s">
        <v>61</v>
      </c>
      <c r="Q91" s="22" t="s">
        <v>62</v>
      </c>
      <c r="R91" s="24" t="s">
        <v>528</v>
      </c>
      <c r="S91" s="20">
        <v>25569.90625</v>
      </c>
      <c r="T91" s="20">
        <v>25569.25</v>
      </c>
      <c r="U91" s="22"/>
      <c r="V91" s="25"/>
      <c r="W91" s="71" t="s">
        <v>81</v>
      </c>
    </row>
    <row r="92" spans="2:23" s="16" customFormat="1" ht="41.1" hidden="1" customHeight="1" x14ac:dyDescent="0.2">
      <c r="B92" s="26">
        <v>42823</v>
      </c>
      <c r="C92" s="27">
        <v>25569.354166666701</v>
      </c>
      <c r="D92" s="28" t="s">
        <v>529</v>
      </c>
      <c r="E92" s="29" t="s">
        <v>530</v>
      </c>
      <c r="F92" s="29" t="s">
        <v>531</v>
      </c>
      <c r="G92" s="30">
        <v>59</v>
      </c>
      <c r="H92" s="28" t="s">
        <v>532</v>
      </c>
      <c r="I92" s="28" t="s">
        <v>1430</v>
      </c>
      <c r="J92" s="30" t="s">
        <v>3</v>
      </c>
      <c r="K92" s="55" t="s">
        <v>4</v>
      </c>
      <c r="L92" s="58" t="s">
        <v>34</v>
      </c>
      <c r="M92" s="56" t="s">
        <v>34</v>
      </c>
      <c r="N92" s="54"/>
      <c r="O92" s="31" t="s">
        <v>60</v>
      </c>
      <c r="P92" s="31" t="s">
        <v>121</v>
      </c>
      <c r="Q92" s="29" t="s">
        <v>122</v>
      </c>
      <c r="R92" s="31" t="s">
        <v>534</v>
      </c>
      <c r="S92" s="27">
        <v>25569.229166666701</v>
      </c>
      <c r="T92" s="27">
        <v>25569.593055555601</v>
      </c>
      <c r="U92" s="29"/>
      <c r="V92" s="32"/>
      <c r="W92" s="72"/>
    </row>
    <row r="93" spans="2:23" s="16" customFormat="1" ht="41.1" hidden="1" customHeight="1" x14ac:dyDescent="0.2">
      <c r="B93" s="19">
        <v>42823</v>
      </c>
      <c r="C93" s="20">
        <v>25569.770833333299</v>
      </c>
      <c r="D93" s="21" t="s">
        <v>535</v>
      </c>
      <c r="E93" s="22" t="s">
        <v>536</v>
      </c>
      <c r="F93" s="22" t="s">
        <v>105</v>
      </c>
      <c r="G93" s="23">
        <v>56</v>
      </c>
      <c r="H93" s="21" t="s">
        <v>537</v>
      </c>
      <c r="I93" s="21" t="s">
        <v>1411</v>
      </c>
      <c r="J93" s="23" t="s">
        <v>3</v>
      </c>
      <c r="K93" s="55" t="s">
        <v>4</v>
      </c>
      <c r="L93" s="58" t="s">
        <v>34</v>
      </c>
      <c r="M93" s="56" t="s">
        <v>34</v>
      </c>
      <c r="N93" s="54"/>
      <c r="O93" s="24" t="s">
        <v>78</v>
      </c>
      <c r="P93" s="24" t="s">
        <v>219</v>
      </c>
      <c r="Q93" s="22" t="s">
        <v>146</v>
      </c>
      <c r="R93" s="24" t="s">
        <v>538</v>
      </c>
      <c r="S93" s="20">
        <v>25569.590277777799</v>
      </c>
      <c r="T93" s="20">
        <v>25569.9444444445</v>
      </c>
      <c r="U93" s="22"/>
      <c r="V93" s="25"/>
      <c r="W93" s="71" t="s">
        <v>81</v>
      </c>
    </row>
    <row r="94" spans="2:23" s="16" customFormat="1" ht="51.75" hidden="1" customHeight="1" x14ac:dyDescent="0.2">
      <c r="B94" s="26">
        <v>42824</v>
      </c>
      <c r="C94" s="27">
        <v>25569.722222222201</v>
      </c>
      <c r="D94" s="28" t="s">
        <v>539</v>
      </c>
      <c r="E94" s="29" t="s">
        <v>540</v>
      </c>
      <c r="F94" s="29" t="s">
        <v>541</v>
      </c>
      <c r="G94" s="30">
        <v>19</v>
      </c>
      <c r="H94" s="28" t="s">
        <v>542</v>
      </c>
      <c r="I94" s="28" t="s">
        <v>1414</v>
      </c>
      <c r="J94" s="30" t="s">
        <v>3</v>
      </c>
      <c r="K94" s="57" t="s">
        <v>1404</v>
      </c>
      <c r="L94" s="59" t="s">
        <v>33</v>
      </c>
      <c r="M94" s="56" t="s">
        <v>34</v>
      </c>
      <c r="N94" s="54">
        <v>22</v>
      </c>
      <c r="O94" s="31" t="s">
        <v>87</v>
      </c>
      <c r="P94" s="31" t="s">
        <v>187</v>
      </c>
      <c r="Q94" s="29" t="s">
        <v>122</v>
      </c>
      <c r="R94" s="31" t="s">
        <v>543</v>
      </c>
      <c r="S94" s="27">
        <v>25569.333333333299</v>
      </c>
      <c r="T94" s="27">
        <v>25569.708333333299</v>
      </c>
      <c r="U94" s="31"/>
      <c r="V94" s="32"/>
      <c r="W94" s="72" t="s">
        <v>81</v>
      </c>
    </row>
    <row r="95" spans="2:23" s="16" customFormat="1" ht="73.150000000000006" hidden="1" customHeight="1" x14ac:dyDescent="0.2">
      <c r="B95" s="19">
        <v>42825</v>
      </c>
      <c r="C95" s="20">
        <v>25569.083333333299</v>
      </c>
      <c r="D95" s="21" t="s">
        <v>544</v>
      </c>
      <c r="E95" s="22" t="s">
        <v>545</v>
      </c>
      <c r="F95" s="22" t="s">
        <v>546</v>
      </c>
      <c r="G95" s="23">
        <v>50</v>
      </c>
      <c r="H95" s="21" t="s">
        <v>547</v>
      </c>
      <c r="I95" s="21" t="s">
        <v>1431</v>
      </c>
      <c r="J95" s="23" t="s">
        <v>3</v>
      </c>
      <c r="K95" s="55" t="s">
        <v>4</v>
      </c>
      <c r="L95" s="58" t="s">
        <v>34</v>
      </c>
      <c r="M95" s="56" t="s">
        <v>34</v>
      </c>
      <c r="N95" s="54"/>
      <c r="O95" s="24" t="s">
        <v>60</v>
      </c>
      <c r="P95" s="24" t="s">
        <v>61</v>
      </c>
      <c r="Q95" s="22" t="s">
        <v>122</v>
      </c>
      <c r="R95" s="33" t="s">
        <v>549</v>
      </c>
      <c r="S95" s="20">
        <v>25569.333333333299</v>
      </c>
      <c r="T95" s="20">
        <v>25569.6875</v>
      </c>
      <c r="U95" s="22"/>
      <c r="V95" s="25"/>
      <c r="W95" s="71" t="s">
        <v>73</v>
      </c>
    </row>
    <row r="96" spans="2:23" s="16" customFormat="1" ht="62.45" hidden="1" customHeight="1" x14ac:dyDescent="0.2">
      <c r="B96" s="26">
        <v>42825</v>
      </c>
      <c r="C96" s="27">
        <v>25569.277777777799</v>
      </c>
      <c r="D96" s="28" t="s">
        <v>550</v>
      </c>
      <c r="E96" s="29" t="s">
        <v>551</v>
      </c>
      <c r="F96" s="29" t="s">
        <v>105</v>
      </c>
      <c r="G96" s="30">
        <v>51</v>
      </c>
      <c r="H96" s="28" t="s">
        <v>552</v>
      </c>
      <c r="I96" s="28" t="s">
        <v>1405</v>
      </c>
      <c r="J96" s="30" t="s">
        <v>3</v>
      </c>
      <c r="K96" s="55" t="s">
        <v>4</v>
      </c>
      <c r="L96" s="59" t="s">
        <v>33</v>
      </c>
      <c r="M96" s="56" t="s">
        <v>34</v>
      </c>
      <c r="N96" s="54">
        <v>7</v>
      </c>
      <c r="O96" s="31" t="s">
        <v>133</v>
      </c>
      <c r="P96" s="31" t="s">
        <v>88</v>
      </c>
      <c r="Q96" s="29" t="s">
        <v>8</v>
      </c>
      <c r="R96" s="31" t="s">
        <v>553</v>
      </c>
      <c r="S96" s="27">
        <v>25569.28125</v>
      </c>
      <c r="T96" s="27">
        <v>25569.649305555598</v>
      </c>
      <c r="U96" s="29"/>
      <c r="V96" s="32"/>
      <c r="W96" s="72" t="s">
        <v>81</v>
      </c>
    </row>
    <row r="97" spans="2:23" s="16" customFormat="1" ht="41.1" customHeight="1" x14ac:dyDescent="0.2">
      <c r="B97" s="19">
        <v>42828</v>
      </c>
      <c r="C97" s="20">
        <v>25569.375</v>
      </c>
      <c r="D97" s="21" t="s">
        <v>554</v>
      </c>
      <c r="E97" s="22" t="s">
        <v>555</v>
      </c>
      <c r="F97" s="22" t="s">
        <v>556</v>
      </c>
      <c r="G97" s="23">
        <v>53</v>
      </c>
      <c r="H97" s="21" t="s">
        <v>557</v>
      </c>
      <c r="I97" s="21" t="s">
        <v>1421</v>
      </c>
      <c r="J97" s="23" t="s">
        <v>3</v>
      </c>
      <c r="K97" s="55" t="s">
        <v>4</v>
      </c>
      <c r="L97" s="58" t="s">
        <v>34</v>
      </c>
      <c r="M97" s="60" t="s">
        <v>33</v>
      </c>
      <c r="N97" s="54"/>
      <c r="O97" s="24" t="s">
        <v>78</v>
      </c>
      <c r="P97" s="24" t="s">
        <v>121</v>
      </c>
      <c r="Q97" s="22" t="s">
        <v>122</v>
      </c>
      <c r="R97" s="24" t="s">
        <v>558</v>
      </c>
      <c r="S97" s="20">
        <v>25569.25</v>
      </c>
      <c r="T97" s="20">
        <v>25569.598611111101</v>
      </c>
      <c r="U97" s="22"/>
      <c r="V97" s="25"/>
      <c r="W97" s="71"/>
    </row>
    <row r="98" spans="2:23" s="16" customFormat="1" ht="51.75" hidden="1" customHeight="1" x14ac:dyDescent="0.2">
      <c r="B98" s="26">
        <v>42830</v>
      </c>
      <c r="C98" s="27">
        <v>25569.34375</v>
      </c>
      <c r="D98" s="28" t="s">
        <v>559</v>
      </c>
      <c r="E98" s="29" t="s">
        <v>560</v>
      </c>
      <c r="F98" s="29" t="s">
        <v>561</v>
      </c>
      <c r="G98" s="30">
        <v>26</v>
      </c>
      <c r="H98" s="28" t="s">
        <v>562</v>
      </c>
      <c r="I98" s="28" t="s">
        <v>1406</v>
      </c>
      <c r="J98" s="30" t="s">
        <v>3</v>
      </c>
      <c r="K98" s="57" t="s">
        <v>1404</v>
      </c>
      <c r="L98" s="58" t="s">
        <v>34</v>
      </c>
      <c r="M98" s="56" t="s">
        <v>34</v>
      </c>
      <c r="N98" s="54"/>
      <c r="O98" s="31" t="s">
        <v>87</v>
      </c>
      <c r="P98" s="31" t="s">
        <v>423</v>
      </c>
      <c r="Q98" s="29" t="s">
        <v>122</v>
      </c>
      <c r="R98" s="31" t="s">
        <v>563</v>
      </c>
      <c r="S98" s="27">
        <v>25569.375</v>
      </c>
      <c r="T98" s="27">
        <v>25569.729166666701</v>
      </c>
      <c r="U98" s="31"/>
      <c r="V98" s="32"/>
      <c r="W98" s="72" t="s">
        <v>73</v>
      </c>
    </row>
    <row r="99" spans="2:23" s="16" customFormat="1" ht="41.1" hidden="1" customHeight="1" x14ac:dyDescent="0.2">
      <c r="B99" s="19">
        <v>42831</v>
      </c>
      <c r="C99" s="20">
        <v>25569.857638888901</v>
      </c>
      <c r="D99" s="21" t="s">
        <v>564</v>
      </c>
      <c r="E99" s="22" t="s">
        <v>565</v>
      </c>
      <c r="F99" s="22" t="s">
        <v>105</v>
      </c>
      <c r="G99" s="23">
        <v>47</v>
      </c>
      <c r="H99" s="21" t="s">
        <v>566</v>
      </c>
      <c r="I99" s="21" t="s">
        <v>1405</v>
      </c>
      <c r="J99" s="23" t="s">
        <v>3</v>
      </c>
      <c r="K99" s="55" t="s">
        <v>4</v>
      </c>
      <c r="L99" s="58" t="s">
        <v>34</v>
      </c>
      <c r="M99" s="56" t="s">
        <v>34</v>
      </c>
      <c r="N99" s="54"/>
      <c r="O99" s="24" t="s">
        <v>144</v>
      </c>
      <c r="P99" s="24" t="s">
        <v>429</v>
      </c>
      <c r="Q99" s="22" t="s">
        <v>146</v>
      </c>
      <c r="R99" s="24" t="s">
        <v>567</v>
      </c>
      <c r="S99" s="20">
        <v>25569.604166666701</v>
      </c>
      <c r="T99" s="20">
        <v>25569.999305555601</v>
      </c>
      <c r="U99" s="22"/>
      <c r="V99" s="25"/>
      <c r="W99" s="71" t="s">
        <v>73</v>
      </c>
    </row>
    <row r="100" spans="2:23" s="16" customFormat="1" ht="62.45" customHeight="1" x14ac:dyDescent="0.2">
      <c r="B100" s="26">
        <v>42831</v>
      </c>
      <c r="C100" s="27">
        <v>25569.875</v>
      </c>
      <c r="D100" s="28" t="s">
        <v>568</v>
      </c>
      <c r="E100" s="29" t="s">
        <v>569</v>
      </c>
      <c r="F100" s="29" t="s">
        <v>570</v>
      </c>
      <c r="G100" s="30">
        <v>29</v>
      </c>
      <c r="H100" s="28" t="s">
        <v>571</v>
      </c>
      <c r="I100" s="28" t="s">
        <v>1421</v>
      </c>
      <c r="J100" s="30" t="s">
        <v>3</v>
      </c>
      <c r="K100" s="55" t="s">
        <v>4</v>
      </c>
      <c r="L100" s="58" t="s">
        <v>34</v>
      </c>
      <c r="M100" s="56" t="s">
        <v>34</v>
      </c>
      <c r="N100" s="54"/>
      <c r="O100" s="31" t="s">
        <v>78</v>
      </c>
      <c r="P100" s="31" t="s">
        <v>187</v>
      </c>
      <c r="Q100" s="29" t="s">
        <v>122</v>
      </c>
      <c r="R100" s="31" t="s">
        <v>572</v>
      </c>
      <c r="S100" s="27">
        <v>25569.597916666698</v>
      </c>
      <c r="T100" s="27">
        <v>25569.927083333299</v>
      </c>
      <c r="U100" s="29"/>
      <c r="V100" s="32"/>
      <c r="W100" s="72" t="s">
        <v>73</v>
      </c>
    </row>
    <row r="101" spans="2:23" s="16" customFormat="1" ht="62.45" hidden="1" customHeight="1" x14ac:dyDescent="0.2">
      <c r="B101" s="19">
        <v>42833</v>
      </c>
      <c r="C101" s="20">
        <v>25569.986111111099</v>
      </c>
      <c r="D101" s="21" t="s">
        <v>573</v>
      </c>
      <c r="E101" s="22" t="s">
        <v>574</v>
      </c>
      <c r="F101" s="22" t="s">
        <v>575</v>
      </c>
      <c r="G101" s="23">
        <v>40</v>
      </c>
      <c r="H101" s="21" t="s">
        <v>576</v>
      </c>
      <c r="I101" s="21" t="s">
        <v>1408</v>
      </c>
      <c r="J101" s="23" t="s">
        <v>3</v>
      </c>
      <c r="K101" s="55" t="s">
        <v>4</v>
      </c>
      <c r="L101" s="59" t="s">
        <v>33</v>
      </c>
      <c r="M101" s="56" t="s">
        <v>34</v>
      </c>
      <c r="N101" s="54">
        <v>211</v>
      </c>
      <c r="O101" s="24" t="s">
        <v>405</v>
      </c>
      <c r="P101" s="24" t="s">
        <v>1407</v>
      </c>
      <c r="Q101" s="22" t="s">
        <v>62</v>
      </c>
      <c r="R101" s="24" t="s">
        <v>577</v>
      </c>
      <c r="S101" s="20">
        <v>25569.90625</v>
      </c>
      <c r="T101" s="20">
        <v>25569.25</v>
      </c>
      <c r="U101" s="22"/>
      <c r="V101" s="25"/>
      <c r="W101" s="71"/>
    </row>
    <row r="102" spans="2:23" s="16" customFormat="1" ht="41.1" hidden="1" customHeight="1" x14ac:dyDescent="0.2">
      <c r="B102" s="26">
        <v>42835</v>
      </c>
      <c r="C102" s="27">
        <v>25569.958333333299</v>
      </c>
      <c r="D102" s="28" t="s">
        <v>578</v>
      </c>
      <c r="E102" s="29" t="s">
        <v>579</v>
      </c>
      <c r="F102" s="29" t="s">
        <v>580</v>
      </c>
      <c r="G102" s="30">
        <v>37</v>
      </c>
      <c r="H102" s="28" t="s">
        <v>581</v>
      </c>
      <c r="I102" s="28" t="s">
        <v>1432</v>
      </c>
      <c r="J102" s="30" t="s">
        <v>3</v>
      </c>
      <c r="K102" s="55" t="s">
        <v>4</v>
      </c>
      <c r="L102" s="58" t="s">
        <v>34</v>
      </c>
      <c r="M102" s="56" t="s">
        <v>34</v>
      </c>
      <c r="N102" s="54"/>
      <c r="O102" s="31" t="s">
        <v>69</v>
      </c>
      <c r="P102" s="31" t="s">
        <v>493</v>
      </c>
      <c r="Q102" s="29" t="s">
        <v>71</v>
      </c>
      <c r="R102" s="31" t="s">
        <v>583</v>
      </c>
      <c r="S102" s="27">
        <v>25569.786805555599</v>
      </c>
      <c r="T102" s="27">
        <v>25569.145833333299</v>
      </c>
      <c r="U102" s="29"/>
      <c r="V102" s="32"/>
      <c r="W102" s="72" t="s">
        <v>81</v>
      </c>
    </row>
    <row r="103" spans="2:23" s="16" customFormat="1" ht="51.75" hidden="1" customHeight="1" x14ac:dyDescent="0.2">
      <c r="B103" s="19">
        <v>42837</v>
      </c>
      <c r="C103" s="20">
        <v>25569.6875</v>
      </c>
      <c r="D103" s="21" t="s">
        <v>584</v>
      </c>
      <c r="E103" s="22" t="s">
        <v>585</v>
      </c>
      <c r="F103" s="22" t="s">
        <v>586</v>
      </c>
      <c r="G103" s="23">
        <v>43</v>
      </c>
      <c r="H103" s="21" t="s">
        <v>587</v>
      </c>
      <c r="I103" s="21" t="s">
        <v>1405</v>
      </c>
      <c r="J103" s="23" t="s">
        <v>3</v>
      </c>
      <c r="K103" s="57" t="s">
        <v>1404</v>
      </c>
      <c r="L103" s="59" t="s">
        <v>33</v>
      </c>
      <c r="M103" s="56" t="s">
        <v>34</v>
      </c>
      <c r="N103" s="54">
        <v>16</v>
      </c>
      <c r="O103" s="24" t="s">
        <v>87</v>
      </c>
      <c r="P103" s="24" t="s">
        <v>488</v>
      </c>
      <c r="Q103" s="22" t="s">
        <v>71</v>
      </c>
      <c r="R103" s="24" t="s">
        <v>588</v>
      </c>
      <c r="S103" s="20">
        <v>25569.28125</v>
      </c>
      <c r="T103" s="20">
        <v>25569.649305555598</v>
      </c>
      <c r="U103" s="22"/>
      <c r="V103" s="25"/>
      <c r="W103" s="71" t="s">
        <v>81</v>
      </c>
    </row>
    <row r="104" spans="2:23" s="16" customFormat="1" ht="41.1" hidden="1" customHeight="1" x14ac:dyDescent="0.2">
      <c r="B104" s="26">
        <v>42838</v>
      </c>
      <c r="C104" s="27">
        <v>25569.645833333299</v>
      </c>
      <c r="D104" s="28" t="s">
        <v>589</v>
      </c>
      <c r="E104" s="29" t="s">
        <v>590</v>
      </c>
      <c r="F104" s="29" t="s">
        <v>591</v>
      </c>
      <c r="G104" s="30">
        <v>60</v>
      </c>
      <c r="H104" s="28" t="s">
        <v>592</v>
      </c>
      <c r="I104" s="28" t="s">
        <v>1405</v>
      </c>
      <c r="J104" s="30" t="s">
        <v>3</v>
      </c>
      <c r="K104" s="55" t="s">
        <v>4</v>
      </c>
      <c r="L104" s="58" t="s">
        <v>34</v>
      </c>
      <c r="M104" s="56" t="s">
        <v>34</v>
      </c>
      <c r="N104" s="54"/>
      <c r="O104" s="31" t="s">
        <v>60</v>
      </c>
      <c r="P104" s="31" t="s">
        <v>88</v>
      </c>
      <c r="Q104" s="29" t="s">
        <v>8</v>
      </c>
      <c r="R104" s="31" t="s">
        <v>593</v>
      </c>
      <c r="S104" s="27">
        <v>25569.604166666701</v>
      </c>
      <c r="T104" s="27">
        <v>25569.999305555601</v>
      </c>
      <c r="U104" s="29"/>
      <c r="V104" s="32"/>
      <c r="W104" s="72"/>
    </row>
    <row r="105" spans="2:23" s="16" customFormat="1" ht="73.150000000000006" hidden="1" customHeight="1" x14ac:dyDescent="0.2">
      <c r="B105" s="19">
        <v>42840</v>
      </c>
      <c r="C105" s="20">
        <v>25569.166666666701</v>
      </c>
      <c r="D105" s="21" t="s">
        <v>594</v>
      </c>
      <c r="E105" s="22" t="s">
        <v>595</v>
      </c>
      <c r="F105" s="22" t="s">
        <v>247</v>
      </c>
      <c r="G105" s="23">
        <v>49</v>
      </c>
      <c r="H105" s="21" t="s">
        <v>596</v>
      </c>
      <c r="I105" s="21" t="s">
        <v>1428</v>
      </c>
      <c r="J105" s="23" t="s">
        <v>3</v>
      </c>
      <c r="K105" s="55" t="s">
        <v>4</v>
      </c>
      <c r="L105" s="58" t="s">
        <v>34</v>
      </c>
      <c r="M105" s="56" t="s">
        <v>34</v>
      </c>
      <c r="N105" s="54"/>
      <c r="O105" s="24" t="s">
        <v>597</v>
      </c>
      <c r="P105" s="24" t="s">
        <v>429</v>
      </c>
      <c r="Q105" s="22" t="s">
        <v>122</v>
      </c>
      <c r="R105" s="33" t="s">
        <v>598</v>
      </c>
      <c r="S105" s="20">
        <v>25569.90625</v>
      </c>
      <c r="T105" s="20">
        <v>25569.2611111111</v>
      </c>
      <c r="U105" s="22"/>
      <c r="V105" s="25"/>
      <c r="W105" s="71" t="s">
        <v>73</v>
      </c>
    </row>
    <row r="106" spans="2:23" s="16" customFormat="1" ht="62.45" customHeight="1" x14ac:dyDescent="0.2">
      <c r="B106" s="26">
        <v>42840</v>
      </c>
      <c r="C106" s="27">
        <v>25569.166666666701</v>
      </c>
      <c r="D106" s="28" t="s">
        <v>599</v>
      </c>
      <c r="E106" s="29" t="s">
        <v>600</v>
      </c>
      <c r="F106" s="29" t="s">
        <v>131</v>
      </c>
      <c r="G106" s="30">
        <v>54</v>
      </c>
      <c r="H106" s="28" t="s">
        <v>601</v>
      </c>
      <c r="I106" s="28" t="s">
        <v>1421</v>
      </c>
      <c r="J106" s="30" t="s">
        <v>3</v>
      </c>
      <c r="K106" s="55" t="s">
        <v>4</v>
      </c>
      <c r="L106" s="58" t="s">
        <v>34</v>
      </c>
      <c r="M106" s="56" t="s">
        <v>34</v>
      </c>
      <c r="N106" s="54"/>
      <c r="O106" s="31" t="s">
        <v>597</v>
      </c>
      <c r="P106" s="31" t="s">
        <v>429</v>
      </c>
      <c r="Q106" s="29" t="s">
        <v>122</v>
      </c>
      <c r="R106" s="31" t="s">
        <v>602</v>
      </c>
      <c r="S106" s="27">
        <v>25569.916666666701</v>
      </c>
      <c r="T106" s="27">
        <v>25569.259722222199</v>
      </c>
      <c r="U106" s="29"/>
      <c r="V106" s="32"/>
      <c r="W106" s="72" t="s">
        <v>73</v>
      </c>
    </row>
    <row r="107" spans="2:23" s="16" customFormat="1" ht="41.1" customHeight="1" x14ac:dyDescent="0.2">
      <c r="B107" s="19">
        <v>42841</v>
      </c>
      <c r="C107" s="20">
        <v>25569.84375</v>
      </c>
      <c r="D107" s="21" t="s">
        <v>603</v>
      </c>
      <c r="E107" s="22" t="s">
        <v>197</v>
      </c>
      <c r="F107" s="22" t="s">
        <v>604</v>
      </c>
      <c r="G107" s="23">
        <v>34</v>
      </c>
      <c r="H107" s="21" t="s">
        <v>605</v>
      </c>
      <c r="I107" s="21" t="s">
        <v>1421</v>
      </c>
      <c r="J107" s="23" t="s">
        <v>3</v>
      </c>
      <c r="K107" s="55" t="s">
        <v>4</v>
      </c>
      <c r="L107" s="59" t="s">
        <v>33</v>
      </c>
      <c r="M107" s="56" t="s">
        <v>34</v>
      </c>
      <c r="N107" s="54">
        <v>14</v>
      </c>
      <c r="O107" s="24" t="s">
        <v>144</v>
      </c>
      <c r="P107" s="24" t="s">
        <v>289</v>
      </c>
      <c r="Q107" s="22" t="s">
        <v>146</v>
      </c>
      <c r="R107" s="24" t="s">
        <v>606</v>
      </c>
      <c r="S107" s="20">
        <v>25569.583333333299</v>
      </c>
      <c r="T107" s="20">
        <v>25569.931250000001</v>
      </c>
      <c r="U107" s="22"/>
      <c r="V107" s="25"/>
      <c r="W107" s="71" t="s">
        <v>81</v>
      </c>
    </row>
    <row r="108" spans="2:23" s="16" customFormat="1" ht="41.1" hidden="1" customHeight="1" x14ac:dyDescent="0.2">
      <c r="B108" s="26">
        <v>42843</v>
      </c>
      <c r="C108" s="27">
        <v>25569.760416666701</v>
      </c>
      <c r="D108" s="28" t="s">
        <v>607</v>
      </c>
      <c r="E108" s="29" t="s">
        <v>608</v>
      </c>
      <c r="F108" s="29" t="s">
        <v>210</v>
      </c>
      <c r="G108" s="30">
        <v>37</v>
      </c>
      <c r="H108" s="28" t="s">
        <v>609</v>
      </c>
      <c r="I108" s="28" t="s">
        <v>1417</v>
      </c>
      <c r="J108" s="30" t="s">
        <v>3</v>
      </c>
      <c r="K108" s="57" t="s">
        <v>1404</v>
      </c>
      <c r="L108" s="59" t="s">
        <v>33</v>
      </c>
      <c r="M108" s="56" t="s">
        <v>34</v>
      </c>
      <c r="N108" s="54">
        <v>20</v>
      </c>
      <c r="O108" s="31" t="s">
        <v>133</v>
      </c>
      <c r="P108" s="31" t="s">
        <v>1407</v>
      </c>
      <c r="Q108" s="29" t="s">
        <v>8</v>
      </c>
      <c r="R108" s="31" t="s">
        <v>610</v>
      </c>
      <c r="S108" s="27">
        <v>25569.583333333299</v>
      </c>
      <c r="T108" s="27">
        <v>25569.934027777799</v>
      </c>
      <c r="U108" s="29"/>
      <c r="V108" s="32"/>
      <c r="W108" s="72" t="s">
        <v>81</v>
      </c>
    </row>
    <row r="109" spans="2:23" s="16" customFormat="1" ht="41.1" hidden="1" customHeight="1" x14ac:dyDescent="0.2">
      <c r="B109" s="19">
        <v>42846</v>
      </c>
      <c r="C109" s="20">
        <v>25569.5</v>
      </c>
      <c r="D109" s="21" t="s">
        <v>611</v>
      </c>
      <c r="E109" s="22" t="s">
        <v>612</v>
      </c>
      <c r="F109" s="22" t="s">
        <v>613</v>
      </c>
      <c r="G109" s="23">
        <v>41</v>
      </c>
      <c r="H109" s="21" t="s">
        <v>614</v>
      </c>
      <c r="I109" s="21" t="s">
        <v>1405</v>
      </c>
      <c r="J109" s="23" t="s">
        <v>3</v>
      </c>
      <c r="K109" s="55" t="s">
        <v>4</v>
      </c>
      <c r="L109" s="58" t="s">
        <v>34</v>
      </c>
      <c r="M109" s="56" t="s">
        <v>34</v>
      </c>
      <c r="N109" s="54"/>
      <c r="O109" s="24" t="s">
        <v>144</v>
      </c>
      <c r="P109" s="24" t="s">
        <v>615</v>
      </c>
      <c r="Q109" s="22" t="s">
        <v>158</v>
      </c>
      <c r="R109" s="24" t="s">
        <v>616</v>
      </c>
      <c r="S109" s="20">
        <v>25569.25</v>
      </c>
      <c r="T109" s="20">
        <v>25569.617361111101</v>
      </c>
      <c r="U109" s="22"/>
      <c r="V109" s="25"/>
      <c r="W109" s="71" t="s">
        <v>81</v>
      </c>
    </row>
    <row r="110" spans="2:23" s="16" customFormat="1" ht="51.75" hidden="1" customHeight="1" x14ac:dyDescent="0.2">
      <c r="B110" s="26">
        <v>42846</v>
      </c>
      <c r="C110" s="27">
        <v>25569.739583333299</v>
      </c>
      <c r="D110" s="28" t="s">
        <v>617</v>
      </c>
      <c r="E110" s="29" t="s">
        <v>618</v>
      </c>
      <c r="F110" s="29" t="s">
        <v>619</v>
      </c>
      <c r="G110" s="30">
        <v>32</v>
      </c>
      <c r="H110" s="28" t="s">
        <v>620</v>
      </c>
      <c r="I110" s="28" t="s">
        <v>1405</v>
      </c>
      <c r="J110" s="30" t="s">
        <v>3</v>
      </c>
      <c r="K110" s="55" t="s">
        <v>4</v>
      </c>
      <c r="L110" s="59" t="s">
        <v>33</v>
      </c>
      <c r="M110" s="56" t="s">
        <v>34</v>
      </c>
      <c r="N110" s="54">
        <v>7</v>
      </c>
      <c r="O110" s="31" t="s">
        <v>78</v>
      </c>
      <c r="P110" s="31" t="s">
        <v>187</v>
      </c>
      <c r="Q110" s="29" t="s">
        <v>8</v>
      </c>
      <c r="R110" s="31" t="s">
        <v>621</v>
      </c>
      <c r="S110" s="27">
        <v>25569.603472222199</v>
      </c>
      <c r="T110" s="27">
        <v>25569.999305555601</v>
      </c>
      <c r="U110" s="29"/>
      <c r="V110" s="32"/>
      <c r="W110" s="72" t="s">
        <v>81</v>
      </c>
    </row>
    <row r="111" spans="2:23" s="16" customFormat="1" ht="51.75" hidden="1" customHeight="1" x14ac:dyDescent="0.2">
      <c r="B111" s="19">
        <v>42850</v>
      </c>
      <c r="C111" s="20">
        <v>25569.326388888901</v>
      </c>
      <c r="D111" s="21" t="s">
        <v>622</v>
      </c>
      <c r="E111" s="22" t="s">
        <v>623</v>
      </c>
      <c r="F111" s="22" t="s">
        <v>323</v>
      </c>
      <c r="G111" s="23">
        <v>23</v>
      </c>
      <c r="H111" s="21" t="s">
        <v>624</v>
      </c>
      <c r="I111" s="21" t="s">
        <v>1433</v>
      </c>
      <c r="J111" s="23" t="s">
        <v>3</v>
      </c>
      <c r="K111" s="57" t="s">
        <v>1404</v>
      </c>
      <c r="L111" s="58" t="s">
        <v>34</v>
      </c>
      <c r="M111" s="56" t="s">
        <v>34</v>
      </c>
      <c r="N111" s="54"/>
      <c r="O111" s="24" t="s">
        <v>87</v>
      </c>
      <c r="P111" s="24" t="s">
        <v>70</v>
      </c>
      <c r="Q111" s="22" t="s">
        <v>8</v>
      </c>
      <c r="R111" s="24" t="s">
        <v>626</v>
      </c>
      <c r="S111" s="20">
        <v>25569.354166666701</v>
      </c>
      <c r="T111" s="20">
        <v>25569.6944444445</v>
      </c>
      <c r="U111" s="24"/>
      <c r="V111" s="25"/>
      <c r="W111" s="71" t="s">
        <v>73</v>
      </c>
    </row>
    <row r="112" spans="2:23" s="16" customFormat="1" ht="41.1" customHeight="1" x14ac:dyDescent="0.2">
      <c r="B112" s="26">
        <v>42852</v>
      </c>
      <c r="C112" s="27">
        <v>25569.645833333299</v>
      </c>
      <c r="D112" s="28" t="s">
        <v>627</v>
      </c>
      <c r="E112" s="29" t="s">
        <v>628</v>
      </c>
      <c r="F112" s="29" t="s">
        <v>66</v>
      </c>
      <c r="G112" s="30">
        <v>47</v>
      </c>
      <c r="H112" s="28" t="s">
        <v>629</v>
      </c>
      <c r="I112" s="28" t="s">
        <v>1421</v>
      </c>
      <c r="J112" s="30" t="s">
        <v>3</v>
      </c>
      <c r="K112" s="55" t="s">
        <v>4</v>
      </c>
      <c r="L112" s="58" t="s">
        <v>34</v>
      </c>
      <c r="M112" s="56" t="s">
        <v>34</v>
      </c>
      <c r="N112" s="54"/>
      <c r="O112" s="31" t="s">
        <v>60</v>
      </c>
      <c r="P112" s="31" t="s">
        <v>61</v>
      </c>
      <c r="Q112" s="29" t="s">
        <v>158</v>
      </c>
      <c r="R112" s="31" t="s">
        <v>630</v>
      </c>
      <c r="S112" s="27">
        <v>25569.583333333299</v>
      </c>
      <c r="T112" s="27">
        <v>25569.931250000001</v>
      </c>
      <c r="U112" s="29"/>
      <c r="V112" s="32"/>
      <c r="W112" s="72" t="s">
        <v>81</v>
      </c>
    </row>
    <row r="113" spans="2:23" s="16" customFormat="1" ht="41.1" hidden="1" customHeight="1" x14ac:dyDescent="0.2">
      <c r="B113" s="19">
        <v>42853</v>
      </c>
      <c r="C113" s="20">
        <v>25569.416666666701</v>
      </c>
      <c r="D113" s="21" t="s">
        <v>631</v>
      </c>
      <c r="E113" s="22" t="s">
        <v>632</v>
      </c>
      <c r="F113" s="22" t="s">
        <v>633</v>
      </c>
      <c r="G113" s="23">
        <v>42</v>
      </c>
      <c r="H113" s="21" t="s">
        <v>634</v>
      </c>
      <c r="I113" s="21" t="s">
        <v>1405</v>
      </c>
      <c r="J113" s="23" t="s">
        <v>3</v>
      </c>
      <c r="K113" s="55" t="s">
        <v>4</v>
      </c>
      <c r="L113" s="59" t="s">
        <v>33</v>
      </c>
      <c r="M113" s="56" t="s">
        <v>34</v>
      </c>
      <c r="N113" s="54">
        <v>21</v>
      </c>
      <c r="O113" s="24" t="s">
        <v>69</v>
      </c>
      <c r="P113" s="24" t="s">
        <v>70</v>
      </c>
      <c r="Q113" s="22" t="s">
        <v>71</v>
      </c>
      <c r="R113" s="24" t="s">
        <v>635</v>
      </c>
      <c r="S113" s="20">
        <v>25569.28125</v>
      </c>
      <c r="T113" s="20">
        <v>25569.649305555598</v>
      </c>
      <c r="U113" s="22"/>
      <c r="V113" s="25"/>
      <c r="W113" s="71"/>
    </row>
    <row r="114" spans="2:23" s="16" customFormat="1" ht="94.9" hidden="1" customHeight="1" x14ac:dyDescent="0.2">
      <c r="B114" s="26">
        <v>42854</v>
      </c>
      <c r="C114" s="27">
        <v>25569.354166666701</v>
      </c>
      <c r="D114" s="28" t="s">
        <v>636</v>
      </c>
      <c r="E114" s="29" t="s">
        <v>637</v>
      </c>
      <c r="F114" s="29" t="s">
        <v>297</v>
      </c>
      <c r="G114" s="30">
        <v>39</v>
      </c>
      <c r="H114" s="28" t="s">
        <v>638</v>
      </c>
      <c r="I114" s="28" t="s">
        <v>1424</v>
      </c>
      <c r="J114" s="30" t="s">
        <v>3</v>
      </c>
      <c r="K114" s="55" t="s">
        <v>4</v>
      </c>
      <c r="L114" s="58" t="s">
        <v>34</v>
      </c>
      <c r="M114" s="56" t="s">
        <v>34</v>
      </c>
      <c r="N114" s="54"/>
      <c r="O114" s="31" t="s">
        <v>144</v>
      </c>
      <c r="P114" s="31" t="s">
        <v>145</v>
      </c>
      <c r="Q114" s="29" t="s">
        <v>146</v>
      </c>
      <c r="R114" s="34" t="s">
        <v>639</v>
      </c>
      <c r="S114" s="27">
        <v>25569.208333333299</v>
      </c>
      <c r="T114" s="27">
        <v>25569.6138888889</v>
      </c>
      <c r="U114" s="29"/>
      <c r="V114" s="32"/>
      <c r="W114" s="72"/>
    </row>
    <row r="115" spans="2:23" s="16" customFormat="1" ht="41.1" hidden="1" customHeight="1" x14ac:dyDescent="0.2">
      <c r="B115" s="19">
        <v>42854</v>
      </c>
      <c r="C115" s="20">
        <v>25569.725694444402</v>
      </c>
      <c r="D115" s="21" t="s">
        <v>640</v>
      </c>
      <c r="E115" s="22" t="s">
        <v>641</v>
      </c>
      <c r="F115" s="22" t="s">
        <v>642</v>
      </c>
      <c r="G115" s="23">
        <v>31</v>
      </c>
      <c r="H115" s="21" t="s">
        <v>643</v>
      </c>
      <c r="I115" s="21" t="s">
        <v>1403</v>
      </c>
      <c r="J115" s="23" t="s">
        <v>3</v>
      </c>
      <c r="K115" s="55" t="s">
        <v>4</v>
      </c>
      <c r="L115" s="59" t="s">
        <v>33</v>
      </c>
      <c r="M115" s="56" t="s">
        <v>34</v>
      </c>
      <c r="N115" s="54">
        <v>6</v>
      </c>
      <c r="O115" s="24" t="s">
        <v>144</v>
      </c>
      <c r="P115" s="24" t="s">
        <v>289</v>
      </c>
      <c r="Q115" s="22" t="s">
        <v>146</v>
      </c>
      <c r="R115" s="24" t="s">
        <v>644</v>
      </c>
      <c r="S115" s="20">
        <v>25569.590277777799</v>
      </c>
      <c r="T115" s="20">
        <v>25569.940972222201</v>
      </c>
      <c r="U115" s="22"/>
      <c r="V115" s="25"/>
      <c r="W115" s="71"/>
    </row>
    <row r="116" spans="2:23" s="16" customFormat="1" ht="51.75" hidden="1" customHeight="1" x14ac:dyDescent="0.2">
      <c r="B116" s="26">
        <v>42856</v>
      </c>
      <c r="C116" s="27">
        <v>25569.020833333299</v>
      </c>
      <c r="D116" s="28" t="s">
        <v>645</v>
      </c>
      <c r="E116" s="29" t="s">
        <v>292</v>
      </c>
      <c r="F116" s="29" t="s">
        <v>646</v>
      </c>
      <c r="G116" s="30">
        <v>48</v>
      </c>
      <c r="H116" s="28" t="s">
        <v>647</v>
      </c>
      <c r="I116" s="28" t="s">
        <v>1405</v>
      </c>
      <c r="J116" s="30" t="s">
        <v>3</v>
      </c>
      <c r="K116" s="55" t="s">
        <v>4</v>
      </c>
      <c r="L116" s="59" t="s">
        <v>33</v>
      </c>
      <c r="M116" s="56" t="s">
        <v>34</v>
      </c>
      <c r="N116" s="54">
        <v>15</v>
      </c>
      <c r="O116" s="31" t="s">
        <v>87</v>
      </c>
      <c r="P116" s="31" t="s">
        <v>61</v>
      </c>
      <c r="Q116" s="29" t="s">
        <v>79</v>
      </c>
      <c r="R116" s="31" t="s">
        <v>648</v>
      </c>
      <c r="S116" s="27">
        <v>25569.916666666701</v>
      </c>
      <c r="T116" s="27">
        <v>25569.261805555601</v>
      </c>
      <c r="U116" s="29"/>
      <c r="V116" s="32"/>
      <c r="W116" s="72"/>
    </row>
    <row r="117" spans="2:23" s="16" customFormat="1" ht="51.75" customHeight="1" x14ac:dyDescent="0.2">
      <c r="B117" s="19">
        <v>42857</v>
      </c>
      <c r="C117" s="20">
        <v>25569.291666666701</v>
      </c>
      <c r="D117" s="21" t="s">
        <v>649</v>
      </c>
      <c r="E117" s="22" t="s">
        <v>650</v>
      </c>
      <c r="F117" s="22" t="s">
        <v>297</v>
      </c>
      <c r="G117" s="23">
        <v>55</v>
      </c>
      <c r="H117" s="21" t="s">
        <v>651</v>
      </c>
      <c r="I117" s="21" t="s">
        <v>1421</v>
      </c>
      <c r="J117" s="23" t="s">
        <v>3</v>
      </c>
      <c r="K117" s="55" t="s">
        <v>4</v>
      </c>
      <c r="L117" s="58" t="s">
        <v>34</v>
      </c>
      <c r="M117" s="56" t="s">
        <v>34</v>
      </c>
      <c r="N117" s="54"/>
      <c r="O117" s="24" t="s">
        <v>69</v>
      </c>
      <c r="P117" s="24" t="s">
        <v>1407</v>
      </c>
      <c r="Q117" s="22" t="s">
        <v>8</v>
      </c>
      <c r="R117" s="24" t="s">
        <v>652</v>
      </c>
      <c r="S117" s="20">
        <v>25569.25</v>
      </c>
      <c r="T117" s="20">
        <v>25569.598611111101</v>
      </c>
      <c r="U117" s="22"/>
      <c r="V117" s="25"/>
      <c r="W117" s="71" t="s">
        <v>73</v>
      </c>
    </row>
    <row r="118" spans="2:23" s="16" customFormat="1" ht="51.75" hidden="1" customHeight="1" x14ac:dyDescent="0.2">
      <c r="B118" s="26">
        <v>42857</v>
      </c>
      <c r="C118" s="27">
        <v>25569.430555555598</v>
      </c>
      <c r="D118" s="28" t="s">
        <v>653</v>
      </c>
      <c r="E118" s="29" t="s">
        <v>654</v>
      </c>
      <c r="F118" s="29" t="s">
        <v>270</v>
      </c>
      <c r="G118" s="30">
        <v>59</v>
      </c>
      <c r="H118" s="28" t="s">
        <v>655</v>
      </c>
      <c r="I118" s="28" t="s">
        <v>1434</v>
      </c>
      <c r="J118" s="30" t="s">
        <v>3</v>
      </c>
      <c r="K118" s="55" t="s">
        <v>4</v>
      </c>
      <c r="L118" s="58" t="s">
        <v>34</v>
      </c>
      <c r="M118" s="56" t="s">
        <v>34</v>
      </c>
      <c r="N118" s="54"/>
      <c r="O118" s="31" t="s">
        <v>78</v>
      </c>
      <c r="P118" s="31" t="s">
        <v>70</v>
      </c>
      <c r="Q118" s="29" t="s">
        <v>158</v>
      </c>
      <c r="R118" s="31" t="s">
        <v>657</v>
      </c>
      <c r="S118" s="27">
        <v>25569.229166666701</v>
      </c>
      <c r="T118" s="27">
        <v>25569.6361111111</v>
      </c>
      <c r="U118" s="29"/>
      <c r="V118" s="32"/>
      <c r="W118" s="72" t="s">
        <v>73</v>
      </c>
    </row>
    <row r="119" spans="2:23" s="16" customFormat="1" ht="51.75" hidden="1" customHeight="1" x14ac:dyDescent="0.2">
      <c r="B119" s="19">
        <v>42857</v>
      </c>
      <c r="C119" s="20">
        <v>25569.625</v>
      </c>
      <c r="D119" s="21" t="s">
        <v>658</v>
      </c>
      <c r="E119" s="22" t="s">
        <v>659</v>
      </c>
      <c r="F119" s="22" t="s">
        <v>660</v>
      </c>
      <c r="G119" s="23">
        <v>52</v>
      </c>
      <c r="H119" s="21" t="s">
        <v>661</v>
      </c>
      <c r="I119" s="21" t="s">
        <v>1435</v>
      </c>
      <c r="J119" s="23" t="s">
        <v>3</v>
      </c>
      <c r="K119" s="55" t="s">
        <v>4</v>
      </c>
      <c r="L119" s="58" t="s">
        <v>34</v>
      </c>
      <c r="M119" s="60" t="s">
        <v>33</v>
      </c>
      <c r="N119" s="54"/>
      <c r="O119" s="24" t="s">
        <v>78</v>
      </c>
      <c r="P119" s="24" t="s">
        <v>121</v>
      </c>
      <c r="Q119" s="22" t="s">
        <v>158</v>
      </c>
      <c r="R119" s="24" t="s">
        <v>663</v>
      </c>
      <c r="S119" s="20">
        <v>25569.3125</v>
      </c>
      <c r="T119" s="20">
        <v>25569.645833333299</v>
      </c>
      <c r="U119" s="22"/>
      <c r="V119" s="25"/>
      <c r="W119" s="71"/>
    </row>
    <row r="120" spans="2:23" s="16" customFormat="1" ht="62.45" customHeight="1" x14ac:dyDescent="0.2">
      <c r="B120" s="26">
        <v>42858</v>
      </c>
      <c r="C120" s="27">
        <v>25569.6875</v>
      </c>
      <c r="D120" s="28" t="s">
        <v>664</v>
      </c>
      <c r="E120" s="29" t="s">
        <v>665</v>
      </c>
      <c r="F120" s="29" t="s">
        <v>666</v>
      </c>
      <c r="G120" s="30">
        <v>32</v>
      </c>
      <c r="H120" s="28" t="s">
        <v>667</v>
      </c>
      <c r="I120" s="28" t="s">
        <v>1421</v>
      </c>
      <c r="J120" s="30" t="s">
        <v>3</v>
      </c>
      <c r="K120" s="55" t="s">
        <v>4</v>
      </c>
      <c r="L120" s="59" t="s">
        <v>33</v>
      </c>
      <c r="M120" s="56" t="s">
        <v>34</v>
      </c>
      <c r="N120" s="54">
        <v>9</v>
      </c>
      <c r="O120" s="31" t="s">
        <v>60</v>
      </c>
      <c r="P120" s="31" t="s">
        <v>70</v>
      </c>
      <c r="Q120" s="29" t="s">
        <v>158</v>
      </c>
      <c r="R120" s="31" t="s">
        <v>668</v>
      </c>
      <c r="S120" s="27">
        <v>25569.611111111099</v>
      </c>
      <c r="T120" s="27">
        <v>25569.965277777799</v>
      </c>
      <c r="U120" s="29"/>
      <c r="V120" s="32"/>
      <c r="W120" s="72"/>
    </row>
    <row r="121" spans="2:23" s="16" customFormat="1" ht="51.75" hidden="1" customHeight="1" x14ac:dyDescent="0.2">
      <c r="B121" s="19">
        <v>42859</v>
      </c>
      <c r="C121" s="20">
        <v>25569.722222222201</v>
      </c>
      <c r="D121" s="21" t="s">
        <v>669</v>
      </c>
      <c r="E121" s="22" t="s">
        <v>670</v>
      </c>
      <c r="F121" s="22" t="s">
        <v>671</v>
      </c>
      <c r="G121" s="23">
        <v>38</v>
      </c>
      <c r="H121" s="21" t="s">
        <v>672</v>
      </c>
      <c r="I121" s="21" t="s">
        <v>1436</v>
      </c>
      <c r="J121" s="23" t="s">
        <v>3</v>
      </c>
      <c r="K121" s="57" t="s">
        <v>1404</v>
      </c>
      <c r="L121" s="58" t="s">
        <v>34</v>
      </c>
      <c r="M121" s="56" t="s">
        <v>34</v>
      </c>
      <c r="N121" s="54"/>
      <c r="O121" s="24" t="s">
        <v>87</v>
      </c>
      <c r="P121" s="24" t="s">
        <v>61</v>
      </c>
      <c r="Q121" s="22" t="s">
        <v>62</v>
      </c>
      <c r="R121" s="24" t="s">
        <v>674</v>
      </c>
      <c r="S121" s="20">
        <v>25569.354166666701</v>
      </c>
      <c r="T121" s="20">
        <v>25569.708333333299</v>
      </c>
      <c r="U121" s="22"/>
      <c r="V121" s="25"/>
      <c r="W121" s="71" t="s">
        <v>81</v>
      </c>
    </row>
    <row r="122" spans="2:23" s="16" customFormat="1" ht="51.75" hidden="1" customHeight="1" x14ac:dyDescent="0.2">
      <c r="B122" s="26">
        <v>42863</v>
      </c>
      <c r="C122" s="27">
        <v>25569.25</v>
      </c>
      <c r="D122" s="28" t="s">
        <v>675</v>
      </c>
      <c r="E122" s="29" t="s">
        <v>676</v>
      </c>
      <c r="F122" s="29" t="s">
        <v>156</v>
      </c>
      <c r="G122" s="30">
        <v>49</v>
      </c>
      <c r="H122" s="28" t="s">
        <v>677</v>
      </c>
      <c r="I122" s="28" t="s">
        <v>1403</v>
      </c>
      <c r="J122" s="30" t="s">
        <v>3</v>
      </c>
      <c r="K122" s="57" t="s">
        <v>1404</v>
      </c>
      <c r="L122" s="59" t="s">
        <v>33</v>
      </c>
      <c r="M122" s="56" t="s">
        <v>34</v>
      </c>
      <c r="N122" s="54">
        <v>4</v>
      </c>
      <c r="O122" s="31" t="s">
        <v>87</v>
      </c>
      <c r="P122" s="31" t="s">
        <v>70</v>
      </c>
      <c r="Q122" s="29" t="s">
        <v>8</v>
      </c>
      <c r="R122" s="31" t="s">
        <v>678</v>
      </c>
      <c r="S122" s="27">
        <v>25569.253472222201</v>
      </c>
      <c r="T122" s="27">
        <v>25569.604166666701</v>
      </c>
      <c r="U122" s="29"/>
      <c r="V122" s="32"/>
      <c r="W122" s="72" t="s">
        <v>81</v>
      </c>
    </row>
    <row r="123" spans="2:23" s="16" customFormat="1" ht="62.45" hidden="1" customHeight="1" x14ac:dyDescent="0.2">
      <c r="B123" s="19">
        <v>42864</v>
      </c>
      <c r="C123" s="20">
        <v>25569.666666666701</v>
      </c>
      <c r="D123" s="21" t="s">
        <v>679</v>
      </c>
      <c r="E123" s="22" t="s">
        <v>680</v>
      </c>
      <c r="F123" s="22" t="s">
        <v>364</v>
      </c>
      <c r="G123" s="23">
        <v>21</v>
      </c>
      <c r="H123" s="21" t="s">
        <v>681</v>
      </c>
      <c r="I123" s="21" t="s">
        <v>1406</v>
      </c>
      <c r="J123" s="23" t="s">
        <v>3</v>
      </c>
      <c r="K123" s="57" t="s">
        <v>1404</v>
      </c>
      <c r="L123" s="59" t="s">
        <v>33</v>
      </c>
      <c r="M123" s="56" t="s">
        <v>34</v>
      </c>
      <c r="N123" s="54">
        <v>14</v>
      </c>
      <c r="O123" s="24" t="s">
        <v>87</v>
      </c>
      <c r="P123" s="24" t="s">
        <v>187</v>
      </c>
      <c r="Q123" s="22" t="s">
        <v>71</v>
      </c>
      <c r="R123" s="24" t="s">
        <v>682</v>
      </c>
      <c r="S123" s="20">
        <v>25569.302083333299</v>
      </c>
      <c r="T123" s="20">
        <v>25569.645833333299</v>
      </c>
      <c r="U123" s="24"/>
      <c r="V123" s="25"/>
      <c r="W123" s="71" t="s">
        <v>81</v>
      </c>
    </row>
    <row r="124" spans="2:23" s="16" customFormat="1" ht="41.1" hidden="1" customHeight="1" x14ac:dyDescent="0.2">
      <c r="B124" s="26">
        <v>42866</v>
      </c>
      <c r="C124" s="27">
        <v>25569.458333333299</v>
      </c>
      <c r="D124" s="28" t="s">
        <v>683</v>
      </c>
      <c r="E124" s="29" t="s">
        <v>684</v>
      </c>
      <c r="F124" s="29" t="s">
        <v>156</v>
      </c>
      <c r="G124" s="30">
        <v>46</v>
      </c>
      <c r="H124" s="28" t="s">
        <v>685</v>
      </c>
      <c r="I124" s="28" t="s">
        <v>1413</v>
      </c>
      <c r="J124" s="30" t="s">
        <v>3</v>
      </c>
      <c r="K124" s="55" t="s">
        <v>4</v>
      </c>
      <c r="L124" s="59" t="s">
        <v>33</v>
      </c>
      <c r="M124" s="56" t="s">
        <v>34</v>
      </c>
      <c r="N124" s="54">
        <v>112</v>
      </c>
      <c r="O124" s="31" t="s">
        <v>78</v>
      </c>
      <c r="P124" s="31" t="s">
        <v>61</v>
      </c>
      <c r="Q124" s="29" t="s">
        <v>79</v>
      </c>
      <c r="R124" s="31" t="s">
        <v>686</v>
      </c>
      <c r="S124" s="27">
        <v>25569.263888888901</v>
      </c>
      <c r="T124" s="27">
        <v>25569.615277777801</v>
      </c>
      <c r="U124" s="29"/>
      <c r="V124" s="32"/>
      <c r="W124" s="72" t="s">
        <v>81</v>
      </c>
    </row>
    <row r="125" spans="2:23" s="16" customFormat="1" ht="51.75" hidden="1" customHeight="1" x14ac:dyDescent="0.2">
      <c r="B125" s="19">
        <v>42866</v>
      </c>
      <c r="C125" s="20">
        <v>25569.576388888901</v>
      </c>
      <c r="D125" s="21" t="s">
        <v>687</v>
      </c>
      <c r="E125" s="22" t="s">
        <v>688</v>
      </c>
      <c r="F125" s="22" t="s">
        <v>234</v>
      </c>
      <c r="G125" s="23">
        <v>36</v>
      </c>
      <c r="H125" s="21" t="s">
        <v>689</v>
      </c>
      <c r="I125" s="21" t="s">
        <v>1417</v>
      </c>
      <c r="J125" s="23" t="s">
        <v>3</v>
      </c>
      <c r="K125" s="55" t="s">
        <v>4</v>
      </c>
      <c r="L125" s="58" t="s">
        <v>34</v>
      </c>
      <c r="M125" s="60" t="s">
        <v>33</v>
      </c>
      <c r="N125" s="54"/>
      <c r="O125" s="24" t="s">
        <v>144</v>
      </c>
      <c r="P125" s="24" t="s">
        <v>145</v>
      </c>
      <c r="Q125" s="22" t="s">
        <v>146</v>
      </c>
      <c r="R125" s="24" t="s">
        <v>690</v>
      </c>
      <c r="S125" s="20">
        <v>25569.277777777799</v>
      </c>
      <c r="T125" s="20">
        <v>25569.611111111099</v>
      </c>
      <c r="U125" s="22"/>
      <c r="V125" s="25"/>
      <c r="W125" s="71"/>
    </row>
    <row r="126" spans="2:23" s="16" customFormat="1" ht="62.45" hidden="1" customHeight="1" x14ac:dyDescent="0.2">
      <c r="B126" s="26">
        <v>42866</v>
      </c>
      <c r="C126" s="27">
        <v>25569.8125</v>
      </c>
      <c r="D126" s="28" t="s">
        <v>691</v>
      </c>
      <c r="E126" s="29" t="s">
        <v>692</v>
      </c>
      <c r="F126" s="29" t="s">
        <v>247</v>
      </c>
      <c r="G126" s="30">
        <v>51</v>
      </c>
      <c r="H126" s="28" t="s">
        <v>693</v>
      </c>
      <c r="I126" s="28" t="s">
        <v>1417</v>
      </c>
      <c r="J126" s="30" t="s">
        <v>3</v>
      </c>
      <c r="K126" s="55" t="s">
        <v>4</v>
      </c>
      <c r="L126" s="58" t="s">
        <v>34</v>
      </c>
      <c r="M126" s="56" t="s">
        <v>34</v>
      </c>
      <c r="N126" s="54"/>
      <c r="O126" s="31" t="s">
        <v>133</v>
      </c>
      <c r="P126" s="31" t="s">
        <v>121</v>
      </c>
      <c r="Q126" s="29" t="s">
        <v>114</v>
      </c>
      <c r="R126" s="31" t="s">
        <v>694</v>
      </c>
      <c r="S126" s="27">
        <v>25569.583333333299</v>
      </c>
      <c r="T126" s="27">
        <v>25569.934027777799</v>
      </c>
      <c r="U126" s="29"/>
      <c r="V126" s="32"/>
      <c r="W126" s="72" t="s">
        <v>73</v>
      </c>
    </row>
    <row r="127" spans="2:23" s="16" customFormat="1" ht="73.150000000000006" customHeight="1" x14ac:dyDescent="0.2">
      <c r="B127" s="19">
        <v>42866</v>
      </c>
      <c r="C127" s="20">
        <v>25569.9375</v>
      </c>
      <c r="D127" s="21" t="s">
        <v>695</v>
      </c>
      <c r="E127" s="22" t="s">
        <v>696</v>
      </c>
      <c r="F127" s="22" t="s">
        <v>247</v>
      </c>
      <c r="G127" s="23">
        <v>48</v>
      </c>
      <c r="H127" s="21" t="s">
        <v>697</v>
      </c>
      <c r="I127" s="21" t="s">
        <v>1421</v>
      </c>
      <c r="J127" s="23" t="s">
        <v>3</v>
      </c>
      <c r="K127" s="57" t="s">
        <v>1404</v>
      </c>
      <c r="L127" s="58" t="s">
        <v>34</v>
      </c>
      <c r="M127" s="56" t="s">
        <v>34</v>
      </c>
      <c r="N127" s="54"/>
      <c r="O127" s="24" t="s">
        <v>87</v>
      </c>
      <c r="P127" s="24" t="s">
        <v>1407</v>
      </c>
      <c r="Q127" s="22" t="s">
        <v>122</v>
      </c>
      <c r="R127" s="33" t="s">
        <v>698</v>
      </c>
      <c r="S127" s="20">
        <v>25569.584027777801</v>
      </c>
      <c r="T127" s="20">
        <v>25569.927777777801</v>
      </c>
      <c r="U127" s="22" t="s">
        <v>425</v>
      </c>
      <c r="V127" s="25"/>
      <c r="W127" s="71" t="s">
        <v>73</v>
      </c>
    </row>
    <row r="128" spans="2:23" s="16" customFormat="1" ht="41.1" hidden="1" customHeight="1" x14ac:dyDescent="0.2">
      <c r="B128" s="26">
        <v>42868</v>
      </c>
      <c r="C128" s="27">
        <v>25569.597222222201</v>
      </c>
      <c r="D128" s="28" t="s">
        <v>1461</v>
      </c>
      <c r="E128" s="29" t="s">
        <v>699</v>
      </c>
      <c r="F128" s="29" t="s">
        <v>700</v>
      </c>
      <c r="G128" s="30">
        <v>43</v>
      </c>
      <c r="H128" s="28" t="s">
        <v>1462</v>
      </c>
      <c r="I128" s="28" t="s">
        <v>1410</v>
      </c>
      <c r="J128" s="30" t="s">
        <v>3</v>
      </c>
      <c r="K128" s="55" t="s">
        <v>4</v>
      </c>
      <c r="L128" s="58" t="s">
        <v>34</v>
      </c>
      <c r="M128" s="56" t="s">
        <v>34</v>
      </c>
      <c r="N128" s="54"/>
      <c r="O128" s="31" t="s">
        <v>78</v>
      </c>
      <c r="P128" s="31" t="s">
        <v>187</v>
      </c>
      <c r="Q128" s="29" t="s">
        <v>122</v>
      </c>
      <c r="R128" s="31" t="s">
        <v>701</v>
      </c>
      <c r="S128" s="27">
        <v>25569.458333333299</v>
      </c>
      <c r="T128" s="27">
        <v>25569.790972222199</v>
      </c>
      <c r="U128" s="29"/>
      <c r="V128" s="32"/>
      <c r="W128" s="72"/>
    </row>
    <row r="129" spans="2:23" s="16" customFormat="1" ht="41.1" hidden="1" customHeight="1" x14ac:dyDescent="0.2">
      <c r="B129" s="19">
        <v>42868</v>
      </c>
      <c r="C129" s="20">
        <v>25569.895833333299</v>
      </c>
      <c r="D129" s="21" t="s">
        <v>1463</v>
      </c>
      <c r="E129" s="22" t="s">
        <v>702</v>
      </c>
      <c r="F129" s="22" t="s">
        <v>156</v>
      </c>
      <c r="G129" s="23">
        <v>51</v>
      </c>
      <c r="H129" s="21" t="s">
        <v>1464</v>
      </c>
      <c r="I129" s="21" t="s">
        <v>1410</v>
      </c>
      <c r="J129" s="23" t="s">
        <v>3</v>
      </c>
      <c r="K129" s="55" t="s">
        <v>4</v>
      </c>
      <c r="L129" s="58" t="s">
        <v>34</v>
      </c>
      <c r="M129" s="56" t="s">
        <v>34</v>
      </c>
      <c r="N129" s="54"/>
      <c r="O129" s="24" t="s">
        <v>78</v>
      </c>
      <c r="P129" s="24" t="s">
        <v>61</v>
      </c>
      <c r="Q129" s="22" t="s">
        <v>114</v>
      </c>
      <c r="R129" s="24" t="s">
        <v>703</v>
      </c>
      <c r="S129" s="20">
        <v>25569.604166666701</v>
      </c>
      <c r="T129" s="20">
        <v>25569.979166666701</v>
      </c>
      <c r="U129" s="22"/>
      <c r="V129" s="25"/>
      <c r="W129" s="71" t="s">
        <v>73</v>
      </c>
    </row>
    <row r="130" spans="2:23" s="16" customFormat="1" ht="51.75" hidden="1" customHeight="1" x14ac:dyDescent="0.2">
      <c r="B130" s="26">
        <v>42869</v>
      </c>
      <c r="C130" s="27">
        <v>25569.34375</v>
      </c>
      <c r="D130" s="28" t="s">
        <v>704</v>
      </c>
      <c r="E130" s="29" t="s">
        <v>705</v>
      </c>
      <c r="F130" s="29" t="s">
        <v>333</v>
      </c>
      <c r="G130" s="30">
        <v>57</v>
      </c>
      <c r="H130" s="28" t="s">
        <v>706</v>
      </c>
      <c r="I130" s="28" t="s">
        <v>1437</v>
      </c>
      <c r="J130" s="30" t="s">
        <v>3</v>
      </c>
      <c r="K130" s="55" t="s">
        <v>4</v>
      </c>
      <c r="L130" s="58" t="s">
        <v>34</v>
      </c>
      <c r="M130" s="56" t="s">
        <v>34</v>
      </c>
      <c r="N130" s="54"/>
      <c r="O130" s="31" t="s">
        <v>78</v>
      </c>
      <c r="P130" s="31" t="s">
        <v>1407</v>
      </c>
      <c r="Q130" s="29" t="s">
        <v>79</v>
      </c>
      <c r="R130" s="31" t="s">
        <v>708</v>
      </c>
      <c r="S130" s="27">
        <v>25569.239583333299</v>
      </c>
      <c r="T130" s="27">
        <v>25569.614583333299</v>
      </c>
      <c r="U130" s="29"/>
      <c r="V130" s="32"/>
      <c r="W130" s="72" t="s">
        <v>73</v>
      </c>
    </row>
    <row r="131" spans="2:23" s="16" customFormat="1" ht="51.75" hidden="1" customHeight="1" x14ac:dyDescent="0.2">
      <c r="B131" s="19">
        <v>42870</v>
      </c>
      <c r="C131" s="20">
        <v>25569.322916666701</v>
      </c>
      <c r="D131" s="21" t="s">
        <v>709</v>
      </c>
      <c r="E131" s="22" t="s">
        <v>710</v>
      </c>
      <c r="F131" s="22" t="s">
        <v>259</v>
      </c>
      <c r="G131" s="23">
        <v>56</v>
      </c>
      <c r="H131" s="21" t="s">
        <v>711</v>
      </c>
      <c r="I131" s="21" t="s">
        <v>1438</v>
      </c>
      <c r="J131" s="23" t="s">
        <v>3</v>
      </c>
      <c r="K131" s="57" t="s">
        <v>1404</v>
      </c>
      <c r="L131" s="58" t="s">
        <v>34</v>
      </c>
      <c r="M131" s="56" t="s">
        <v>34</v>
      </c>
      <c r="N131" s="54"/>
      <c r="O131" s="24" t="s">
        <v>60</v>
      </c>
      <c r="P131" s="24" t="s">
        <v>61</v>
      </c>
      <c r="Q131" s="22" t="s">
        <v>62</v>
      </c>
      <c r="R131" s="24" t="s">
        <v>713</v>
      </c>
      <c r="S131" s="20">
        <v>25569.333333333299</v>
      </c>
      <c r="T131" s="20">
        <v>25569.708333333299</v>
      </c>
      <c r="U131" s="22"/>
      <c r="V131" s="25"/>
      <c r="W131" s="71" t="s">
        <v>73</v>
      </c>
    </row>
    <row r="132" spans="2:23" s="16" customFormat="1" ht="30.4" customHeight="1" x14ac:dyDescent="0.2">
      <c r="B132" s="26">
        <v>42870</v>
      </c>
      <c r="C132" s="27">
        <v>25569.826388888901</v>
      </c>
      <c r="D132" s="28" t="s">
        <v>714</v>
      </c>
      <c r="E132" s="29" t="s">
        <v>715</v>
      </c>
      <c r="F132" s="29" t="s">
        <v>716</v>
      </c>
      <c r="G132" s="30">
        <v>30</v>
      </c>
      <c r="H132" s="28" t="s">
        <v>717</v>
      </c>
      <c r="I132" s="28" t="s">
        <v>1421</v>
      </c>
      <c r="J132" s="30" t="s">
        <v>3</v>
      </c>
      <c r="K132" s="55" t="s">
        <v>4</v>
      </c>
      <c r="L132" s="58" t="s">
        <v>34</v>
      </c>
      <c r="M132" s="56" t="s">
        <v>34</v>
      </c>
      <c r="N132" s="54"/>
      <c r="O132" s="31" t="s">
        <v>60</v>
      </c>
      <c r="P132" s="31" t="s">
        <v>121</v>
      </c>
      <c r="Q132" s="29" t="s">
        <v>122</v>
      </c>
      <c r="R132" s="31" t="s">
        <v>718</v>
      </c>
      <c r="S132" s="27">
        <v>25569.597916666698</v>
      </c>
      <c r="T132" s="27">
        <v>25569.927083333299</v>
      </c>
      <c r="U132" s="29"/>
      <c r="V132" s="32"/>
      <c r="W132" s="72"/>
    </row>
    <row r="133" spans="2:23" s="16" customFormat="1" ht="51.75" hidden="1" customHeight="1" x14ac:dyDescent="0.2">
      <c r="B133" s="19">
        <v>42872</v>
      </c>
      <c r="C133" s="20">
        <v>25569.041666666701</v>
      </c>
      <c r="D133" s="21" t="s">
        <v>719</v>
      </c>
      <c r="E133" s="22" t="s">
        <v>720</v>
      </c>
      <c r="F133" s="22" t="s">
        <v>721</v>
      </c>
      <c r="G133" s="23">
        <v>48</v>
      </c>
      <c r="H133" s="21" t="s">
        <v>722</v>
      </c>
      <c r="I133" s="21" t="s">
        <v>1403</v>
      </c>
      <c r="J133" s="23" t="s">
        <v>3</v>
      </c>
      <c r="K133" s="55" t="s">
        <v>4</v>
      </c>
      <c r="L133" s="58" t="s">
        <v>34</v>
      </c>
      <c r="M133" s="56" t="s">
        <v>34</v>
      </c>
      <c r="N133" s="54"/>
      <c r="O133" s="24" t="s">
        <v>78</v>
      </c>
      <c r="P133" s="24" t="s">
        <v>1407</v>
      </c>
      <c r="Q133" s="22" t="s">
        <v>114</v>
      </c>
      <c r="R133" s="24" t="s">
        <v>723</v>
      </c>
      <c r="S133" s="20">
        <v>25569.916666666701</v>
      </c>
      <c r="T133" s="20">
        <v>25569.260416666701</v>
      </c>
      <c r="U133" s="22"/>
      <c r="V133" s="25"/>
      <c r="W133" s="71" t="s">
        <v>81</v>
      </c>
    </row>
    <row r="134" spans="2:23" s="16" customFormat="1" ht="41.1" hidden="1" customHeight="1" x14ac:dyDescent="0.2">
      <c r="B134" s="26">
        <v>42872</v>
      </c>
      <c r="C134" s="27">
        <v>25569.916666666701</v>
      </c>
      <c r="D134" s="28" t="s">
        <v>724</v>
      </c>
      <c r="E134" s="29" t="s">
        <v>725</v>
      </c>
      <c r="F134" s="29" t="s">
        <v>247</v>
      </c>
      <c r="G134" s="30">
        <v>46</v>
      </c>
      <c r="H134" s="28" t="s">
        <v>726</v>
      </c>
      <c r="I134" s="28" t="s">
        <v>1413</v>
      </c>
      <c r="J134" s="30" t="s">
        <v>3</v>
      </c>
      <c r="K134" s="55" t="s">
        <v>4</v>
      </c>
      <c r="L134" s="59" t="s">
        <v>33</v>
      </c>
      <c r="M134" s="56" t="s">
        <v>34</v>
      </c>
      <c r="N134" s="54">
        <v>150</v>
      </c>
      <c r="O134" s="31" t="s">
        <v>78</v>
      </c>
      <c r="P134" s="31" t="s">
        <v>61</v>
      </c>
      <c r="Q134" s="29" t="s">
        <v>158</v>
      </c>
      <c r="R134" s="31" t="s">
        <v>727</v>
      </c>
      <c r="S134" s="27">
        <v>25569.615277777801</v>
      </c>
      <c r="T134" s="27">
        <v>25569.9666666667</v>
      </c>
      <c r="U134" s="29"/>
      <c r="V134" s="32"/>
      <c r="W134" s="72" t="s">
        <v>81</v>
      </c>
    </row>
    <row r="135" spans="2:23" s="16" customFormat="1" ht="41.1" hidden="1" customHeight="1" x14ac:dyDescent="0.2">
      <c r="B135" s="19">
        <v>42874</v>
      </c>
      <c r="C135" s="20">
        <v>25569.40625</v>
      </c>
      <c r="D135" s="21" t="s">
        <v>728</v>
      </c>
      <c r="E135" s="22" t="s">
        <v>729</v>
      </c>
      <c r="F135" s="22" t="s">
        <v>162</v>
      </c>
      <c r="G135" s="23">
        <v>48</v>
      </c>
      <c r="H135" s="21" t="s">
        <v>730</v>
      </c>
      <c r="I135" s="21" t="s">
        <v>1405</v>
      </c>
      <c r="J135" s="23" t="s">
        <v>3</v>
      </c>
      <c r="K135" s="55" t="s">
        <v>4</v>
      </c>
      <c r="L135" s="59" t="s">
        <v>33</v>
      </c>
      <c r="M135" s="56" t="s">
        <v>34</v>
      </c>
      <c r="N135" s="54">
        <v>9</v>
      </c>
      <c r="O135" s="24" t="s">
        <v>133</v>
      </c>
      <c r="P135" s="24" t="s">
        <v>61</v>
      </c>
      <c r="Q135" s="22" t="s">
        <v>71</v>
      </c>
      <c r="R135" s="24" t="s">
        <v>731</v>
      </c>
      <c r="S135" s="20">
        <v>25569.263888888901</v>
      </c>
      <c r="T135" s="20">
        <v>25569.592361111099</v>
      </c>
      <c r="U135" s="22"/>
      <c r="V135" s="25"/>
      <c r="W135" s="71" t="s">
        <v>81</v>
      </c>
    </row>
    <row r="136" spans="2:23" s="16" customFormat="1" ht="83.65" hidden="1" customHeight="1" x14ac:dyDescent="0.2">
      <c r="B136" s="26">
        <v>42876</v>
      </c>
      <c r="C136" s="27">
        <v>25569.645833333299</v>
      </c>
      <c r="D136" s="28" t="s">
        <v>732</v>
      </c>
      <c r="E136" s="29" t="s">
        <v>733</v>
      </c>
      <c r="F136" s="29" t="s">
        <v>734</v>
      </c>
      <c r="G136" s="30">
        <v>34</v>
      </c>
      <c r="H136" s="28" t="s">
        <v>735</v>
      </c>
      <c r="I136" s="28" t="s">
        <v>1405</v>
      </c>
      <c r="J136" s="30" t="s">
        <v>3</v>
      </c>
      <c r="K136" s="55" t="s">
        <v>4</v>
      </c>
      <c r="L136" s="58" t="s">
        <v>34</v>
      </c>
      <c r="M136" s="56" t="s">
        <v>34</v>
      </c>
      <c r="N136" s="54"/>
      <c r="O136" s="31" t="s">
        <v>120</v>
      </c>
      <c r="P136" s="31" t="s">
        <v>219</v>
      </c>
      <c r="Q136" s="29" t="s">
        <v>114</v>
      </c>
      <c r="R136" s="31" t="s">
        <v>736</v>
      </c>
      <c r="S136" s="27">
        <v>25569.604166666701</v>
      </c>
      <c r="T136" s="27">
        <v>25569.999305555601</v>
      </c>
      <c r="U136" s="29"/>
      <c r="V136" s="32"/>
      <c r="W136" s="72"/>
    </row>
    <row r="137" spans="2:23" s="16" customFormat="1" ht="41.1" hidden="1" customHeight="1" x14ac:dyDescent="0.2">
      <c r="B137" s="19">
        <v>42876</v>
      </c>
      <c r="C137" s="20">
        <v>25569.708333333299</v>
      </c>
      <c r="D137" s="21" t="s">
        <v>737</v>
      </c>
      <c r="E137" s="22" t="s">
        <v>117</v>
      </c>
      <c r="F137" s="22" t="s">
        <v>118</v>
      </c>
      <c r="G137" s="23">
        <v>31</v>
      </c>
      <c r="H137" s="21" t="s">
        <v>119</v>
      </c>
      <c r="I137" s="21" t="s">
        <v>1405</v>
      </c>
      <c r="J137" s="23" t="s">
        <v>3</v>
      </c>
      <c r="K137" s="55" t="s">
        <v>4</v>
      </c>
      <c r="L137" s="58" t="s">
        <v>34</v>
      </c>
      <c r="M137" s="56" t="s">
        <v>34</v>
      </c>
      <c r="N137" s="54"/>
      <c r="O137" s="24" t="s">
        <v>60</v>
      </c>
      <c r="P137" s="24" t="s">
        <v>738</v>
      </c>
      <c r="Q137" s="22" t="s">
        <v>1407</v>
      </c>
      <c r="R137" s="24" t="s">
        <v>739</v>
      </c>
      <c r="S137" s="20">
        <v>25569.603472222199</v>
      </c>
      <c r="T137" s="20">
        <v>25569.999305555601</v>
      </c>
      <c r="U137" s="22" t="s">
        <v>740</v>
      </c>
      <c r="V137" s="25"/>
      <c r="W137" s="71" t="s">
        <v>73</v>
      </c>
    </row>
    <row r="138" spans="2:23" s="16" customFormat="1" ht="41.1" hidden="1" customHeight="1" x14ac:dyDescent="0.2">
      <c r="B138" s="26">
        <v>42877</v>
      </c>
      <c r="C138" s="27">
        <v>25569.447916666701</v>
      </c>
      <c r="D138" s="28" t="s">
        <v>741</v>
      </c>
      <c r="E138" s="29" t="s">
        <v>742</v>
      </c>
      <c r="F138" s="29" t="s">
        <v>105</v>
      </c>
      <c r="G138" s="30">
        <v>51</v>
      </c>
      <c r="H138" s="28" t="s">
        <v>743</v>
      </c>
      <c r="I138" s="28" t="s">
        <v>1417</v>
      </c>
      <c r="J138" s="30" t="s">
        <v>3</v>
      </c>
      <c r="K138" s="55" t="s">
        <v>4</v>
      </c>
      <c r="L138" s="59" t="s">
        <v>33</v>
      </c>
      <c r="M138" s="56" t="s">
        <v>34</v>
      </c>
      <c r="N138" s="54">
        <v>91</v>
      </c>
      <c r="O138" s="31" t="s">
        <v>78</v>
      </c>
      <c r="P138" s="31" t="s">
        <v>1407</v>
      </c>
      <c r="Q138" s="29" t="s">
        <v>114</v>
      </c>
      <c r="R138" s="31" t="s">
        <v>744</v>
      </c>
      <c r="S138" s="27">
        <v>25569.2791666667</v>
      </c>
      <c r="T138" s="27">
        <v>25569.611111111099</v>
      </c>
      <c r="U138" s="29" t="s">
        <v>745</v>
      </c>
      <c r="V138" s="32"/>
      <c r="W138" s="72" t="s">
        <v>81</v>
      </c>
    </row>
    <row r="139" spans="2:23" s="16" customFormat="1" ht="41.1" hidden="1" customHeight="1" x14ac:dyDescent="0.2">
      <c r="B139" s="19">
        <v>42877</v>
      </c>
      <c r="C139" s="20">
        <v>25569.697916666701</v>
      </c>
      <c r="D139" s="21" t="s">
        <v>1465</v>
      </c>
      <c r="E139" s="22" t="s">
        <v>746</v>
      </c>
      <c r="F139" s="22" t="s">
        <v>747</v>
      </c>
      <c r="G139" s="23">
        <v>57</v>
      </c>
      <c r="H139" s="21" t="s">
        <v>1466</v>
      </c>
      <c r="I139" s="21" t="s">
        <v>1410</v>
      </c>
      <c r="J139" s="23" t="s">
        <v>3</v>
      </c>
      <c r="K139" s="55" t="s">
        <v>4</v>
      </c>
      <c r="L139" s="59" t="s">
        <v>33</v>
      </c>
      <c r="M139" s="56" t="s">
        <v>34</v>
      </c>
      <c r="N139" s="54">
        <v>14</v>
      </c>
      <c r="O139" s="24" t="s">
        <v>78</v>
      </c>
      <c r="P139" s="24" t="s">
        <v>61</v>
      </c>
      <c r="Q139" s="22" t="s">
        <v>62</v>
      </c>
      <c r="R139" s="24" t="s">
        <v>748</v>
      </c>
      <c r="S139" s="20">
        <v>25569.590277777799</v>
      </c>
      <c r="T139" s="20">
        <v>25569.930555555598</v>
      </c>
      <c r="U139" s="22"/>
      <c r="V139" s="25"/>
      <c r="W139" s="71" t="s">
        <v>81</v>
      </c>
    </row>
    <row r="140" spans="2:23" s="16" customFormat="1" ht="62.45" hidden="1" customHeight="1" x14ac:dyDescent="0.2">
      <c r="B140" s="26">
        <v>42878</v>
      </c>
      <c r="C140" s="27">
        <v>25569.520833333299</v>
      </c>
      <c r="D140" s="28" t="s">
        <v>749</v>
      </c>
      <c r="E140" s="29" t="s">
        <v>750</v>
      </c>
      <c r="F140" s="29" t="s">
        <v>486</v>
      </c>
      <c r="G140" s="30">
        <v>42</v>
      </c>
      <c r="H140" s="28" t="s">
        <v>751</v>
      </c>
      <c r="I140" s="28" t="s">
        <v>1405</v>
      </c>
      <c r="J140" s="30" t="s">
        <v>3</v>
      </c>
      <c r="K140" s="55" t="s">
        <v>4</v>
      </c>
      <c r="L140" s="58" t="s">
        <v>34</v>
      </c>
      <c r="M140" s="56" t="s">
        <v>34</v>
      </c>
      <c r="N140" s="54"/>
      <c r="O140" s="31" t="s">
        <v>78</v>
      </c>
      <c r="P140" s="31" t="s">
        <v>61</v>
      </c>
      <c r="Q140" s="29" t="s">
        <v>71</v>
      </c>
      <c r="R140" s="31" t="s">
        <v>752</v>
      </c>
      <c r="S140" s="27">
        <v>25569.25</v>
      </c>
      <c r="T140" s="27">
        <v>25569.617361111101</v>
      </c>
      <c r="U140" s="29"/>
      <c r="V140" s="32"/>
      <c r="W140" s="72" t="s">
        <v>73</v>
      </c>
    </row>
    <row r="141" spans="2:23" s="16" customFormat="1" ht="62.45" hidden="1" customHeight="1" x14ac:dyDescent="0.2">
      <c r="B141" s="19">
        <v>42878</v>
      </c>
      <c r="C141" s="20">
        <v>25569.729166666701</v>
      </c>
      <c r="D141" s="21" t="s">
        <v>753</v>
      </c>
      <c r="E141" s="22" t="s">
        <v>754</v>
      </c>
      <c r="F141" s="22" t="s">
        <v>118</v>
      </c>
      <c r="G141" s="23">
        <v>24</v>
      </c>
      <c r="H141" s="21" t="s">
        <v>755</v>
      </c>
      <c r="I141" s="21" t="s">
        <v>1439</v>
      </c>
      <c r="J141" s="23" t="s">
        <v>3</v>
      </c>
      <c r="K141" s="55" t="s">
        <v>4</v>
      </c>
      <c r="L141" s="58" t="s">
        <v>34</v>
      </c>
      <c r="M141" s="56" t="s">
        <v>34</v>
      </c>
      <c r="N141" s="54"/>
      <c r="O141" s="24" t="s">
        <v>78</v>
      </c>
      <c r="P141" s="24" t="s">
        <v>121</v>
      </c>
      <c r="Q141" s="22" t="s">
        <v>158</v>
      </c>
      <c r="R141" s="24" t="s">
        <v>757</v>
      </c>
      <c r="S141" s="20">
        <v>25569.597916666698</v>
      </c>
      <c r="T141" s="20">
        <v>25569.927083333299</v>
      </c>
      <c r="U141" s="22"/>
      <c r="V141" s="25"/>
      <c r="W141" s="71" t="s">
        <v>73</v>
      </c>
    </row>
    <row r="142" spans="2:23" s="16" customFormat="1" ht="51.75" hidden="1" customHeight="1" x14ac:dyDescent="0.2">
      <c r="B142" s="26">
        <v>42879</v>
      </c>
      <c r="C142" s="27">
        <v>25569.291666666701</v>
      </c>
      <c r="D142" s="28" t="s">
        <v>758</v>
      </c>
      <c r="E142" s="29" t="s">
        <v>759</v>
      </c>
      <c r="F142" s="29" t="s">
        <v>760</v>
      </c>
      <c r="G142" s="30">
        <v>24</v>
      </c>
      <c r="H142" s="28" t="s">
        <v>761</v>
      </c>
      <c r="I142" s="28" t="s">
        <v>1440</v>
      </c>
      <c r="J142" s="30" t="s">
        <v>3</v>
      </c>
      <c r="K142" s="57" t="s">
        <v>1404</v>
      </c>
      <c r="L142" s="58" t="s">
        <v>34</v>
      </c>
      <c r="M142" s="56" t="s">
        <v>34</v>
      </c>
      <c r="N142" s="54"/>
      <c r="O142" s="31" t="s">
        <v>87</v>
      </c>
      <c r="P142" s="31" t="s">
        <v>1407</v>
      </c>
      <c r="Q142" s="29" t="s">
        <v>8</v>
      </c>
      <c r="R142" s="31" t="s">
        <v>763</v>
      </c>
      <c r="S142" s="27">
        <v>25569.3125</v>
      </c>
      <c r="T142" s="27">
        <v>25569.645833333299</v>
      </c>
      <c r="U142" s="31"/>
      <c r="V142" s="32"/>
      <c r="W142" s="72" t="s">
        <v>73</v>
      </c>
    </row>
    <row r="143" spans="2:23" s="16" customFormat="1" ht="41.1" hidden="1" customHeight="1" x14ac:dyDescent="0.2">
      <c r="B143" s="19">
        <v>42879</v>
      </c>
      <c r="C143" s="20">
        <v>25569.958333333299</v>
      </c>
      <c r="D143" s="21" t="s">
        <v>764</v>
      </c>
      <c r="E143" s="22" t="s">
        <v>765</v>
      </c>
      <c r="F143" s="22" t="s">
        <v>766</v>
      </c>
      <c r="G143" s="23">
        <v>42</v>
      </c>
      <c r="H143" s="21" t="s">
        <v>767</v>
      </c>
      <c r="I143" s="21" t="s">
        <v>1405</v>
      </c>
      <c r="J143" s="23" t="s">
        <v>3</v>
      </c>
      <c r="K143" s="55" t="s">
        <v>4</v>
      </c>
      <c r="L143" s="58" t="s">
        <v>34</v>
      </c>
      <c r="M143" s="56" t="s">
        <v>34</v>
      </c>
      <c r="N143" s="54"/>
      <c r="O143" s="24" t="s">
        <v>405</v>
      </c>
      <c r="P143" s="24" t="s">
        <v>61</v>
      </c>
      <c r="Q143" s="22" t="s">
        <v>62</v>
      </c>
      <c r="R143" s="24" t="s">
        <v>768</v>
      </c>
      <c r="S143" s="20">
        <v>25569.916666666701</v>
      </c>
      <c r="T143" s="20">
        <v>25569.261805555601</v>
      </c>
      <c r="U143" s="22"/>
      <c r="V143" s="25"/>
      <c r="W143" s="71" t="s">
        <v>73</v>
      </c>
    </row>
    <row r="144" spans="2:23" s="16" customFormat="1" ht="41.1" customHeight="1" x14ac:dyDescent="0.2">
      <c r="B144" s="26">
        <v>42880</v>
      </c>
      <c r="C144" s="27">
        <v>25569.395833333299</v>
      </c>
      <c r="D144" s="28" t="s">
        <v>769</v>
      </c>
      <c r="E144" s="29" t="s">
        <v>770</v>
      </c>
      <c r="F144" s="29" t="s">
        <v>403</v>
      </c>
      <c r="G144" s="30">
        <v>39</v>
      </c>
      <c r="H144" s="28" t="s">
        <v>771</v>
      </c>
      <c r="I144" s="28" t="s">
        <v>1421</v>
      </c>
      <c r="J144" s="30" t="s">
        <v>3</v>
      </c>
      <c r="K144" s="55" t="s">
        <v>4</v>
      </c>
      <c r="L144" s="59" t="s">
        <v>33</v>
      </c>
      <c r="M144" s="56" t="s">
        <v>34</v>
      </c>
      <c r="N144" s="54">
        <v>38</v>
      </c>
      <c r="O144" s="31" t="s">
        <v>133</v>
      </c>
      <c r="P144" s="31" t="s">
        <v>61</v>
      </c>
      <c r="Q144" s="29" t="s">
        <v>8</v>
      </c>
      <c r="R144" s="31" t="s">
        <v>772</v>
      </c>
      <c r="S144" s="27">
        <v>25569.270833333299</v>
      </c>
      <c r="T144" s="27">
        <v>25569.604166666701</v>
      </c>
      <c r="U144" s="29"/>
      <c r="V144" s="32"/>
      <c r="W144" s="72" t="s">
        <v>81</v>
      </c>
    </row>
    <row r="145" spans="2:23" s="16" customFormat="1" ht="51.75" hidden="1" customHeight="1" x14ac:dyDescent="0.2">
      <c r="B145" s="19">
        <v>42880</v>
      </c>
      <c r="C145" s="20">
        <v>25569.631944444402</v>
      </c>
      <c r="D145" s="21" t="s">
        <v>773</v>
      </c>
      <c r="E145" s="22" t="s">
        <v>774</v>
      </c>
      <c r="F145" s="22" t="s">
        <v>775</v>
      </c>
      <c r="G145" s="23">
        <v>42</v>
      </c>
      <c r="H145" s="21" t="s">
        <v>776</v>
      </c>
      <c r="I145" s="21" t="s">
        <v>1441</v>
      </c>
      <c r="J145" s="23" t="s">
        <v>3</v>
      </c>
      <c r="K145" s="55" t="s">
        <v>4</v>
      </c>
      <c r="L145" s="59" t="s">
        <v>33</v>
      </c>
      <c r="M145" s="56" t="s">
        <v>34</v>
      </c>
      <c r="N145" s="54">
        <v>100</v>
      </c>
      <c r="O145" s="24" t="s">
        <v>69</v>
      </c>
      <c r="P145" s="24" t="s">
        <v>61</v>
      </c>
      <c r="Q145" s="22" t="s">
        <v>8</v>
      </c>
      <c r="R145" s="24" t="s">
        <v>778</v>
      </c>
      <c r="S145" s="20">
        <v>25569.628472222201</v>
      </c>
      <c r="T145" s="20">
        <v>25569.993055555598</v>
      </c>
      <c r="U145" s="22"/>
      <c r="V145" s="25"/>
      <c r="W145" s="71" t="s">
        <v>81</v>
      </c>
    </row>
    <row r="146" spans="2:23" s="16" customFormat="1" ht="62.45" hidden="1" customHeight="1" x14ac:dyDescent="0.2">
      <c r="B146" s="26">
        <v>42883</v>
      </c>
      <c r="C146" s="27">
        <v>25569.25</v>
      </c>
      <c r="D146" s="28" t="s">
        <v>779</v>
      </c>
      <c r="E146" s="29" t="s">
        <v>780</v>
      </c>
      <c r="F146" s="29" t="s">
        <v>781</v>
      </c>
      <c r="G146" s="30">
        <v>39</v>
      </c>
      <c r="H146" s="28" t="s">
        <v>782</v>
      </c>
      <c r="I146" s="28" t="s">
        <v>1424</v>
      </c>
      <c r="J146" s="30" t="s">
        <v>3</v>
      </c>
      <c r="K146" s="55" t="s">
        <v>4</v>
      </c>
      <c r="L146" s="59" t="s">
        <v>33</v>
      </c>
      <c r="M146" s="56" t="s">
        <v>34</v>
      </c>
      <c r="N146" s="54">
        <v>1</v>
      </c>
      <c r="O146" s="31" t="s">
        <v>78</v>
      </c>
      <c r="P146" s="31" t="s">
        <v>61</v>
      </c>
      <c r="Q146" s="29" t="s">
        <v>62</v>
      </c>
      <c r="R146" s="31" t="s">
        <v>783</v>
      </c>
      <c r="S146" s="27">
        <v>25569.229166666701</v>
      </c>
      <c r="T146" s="27">
        <v>25569.625</v>
      </c>
      <c r="U146" s="29"/>
      <c r="V146" s="32"/>
      <c r="W146" s="72" t="s">
        <v>81</v>
      </c>
    </row>
    <row r="147" spans="2:23" s="16" customFormat="1" ht="51.75" hidden="1" customHeight="1" x14ac:dyDescent="0.2">
      <c r="B147" s="19">
        <v>42884</v>
      </c>
      <c r="C147" s="20">
        <v>25569.322916666701</v>
      </c>
      <c r="D147" s="21" t="s">
        <v>784</v>
      </c>
      <c r="E147" s="22" t="s">
        <v>785</v>
      </c>
      <c r="F147" s="22" t="s">
        <v>786</v>
      </c>
      <c r="G147" s="23">
        <v>22</v>
      </c>
      <c r="H147" s="21" t="s">
        <v>787</v>
      </c>
      <c r="I147" s="21" t="s">
        <v>1433</v>
      </c>
      <c r="J147" s="23" t="s">
        <v>3</v>
      </c>
      <c r="K147" s="55" t="s">
        <v>4</v>
      </c>
      <c r="L147" s="58" t="s">
        <v>34</v>
      </c>
      <c r="M147" s="56" t="s">
        <v>34</v>
      </c>
      <c r="N147" s="54"/>
      <c r="O147" s="24" t="s">
        <v>597</v>
      </c>
      <c r="P147" s="24" t="s">
        <v>121</v>
      </c>
      <c r="Q147" s="22" t="s">
        <v>158</v>
      </c>
      <c r="R147" s="24" t="s">
        <v>788</v>
      </c>
      <c r="S147" s="20">
        <v>25569.25</v>
      </c>
      <c r="T147" s="20">
        <v>25569.548611111099</v>
      </c>
      <c r="U147" s="24"/>
      <c r="V147" s="25"/>
      <c r="W147" s="71" t="s">
        <v>73</v>
      </c>
    </row>
    <row r="148" spans="2:23" s="16" customFormat="1" ht="51.75" hidden="1" customHeight="1" x14ac:dyDescent="0.2">
      <c r="B148" s="26">
        <v>42885</v>
      </c>
      <c r="C148" s="27">
        <v>25569.083333333299</v>
      </c>
      <c r="D148" s="28" t="s">
        <v>789</v>
      </c>
      <c r="E148" s="29" t="s">
        <v>790</v>
      </c>
      <c r="F148" s="29" t="s">
        <v>131</v>
      </c>
      <c r="G148" s="30">
        <v>40</v>
      </c>
      <c r="H148" s="28" t="s">
        <v>791</v>
      </c>
      <c r="I148" s="28" t="s">
        <v>1403</v>
      </c>
      <c r="J148" s="30" t="s">
        <v>3</v>
      </c>
      <c r="K148" s="55" t="s">
        <v>4</v>
      </c>
      <c r="L148" s="58" t="s">
        <v>34</v>
      </c>
      <c r="M148" s="60" t="s">
        <v>33</v>
      </c>
      <c r="N148" s="54"/>
      <c r="O148" s="31" t="s">
        <v>78</v>
      </c>
      <c r="P148" s="31" t="s">
        <v>61</v>
      </c>
      <c r="Q148" s="29" t="s">
        <v>79</v>
      </c>
      <c r="R148" s="31" t="s">
        <v>792</v>
      </c>
      <c r="S148" s="27">
        <v>25569.958333333299</v>
      </c>
      <c r="T148" s="27">
        <v>25569.266666666699</v>
      </c>
      <c r="U148" s="29"/>
      <c r="V148" s="32"/>
      <c r="W148" s="72"/>
    </row>
    <row r="149" spans="2:23" s="16" customFormat="1" ht="41.1" hidden="1" customHeight="1" x14ac:dyDescent="0.2">
      <c r="B149" s="19">
        <v>42885</v>
      </c>
      <c r="C149" s="20">
        <v>25569.416666666701</v>
      </c>
      <c r="D149" s="21" t="s">
        <v>793</v>
      </c>
      <c r="E149" s="22" t="s">
        <v>794</v>
      </c>
      <c r="F149" s="22" t="s">
        <v>795</v>
      </c>
      <c r="G149" s="23">
        <v>38</v>
      </c>
      <c r="H149" s="21" t="s">
        <v>796</v>
      </c>
      <c r="I149" s="21" t="s">
        <v>1405</v>
      </c>
      <c r="J149" s="23" t="s">
        <v>3</v>
      </c>
      <c r="K149" s="55" t="s">
        <v>4</v>
      </c>
      <c r="L149" s="59" t="s">
        <v>33</v>
      </c>
      <c r="M149" s="56" t="s">
        <v>34</v>
      </c>
      <c r="N149" s="54">
        <v>20</v>
      </c>
      <c r="O149" s="24" t="s">
        <v>78</v>
      </c>
      <c r="P149" s="24" t="s">
        <v>61</v>
      </c>
      <c r="Q149" s="22" t="s">
        <v>62</v>
      </c>
      <c r="R149" s="24" t="s">
        <v>797</v>
      </c>
      <c r="S149" s="20">
        <v>25569.263888888901</v>
      </c>
      <c r="T149" s="20">
        <v>25569.592361111099</v>
      </c>
      <c r="U149" s="22"/>
      <c r="V149" s="25"/>
      <c r="W149" s="71" t="s">
        <v>81</v>
      </c>
    </row>
    <row r="150" spans="2:23" s="16" customFormat="1" ht="62.45" hidden="1" customHeight="1" x14ac:dyDescent="0.2">
      <c r="B150" s="26">
        <v>42885</v>
      </c>
      <c r="C150" s="27">
        <v>25569.4375</v>
      </c>
      <c r="D150" s="28" t="s">
        <v>798</v>
      </c>
      <c r="E150" s="29" t="s">
        <v>799</v>
      </c>
      <c r="F150" s="29" t="s">
        <v>223</v>
      </c>
      <c r="G150" s="30">
        <v>36</v>
      </c>
      <c r="H150" s="28" t="s">
        <v>800</v>
      </c>
      <c r="I150" s="28" t="s">
        <v>1405</v>
      </c>
      <c r="J150" s="30" t="s">
        <v>3</v>
      </c>
      <c r="K150" s="55" t="s">
        <v>4</v>
      </c>
      <c r="L150" s="59" t="s">
        <v>33</v>
      </c>
      <c r="M150" s="56" t="s">
        <v>34</v>
      </c>
      <c r="N150" s="54">
        <v>21</v>
      </c>
      <c r="O150" s="31" t="s">
        <v>78</v>
      </c>
      <c r="P150" s="31" t="s">
        <v>187</v>
      </c>
      <c r="Q150" s="29" t="s">
        <v>71</v>
      </c>
      <c r="R150" s="31" t="s">
        <v>801</v>
      </c>
      <c r="S150" s="27">
        <v>25569.305555555598</v>
      </c>
      <c r="T150" s="27">
        <v>25569.6472222222</v>
      </c>
      <c r="U150" s="29"/>
      <c r="V150" s="32"/>
      <c r="W150" s="72" t="s">
        <v>81</v>
      </c>
    </row>
    <row r="151" spans="2:23" s="16" customFormat="1" ht="51.75" hidden="1" customHeight="1" x14ac:dyDescent="0.2">
      <c r="B151" s="19">
        <v>42885</v>
      </c>
      <c r="C151" s="20">
        <v>25569.513888888901</v>
      </c>
      <c r="D151" s="21" t="s">
        <v>802</v>
      </c>
      <c r="E151" s="22" t="s">
        <v>531</v>
      </c>
      <c r="F151" s="22" t="s">
        <v>803</v>
      </c>
      <c r="G151" s="23">
        <v>53</v>
      </c>
      <c r="H151" s="21" t="s">
        <v>804</v>
      </c>
      <c r="I151" s="21" t="s">
        <v>1442</v>
      </c>
      <c r="J151" s="23" t="s">
        <v>3</v>
      </c>
      <c r="K151" s="55" t="s">
        <v>4</v>
      </c>
      <c r="L151" s="58" t="s">
        <v>34</v>
      </c>
      <c r="M151" s="56" t="s">
        <v>34</v>
      </c>
      <c r="N151" s="54"/>
      <c r="O151" s="24" t="s">
        <v>60</v>
      </c>
      <c r="P151" s="24" t="s">
        <v>61</v>
      </c>
      <c r="Q151" s="22" t="s">
        <v>158</v>
      </c>
      <c r="R151" s="24" t="s">
        <v>806</v>
      </c>
      <c r="S151" s="20">
        <v>25569.333333333299</v>
      </c>
      <c r="T151" s="20">
        <v>25569.65625</v>
      </c>
      <c r="U151" s="22"/>
      <c r="V151" s="25"/>
      <c r="W151" s="71" t="s">
        <v>73</v>
      </c>
    </row>
    <row r="152" spans="2:23" s="16" customFormat="1" ht="41.1" hidden="1" customHeight="1" x14ac:dyDescent="0.2">
      <c r="B152" s="26">
        <v>42886</v>
      </c>
      <c r="C152" s="27">
        <v>25569.125</v>
      </c>
      <c r="D152" s="28" t="s">
        <v>807</v>
      </c>
      <c r="E152" s="29" t="s">
        <v>35</v>
      </c>
      <c r="F152" s="29" t="s">
        <v>808</v>
      </c>
      <c r="G152" s="30">
        <v>51</v>
      </c>
      <c r="H152" s="28" t="s">
        <v>809</v>
      </c>
      <c r="I152" s="28" t="s">
        <v>1443</v>
      </c>
      <c r="J152" s="30" t="s">
        <v>3</v>
      </c>
      <c r="K152" s="55" t="s">
        <v>4</v>
      </c>
      <c r="L152" s="58" t="s">
        <v>34</v>
      </c>
      <c r="M152" s="56" t="s">
        <v>34</v>
      </c>
      <c r="N152" s="54"/>
      <c r="O152" s="31" t="s">
        <v>69</v>
      </c>
      <c r="P152" s="31" t="s">
        <v>61</v>
      </c>
      <c r="Q152" s="29" t="s">
        <v>114</v>
      </c>
      <c r="R152" s="31" t="s">
        <v>811</v>
      </c>
      <c r="S152" s="27">
        <v>25569.291666666701</v>
      </c>
      <c r="T152" s="27">
        <v>25569.797222222202</v>
      </c>
      <c r="U152" s="29"/>
      <c r="V152" s="32"/>
      <c r="W152" s="72"/>
    </row>
    <row r="153" spans="2:23" s="16" customFormat="1" ht="41.1" hidden="1" customHeight="1" x14ac:dyDescent="0.2">
      <c r="B153" s="19">
        <v>42886</v>
      </c>
      <c r="C153" s="20">
        <v>25569.333333333299</v>
      </c>
      <c r="D153" s="21" t="s">
        <v>812</v>
      </c>
      <c r="E153" s="22" t="s">
        <v>813</v>
      </c>
      <c r="F153" s="22" t="s">
        <v>57</v>
      </c>
      <c r="G153" s="23">
        <v>50</v>
      </c>
      <c r="H153" s="21" t="s">
        <v>814</v>
      </c>
      <c r="I153" s="21" t="s">
        <v>1405</v>
      </c>
      <c r="J153" s="23" t="s">
        <v>3</v>
      </c>
      <c r="K153" s="55" t="s">
        <v>4</v>
      </c>
      <c r="L153" s="59" t="s">
        <v>33</v>
      </c>
      <c r="M153" s="56" t="s">
        <v>34</v>
      </c>
      <c r="N153" s="54">
        <v>8</v>
      </c>
      <c r="O153" s="24" t="s">
        <v>78</v>
      </c>
      <c r="P153" s="24" t="s">
        <v>61</v>
      </c>
      <c r="Q153" s="22" t="s">
        <v>62</v>
      </c>
      <c r="R153" s="24" t="s">
        <v>815</v>
      </c>
      <c r="S153" s="20">
        <v>25569.263888888901</v>
      </c>
      <c r="T153" s="20">
        <v>25569.592361111099</v>
      </c>
      <c r="U153" s="22"/>
      <c r="V153" s="25"/>
      <c r="W153" s="71" t="s">
        <v>81</v>
      </c>
    </row>
    <row r="154" spans="2:23" s="16" customFormat="1" ht="51.75" hidden="1" customHeight="1" x14ac:dyDescent="0.2">
      <c r="B154" s="26">
        <v>42886</v>
      </c>
      <c r="C154" s="27">
        <v>25569.875</v>
      </c>
      <c r="D154" s="28" t="s">
        <v>816</v>
      </c>
      <c r="E154" s="29" t="s">
        <v>817</v>
      </c>
      <c r="F154" s="29" t="s">
        <v>818</v>
      </c>
      <c r="G154" s="30">
        <v>30</v>
      </c>
      <c r="H154" s="28" t="s">
        <v>819</v>
      </c>
      <c r="I154" s="28" t="s">
        <v>1405</v>
      </c>
      <c r="J154" s="30" t="s">
        <v>3</v>
      </c>
      <c r="K154" s="55" t="s">
        <v>4</v>
      </c>
      <c r="L154" s="58" t="s">
        <v>34</v>
      </c>
      <c r="M154" s="56" t="s">
        <v>34</v>
      </c>
      <c r="N154" s="54"/>
      <c r="O154" s="31" t="s">
        <v>78</v>
      </c>
      <c r="P154" s="31" t="s">
        <v>1407</v>
      </c>
      <c r="Q154" s="29" t="s">
        <v>114</v>
      </c>
      <c r="R154" s="31" t="s">
        <v>820</v>
      </c>
      <c r="S154" s="27">
        <v>25569.604166666701</v>
      </c>
      <c r="T154" s="27">
        <v>25569.972222222201</v>
      </c>
      <c r="U154" s="29"/>
      <c r="V154" s="32"/>
      <c r="W154" s="72" t="s">
        <v>73</v>
      </c>
    </row>
    <row r="155" spans="2:23" s="16" customFormat="1" ht="51.75" customHeight="1" x14ac:dyDescent="0.2">
      <c r="B155" s="19">
        <v>42887</v>
      </c>
      <c r="C155" s="20">
        <v>25569.729166666701</v>
      </c>
      <c r="D155" s="21" t="s">
        <v>821</v>
      </c>
      <c r="E155" s="22" t="s">
        <v>822</v>
      </c>
      <c r="F155" s="22" t="s">
        <v>247</v>
      </c>
      <c r="G155" s="23">
        <v>47</v>
      </c>
      <c r="H155" s="21" t="s">
        <v>823</v>
      </c>
      <c r="I155" s="21" t="s">
        <v>1421</v>
      </c>
      <c r="J155" s="23" t="s">
        <v>3</v>
      </c>
      <c r="K155" s="55" t="s">
        <v>4</v>
      </c>
      <c r="L155" s="59" t="s">
        <v>33</v>
      </c>
      <c r="M155" s="56" t="s">
        <v>34</v>
      </c>
      <c r="N155" s="54">
        <v>1</v>
      </c>
      <c r="O155" s="24" t="s">
        <v>60</v>
      </c>
      <c r="P155" s="24" t="s">
        <v>187</v>
      </c>
      <c r="Q155" s="22" t="s">
        <v>122</v>
      </c>
      <c r="R155" s="24" t="s">
        <v>824</v>
      </c>
      <c r="S155" s="20">
        <v>25569.583333333299</v>
      </c>
      <c r="T155" s="20">
        <v>25569.931250000001</v>
      </c>
      <c r="U155" s="22"/>
      <c r="V155" s="25"/>
      <c r="W155" s="71" t="s">
        <v>81</v>
      </c>
    </row>
    <row r="156" spans="2:23" s="16" customFormat="1" ht="83.65" hidden="1" customHeight="1" x14ac:dyDescent="0.2">
      <c r="B156" s="26">
        <v>42888</v>
      </c>
      <c r="C156" s="27">
        <v>25569.326388888901</v>
      </c>
      <c r="D156" s="28" t="s">
        <v>825</v>
      </c>
      <c r="E156" s="29" t="s">
        <v>826</v>
      </c>
      <c r="F156" s="29" t="s">
        <v>369</v>
      </c>
      <c r="G156" s="30">
        <v>38</v>
      </c>
      <c r="H156" s="28" t="s">
        <v>827</v>
      </c>
      <c r="I156" s="28" t="s">
        <v>1406</v>
      </c>
      <c r="J156" s="30" t="s">
        <v>3</v>
      </c>
      <c r="K156" s="57" t="s">
        <v>1404</v>
      </c>
      <c r="L156" s="58" t="s">
        <v>34</v>
      </c>
      <c r="M156" s="56" t="s">
        <v>34</v>
      </c>
      <c r="N156" s="54"/>
      <c r="O156" s="31" t="s">
        <v>87</v>
      </c>
      <c r="P156" s="31" t="s">
        <v>1407</v>
      </c>
      <c r="Q156" s="29" t="s">
        <v>62</v>
      </c>
      <c r="R156" s="34" t="s">
        <v>828</v>
      </c>
      <c r="S156" s="27">
        <v>25569.333333333299</v>
      </c>
      <c r="T156" s="27">
        <v>25569.6875</v>
      </c>
      <c r="U156" s="31"/>
      <c r="V156" s="32"/>
      <c r="W156" s="72" t="s">
        <v>81</v>
      </c>
    </row>
    <row r="157" spans="2:23" s="16" customFormat="1" ht="51.75" hidden="1" customHeight="1" x14ac:dyDescent="0.2">
      <c r="B157" s="19">
        <v>42888</v>
      </c>
      <c r="C157" s="20">
        <v>25569.336111111101</v>
      </c>
      <c r="D157" s="21" t="s">
        <v>829</v>
      </c>
      <c r="E157" s="22" t="s">
        <v>830</v>
      </c>
      <c r="F157" s="22" t="s">
        <v>831</v>
      </c>
      <c r="G157" s="23">
        <v>50</v>
      </c>
      <c r="H157" s="21" t="s">
        <v>832</v>
      </c>
      <c r="I157" s="21" t="s">
        <v>1417</v>
      </c>
      <c r="J157" s="23" t="s">
        <v>3</v>
      </c>
      <c r="K157" s="55" t="s">
        <v>4</v>
      </c>
      <c r="L157" s="59" t="s">
        <v>33</v>
      </c>
      <c r="M157" s="56" t="s">
        <v>34</v>
      </c>
      <c r="N157" s="54">
        <v>50</v>
      </c>
      <c r="O157" s="24" t="s">
        <v>833</v>
      </c>
      <c r="P157" s="24" t="s">
        <v>1407</v>
      </c>
      <c r="Q157" s="22" t="s">
        <v>158</v>
      </c>
      <c r="R157" s="24" t="s">
        <v>834</v>
      </c>
      <c r="S157" s="20">
        <v>25569.256944444402</v>
      </c>
      <c r="T157" s="20">
        <v>25569.606250000001</v>
      </c>
      <c r="U157" s="22"/>
      <c r="V157" s="25"/>
      <c r="W157" s="71" t="s">
        <v>81</v>
      </c>
    </row>
    <row r="158" spans="2:23" s="16" customFormat="1" ht="41.1" hidden="1" customHeight="1" x14ac:dyDescent="0.2">
      <c r="B158" s="26">
        <v>42888</v>
      </c>
      <c r="C158" s="27">
        <v>25569.565972222201</v>
      </c>
      <c r="D158" s="28" t="s">
        <v>835</v>
      </c>
      <c r="E158" s="29" t="s">
        <v>836</v>
      </c>
      <c r="F158" s="29" t="s">
        <v>831</v>
      </c>
      <c r="G158" s="30">
        <v>57</v>
      </c>
      <c r="H158" s="28" t="s">
        <v>837</v>
      </c>
      <c r="I158" s="28" t="s">
        <v>1432</v>
      </c>
      <c r="J158" s="30" t="s">
        <v>3</v>
      </c>
      <c r="K158" s="55" t="s">
        <v>4</v>
      </c>
      <c r="L158" s="59" t="s">
        <v>33</v>
      </c>
      <c r="M158" s="56" t="s">
        <v>34</v>
      </c>
      <c r="N158" s="54">
        <v>23</v>
      </c>
      <c r="O158" s="31" t="s">
        <v>69</v>
      </c>
      <c r="P158" s="31" t="s">
        <v>88</v>
      </c>
      <c r="Q158" s="29" t="s">
        <v>8</v>
      </c>
      <c r="R158" s="31" t="s">
        <v>838</v>
      </c>
      <c r="S158" s="27">
        <v>25569.588888888899</v>
      </c>
      <c r="T158" s="27">
        <v>25569.947916666701</v>
      </c>
      <c r="U158" s="29"/>
      <c r="V158" s="32"/>
      <c r="W158" s="72" t="s">
        <v>81</v>
      </c>
    </row>
    <row r="159" spans="2:23" s="16" customFormat="1" ht="62.45" hidden="1" customHeight="1" x14ac:dyDescent="0.2">
      <c r="B159" s="19">
        <v>42891</v>
      </c>
      <c r="C159" s="20">
        <v>25569.583333333299</v>
      </c>
      <c r="D159" s="21" t="s">
        <v>839</v>
      </c>
      <c r="E159" s="22" t="s">
        <v>840</v>
      </c>
      <c r="F159" s="22" t="s">
        <v>604</v>
      </c>
      <c r="G159" s="23">
        <v>34</v>
      </c>
      <c r="H159" s="21" t="s">
        <v>841</v>
      </c>
      <c r="I159" s="21" t="s">
        <v>1413</v>
      </c>
      <c r="J159" s="23" t="s">
        <v>3</v>
      </c>
      <c r="K159" s="57" t="s">
        <v>1404</v>
      </c>
      <c r="L159" s="59" t="s">
        <v>33</v>
      </c>
      <c r="M159" s="56" t="s">
        <v>34</v>
      </c>
      <c r="N159" s="54">
        <v>176</v>
      </c>
      <c r="O159" s="24" t="s">
        <v>60</v>
      </c>
      <c r="P159" s="24" t="s">
        <v>6</v>
      </c>
      <c r="Q159" s="22" t="s">
        <v>1407</v>
      </c>
      <c r="R159" s="24" t="s">
        <v>842</v>
      </c>
      <c r="S159" s="20">
        <v>25569.21875</v>
      </c>
      <c r="T159" s="20">
        <v>25569.570138888899</v>
      </c>
      <c r="U159" s="22"/>
      <c r="V159" s="25"/>
      <c r="W159" s="71" t="s">
        <v>81</v>
      </c>
    </row>
    <row r="160" spans="2:23" s="16" customFormat="1" ht="51.75" hidden="1" customHeight="1" x14ac:dyDescent="0.2">
      <c r="B160" s="26">
        <v>42891</v>
      </c>
      <c r="C160" s="27">
        <v>25569.583333333299</v>
      </c>
      <c r="D160" s="28" t="s">
        <v>843</v>
      </c>
      <c r="E160" s="29" t="s">
        <v>844</v>
      </c>
      <c r="F160" s="29" t="s">
        <v>845</v>
      </c>
      <c r="G160" s="30">
        <v>42</v>
      </c>
      <c r="H160" s="28" t="s">
        <v>846</v>
      </c>
      <c r="I160" s="28" t="s">
        <v>1413</v>
      </c>
      <c r="J160" s="30" t="s">
        <v>3</v>
      </c>
      <c r="K160" s="57" t="s">
        <v>1404</v>
      </c>
      <c r="L160" s="59" t="s">
        <v>33</v>
      </c>
      <c r="M160" s="56" t="s">
        <v>34</v>
      </c>
      <c r="N160" s="54">
        <v>55</v>
      </c>
      <c r="O160" s="31" t="s">
        <v>60</v>
      </c>
      <c r="P160" s="31" t="s">
        <v>61</v>
      </c>
      <c r="Q160" s="29" t="s">
        <v>71</v>
      </c>
      <c r="R160" s="31" t="s">
        <v>847</v>
      </c>
      <c r="S160" s="27">
        <v>25569.21875</v>
      </c>
      <c r="T160" s="27">
        <v>25569.570138888899</v>
      </c>
      <c r="U160" s="29"/>
      <c r="V160" s="32"/>
      <c r="W160" s="72" t="s">
        <v>73</v>
      </c>
    </row>
    <row r="161" spans="2:23" s="16" customFormat="1" ht="41.1" hidden="1" customHeight="1" x14ac:dyDescent="0.2">
      <c r="B161" s="19">
        <v>42891</v>
      </c>
      <c r="C161" s="20">
        <v>25569.996527777799</v>
      </c>
      <c r="D161" s="21" t="s">
        <v>848</v>
      </c>
      <c r="E161" s="22" t="s">
        <v>849</v>
      </c>
      <c r="F161" s="22" t="s">
        <v>795</v>
      </c>
      <c r="G161" s="23">
        <v>36</v>
      </c>
      <c r="H161" s="21" t="s">
        <v>850</v>
      </c>
      <c r="I161" s="21" t="s">
        <v>1417</v>
      </c>
      <c r="J161" s="23" t="s">
        <v>3</v>
      </c>
      <c r="K161" s="55" t="s">
        <v>4</v>
      </c>
      <c r="L161" s="58" t="s">
        <v>34</v>
      </c>
      <c r="M161" s="56" t="s">
        <v>34</v>
      </c>
      <c r="N161" s="54"/>
      <c r="O161" s="24" t="s">
        <v>78</v>
      </c>
      <c r="P161" s="24" t="s">
        <v>289</v>
      </c>
      <c r="Q161" s="22" t="s">
        <v>146</v>
      </c>
      <c r="R161" s="24" t="s">
        <v>851</v>
      </c>
      <c r="S161" s="20">
        <v>25569.923611111099</v>
      </c>
      <c r="T161" s="20">
        <v>25569.260416666701</v>
      </c>
      <c r="U161" s="22"/>
      <c r="V161" s="25"/>
      <c r="W161" s="71"/>
    </row>
    <row r="162" spans="2:23" s="16" customFormat="1" ht="51.75" hidden="1" customHeight="1" x14ac:dyDescent="0.2">
      <c r="B162" s="26">
        <v>42893</v>
      </c>
      <c r="C162" s="27">
        <v>25569.569444444402</v>
      </c>
      <c r="D162" s="28" t="s">
        <v>852</v>
      </c>
      <c r="E162" s="29" t="s">
        <v>853</v>
      </c>
      <c r="F162" s="29" t="s">
        <v>854</v>
      </c>
      <c r="G162" s="30">
        <v>48</v>
      </c>
      <c r="H162" s="28" t="s">
        <v>855</v>
      </c>
      <c r="I162" s="28" t="s">
        <v>1417</v>
      </c>
      <c r="J162" s="30" t="s">
        <v>3</v>
      </c>
      <c r="K162" s="55" t="s">
        <v>4</v>
      </c>
      <c r="L162" s="58" t="s">
        <v>34</v>
      </c>
      <c r="M162" s="60" t="s">
        <v>33</v>
      </c>
      <c r="N162" s="54"/>
      <c r="O162" s="31" t="s">
        <v>60</v>
      </c>
      <c r="P162" s="31" t="s">
        <v>121</v>
      </c>
      <c r="Q162" s="29" t="s">
        <v>158</v>
      </c>
      <c r="R162" s="31" t="s">
        <v>856</v>
      </c>
      <c r="S162" s="27">
        <v>25569.25</v>
      </c>
      <c r="T162" s="27">
        <v>25569.601388888899</v>
      </c>
      <c r="U162" s="29"/>
      <c r="V162" s="32"/>
      <c r="W162" s="72"/>
    </row>
    <row r="163" spans="2:23" s="16" customFormat="1" ht="41.1" hidden="1" customHeight="1" x14ac:dyDescent="0.2">
      <c r="B163" s="19">
        <v>42894</v>
      </c>
      <c r="C163" s="20">
        <v>25569.354166666701</v>
      </c>
      <c r="D163" s="21" t="s">
        <v>857</v>
      </c>
      <c r="E163" s="22" t="s">
        <v>858</v>
      </c>
      <c r="F163" s="22" t="s">
        <v>660</v>
      </c>
      <c r="G163" s="23">
        <v>40</v>
      </c>
      <c r="H163" s="21" t="s">
        <v>859</v>
      </c>
      <c r="I163" s="21" t="s">
        <v>1405</v>
      </c>
      <c r="J163" s="23" t="s">
        <v>3</v>
      </c>
      <c r="K163" s="55" t="s">
        <v>4</v>
      </c>
      <c r="L163" s="59" t="s">
        <v>33</v>
      </c>
      <c r="M163" s="56" t="s">
        <v>34</v>
      </c>
      <c r="N163" s="54">
        <v>2</v>
      </c>
      <c r="O163" s="24" t="s">
        <v>60</v>
      </c>
      <c r="P163" s="24" t="s">
        <v>289</v>
      </c>
      <c r="Q163" s="22" t="s">
        <v>146</v>
      </c>
      <c r="R163" s="24" t="s">
        <v>860</v>
      </c>
      <c r="S163" s="20">
        <v>25569.25</v>
      </c>
      <c r="T163" s="20">
        <v>25569.618055555598</v>
      </c>
      <c r="U163" s="22"/>
      <c r="V163" s="25"/>
      <c r="W163" s="71"/>
    </row>
    <row r="164" spans="2:23" s="16" customFormat="1" ht="62.45" hidden="1" customHeight="1" x14ac:dyDescent="0.2">
      <c r="B164" s="26">
        <v>42897</v>
      </c>
      <c r="C164" s="27">
        <v>25569.447916666701</v>
      </c>
      <c r="D164" s="28" t="s">
        <v>861</v>
      </c>
      <c r="E164" s="29" t="s">
        <v>862</v>
      </c>
      <c r="F164" s="29" t="s">
        <v>863</v>
      </c>
      <c r="G164" s="30">
        <v>50</v>
      </c>
      <c r="H164" s="28" t="s">
        <v>864</v>
      </c>
      <c r="I164" s="28" t="s">
        <v>1405</v>
      </c>
      <c r="J164" s="30" t="s">
        <v>3</v>
      </c>
      <c r="K164" s="55" t="s">
        <v>4</v>
      </c>
      <c r="L164" s="59" t="s">
        <v>33</v>
      </c>
      <c r="M164" s="56" t="s">
        <v>34</v>
      </c>
      <c r="N164" s="54">
        <v>13</v>
      </c>
      <c r="O164" s="31" t="s">
        <v>87</v>
      </c>
      <c r="P164" s="31" t="s">
        <v>187</v>
      </c>
      <c r="Q164" s="29" t="s">
        <v>79</v>
      </c>
      <c r="R164" s="31" t="s">
        <v>865</v>
      </c>
      <c r="S164" s="27">
        <v>25569.25</v>
      </c>
      <c r="T164" s="27">
        <v>25569.617361111101</v>
      </c>
      <c r="U164" s="29"/>
      <c r="V164" s="32"/>
      <c r="W164" s="72" t="s">
        <v>81</v>
      </c>
    </row>
    <row r="165" spans="2:23" s="16" customFormat="1" ht="62.45" hidden="1" customHeight="1" x14ac:dyDescent="0.2">
      <c r="B165" s="19">
        <v>42897</v>
      </c>
      <c r="C165" s="20">
        <v>25569.447916666701</v>
      </c>
      <c r="D165" s="21" t="s">
        <v>866</v>
      </c>
      <c r="E165" s="22" t="s">
        <v>867</v>
      </c>
      <c r="F165" s="22" t="s">
        <v>258</v>
      </c>
      <c r="G165" s="23">
        <v>54</v>
      </c>
      <c r="H165" s="21" t="s">
        <v>868</v>
      </c>
      <c r="I165" s="21" t="s">
        <v>1405</v>
      </c>
      <c r="J165" s="23" t="s">
        <v>3</v>
      </c>
      <c r="K165" s="55" t="s">
        <v>4</v>
      </c>
      <c r="L165" s="58" t="s">
        <v>34</v>
      </c>
      <c r="M165" s="56" t="s">
        <v>34</v>
      </c>
      <c r="N165" s="54"/>
      <c r="O165" s="24" t="s">
        <v>87</v>
      </c>
      <c r="P165" s="24" t="s">
        <v>61</v>
      </c>
      <c r="Q165" s="22" t="s">
        <v>158</v>
      </c>
      <c r="R165" s="24" t="s">
        <v>869</v>
      </c>
      <c r="S165" s="20">
        <v>25569.25</v>
      </c>
      <c r="T165" s="20">
        <v>25569.617361111101</v>
      </c>
      <c r="U165" s="22"/>
      <c r="V165" s="25"/>
      <c r="W165" s="71"/>
    </row>
    <row r="166" spans="2:23" s="16" customFormat="1" ht="73.150000000000006" hidden="1" customHeight="1" x14ac:dyDescent="0.2">
      <c r="B166" s="26">
        <v>42897</v>
      </c>
      <c r="C166" s="27">
        <v>25569.625</v>
      </c>
      <c r="D166" s="28" t="s">
        <v>870</v>
      </c>
      <c r="E166" s="29" t="s">
        <v>871</v>
      </c>
      <c r="F166" s="29" t="s">
        <v>872</v>
      </c>
      <c r="G166" s="30">
        <v>34</v>
      </c>
      <c r="H166" s="28" t="s">
        <v>873</v>
      </c>
      <c r="I166" s="28" t="s">
        <v>1405</v>
      </c>
      <c r="J166" s="30" t="s">
        <v>3</v>
      </c>
      <c r="K166" s="55" t="s">
        <v>4</v>
      </c>
      <c r="L166" s="58" t="s">
        <v>34</v>
      </c>
      <c r="M166" s="56" t="s">
        <v>34</v>
      </c>
      <c r="N166" s="54"/>
      <c r="O166" s="31" t="s">
        <v>133</v>
      </c>
      <c r="P166" s="31" t="s">
        <v>61</v>
      </c>
      <c r="Q166" s="29" t="s">
        <v>71</v>
      </c>
      <c r="R166" s="34" t="s">
        <v>874</v>
      </c>
      <c r="S166" s="27">
        <v>25569.603472222199</v>
      </c>
      <c r="T166" s="27">
        <v>25569.999305555601</v>
      </c>
      <c r="U166" s="29"/>
      <c r="V166" s="32"/>
      <c r="W166" s="72"/>
    </row>
    <row r="167" spans="2:23" s="16" customFormat="1" ht="62.45" hidden="1" customHeight="1" x14ac:dyDescent="0.2">
      <c r="B167" s="19">
        <v>42899</v>
      </c>
      <c r="C167" s="20">
        <v>25569.020833333299</v>
      </c>
      <c r="D167" s="21" t="s">
        <v>875</v>
      </c>
      <c r="E167" s="22" t="s">
        <v>876</v>
      </c>
      <c r="F167" s="22" t="s">
        <v>877</v>
      </c>
      <c r="G167" s="23">
        <v>32</v>
      </c>
      <c r="H167" s="21" t="s">
        <v>878</v>
      </c>
      <c r="I167" s="21" t="s">
        <v>1439</v>
      </c>
      <c r="J167" s="23" t="s">
        <v>3</v>
      </c>
      <c r="K167" s="55" t="s">
        <v>4</v>
      </c>
      <c r="L167" s="58" t="s">
        <v>34</v>
      </c>
      <c r="M167" s="56" t="s">
        <v>34</v>
      </c>
      <c r="N167" s="54"/>
      <c r="O167" s="24" t="s">
        <v>78</v>
      </c>
      <c r="P167" s="24" t="s">
        <v>121</v>
      </c>
      <c r="Q167" s="22" t="s">
        <v>122</v>
      </c>
      <c r="R167" s="24" t="s">
        <v>879</v>
      </c>
      <c r="S167" s="20">
        <v>25569.600694444402</v>
      </c>
      <c r="T167" s="20">
        <v>25569.029861111099</v>
      </c>
      <c r="U167" s="22"/>
      <c r="V167" s="25"/>
      <c r="W167" s="71" t="s">
        <v>73</v>
      </c>
    </row>
    <row r="168" spans="2:23" s="16" customFormat="1" ht="41.1" customHeight="1" x14ac:dyDescent="0.2">
      <c r="B168" s="26">
        <v>42899</v>
      </c>
      <c r="C168" s="27">
        <v>25569.3125</v>
      </c>
      <c r="D168" s="28" t="s">
        <v>880</v>
      </c>
      <c r="E168" s="29" t="s">
        <v>881</v>
      </c>
      <c r="F168" s="29" t="s">
        <v>808</v>
      </c>
      <c r="G168" s="30">
        <v>30</v>
      </c>
      <c r="H168" s="28" t="s">
        <v>882</v>
      </c>
      <c r="I168" s="28" t="s">
        <v>1421</v>
      </c>
      <c r="J168" s="30" t="s">
        <v>3</v>
      </c>
      <c r="K168" s="55" t="s">
        <v>4</v>
      </c>
      <c r="L168" s="58" t="s">
        <v>34</v>
      </c>
      <c r="M168" s="56" t="s">
        <v>34</v>
      </c>
      <c r="N168" s="54"/>
      <c r="O168" s="31" t="s">
        <v>78</v>
      </c>
      <c r="P168" s="31" t="s">
        <v>1407</v>
      </c>
      <c r="Q168" s="29" t="s">
        <v>79</v>
      </c>
      <c r="R168" s="31" t="s">
        <v>883</v>
      </c>
      <c r="S168" s="27">
        <v>25569.25</v>
      </c>
      <c r="T168" s="27">
        <v>25569.597916666698</v>
      </c>
      <c r="U168" s="29"/>
      <c r="V168" s="32"/>
      <c r="W168" s="72" t="s">
        <v>81</v>
      </c>
    </row>
    <row r="169" spans="2:23" s="16" customFormat="1" ht="41.1" hidden="1" customHeight="1" x14ac:dyDescent="0.2">
      <c r="B169" s="19">
        <v>42899</v>
      </c>
      <c r="C169" s="20">
        <v>25569.375</v>
      </c>
      <c r="D169" s="21" t="s">
        <v>884</v>
      </c>
      <c r="E169" s="22" t="s">
        <v>885</v>
      </c>
      <c r="F169" s="22" t="s">
        <v>118</v>
      </c>
      <c r="G169" s="23">
        <v>39</v>
      </c>
      <c r="H169" s="21" t="s">
        <v>886</v>
      </c>
      <c r="I169" s="21" t="s">
        <v>1405</v>
      </c>
      <c r="J169" s="23" t="s">
        <v>3</v>
      </c>
      <c r="K169" s="55" t="s">
        <v>4</v>
      </c>
      <c r="L169" s="58" t="s">
        <v>34</v>
      </c>
      <c r="M169" s="56" t="s">
        <v>34</v>
      </c>
      <c r="N169" s="54"/>
      <c r="O169" s="24" t="s">
        <v>69</v>
      </c>
      <c r="P169" s="24" t="s">
        <v>61</v>
      </c>
      <c r="Q169" s="22" t="s">
        <v>71</v>
      </c>
      <c r="R169" s="24" t="s">
        <v>887</v>
      </c>
      <c r="S169" s="20">
        <v>25569.28125</v>
      </c>
      <c r="T169" s="20">
        <v>25569.649305555598</v>
      </c>
      <c r="U169" s="22"/>
      <c r="V169" s="25"/>
      <c r="W169" s="71" t="s">
        <v>81</v>
      </c>
    </row>
    <row r="170" spans="2:23" s="16" customFormat="1" ht="51.75" hidden="1" customHeight="1" x14ac:dyDescent="0.2">
      <c r="B170" s="26">
        <v>42900</v>
      </c>
      <c r="C170" s="27">
        <v>25569.0625</v>
      </c>
      <c r="D170" s="28" t="s">
        <v>888</v>
      </c>
      <c r="E170" s="29" t="s">
        <v>889</v>
      </c>
      <c r="F170" s="29" t="s">
        <v>210</v>
      </c>
      <c r="G170" s="30">
        <v>55</v>
      </c>
      <c r="H170" s="28" t="s">
        <v>890</v>
      </c>
      <c r="I170" s="28" t="s">
        <v>1444</v>
      </c>
      <c r="J170" s="30" t="s">
        <v>3</v>
      </c>
      <c r="K170" s="55" t="s">
        <v>4</v>
      </c>
      <c r="L170" s="59" t="s">
        <v>33</v>
      </c>
      <c r="M170" s="56" t="s">
        <v>34</v>
      </c>
      <c r="N170" s="54">
        <v>9</v>
      </c>
      <c r="O170" s="31" t="s">
        <v>78</v>
      </c>
      <c r="P170" s="31" t="s">
        <v>61</v>
      </c>
      <c r="Q170" s="29" t="s">
        <v>62</v>
      </c>
      <c r="R170" s="31" t="s">
        <v>892</v>
      </c>
      <c r="S170" s="27">
        <v>25569.693055555599</v>
      </c>
      <c r="T170" s="27">
        <v>25569.123611111099</v>
      </c>
      <c r="U170" s="29"/>
      <c r="V170" s="32"/>
      <c r="W170" s="72" t="s">
        <v>81</v>
      </c>
    </row>
    <row r="171" spans="2:23" s="16" customFormat="1" ht="51.75" customHeight="1" x14ac:dyDescent="0.2">
      <c r="B171" s="19">
        <v>42900</v>
      </c>
      <c r="C171" s="20">
        <v>25569.416666666701</v>
      </c>
      <c r="D171" s="21" t="s">
        <v>893</v>
      </c>
      <c r="E171" s="22" t="s">
        <v>894</v>
      </c>
      <c r="F171" s="22" t="s">
        <v>570</v>
      </c>
      <c r="G171" s="23">
        <v>31</v>
      </c>
      <c r="H171" s="21" t="s">
        <v>895</v>
      </c>
      <c r="I171" s="21" t="s">
        <v>1421</v>
      </c>
      <c r="J171" s="23" t="s">
        <v>3</v>
      </c>
      <c r="K171" s="55" t="s">
        <v>4</v>
      </c>
      <c r="L171" s="59" t="s">
        <v>33</v>
      </c>
      <c r="M171" s="56" t="s">
        <v>34</v>
      </c>
      <c r="N171" s="54">
        <v>3</v>
      </c>
      <c r="O171" s="24" t="s">
        <v>78</v>
      </c>
      <c r="P171" s="24" t="s">
        <v>1407</v>
      </c>
      <c r="Q171" s="22" t="s">
        <v>62</v>
      </c>
      <c r="R171" s="24" t="s">
        <v>896</v>
      </c>
      <c r="S171" s="20">
        <v>25569.270833333299</v>
      </c>
      <c r="T171" s="20">
        <v>25569.597222222201</v>
      </c>
      <c r="U171" s="22"/>
      <c r="V171" s="25"/>
      <c r="W171" s="71" t="s">
        <v>81</v>
      </c>
    </row>
    <row r="172" spans="2:23" s="16" customFormat="1" ht="41.1" hidden="1" customHeight="1" x14ac:dyDescent="0.2">
      <c r="B172" s="26">
        <v>42901</v>
      </c>
      <c r="C172" s="27">
        <v>25569.625</v>
      </c>
      <c r="D172" s="28" t="s">
        <v>897</v>
      </c>
      <c r="E172" s="29" t="s">
        <v>898</v>
      </c>
      <c r="F172" s="29" t="s">
        <v>105</v>
      </c>
      <c r="G172" s="30">
        <v>47</v>
      </c>
      <c r="H172" s="28" t="s">
        <v>899</v>
      </c>
      <c r="I172" s="28" t="s">
        <v>1413</v>
      </c>
      <c r="J172" s="30" t="s">
        <v>3</v>
      </c>
      <c r="K172" s="55" t="s">
        <v>4</v>
      </c>
      <c r="L172" s="59" t="s">
        <v>33</v>
      </c>
      <c r="M172" s="56" t="s">
        <v>34</v>
      </c>
      <c r="N172" s="54">
        <v>106</v>
      </c>
      <c r="O172" s="31" t="s">
        <v>78</v>
      </c>
      <c r="P172" s="31" t="s">
        <v>1407</v>
      </c>
      <c r="Q172" s="29" t="s">
        <v>71</v>
      </c>
      <c r="R172" s="31" t="s">
        <v>900</v>
      </c>
      <c r="S172" s="27">
        <v>25569.615277777801</v>
      </c>
      <c r="T172" s="27">
        <v>25569.9666666667</v>
      </c>
      <c r="U172" s="29"/>
      <c r="V172" s="32"/>
      <c r="W172" s="72" t="s">
        <v>81</v>
      </c>
    </row>
    <row r="173" spans="2:23" s="16" customFormat="1" ht="51.75" hidden="1" customHeight="1" x14ac:dyDescent="0.2">
      <c r="B173" s="19">
        <v>42906</v>
      </c>
      <c r="C173" s="20">
        <v>25569.854166666701</v>
      </c>
      <c r="D173" s="21" t="s">
        <v>901</v>
      </c>
      <c r="E173" s="22" t="s">
        <v>902</v>
      </c>
      <c r="F173" s="22" t="s">
        <v>903</v>
      </c>
      <c r="G173" s="23">
        <v>42</v>
      </c>
      <c r="H173" s="21" t="s">
        <v>904</v>
      </c>
      <c r="I173" s="21" t="s">
        <v>1411</v>
      </c>
      <c r="J173" s="23" t="s">
        <v>3</v>
      </c>
      <c r="K173" s="55" t="s">
        <v>4</v>
      </c>
      <c r="L173" s="59" t="s">
        <v>33</v>
      </c>
      <c r="M173" s="56" t="s">
        <v>34</v>
      </c>
      <c r="N173" s="54">
        <v>33</v>
      </c>
      <c r="O173" s="24" t="s">
        <v>60</v>
      </c>
      <c r="P173" s="24" t="s">
        <v>1407</v>
      </c>
      <c r="Q173" s="22" t="s">
        <v>158</v>
      </c>
      <c r="R173" s="24" t="s">
        <v>905</v>
      </c>
      <c r="S173" s="20">
        <v>25569.583333333299</v>
      </c>
      <c r="T173" s="20">
        <v>25569.947916666701</v>
      </c>
      <c r="U173" s="22"/>
      <c r="V173" s="25"/>
      <c r="W173" s="71" t="s">
        <v>81</v>
      </c>
    </row>
    <row r="174" spans="2:23" s="16" customFormat="1" ht="51.75" hidden="1" customHeight="1" x14ac:dyDescent="0.2">
      <c r="B174" s="26">
        <v>42907</v>
      </c>
      <c r="C174" s="27">
        <v>25569.625</v>
      </c>
      <c r="D174" s="28" t="s">
        <v>906</v>
      </c>
      <c r="E174" s="29" t="s">
        <v>155</v>
      </c>
      <c r="F174" s="29" t="s">
        <v>156</v>
      </c>
      <c r="G174" s="30">
        <v>49</v>
      </c>
      <c r="H174" s="28" t="s">
        <v>157</v>
      </c>
      <c r="I174" s="28" t="s">
        <v>1403</v>
      </c>
      <c r="J174" s="30" t="s">
        <v>3</v>
      </c>
      <c r="K174" s="57" t="s">
        <v>1404</v>
      </c>
      <c r="L174" s="58" t="s">
        <v>34</v>
      </c>
      <c r="M174" s="56" t="s">
        <v>34</v>
      </c>
      <c r="N174" s="54"/>
      <c r="O174" s="31" t="s">
        <v>87</v>
      </c>
      <c r="P174" s="31" t="s">
        <v>61</v>
      </c>
      <c r="Q174" s="29" t="s">
        <v>79</v>
      </c>
      <c r="R174" s="31" t="s">
        <v>907</v>
      </c>
      <c r="S174" s="27">
        <v>25569.253472222201</v>
      </c>
      <c r="T174" s="27">
        <v>25569.604166666701</v>
      </c>
      <c r="U174" s="29" t="s">
        <v>908</v>
      </c>
      <c r="V174" s="32"/>
      <c r="W174" s="72" t="s">
        <v>73</v>
      </c>
    </row>
    <row r="175" spans="2:23" s="16" customFormat="1" ht="51.75" hidden="1" customHeight="1" x14ac:dyDescent="0.2">
      <c r="B175" s="19">
        <v>42908</v>
      </c>
      <c r="C175" s="20">
        <v>25569.069444444402</v>
      </c>
      <c r="D175" s="21" t="s">
        <v>909</v>
      </c>
      <c r="E175" s="22" t="s">
        <v>910</v>
      </c>
      <c r="F175" s="22" t="s">
        <v>911</v>
      </c>
      <c r="G175" s="23">
        <v>30</v>
      </c>
      <c r="H175" s="21" t="s">
        <v>912</v>
      </c>
      <c r="I175" s="21" t="s">
        <v>1405</v>
      </c>
      <c r="J175" s="23" t="s">
        <v>3</v>
      </c>
      <c r="K175" s="55" t="s">
        <v>4</v>
      </c>
      <c r="L175" s="58" t="s">
        <v>34</v>
      </c>
      <c r="M175" s="56" t="s">
        <v>34</v>
      </c>
      <c r="N175" s="54"/>
      <c r="O175" s="24" t="s">
        <v>60</v>
      </c>
      <c r="P175" s="24" t="s">
        <v>219</v>
      </c>
      <c r="Q175" s="22" t="s">
        <v>114</v>
      </c>
      <c r="R175" s="24" t="s">
        <v>913</v>
      </c>
      <c r="S175" s="20">
        <v>25569.916666666701</v>
      </c>
      <c r="T175" s="20">
        <v>25569.261805555601</v>
      </c>
      <c r="U175" s="22"/>
      <c r="V175" s="25"/>
      <c r="W175" s="71" t="s">
        <v>73</v>
      </c>
    </row>
    <row r="176" spans="2:23" s="16" customFormat="1" ht="41.1" hidden="1" customHeight="1" x14ac:dyDescent="0.2">
      <c r="B176" s="26">
        <v>42910</v>
      </c>
      <c r="C176" s="27">
        <v>25569.291666666701</v>
      </c>
      <c r="D176" s="28" t="s">
        <v>914</v>
      </c>
      <c r="E176" s="29" t="s">
        <v>915</v>
      </c>
      <c r="F176" s="29" t="s">
        <v>916</v>
      </c>
      <c r="G176" s="30">
        <v>54</v>
      </c>
      <c r="H176" s="28" t="s">
        <v>917</v>
      </c>
      <c r="I176" s="28" t="s">
        <v>1411</v>
      </c>
      <c r="J176" s="30" t="s">
        <v>3</v>
      </c>
      <c r="K176" s="57" t="s">
        <v>1404</v>
      </c>
      <c r="L176" s="58" t="s">
        <v>34</v>
      </c>
      <c r="M176" s="56" t="s">
        <v>34</v>
      </c>
      <c r="N176" s="54"/>
      <c r="O176" s="31" t="s">
        <v>60</v>
      </c>
      <c r="P176" s="31" t="s">
        <v>5</v>
      </c>
      <c r="Q176" s="29" t="s">
        <v>1407</v>
      </c>
      <c r="R176" s="31" t="s">
        <v>918</v>
      </c>
      <c r="S176" s="27">
        <v>25569.916666666701</v>
      </c>
      <c r="T176" s="27">
        <v>25569.25</v>
      </c>
      <c r="U176" s="29"/>
      <c r="V176" s="32"/>
      <c r="W176" s="72"/>
    </row>
    <row r="177" spans="2:23" s="16" customFormat="1" ht="62.45" hidden="1" customHeight="1" x14ac:dyDescent="0.2">
      <c r="B177" s="19">
        <v>42910</v>
      </c>
      <c r="C177" s="20">
        <v>25569.368055555598</v>
      </c>
      <c r="D177" s="21" t="s">
        <v>1467</v>
      </c>
      <c r="E177" s="22" t="s">
        <v>919</v>
      </c>
      <c r="F177" s="22" t="s">
        <v>270</v>
      </c>
      <c r="G177" s="23">
        <v>58</v>
      </c>
      <c r="H177" s="21" t="s">
        <v>1468</v>
      </c>
      <c r="I177" s="21" t="s">
        <v>1410</v>
      </c>
      <c r="J177" s="23" t="s">
        <v>3</v>
      </c>
      <c r="K177" s="55" t="s">
        <v>4</v>
      </c>
      <c r="L177" s="59" t="s">
        <v>33</v>
      </c>
      <c r="M177" s="56" t="s">
        <v>34</v>
      </c>
      <c r="N177" s="54">
        <v>3</v>
      </c>
      <c r="O177" s="24" t="s">
        <v>60</v>
      </c>
      <c r="P177" s="24" t="s">
        <v>289</v>
      </c>
      <c r="Q177" s="22" t="s">
        <v>146</v>
      </c>
      <c r="R177" s="24" t="s">
        <v>920</v>
      </c>
      <c r="S177" s="20">
        <v>25569.291666666701</v>
      </c>
      <c r="T177" s="20">
        <v>25569.645833333299</v>
      </c>
      <c r="U177" s="22"/>
      <c r="V177" s="25"/>
      <c r="W177" s="71" t="s">
        <v>81</v>
      </c>
    </row>
    <row r="178" spans="2:23" s="16" customFormat="1" ht="62.45" hidden="1" customHeight="1" x14ac:dyDescent="0.2">
      <c r="B178" s="26">
        <v>42912</v>
      </c>
      <c r="C178" s="27">
        <v>25569.333333333299</v>
      </c>
      <c r="D178" s="28" t="s">
        <v>921</v>
      </c>
      <c r="E178" s="29" t="s">
        <v>922</v>
      </c>
      <c r="F178" s="29" t="s">
        <v>923</v>
      </c>
      <c r="G178" s="30">
        <v>31</v>
      </c>
      <c r="H178" s="28" t="s">
        <v>924</v>
      </c>
      <c r="I178" s="28" t="s">
        <v>1405</v>
      </c>
      <c r="J178" s="30" t="s">
        <v>3</v>
      </c>
      <c r="K178" s="55" t="s">
        <v>4</v>
      </c>
      <c r="L178" s="59" t="s">
        <v>33</v>
      </c>
      <c r="M178" s="56" t="s">
        <v>34</v>
      </c>
      <c r="N178" s="54">
        <v>39</v>
      </c>
      <c r="O178" s="31" t="s">
        <v>925</v>
      </c>
      <c r="P178" s="31" t="s">
        <v>61</v>
      </c>
      <c r="Q178" s="29" t="s">
        <v>122</v>
      </c>
      <c r="R178" s="31" t="s">
        <v>926</v>
      </c>
      <c r="S178" s="27">
        <v>25569.25</v>
      </c>
      <c r="T178" s="27">
        <v>25569.614583333299</v>
      </c>
      <c r="U178" s="29"/>
      <c r="V178" s="32"/>
      <c r="W178" s="72"/>
    </row>
    <row r="179" spans="2:23" s="16" customFormat="1" ht="51.75" hidden="1" customHeight="1" x14ac:dyDescent="0.2">
      <c r="B179" s="19">
        <v>42913</v>
      </c>
      <c r="C179" s="20">
        <v>25569.354166666701</v>
      </c>
      <c r="D179" s="21" t="s">
        <v>927</v>
      </c>
      <c r="E179" s="22" t="s">
        <v>928</v>
      </c>
      <c r="F179" s="22" t="s">
        <v>871</v>
      </c>
      <c r="G179" s="23">
        <v>36</v>
      </c>
      <c r="H179" s="21" t="s">
        <v>929</v>
      </c>
      <c r="I179" s="21" t="s">
        <v>1445</v>
      </c>
      <c r="J179" s="23" t="s">
        <v>3</v>
      </c>
      <c r="K179" s="57" t="s">
        <v>1404</v>
      </c>
      <c r="L179" s="58" t="s">
        <v>34</v>
      </c>
      <c r="M179" s="56" t="s">
        <v>34</v>
      </c>
      <c r="N179" s="54"/>
      <c r="O179" s="24" t="s">
        <v>87</v>
      </c>
      <c r="P179" s="24" t="s">
        <v>70</v>
      </c>
      <c r="Q179" s="22" t="s">
        <v>71</v>
      </c>
      <c r="R179" s="24" t="s">
        <v>931</v>
      </c>
      <c r="S179" s="20">
        <v>25569.381249999999</v>
      </c>
      <c r="T179" s="20">
        <v>25569.729166666701</v>
      </c>
      <c r="U179" s="22"/>
      <c r="V179" s="25"/>
      <c r="W179" s="71" t="s">
        <v>73</v>
      </c>
    </row>
    <row r="180" spans="2:23" s="16" customFormat="1" ht="30.4" hidden="1" customHeight="1" x14ac:dyDescent="0.2">
      <c r="B180" s="26">
        <v>42916</v>
      </c>
      <c r="C180" s="27">
        <v>25569.381944444402</v>
      </c>
      <c r="D180" s="28" t="s">
        <v>932</v>
      </c>
      <c r="E180" s="29" t="s">
        <v>933</v>
      </c>
      <c r="F180" s="29" t="s">
        <v>934</v>
      </c>
      <c r="G180" s="30">
        <v>19</v>
      </c>
      <c r="H180" s="28" t="s">
        <v>935</v>
      </c>
      <c r="I180" s="28" t="s">
        <v>1446</v>
      </c>
      <c r="J180" s="30" t="s">
        <v>3</v>
      </c>
      <c r="K180" s="55" t="s">
        <v>4</v>
      </c>
      <c r="L180" s="59" t="s">
        <v>33</v>
      </c>
      <c r="M180" s="56" t="s">
        <v>34</v>
      </c>
      <c r="N180" s="54">
        <v>11</v>
      </c>
      <c r="O180" s="31" t="s">
        <v>60</v>
      </c>
      <c r="P180" s="31" t="s">
        <v>61</v>
      </c>
      <c r="Q180" s="29" t="s">
        <v>71</v>
      </c>
      <c r="R180" s="31" t="s">
        <v>937</v>
      </c>
      <c r="S180" s="27">
        <v>25569.333333333299</v>
      </c>
      <c r="T180" s="27">
        <v>25569.6944444445</v>
      </c>
      <c r="U180" s="31"/>
      <c r="V180" s="32"/>
      <c r="W180" s="72" t="s">
        <v>73</v>
      </c>
    </row>
    <row r="181" spans="2:23" s="16" customFormat="1" ht="30.4" hidden="1" customHeight="1" x14ac:dyDescent="0.2">
      <c r="B181" s="19">
        <v>42916</v>
      </c>
      <c r="C181" s="20">
        <v>25569.875</v>
      </c>
      <c r="D181" s="21" t="s">
        <v>938</v>
      </c>
      <c r="E181" s="22" t="s">
        <v>939</v>
      </c>
      <c r="F181" s="22" t="s">
        <v>940</v>
      </c>
      <c r="G181" s="23">
        <v>38</v>
      </c>
      <c r="H181" s="21" t="s">
        <v>941</v>
      </c>
      <c r="I181" s="21" t="s">
        <v>1411</v>
      </c>
      <c r="J181" s="23" t="s">
        <v>3</v>
      </c>
      <c r="K181" s="55" t="s">
        <v>4</v>
      </c>
      <c r="L181" s="59" t="s">
        <v>33</v>
      </c>
      <c r="M181" s="56" t="s">
        <v>34</v>
      </c>
      <c r="N181" s="54">
        <v>13</v>
      </c>
      <c r="O181" s="24" t="s">
        <v>60</v>
      </c>
      <c r="P181" s="24" t="s">
        <v>173</v>
      </c>
      <c r="Q181" s="22" t="s">
        <v>8</v>
      </c>
      <c r="R181" s="24" t="s">
        <v>942</v>
      </c>
      <c r="S181" s="20">
        <v>25569.583333333299</v>
      </c>
      <c r="T181" s="20">
        <v>25569.947916666701</v>
      </c>
      <c r="U181" s="22" t="s">
        <v>251</v>
      </c>
      <c r="V181" s="25"/>
      <c r="W181" s="71" t="s">
        <v>81</v>
      </c>
    </row>
    <row r="182" spans="2:23" s="16" customFormat="1" ht="41.1" customHeight="1" x14ac:dyDescent="0.2">
      <c r="B182" s="26">
        <v>42917</v>
      </c>
      <c r="C182" s="27">
        <v>25569.989583333299</v>
      </c>
      <c r="D182" s="28" t="s">
        <v>943</v>
      </c>
      <c r="E182" s="29" t="s">
        <v>944</v>
      </c>
      <c r="F182" s="29" t="s">
        <v>258</v>
      </c>
      <c r="G182" s="30">
        <v>55</v>
      </c>
      <c r="H182" s="28" t="s">
        <v>945</v>
      </c>
      <c r="I182" s="28" t="s">
        <v>1421</v>
      </c>
      <c r="J182" s="30" t="s">
        <v>3</v>
      </c>
      <c r="K182" s="55" t="s">
        <v>4</v>
      </c>
      <c r="L182" s="58" t="s">
        <v>34</v>
      </c>
      <c r="M182" s="56" t="s">
        <v>34</v>
      </c>
      <c r="N182" s="54"/>
      <c r="O182" s="31" t="s">
        <v>78</v>
      </c>
      <c r="P182" s="31" t="s">
        <v>121</v>
      </c>
      <c r="Q182" s="29" t="s">
        <v>122</v>
      </c>
      <c r="R182" s="31" t="s">
        <v>946</v>
      </c>
      <c r="S182" s="27">
        <v>25569.916666666701</v>
      </c>
      <c r="T182" s="27">
        <v>25569.259722222199</v>
      </c>
      <c r="U182" s="29"/>
      <c r="V182" s="32"/>
      <c r="W182" s="72" t="s">
        <v>73</v>
      </c>
    </row>
    <row r="183" spans="2:23" s="16" customFormat="1" ht="62.45" hidden="1" customHeight="1" x14ac:dyDescent="0.2">
      <c r="B183" s="19">
        <v>42920</v>
      </c>
      <c r="C183" s="20">
        <v>25569.177083333299</v>
      </c>
      <c r="D183" s="21" t="s">
        <v>947</v>
      </c>
      <c r="E183" s="22" t="s">
        <v>948</v>
      </c>
      <c r="F183" s="22" t="s">
        <v>854</v>
      </c>
      <c r="G183" s="23">
        <v>30</v>
      </c>
      <c r="H183" s="21" t="s">
        <v>949</v>
      </c>
      <c r="I183" s="21" t="s">
        <v>1417</v>
      </c>
      <c r="J183" s="23" t="s">
        <v>3</v>
      </c>
      <c r="K183" s="55" t="s">
        <v>4</v>
      </c>
      <c r="L183" s="59" t="s">
        <v>33</v>
      </c>
      <c r="M183" s="56" t="s">
        <v>34</v>
      </c>
      <c r="N183" s="54">
        <v>4</v>
      </c>
      <c r="O183" s="24" t="s">
        <v>78</v>
      </c>
      <c r="P183" s="24" t="s">
        <v>61</v>
      </c>
      <c r="Q183" s="22" t="s">
        <v>79</v>
      </c>
      <c r="R183" s="24" t="s">
        <v>950</v>
      </c>
      <c r="S183" s="20">
        <v>25569.916666666701</v>
      </c>
      <c r="T183" s="20">
        <v>25569.256944444402</v>
      </c>
      <c r="U183" s="22"/>
      <c r="V183" s="25"/>
      <c r="W183" s="71" t="s">
        <v>81</v>
      </c>
    </row>
    <row r="184" spans="2:23" s="16" customFormat="1" ht="41.1" hidden="1" customHeight="1" x14ac:dyDescent="0.2">
      <c r="B184" s="26">
        <v>42920</v>
      </c>
      <c r="C184" s="27">
        <v>25569.572916666701</v>
      </c>
      <c r="D184" s="28" t="s">
        <v>951</v>
      </c>
      <c r="E184" s="29" t="s">
        <v>952</v>
      </c>
      <c r="F184" s="29" t="s">
        <v>486</v>
      </c>
      <c r="G184" s="30">
        <v>31</v>
      </c>
      <c r="H184" s="28" t="s">
        <v>953</v>
      </c>
      <c r="I184" s="28" t="s">
        <v>1423</v>
      </c>
      <c r="J184" s="30" t="s">
        <v>3</v>
      </c>
      <c r="K184" s="55" t="s">
        <v>4</v>
      </c>
      <c r="L184" s="58" t="s">
        <v>34</v>
      </c>
      <c r="M184" s="56" t="s">
        <v>34</v>
      </c>
      <c r="N184" s="54"/>
      <c r="O184" s="31" t="s">
        <v>60</v>
      </c>
      <c r="P184" s="31" t="s">
        <v>121</v>
      </c>
      <c r="Q184" s="29" t="s">
        <v>122</v>
      </c>
      <c r="R184" s="31" t="s">
        <v>954</v>
      </c>
      <c r="S184" s="27">
        <v>25569.2791666667</v>
      </c>
      <c r="T184" s="27">
        <v>25569.611111111099</v>
      </c>
      <c r="U184" s="29"/>
      <c r="V184" s="32"/>
      <c r="W184" s="72" t="s">
        <v>81</v>
      </c>
    </row>
    <row r="185" spans="2:23" s="16" customFormat="1" ht="41.1" hidden="1" customHeight="1" x14ac:dyDescent="0.2">
      <c r="B185" s="19">
        <v>42922</v>
      </c>
      <c r="C185" s="20">
        <v>25569.40625</v>
      </c>
      <c r="D185" s="21" t="s">
        <v>955</v>
      </c>
      <c r="E185" s="22" t="s">
        <v>956</v>
      </c>
      <c r="F185" s="22" t="s">
        <v>258</v>
      </c>
      <c r="G185" s="23">
        <v>47</v>
      </c>
      <c r="H185" s="21" t="s">
        <v>957</v>
      </c>
      <c r="I185" s="21" t="s">
        <v>1413</v>
      </c>
      <c r="J185" s="23" t="s">
        <v>3</v>
      </c>
      <c r="K185" s="55" t="s">
        <v>4</v>
      </c>
      <c r="L185" s="58" t="s">
        <v>34</v>
      </c>
      <c r="M185" s="56" t="s">
        <v>34</v>
      </c>
      <c r="N185" s="54"/>
      <c r="O185" s="24" t="s">
        <v>958</v>
      </c>
      <c r="P185" s="24" t="s">
        <v>5</v>
      </c>
      <c r="Q185" s="22" t="s">
        <v>1407</v>
      </c>
      <c r="R185" s="24" t="s">
        <v>959</v>
      </c>
      <c r="S185" s="20">
        <v>25569.263888888901</v>
      </c>
      <c r="T185" s="20">
        <v>25569.615277777801</v>
      </c>
      <c r="U185" s="22" t="s">
        <v>960</v>
      </c>
      <c r="V185" s="25"/>
      <c r="W185" s="71"/>
    </row>
    <row r="186" spans="2:23" s="16" customFormat="1" ht="41.1" hidden="1" customHeight="1" x14ac:dyDescent="0.2">
      <c r="B186" s="26">
        <v>42922</v>
      </c>
      <c r="C186" s="27">
        <v>25569.416666666701</v>
      </c>
      <c r="D186" s="28" t="s">
        <v>961</v>
      </c>
      <c r="E186" s="29" t="s">
        <v>962</v>
      </c>
      <c r="F186" s="29" t="s">
        <v>963</v>
      </c>
      <c r="G186" s="30">
        <v>48</v>
      </c>
      <c r="H186" s="28" t="s">
        <v>964</v>
      </c>
      <c r="I186" s="28" t="s">
        <v>1418</v>
      </c>
      <c r="J186" s="30" t="s">
        <v>3</v>
      </c>
      <c r="K186" s="55" t="s">
        <v>4</v>
      </c>
      <c r="L186" s="58" t="s">
        <v>34</v>
      </c>
      <c r="M186" s="56" t="s">
        <v>34</v>
      </c>
      <c r="N186" s="54"/>
      <c r="O186" s="31" t="s">
        <v>60</v>
      </c>
      <c r="P186" s="31" t="s">
        <v>70</v>
      </c>
      <c r="Q186" s="29" t="s">
        <v>158</v>
      </c>
      <c r="R186" s="31" t="s">
        <v>965</v>
      </c>
      <c r="S186" s="27">
        <v>25569.333333333299</v>
      </c>
      <c r="T186" s="27">
        <v>25569.666666666701</v>
      </c>
      <c r="U186" s="29"/>
      <c r="V186" s="32"/>
      <c r="W186" s="72" t="s">
        <v>81</v>
      </c>
    </row>
    <row r="187" spans="2:23" s="16" customFormat="1" ht="51.75" hidden="1" customHeight="1" x14ac:dyDescent="0.2">
      <c r="B187" s="19">
        <v>42922</v>
      </c>
      <c r="C187" s="20">
        <v>25569.604166666701</v>
      </c>
      <c r="D187" s="21" t="s">
        <v>966</v>
      </c>
      <c r="E187" s="22" t="s">
        <v>967</v>
      </c>
      <c r="F187" s="22" t="s">
        <v>968</v>
      </c>
      <c r="G187" s="23">
        <v>26</v>
      </c>
      <c r="H187" s="21" t="s">
        <v>969</v>
      </c>
      <c r="I187" s="21" t="s">
        <v>1414</v>
      </c>
      <c r="J187" s="23" t="s">
        <v>3</v>
      </c>
      <c r="K187" s="55" t="s">
        <v>4</v>
      </c>
      <c r="L187" s="59" t="s">
        <v>33</v>
      </c>
      <c r="M187" s="56" t="s">
        <v>34</v>
      </c>
      <c r="N187" s="54">
        <v>4</v>
      </c>
      <c r="O187" s="24" t="s">
        <v>60</v>
      </c>
      <c r="P187" s="24" t="s">
        <v>61</v>
      </c>
      <c r="Q187" s="22" t="s">
        <v>146</v>
      </c>
      <c r="R187" s="24" t="s">
        <v>970</v>
      </c>
      <c r="S187" s="20">
        <v>25569.2791666667</v>
      </c>
      <c r="T187" s="20">
        <v>25569.611111111099</v>
      </c>
      <c r="U187" s="24"/>
      <c r="V187" s="25"/>
      <c r="W187" s="71" t="s">
        <v>81</v>
      </c>
    </row>
    <row r="188" spans="2:23" s="16" customFormat="1" ht="62.45" hidden="1" customHeight="1" x14ac:dyDescent="0.2">
      <c r="B188" s="26">
        <v>42924</v>
      </c>
      <c r="C188" s="27">
        <v>25569.458333333299</v>
      </c>
      <c r="D188" s="28" t="s">
        <v>971</v>
      </c>
      <c r="E188" s="29" t="s">
        <v>972</v>
      </c>
      <c r="F188" s="29" t="s">
        <v>105</v>
      </c>
      <c r="G188" s="30">
        <v>45</v>
      </c>
      <c r="H188" s="28" t="s">
        <v>973</v>
      </c>
      <c r="I188" s="28" t="s">
        <v>1413</v>
      </c>
      <c r="J188" s="30" t="s">
        <v>3</v>
      </c>
      <c r="K188" s="55" t="s">
        <v>4</v>
      </c>
      <c r="L188" s="58" t="s">
        <v>34</v>
      </c>
      <c r="M188" s="56" t="s">
        <v>34</v>
      </c>
      <c r="N188" s="54"/>
      <c r="O188" s="31" t="s">
        <v>78</v>
      </c>
      <c r="P188" s="31" t="s">
        <v>206</v>
      </c>
      <c r="Q188" s="29" t="s">
        <v>71</v>
      </c>
      <c r="R188" s="31" t="s">
        <v>974</v>
      </c>
      <c r="S188" s="27">
        <v>25569.263888888901</v>
      </c>
      <c r="T188" s="27">
        <v>25569.615277777801</v>
      </c>
      <c r="U188" s="29"/>
      <c r="V188" s="32"/>
      <c r="W188" s="72" t="s">
        <v>73</v>
      </c>
    </row>
    <row r="189" spans="2:23" s="16" customFormat="1" ht="73.150000000000006" hidden="1" customHeight="1" x14ac:dyDescent="0.2">
      <c r="B189" s="19">
        <v>42924</v>
      </c>
      <c r="C189" s="20">
        <v>25569.854166666701</v>
      </c>
      <c r="D189" s="21" t="s">
        <v>1469</v>
      </c>
      <c r="E189" s="22" t="s">
        <v>975</v>
      </c>
      <c r="F189" s="22" t="s">
        <v>911</v>
      </c>
      <c r="G189" s="23">
        <v>31</v>
      </c>
      <c r="H189" s="21" t="s">
        <v>1470</v>
      </c>
      <c r="I189" s="21" t="s">
        <v>1410</v>
      </c>
      <c r="J189" s="23" t="s">
        <v>3</v>
      </c>
      <c r="K189" s="55" t="s">
        <v>4</v>
      </c>
      <c r="L189" s="59" t="s">
        <v>33</v>
      </c>
      <c r="M189" s="56" t="s">
        <v>34</v>
      </c>
      <c r="N189" s="54">
        <v>4</v>
      </c>
      <c r="O189" s="24" t="s">
        <v>78</v>
      </c>
      <c r="P189" s="24" t="s">
        <v>61</v>
      </c>
      <c r="Q189" s="22" t="s">
        <v>62</v>
      </c>
      <c r="R189" s="24" t="s">
        <v>976</v>
      </c>
      <c r="S189" s="20">
        <v>25569.604166666701</v>
      </c>
      <c r="T189" s="20">
        <v>25569.979166666701</v>
      </c>
      <c r="U189" s="22"/>
      <c r="V189" s="25"/>
      <c r="W189" s="71"/>
    </row>
    <row r="190" spans="2:23" s="16" customFormat="1" ht="41.1" hidden="1" customHeight="1" x14ac:dyDescent="0.2">
      <c r="B190" s="26">
        <v>42926</v>
      </c>
      <c r="C190" s="27">
        <v>25569.302083333299</v>
      </c>
      <c r="D190" s="28" t="s">
        <v>977</v>
      </c>
      <c r="E190" s="29" t="s">
        <v>978</v>
      </c>
      <c r="F190" s="29" t="s">
        <v>979</v>
      </c>
      <c r="G190" s="30">
        <v>53</v>
      </c>
      <c r="H190" s="28" t="s">
        <v>980</v>
      </c>
      <c r="I190" s="28" t="s">
        <v>1413</v>
      </c>
      <c r="J190" s="30" t="s">
        <v>3</v>
      </c>
      <c r="K190" s="57" t="s">
        <v>1404</v>
      </c>
      <c r="L190" s="58" t="s">
        <v>34</v>
      </c>
      <c r="M190" s="56" t="s">
        <v>34</v>
      </c>
      <c r="N190" s="54"/>
      <c r="O190" s="31" t="s">
        <v>69</v>
      </c>
      <c r="P190" s="31" t="s">
        <v>88</v>
      </c>
      <c r="Q190" s="29" t="s">
        <v>8</v>
      </c>
      <c r="R190" s="31" t="s">
        <v>981</v>
      </c>
      <c r="S190" s="27">
        <v>25569.3125</v>
      </c>
      <c r="T190" s="27">
        <v>25569.640972222202</v>
      </c>
      <c r="U190" s="29"/>
      <c r="V190" s="32"/>
      <c r="W190" s="72" t="s">
        <v>73</v>
      </c>
    </row>
    <row r="191" spans="2:23" s="16" customFormat="1" ht="41.1" hidden="1" customHeight="1" x14ac:dyDescent="0.2">
      <c r="B191" s="19">
        <v>42926</v>
      </c>
      <c r="C191" s="20">
        <v>25569.395833333299</v>
      </c>
      <c r="D191" s="21" t="s">
        <v>982</v>
      </c>
      <c r="E191" s="22" t="s">
        <v>983</v>
      </c>
      <c r="F191" s="22" t="s">
        <v>247</v>
      </c>
      <c r="G191" s="23">
        <v>47</v>
      </c>
      <c r="H191" s="21" t="s">
        <v>984</v>
      </c>
      <c r="I191" s="21" t="s">
        <v>1424</v>
      </c>
      <c r="J191" s="23" t="s">
        <v>3</v>
      </c>
      <c r="K191" s="55" t="s">
        <v>4</v>
      </c>
      <c r="L191" s="58" t="s">
        <v>34</v>
      </c>
      <c r="M191" s="56" t="s">
        <v>34</v>
      </c>
      <c r="N191" s="54"/>
      <c r="O191" s="24" t="s">
        <v>78</v>
      </c>
      <c r="P191" s="24" t="s">
        <v>1407</v>
      </c>
      <c r="Q191" s="22" t="s">
        <v>62</v>
      </c>
      <c r="R191" s="24" t="s">
        <v>985</v>
      </c>
      <c r="S191" s="20">
        <v>25569.21875</v>
      </c>
      <c r="T191" s="20">
        <v>25569.618055555598</v>
      </c>
      <c r="U191" s="22"/>
      <c r="V191" s="25"/>
      <c r="W191" s="71" t="s">
        <v>73</v>
      </c>
    </row>
    <row r="192" spans="2:23" s="16" customFormat="1" ht="51.75" hidden="1" customHeight="1" x14ac:dyDescent="0.2">
      <c r="B192" s="26">
        <v>42926</v>
      </c>
      <c r="C192" s="27">
        <v>25569.46875</v>
      </c>
      <c r="D192" s="28" t="s">
        <v>986</v>
      </c>
      <c r="E192" s="29" t="s">
        <v>987</v>
      </c>
      <c r="F192" s="29" t="s">
        <v>988</v>
      </c>
      <c r="G192" s="30">
        <v>39</v>
      </c>
      <c r="H192" s="28" t="s">
        <v>989</v>
      </c>
      <c r="I192" s="28" t="s">
        <v>1403</v>
      </c>
      <c r="J192" s="30" t="s">
        <v>3</v>
      </c>
      <c r="K192" s="55" t="s">
        <v>4</v>
      </c>
      <c r="L192" s="58" t="s">
        <v>34</v>
      </c>
      <c r="M192" s="60" t="s">
        <v>33</v>
      </c>
      <c r="N192" s="54"/>
      <c r="O192" s="31" t="s">
        <v>69</v>
      </c>
      <c r="P192" s="31" t="s">
        <v>70</v>
      </c>
      <c r="Q192" s="29" t="s">
        <v>62</v>
      </c>
      <c r="R192" s="31" t="s">
        <v>990</v>
      </c>
      <c r="S192" s="27">
        <v>25569.2791666667</v>
      </c>
      <c r="T192" s="27">
        <v>25569.611111111099</v>
      </c>
      <c r="U192" s="29"/>
      <c r="V192" s="32"/>
      <c r="W192" s="72"/>
    </row>
    <row r="193" spans="2:23" s="16" customFormat="1" ht="62.45" customHeight="1" x14ac:dyDescent="0.2">
      <c r="B193" s="19">
        <v>42927</v>
      </c>
      <c r="C193" s="20">
        <v>25569.416666666701</v>
      </c>
      <c r="D193" s="21" t="s">
        <v>991</v>
      </c>
      <c r="E193" s="22" t="s">
        <v>992</v>
      </c>
      <c r="F193" s="22" t="s">
        <v>297</v>
      </c>
      <c r="G193" s="23">
        <v>45</v>
      </c>
      <c r="H193" s="21" t="s">
        <v>993</v>
      </c>
      <c r="I193" s="21" t="s">
        <v>1421</v>
      </c>
      <c r="J193" s="23" t="s">
        <v>3</v>
      </c>
      <c r="K193" s="55" t="s">
        <v>4</v>
      </c>
      <c r="L193" s="58" t="s">
        <v>34</v>
      </c>
      <c r="M193" s="60" t="s">
        <v>33</v>
      </c>
      <c r="N193" s="54"/>
      <c r="O193" s="24" t="s">
        <v>78</v>
      </c>
      <c r="P193" s="24" t="s">
        <v>173</v>
      </c>
      <c r="Q193" s="22" t="s">
        <v>158</v>
      </c>
      <c r="R193" s="24" t="s">
        <v>994</v>
      </c>
      <c r="S193" s="20">
        <v>25569.25</v>
      </c>
      <c r="T193" s="20">
        <v>25569.598611111101</v>
      </c>
      <c r="U193" s="22" t="s">
        <v>995</v>
      </c>
      <c r="V193" s="25"/>
      <c r="W193" s="71"/>
    </row>
    <row r="194" spans="2:23" s="16" customFormat="1" ht="51.75" hidden="1" customHeight="1" x14ac:dyDescent="0.2">
      <c r="B194" s="26">
        <v>42927</v>
      </c>
      <c r="C194" s="27">
        <v>25569.895833333299</v>
      </c>
      <c r="D194" s="28" t="s">
        <v>996</v>
      </c>
      <c r="E194" s="29" t="s">
        <v>997</v>
      </c>
      <c r="F194" s="29" t="s">
        <v>998</v>
      </c>
      <c r="G194" s="30">
        <v>37</v>
      </c>
      <c r="H194" s="28" t="s">
        <v>999</v>
      </c>
      <c r="I194" s="28" t="s">
        <v>1417</v>
      </c>
      <c r="J194" s="30" t="s">
        <v>3</v>
      </c>
      <c r="K194" s="55" t="s">
        <v>4</v>
      </c>
      <c r="L194" s="58" t="s">
        <v>34</v>
      </c>
      <c r="M194" s="60" t="s">
        <v>33</v>
      </c>
      <c r="N194" s="54"/>
      <c r="O194" s="31" t="s">
        <v>69</v>
      </c>
      <c r="P194" s="31" t="s">
        <v>121</v>
      </c>
      <c r="Q194" s="29" t="s">
        <v>114</v>
      </c>
      <c r="R194" s="31" t="s">
        <v>1000</v>
      </c>
      <c r="S194" s="27">
        <v>25569.611111111099</v>
      </c>
      <c r="T194" s="27">
        <v>25569.965277777799</v>
      </c>
      <c r="U194" s="29"/>
      <c r="V194" s="32"/>
      <c r="W194" s="72"/>
    </row>
    <row r="195" spans="2:23" s="16" customFormat="1" ht="51.75" hidden="1" customHeight="1" x14ac:dyDescent="0.2">
      <c r="B195" s="19">
        <v>42927</v>
      </c>
      <c r="C195" s="20">
        <v>25569.9375</v>
      </c>
      <c r="D195" s="21" t="s">
        <v>1471</v>
      </c>
      <c r="E195" s="22" t="s">
        <v>1001</v>
      </c>
      <c r="F195" s="22" t="s">
        <v>940</v>
      </c>
      <c r="G195" s="23">
        <v>54</v>
      </c>
      <c r="H195" s="21" t="s">
        <v>1472</v>
      </c>
      <c r="I195" s="21" t="s">
        <v>1410</v>
      </c>
      <c r="J195" s="23" t="s">
        <v>3</v>
      </c>
      <c r="K195" s="55" t="s">
        <v>4</v>
      </c>
      <c r="L195" s="58" t="s">
        <v>34</v>
      </c>
      <c r="M195" s="56" t="s">
        <v>34</v>
      </c>
      <c r="N195" s="54"/>
      <c r="O195" s="24" t="s">
        <v>60</v>
      </c>
      <c r="P195" s="24" t="s">
        <v>187</v>
      </c>
      <c r="Q195" s="22" t="s">
        <v>122</v>
      </c>
      <c r="R195" s="24" t="s">
        <v>1002</v>
      </c>
      <c r="S195" s="20">
        <v>25569.604166666701</v>
      </c>
      <c r="T195" s="20">
        <v>25569.979166666701</v>
      </c>
      <c r="U195" s="22"/>
      <c r="V195" s="25"/>
      <c r="W195" s="71"/>
    </row>
    <row r="196" spans="2:23" s="16" customFormat="1" ht="62.45" hidden="1" customHeight="1" x14ac:dyDescent="0.2">
      <c r="B196" s="26">
        <v>42928</v>
      </c>
      <c r="C196" s="27">
        <v>25569.4375</v>
      </c>
      <c r="D196" s="28" t="s">
        <v>1003</v>
      </c>
      <c r="E196" s="29" t="s">
        <v>1004</v>
      </c>
      <c r="F196" s="29" t="s">
        <v>259</v>
      </c>
      <c r="G196" s="30">
        <v>59</v>
      </c>
      <c r="H196" s="28" t="s">
        <v>1005</v>
      </c>
      <c r="I196" s="28" t="s">
        <v>1447</v>
      </c>
      <c r="J196" s="30" t="s">
        <v>3</v>
      </c>
      <c r="K196" s="55" t="s">
        <v>4</v>
      </c>
      <c r="L196" s="59" t="s">
        <v>33</v>
      </c>
      <c r="M196" s="56" t="s">
        <v>34</v>
      </c>
      <c r="N196" s="54">
        <v>2</v>
      </c>
      <c r="O196" s="31" t="s">
        <v>78</v>
      </c>
      <c r="P196" s="31" t="s">
        <v>61</v>
      </c>
      <c r="Q196" s="29" t="s">
        <v>62</v>
      </c>
      <c r="R196" s="31" t="s">
        <v>1007</v>
      </c>
      <c r="S196" s="27">
        <v>25569.322222222199</v>
      </c>
      <c r="T196" s="27">
        <v>25569.666666666701</v>
      </c>
      <c r="U196" s="29" t="s">
        <v>1008</v>
      </c>
      <c r="V196" s="32"/>
      <c r="W196" s="72" t="s">
        <v>81</v>
      </c>
    </row>
    <row r="197" spans="2:23" s="16" customFormat="1" ht="41.1" hidden="1" customHeight="1" x14ac:dyDescent="0.2">
      <c r="B197" s="19">
        <v>42928</v>
      </c>
      <c r="C197" s="20">
        <v>25569.5</v>
      </c>
      <c r="D197" s="21" t="s">
        <v>1009</v>
      </c>
      <c r="E197" s="22" t="s">
        <v>1010</v>
      </c>
      <c r="F197" s="22" t="s">
        <v>137</v>
      </c>
      <c r="G197" s="23">
        <v>43</v>
      </c>
      <c r="H197" s="21" t="s">
        <v>1011</v>
      </c>
      <c r="I197" s="21" t="s">
        <v>1411</v>
      </c>
      <c r="J197" s="23" t="s">
        <v>3</v>
      </c>
      <c r="K197" s="55" t="s">
        <v>4</v>
      </c>
      <c r="L197" s="58" t="s">
        <v>34</v>
      </c>
      <c r="M197" s="60" t="s">
        <v>33</v>
      </c>
      <c r="N197" s="54"/>
      <c r="O197" s="24" t="s">
        <v>133</v>
      </c>
      <c r="P197" s="24" t="s">
        <v>187</v>
      </c>
      <c r="Q197" s="22" t="s">
        <v>79</v>
      </c>
      <c r="R197" s="24" t="s">
        <v>1012</v>
      </c>
      <c r="S197" s="20">
        <v>25569.291666666701</v>
      </c>
      <c r="T197" s="20">
        <v>25569.65625</v>
      </c>
      <c r="U197" s="22"/>
      <c r="V197" s="25"/>
      <c r="W197" s="71"/>
    </row>
    <row r="198" spans="2:23" s="16" customFormat="1" ht="41.1" hidden="1" customHeight="1" x14ac:dyDescent="0.2">
      <c r="B198" s="26">
        <v>42929</v>
      </c>
      <c r="C198" s="27">
        <v>25569.145833333299</v>
      </c>
      <c r="D198" s="28" t="s">
        <v>1013</v>
      </c>
      <c r="E198" s="29" t="s">
        <v>710</v>
      </c>
      <c r="F198" s="29" t="s">
        <v>105</v>
      </c>
      <c r="G198" s="30">
        <v>46</v>
      </c>
      <c r="H198" s="28" t="s">
        <v>1014</v>
      </c>
      <c r="I198" s="28" t="s">
        <v>1405</v>
      </c>
      <c r="J198" s="30" t="s">
        <v>3</v>
      </c>
      <c r="K198" s="55" t="s">
        <v>4</v>
      </c>
      <c r="L198" s="58" t="s">
        <v>34</v>
      </c>
      <c r="M198" s="56" t="s">
        <v>34</v>
      </c>
      <c r="N198" s="54"/>
      <c r="O198" s="31" t="s">
        <v>144</v>
      </c>
      <c r="P198" s="31" t="s">
        <v>1015</v>
      </c>
      <c r="Q198" s="29" t="s">
        <v>146</v>
      </c>
      <c r="R198" s="31" t="s">
        <v>1016</v>
      </c>
      <c r="S198" s="27">
        <v>25569.916666666701</v>
      </c>
      <c r="T198" s="27">
        <v>25569.261805555601</v>
      </c>
      <c r="U198" s="29"/>
      <c r="V198" s="32"/>
      <c r="W198" s="72" t="s">
        <v>73</v>
      </c>
    </row>
    <row r="199" spans="2:23" s="16" customFormat="1" ht="41.1" hidden="1" customHeight="1" x14ac:dyDescent="0.2">
      <c r="B199" s="19">
        <v>42929</v>
      </c>
      <c r="C199" s="20">
        <v>25569.145833333299</v>
      </c>
      <c r="D199" s="21" t="s">
        <v>1017</v>
      </c>
      <c r="E199" s="22" t="s">
        <v>363</v>
      </c>
      <c r="F199" s="22" t="s">
        <v>364</v>
      </c>
      <c r="G199" s="23">
        <v>33</v>
      </c>
      <c r="H199" s="21" t="s">
        <v>365</v>
      </c>
      <c r="I199" s="21" t="s">
        <v>1405</v>
      </c>
      <c r="J199" s="23" t="s">
        <v>3</v>
      </c>
      <c r="K199" s="55" t="s">
        <v>4</v>
      </c>
      <c r="L199" s="58" t="s">
        <v>34</v>
      </c>
      <c r="M199" s="56" t="s">
        <v>34</v>
      </c>
      <c r="N199" s="54"/>
      <c r="O199" s="24" t="s">
        <v>144</v>
      </c>
      <c r="P199" s="24" t="s">
        <v>1015</v>
      </c>
      <c r="Q199" s="22" t="s">
        <v>122</v>
      </c>
      <c r="R199" s="24" t="s">
        <v>1018</v>
      </c>
      <c r="S199" s="20">
        <v>25569.916666666701</v>
      </c>
      <c r="T199" s="20">
        <v>25569.261805555601</v>
      </c>
      <c r="U199" s="22"/>
      <c r="V199" s="25"/>
      <c r="W199" s="71"/>
    </row>
    <row r="200" spans="2:23" s="16" customFormat="1" ht="41.1" hidden="1" customHeight="1" x14ac:dyDescent="0.2">
      <c r="B200" s="26">
        <v>42929</v>
      </c>
      <c r="C200" s="27">
        <v>25569.145833333299</v>
      </c>
      <c r="D200" s="28" t="s">
        <v>1019</v>
      </c>
      <c r="E200" s="29" t="s">
        <v>1020</v>
      </c>
      <c r="F200" s="29" t="s">
        <v>131</v>
      </c>
      <c r="G200" s="30">
        <v>57</v>
      </c>
      <c r="H200" s="28" t="s">
        <v>1021</v>
      </c>
      <c r="I200" s="28" t="s">
        <v>1405</v>
      </c>
      <c r="J200" s="30" t="s">
        <v>3</v>
      </c>
      <c r="K200" s="55" t="s">
        <v>4</v>
      </c>
      <c r="L200" s="58" t="s">
        <v>34</v>
      </c>
      <c r="M200" s="56" t="s">
        <v>34</v>
      </c>
      <c r="N200" s="54"/>
      <c r="O200" s="31" t="s">
        <v>144</v>
      </c>
      <c r="P200" s="31" t="s">
        <v>1015</v>
      </c>
      <c r="Q200" s="29" t="s">
        <v>122</v>
      </c>
      <c r="R200" s="31" t="s">
        <v>1018</v>
      </c>
      <c r="S200" s="27">
        <v>25569.916666666701</v>
      </c>
      <c r="T200" s="27">
        <v>25569.261805555601</v>
      </c>
      <c r="U200" s="29"/>
      <c r="V200" s="32"/>
      <c r="W200" s="72" t="s">
        <v>73</v>
      </c>
    </row>
    <row r="201" spans="2:23" s="16" customFormat="1" ht="41.1" hidden="1" customHeight="1" x14ac:dyDescent="0.2">
      <c r="B201" s="19">
        <v>42930</v>
      </c>
      <c r="C201" s="20">
        <v>25569.659722222201</v>
      </c>
      <c r="D201" s="21" t="s">
        <v>1022</v>
      </c>
      <c r="E201" s="22" t="s">
        <v>1023</v>
      </c>
      <c r="F201" s="22" t="s">
        <v>721</v>
      </c>
      <c r="G201" s="23">
        <v>54</v>
      </c>
      <c r="H201" s="21" t="s">
        <v>1024</v>
      </c>
      <c r="I201" s="21" t="s">
        <v>1405</v>
      </c>
      <c r="J201" s="23" t="s">
        <v>3</v>
      </c>
      <c r="K201" s="55" t="s">
        <v>4</v>
      </c>
      <c r="L201" s="59" t="s">
        <v>33</v>
      </c>
      <c r="M201" s="56" t="s">
        <v>34</v>
      </c>
      <c r="N201" s="54">
        <v>53</v>
      </c>
      <c r="O201" s="24" t="s">
        <v>69</v>
      </c>
      <c r="P201" s="24" t="s">
        <v>1407</v>
      </c>
      <c r="Q201" s="22" t="s">
        <v>71</v>
      </c>
      <c r="R201" s="24" t="s">
        <v>1025</v>
      </c>
      <c r="S201" s="20">
        <v>25569.659722222201</v>
      </c>
      <c r="T201" s="20">
        <v>25569.020833333299</v>
      </c>
      <c r="U201" s="22"/>
      <c r="V201" s="25"/>
      <c r="W201" s="71" t="s">
        <v>81</v>
      </c>
    </row>
    <row r="202" spans="2:23" s="16" customFormat="1" ht="41.1" hidden="1" customHeight="1" x14ac:dyDescent="0.2">
      <c r="B202" s="26">
        <v>42934</v>
      </c>
      <c r="C202" s="27">
        <v>25569.927083333299</v>
      </c>
      <c r="D202" s="28" t="s">
        <v>1026</v>
      </c>
      <c r="E202" s="29" t="s">
        <v>1027</v>
      </c>
      <c r="F202" s="29" t="s">
        <v>350</v>
      </c>
      <c r="G202" s="30">
        <v>54</v>
      </c>
      <c r="H202" s="28" t="s">
        <v>1028</v>
      </c>
      <c r="I202" s="28" t="s">
        <v>1405</v>
      </c>
      <c r="J202" s="30" t="s">
        <v>3</v>
      </c>
      <c r="K202" s="55" t="s">
        <v>4</v>
      </c>
      <c r="L202" s="58" t="s">
        <v>34</v>
      </c>
      <c r="M202" s="56" t="s">
        <v>34</v>
      </c>
      <c r="N202" s="54"/>
      <c r="O202" s="31" t="s">
        <v>78</v>
      </c>
      <c r="P202" s="31" t="s">
        <v>173</v>
      </c>
      <c r="Q202" s="29" t="s">
        <v>158</v>
      </c>
      <c r="R202" s="31" t="s">
        <v>1029</v>
      </c>
      <c r="S202" s="27">
        <v>25569.659722222201</v>
      </c>
      <c r="T202" s="27">
        <v>25569.020833333299</v>
      </c>
      <c r="U202" s="29"/>
      <c r="V202" s="32"/>
      <c r="W202" s="72" t="s">
        <v>73</v>
      </c>
    </row>
    <row r="203" spans="2:23" s="16" customFormat="1" ht="83.65" hidden="1" customHeight="1" x14ac:dyDescent="0.2">
      <c r="B203" s="19">
        <v>42938</v>
      </c>
      <c r="C203" s="20">
        <v>25569.541666666701</v>
      </c>
      <c r="D203" s="21" t="s">
        <v>1030</v>
      </c>
      <c r="E203" s="22" t="s">
        <v>1031</v>
      </c>
      <c r="F203" s="22" t="s">
        <v>131</v>
      </c>
      <c r="G203" s="23">
        <v>56</v>
      </c>
      <c r="H203" s="21" t="s">
        <v>1032</v>
      </c>
      <c r="I203" s="21" t="s">
        <v>1408</v>
      </c>
      <c r="J203" s="23" t="s">
        <v>3</v>
      </c>
      <c r="K203" s="55" t="s">
        <v>4</v>
      </c>
      <c r="L203" s="59" t="s">
        <v>33</v>
      </c>
      <c r="M203" s="56" t="s">
        <v>34</v>
      </c>
      <c r="N203" s="54">
        <v>151</v>
      </c>
      <c r="O203" s="24" t="s">
        <v>133</v>
      </c>
      <c r="P203" s="24" t="s">
        <v>6</v>
      </c>
      <c r="Q203" s="22" t="s">
        <v>158</v>
      </c>
      <c r="R203" s="24" t="s">
        <v>1033</v>
      </c>
      <c r="S203" s="20">
        <v>25569.222222222201</v>
      </c>
      <c r="T203" s="20">
        <v>25569.583333333299</v>
      </c>
      <c r="U203" s="22"/>
      <c r="V203" s="25"/>
      <c r="W203" s="71" t="s">
        <v>81</v>
      </c>
    </row>
    <row r="204" spans="2:23" s="16" customFormat="1" ht="41.1" customHeight="1" x14ac:dyDescent="0.2">
      <c r="B204" s="26">
        <v>42939</v>
      </c>
      <c r="C204" s="27">
        <v>25569.75</v>
      </c>
      <c r="D204" s="28" t="s">
        <v>1034</v>
      </c>
      <c r="E204" s="29" t="s">
        <v>1035</v>
      </c>
      <c r="F204" s="29" t="s">
        <v>403</v>
      </c>
      <c r="G204" s="30">
        <v>27</v>
      </c>
      <c r="H204" s="28" t="s">
        <v>1036</v>
      </c>
      <c r="I204" s="28" t="s">
        <v>1421</v>
      </c>
      <c r="J204" s="30" t="s">
        <v>3</v>
      </c>
      <c r="K204" s="55" t="s">
        <v>4</v>
      </c>
      <c r="L204" s="59" t="s">
        <v>33</v>
      </c>
      <c r="M204" s="56" t="s">
        <v>34</v>
      </c>
      <c r="N204" s="54">
        <v>5</v>
      </c>
      <c r="O204" s="31" t="s">
        <v>78</v>
      </c>
      <c r="P204" s="31" t="s">
        <v>61</v>
      </c>
      <c r="Q204" s="29" t="s">
        <v>62</v>
      </c>
      <c r="R204" s="31" t="s">
        <v>1037</v>
      </c>
      <c r="S204" s="27">
        <v>25569.583333333299</v>
      </c>
      <c r="T204" s="27">
        <v>25569.931250000001</v>
      </c>
      <c r="U204" s="29"/>
      <c r="V204" s="32"/>
      <c r="W204" s="72" t="s">
        <v>81</v>
      </c>
    </row>
    <row r="205" spans="2:23" s="16" customFormat="1" ht="41.1" hidden="1" customHeight="1" x14ac:dyDescent="0.2">
      <c r="B205" s="19">
        <v>42941</v>
      </c>
      <c r="C205" s="20">
        <v>25569.395833333299</v>
      </c>
      <c r="D205" s="21" t="s">
        <v>1038</v>
      </c>
      <c r="E205" s="22" t="s">
        <v>1039</v>
      </c>
      <c r="F205" s="22" t="s">
        <v>137</v>
      </c>
      <c r="G205" s="23">
        <v>39</v>
      </c>
      <c r="H205" s="21" t="s">
        <v>1040</v>
      </c>
      <c r="I205" s="21" t="s">
        <v>1405</v>
      </c>
      <c r="J205" s="23" t="s">
        <v>3</v>
      </c>
      <c r="K205" s="55" t="s">
        <v>4</v>
      </c>
      <c r="L205" s="59" t="s">
        <v>33</v>
      </c>
      <c r="M205" s="56" t="s">
        <v>34</v>
      </c>
      <c r="N205" s="54">
        <v>5</v>
      </c>
      <c r="O205" s="24" t="s">
        <v>78</v>
      </c>
      <c r="P205" s="24" t="s">
        <v>1407</v>
      </c>
      <c r="Q205" s="22" t="s">
        <v>62</v>
      </c>
      <c r="R205" s="24" t="s">
        <v>1041</v>
      </c>
      <c r="S205" s="20">
        <v>25569.28125</v>
      </c>
      <c r="T205" s="20">
        <v>25569.649305555598</v>
      </c>
      <c r="U205" s="22" t="s">
        <v>425</v>
      </c>
      <c r="V205" s="25"/>
      <c r="W205" s="71" t="s">
        <v>81</v>
      </c>
    </row>
    <row r="206" spans="2:23" s="16" customFormat="1" ht="51.75" hidden="1" customHeight="1" x14ac:dyDescent="0.2">
      <c r="B206" s="26">
        <v>42941</v>
      </c>
      <c r="C206" s="27">
        <v>25569.489583333299</v>
      </c>
      <c r="D206" s="28" t="s">
        <v>1473</v>
      </c>
      <c r="E206" s="29" t="s">
        <v>1042</v>
      </c>
      <c r="F206" s="29" t="s">
        <v>131</v>
      </c>
      <c r="G206" s="30">
        <v>58</v>
      </c>
      <c r="H206" s="28" t="s">
        <v>1474</v>
      </c>
      <c r="I206" s="28" t="s">
        <v>1410</v>
      </c>
      <c r="J206" s="30" t="s">
        <v>3</v>
      </c>
      <c r="K206" s="55" t="s">
        <v>4</v>
      </c>
      <c r="L206" s="59" t="s">
        <v>33</v>
      </c>
      <c r="M206" s="56" t="s">
        <v>34</v>
      </c>
      <c r="N206" s="54">
        <v>39</v>
      </c>
      <c r="O206" s="31" t="s">
        <v>78</v>
      </c>
      <c r="P206" s="31" t="s">
        <v>61</v>
      </c>
      <c r="Q206" s="29" t="s">
        <v>62</v>
      </c>
      <c r="R206" s="31" t="s">
        <v>1043</v>
      </c>
      <c r="S206" s="27">
        <v>25569.291666666701</v>
      </c>
      <c r="T206" s="27">
        <v>25569.645833333299</v>
      </c>
      <c r="U206" s="29"/>
      <c r="V206" s="32"/>
      <c r="W206" s="72" t="s">
        <v>81</v>
      </c>
    </row>
    <row r="207" spans="2:23" s="16" customFormat="1" ht="51.75" hidden="1" customHeight="1" x14ac:dyDescent="0.2">
      <c r="B207" s="19">
        <v>42944</v>
      </c>
      <c r="C207" s="20">
        <v>25569.520833333299</v>
      </c>
      <c r="D207" s="21" t="s">
        <v>1044</v>
      </c>
      <c r="E207" s="22" t="s">
        <v>1045</v>
      </c>
      <c r="F207" s="22" t="s">
        <v>1046</v>
      </c>
      <c r="G207" s="23">
        <v>37</v>
      </c>
      <c r="H207" s="21" t="s">
        <v>1047</v>
      </c>
      <c r="I207" s="21" t="s">
        <v>1425</v>
      </c>
      <c r="J207" s="23" t="s">
        <v>3</v>
      </c>
      <c r="K207" s="55" t="s">
        <v>4</v>
      </c>
      <c r="L207" s="59" t="s">
        <v>33</v>
      </c>
      <c r="M207" s="56" t="s">
        <v>34</v>
      </c>
      <c r="N207" s="54">
        <v>3</v>
      </c>
      <c r="O207" s="24" t="s">
        <v>78</v>
      </c>
      <c r="P207" s="24" t="s">
        <v>70</v>
      </c>
      <c r="Q207" s="22" t="s">
        <v>122</v>
      </c>
      <c r="R207" s="24" t="s">
        <v>1048</v>
      </c>
      <c r="S207" s="20">
        <v>25569.270833333299</v>
      </c>
      <c r="T207" s="20">
        <v>25569.625</v>
      </c>
      <c r="U207" s="22"/>
      <c r="V207" s="25"/>
      <c r="W207" s="71" t="s">
        <v>81</v>
      </c>
    </row>
    <row r="208" spans="2:23" s="16" customFormat="1" ht="62.45" customHeight="1" x14ac:dyDescent="0.2">
      <c r="B208" s="26">
        <v>42944</v>
      </c>
      <c r="C208" s="27">
        <v>25569.645833333299</v>
      </c>
      <c r="D208" s="28" t="s">
        <v>1049</v>
      </c>
      <c r="E208" s="29" t="s">
        <v>1050</v>
      </c>
      <c r="F208" s="29" t="s">
        <v>223</v>
      </c>
      <c r="G208" s="30">
        <v>48</v>
      </c>
      <c r="H208" s="28" t="s">
        <v>1051</v>
      </c>
      <c r="I208" s="28" t="s">
        <v>1421</v>
      </c>
      <c r="J208" s="30" t="s">
        <v>3</v>
      </c>
      <c r="K208" s="55" t="s">
        <v>4</v>
      </c>
      <c r="L208" s="58" t="s">
        <v>34</v>
      </c>
      <c r="M208" s="60" t="s">
        <v>33</v>
      </c>
      <c r="N208" s="54"/>
      <c r="O208" s="31" t="s">
        <v>78</v>
      </c>
      <c r="P208" s="31" t="s">
        <v>1407</v>
      </c>
      <c r="Q208" s="29" t="s">
        <v>8</v>
      </c>
      <c r="R208" s="31" t="s">
        <v>1052</v>
      </c>
      <c r="S208" s="27">
        <v>25569.583333333299</v>
      </c>
      <c r="T208" s="27">
        <v>25569.931250000001</v>
      </c>
      <c r="U208" s="29"/>
      <c r="V208" s="32"/>
      <c r="W208" s="72"/>
    </row>
    <row r="209" spans="2:23" s="16" customFormat="1" ht="41.1" hidden="1" customHeight="1" x14ac:dyDescent="0.2">
      <c r="B209" s="19">
        <v>42945</v>
      </c>
      <c r="C209" s="20">
        <v>25569.895833333299</v>
      </c>
      <c r="D209" s="21" t="s">
        <v>1053</v>
      </c>
      <c r="E209" s="22" t="s">
        <v>1054</v>
      </c>
      <c r="F209" s="22" t="s">
        <v>1055</v>
      </c>
      <c r="G209" s="23">
        <v>54</v>
      </c>
      <c r="H209" s="21" t="s">
        <v>1056</v>
      </c>
      <c r="I209" s="21" t="s">
        <v>1405</v>
      </c>
      <c r="J209" s="23" t="s">
        <v>3</v>
      </c>
      <c r="K209" s="55" t="s">
        <v>4</v>
      </c>
      <c r="L209" s="58" t="s">
        <v>34</v>
      </c>
      <c r="M209" s="56" t="s">
        <v>34</v>
      </c>
      <c r="N209" s="54"/>
      <c r="O209" s="24" t="s">
        <v>78</v>
      </c>
      <c r="P209" s="24" t="s">
        <v>1407</v>
      </c>
      <c r="Q209" s="22" t="s">
        <v>71</v>
      </c>
      <c r="R209" s="24" t="s">
        <v>1057</v>
      </c>
      <c r="S209" s="20">
        <v>25569.603472222199</v>
      </c>
      <c r="T209" s="20">
        <v>25569.026388888899</v>
      </c>
      <c r="U209" s="22"/>
      <c r="V209" s="25"/>
      <c r="W209" s="71" t="s">
        <v>73</v>
      </c>
    </row>
    <row r="210" spans="2:23" s="16" customFormat="1" ht="51.75" hidden="1" customHeight="1" x14ac:dyDescent="0.2">
      <c r="B210" s="26">
        <v>42948</v>
      </c>
      <c r="C210" s="27">
        <v>25569.208333333299</v>
      </c>
      <c r="D210" s="28" t="s">
        <v>1058</v>
      </c>
      <c r="E210" s="29" t="s">
        <v>1059</v>
      </c>
      <c r="F210" s="29" t="s">
        <v>105</v>
      </c>
      <c r="G210" s="30">
        <v>40</v>
      </c>
      <c r="H210" s="28" t="s">
        <v>1060</v>
      </c>
      <c r="I210" s="28" t="s">
        <v>1405</v>
      </c>
      <c r="J210" s="30" t="s">
        <v>3</v>
      </c>
      <c r="K210" s="55" t="s">
        <v>4</v>
      </c>
      <c r="L210" s="59" t="s">
        <v>33</v>
      </c>
      <c r="M210" s="56" t="s">
        <v>34</v>
      </c>
      <c r="N210" s="54">
        <v>3</v>
      </c>
      <c r="O210" s="31" t="s">
        <v>60</v>
      </c>
      <c r="P210" s="31" t="s">
        <v>180</v>
      </c>
      <c r="Q210" s="29" t="s">
        <v>158</v>
      </c>
      <c r="R210" s="31" t="s">
        <v>1061</v>
      </c>
      <c r="S210" s="27">
        <v>25569.916666666701</v>
      </c>
      <c r="T210" s="27"/>
      <c r="U210" s="29" t="s">
        <v>1008</v>
      </c>
      <c r="V210" s="32"/>
      <c r="W210" s="72" t="s">
        <v>81</v>
      </c>
    </row>
    <row r="211" spans="2:23" s="16" customFormat="1" ht="51.75" hidden="1" customHeight="1" x14ac:dyDescent="0.2">
      <c r="B211" s="19">
        <v>42948</v>
      </c>
      <c r="C211" s="20">
        <v>25569.319444444402</v>
      </c>
      <c r="D211" s="21" t="s">
        <v>1062</v>
      </c>
      <c r="E211" s="22" t="s">
        <v>1063</v>
      </c>
      <c r="F211" s="22" t="s">
        <v>1064</v>
      </c>
      <c r="G211" s="23">
        <v>26</v>
      </c>
      <c r="H211" s="21" t="s">
        <v>1065</v>
      </c>
      <c r="I211" s="21" t="s">
        <v>1448</v>
      </c>
      <c r="J211" s="23" t="s">
        <v>3</v>
      </c>
      <c r="K211" s="55" t="s">
        <v>4</v>
      </c>
      <c r="L211" s="58" t="s">
        <v>34</v>
      </c>
      <c r="M211" s="56" t="s">
        <v>34</v>
      </c>
      <c r="N211" s="54"/>
      <c r="O211" s="24" t="s">
        <v>60</v>
      </c>
      <c r="P211" s="24" t="s">
        <v>121</v>
      </c>
      <c r="Q211" s="22" t="s">
        <v>122</v>
      </c>
      <c r="R211" s="24" t="s">
        <v>1067</v>
      </c>
      <c r="S211" s="20">
        <v>25569.28125</v>
      </c>
      <c r="T211" s="20">
        <v>25569.589583333302</v>
      </c>
      <c r="U211" s="24"/>
      <c r="V211" s="25"/>
      <c r="W211" s="71"/>
    </row>
    <row r="212" spans="2:23" s="16" customFormat="1" ht="51.75" hidden="1" customHeight="1" x14ac:dyDescent="0.2">
      <c r="B212" s="26">
        <v>42949</v>
      </c>
      <c r="C212" s="27">
        <v>25569.197916666701</v>
      </c>
      <c r="D212" s="28" t="s">
        <v>1068</v>
      </c>
      <c r="E212" s="29" t="s">
        <v>1069</v>
      </c>
      <c r="F212" s="29" t="s">
        <v>57</v>
      </c>
      <c r="G212" s="30">
        <v>54</v>
      </c>
      <c r="H212" s="28" t="s">
        <v>1070</v>
      </c>
      <c r="I212" s="28" t="s">
        <v>1431</v>
      </c>
      <c r="J212" s="30" t="s">
        <v>3</v>
      </c>
      <c r="K212" s="55" t="s">
        <v>4</v>
      </c>
      <c r="L212" s="59" t="s">
        <v>33</v>
      </c>
      <c r="M212" s="56" t="s">
        <v>34</v>
      </c>
      <c r="N212" s="54">
        <v>9</v>
      </c>
      <c r="O212" s="31" t="s">
        <v>69</v>
      </c>
      <c r="P212" s="31" t="s">
        <v>61</v>
      </c>
      <c r="Q212" s="29" t="s">
        <v>79</v>
      </c>
      <c r="R212" s="31" t="s">
        <v>1071</v>
      </c>
      <c r="S212" s="27">
        <v>25569.229166666701</v>
      </c>
      <c r="T212" s="27">
        <v>25569.5625</v>
      </c>
      <c r="U212" s="29"/>
      <c r="V212" s="32"/>
      <c r="W212" s="72" t="s">
        <v>81</v>
      </c>
    </row>
    <row r="213" spans="2:23" s="16" customFormat="1" ht="62.45" hidden="1" customHeight="1" x14ac:dyDescent="0.2">
      <c r="B213" s="19">
        <v>42950</v>
      </c>
      <c r="C213" s="20">
        <v>25569.291666666701</v>
      </c>
      <c r="D213" s="21" t="s">
        <v>1072</v>
      </c>
      <c r="E213" s="22" t="s">
        <v>1073</v>
      </c>
      <c r="F213" s="22" t="s">
        <v>1074</v>
      </c>
      <c r="G213" s="23">
        <v>51</v>
      </c>
      <c r="H213" s="21" t="s">
        <v>1075</v>
      </c>
      <c r="I213" s="21" t="s">
        <v>1425</v>
      </c>
      <c r="J213" s="23" t="s">
        <v>3</v>
      </c>
      <c r="K213" s="55" t="s">
        <v>4</v>
      </c>
      <c r="L213" s="59" t="s">
        <v>33</v>
      </c>
      <c r="M213" s="56" t="s">
        <v>34</v>
      </c>
      <c r="N213" s="54">
        <v>1</v>
      </c>
      <c r="O213" s="24" t="s">
        <v>1076</v>
      </c>
      <c r="P213" s="24" t="s">
        <v>1077</v>
      </c>
      <c r="Q213" s="22" t="s">
        <v>122</v>
      </c>
      <c r="R213" s="24" t="s">
        <v>1078</v>
      </c>
      <c r="S213" s="20">
        <v>25569.270833333299</v>
      </c>
      <c r="T213" s="20">
        <v>25569.625</v>
      </c>
      <c r="U213" s="22"/>
      <c r="V213" s="25"/>
      <c r="W213" s="71" t="s">
        <v>81</v>
      </c>
    </row>
    <row r="214" spans="2:23" s="16" customFormat="1" ht="41.1" customHeight="1" x14ac:dyDescent="0.2">
      <c r="B214" s="26">
        <v>42951</v>
      </c>
      <c r="C214" s="27">
        <v>25569.739583333299</v>
      </c>
      <c r="D214" s="28" t="s">
        <v>1079</v>
      </c>
      <c r="E214" s="29" t="s">
        <v>1080</v>
      </c>
      <c r="F214" s="29" t="s">
        <v>204</v>
      </c>
      <c r="G214" s="30">
        <v>46</v>
      </c>
      <c r="H214" s="28" t="s">
        <v>1081</v>
      </c>
      <c r="I214" s="28" t="s">
        <v>1421</v>
      </c>
      <c r="J214" s="30" t="s">
        <v>3</v>
      </c>
      <c r="K214" s="55" t="s">
        <v>4</v>
      </c>
      <c r="L214" s="58" t="s">
        <v>34</v>
      </c>
      <c r="M214" s="56" t="s">
        <v>34</v>
      </c>
      <c r="N214" s="54"/>
      <c r="O214" s="31" t="s">
        <v>60</v>
      </c>
      <c r="P214" s="31" t="s">
        <v>121</v>
      </c>
      <c r="Q214" s="29" t="s">
        <v>122</v>
      </c>
      <c r="R214" s="31" t="s">
        <v>1082</v>
      </c>
      <c r="S214" s="27">
        <v>25569.583333333299</v>
      </c>
      <c r="T214" s="27">
        <v>25569.931250000001</v>
      </c>
      <c r="U214" s="29"/>
      <c r="V214" s="32"/>
      <c r="W214" s="72"/>
    </row>
    <row r="215" spans="2:23" s="16" customFormat="1" ht="51.75" customHeight="1" x14ac:dyDescent="0.2">
      <c r="B215" s="19">
        <v>42952</v>
      </c>
      <c r="C215" s="20">
        <v>25569.753472222201</v>
      </c>
      <c r="D215" s="21" t="s">
        <v>1083</v>
      </c>
      <c r="E215" s="22" t="s">
        <v>1084</v>
      </c>
      <c r="F215" s="22" t="s">
        <v>1085</v>
      </c>
      <c r="G215" s="23">
        <v>57</v>
      </c>
      <c r="H215" s="21" t="s">
        <v>1086</v>
      </c>
      <c r="I215" s="21" t="s">
        <v>1421</v>
      </c>
      <c r="J215" s="23" t="s">
        <v>3</v>
      </c>
      <c r="K215" s="55" t="s">
        <v>4</v>
      </c>
      <c r="L215" s="58" t="s">
        <v>34</v>
      </c>
      <c r="M215" s="56" t="s">
        <v>34</v>
      </c>
      <c r="N215" s="54"/>
      <c r="O215" s="24" t="s">
        <v>133</v>
      </c>
      <c r="P215" s="24" t="s">
        <v>1407</v>
      </c>
      <c r="Q215" s="22" t="s">
        <v>158</v>
      </c>
      <c r="R215" s="24" t="s">
        <v>1087</v>
      </c>
      <c r="S215" s="20">
        <v>25569.583333333299</v>
      </c>
      <c r="T215" s="20">
        <v>25569.931944444401</v>
      </c>
      <c r="U215" s="22"/>
      <c r="V215" s="25"/>
      <c r="W215" s="71"/>
    </row>
    <row r="216" spans="2:23" s="16" customFormat="1" ht="41.1" hidden="1" customHeight="1" x14ac:dyDescent="0.2">
      <c r="B216" s="26">
        <v>42953</v>
      </c>
      <c r="C216" s="27">
        <v>25569.013888888901</v>
      </c>
      <c r="D216" s="28" t="s">
        <v>1088</v>
      </c>
      <c r="E216" s="29" t="s">
        <v>1089</v>
      </c>
      <c r="F216" s="29" t="s">
        <v>447</v>
      </c>
      <c r="G216" s="30">
        <v>37</v>
      </c>
      <c r="H216" s="28" t="s">
        <v>1090</v>
      </c>
      <c r="I216" s="28" t="s">
        <v>1405</v>
      </c>
      <c r="J216" s="30" t="s">
        <v>3</v>
      </c>
      <c r="K216" s="55" t="s">
        <v>4</v>
      </c>
      <c r="L216" s="59" t="s">
        <v>33</v>
      </c>
      <c r="M216" s="56" t="s">
        <v>34</v>
      </c>
      <c r="N216" s="54">
        <v>93</v>
      </c>
      <c r="O216" s="31" t="s">
        <v>78</v>
      </c>
      <c r="P216" s="31" t="s">
        <v>61</v>
      </c>
      <c r="Q216" s="29" t="s">
        <v>79</v>
      </c>
      <c r="R216" s="31" t="s">
        <v>1091</v>
      </c>
      <c r="S216" s="27">
        <v>25569.916666666701</v>
      </c>
      <c r="T216" s="27">
        <v>25569.261805555601</v>
      </c>
      <c r="U216" s="29"/>
      <c r="V216" s="32"/>
      <c r="W216" s="72" t="s">
        <v>81</v>
      </c>
    </row>
    <row r="217" spans="2:23" s="16" customFormat="1" ht="41.1" hidden="1" customHeight="1" x14ac:dyDescent="0.2">
      <c r="B217" s="19">
        <v>42955</v>
      </c>
      <c r="C217" s="20">
        <v>25569.291666666701</v>
      </c>
      <c r="D217" s="21" t="s">
        <v>1092</v>
      </c>
      <c r="E217" s="22" t="s">
        <v>427</v>
      </c>
      <c r="F217" s="22" t="s">
        <v>131</v>
      </c>
      <c r="G217" s="23">
        <v>41</v>
      </c>
      <c r="H217" s="21" t="s">
        <v>428</v>
      </c>
      <c r="I217" s="21" t="s">
        <v>1413</v>
      </c>
      <c r="J217" s="23" t="s">
        <v>3</v>
      </c>
      <c r="K217" s="55" t="s">
        <v>4</v>
      </c>
      <c r="L217" s="59" t="s">
        <v>33</v>
      </c>
      <c r="M217" s="56" t="s">
        <v>34</v>
      </c>
      <c r="N217" s="54">
        <v>40</v>
      </c>
      <c r="O217" s="24" t="s">
        <v>133</v>
      </c>
      <c r="P217" s="24" t="s">
        <v>61</v>
      </c>
      <c r="Q217" s="22" t="s">
        <v>71</v>
      </c>
      <c r="R217" s="24" t="s">
        <v>1093</v>
      </c>
      <c r="S217" s="20">
        <v>25569.21875</v>
      </c>
      <c r="T217" s="20">
        <v>25569.570138888899</v>
      </c>
      <c r="U217" s="22"/>
      <c r="V217" s="25"/>
      <c r="W217" s="71" t="s">
        <v>81</v>
      </c>
    </row>
    <row r="218" spans="2:23" s="16" customFormat="1" ht="51.75" hidden="1" customHeight="1" x14ac:dyDescent="0.2">
      <c r="B218" s="26">
        <v>42955</v>
      </c>
      <c r="C218" s="27">
        <v>25569.305555555598</v>
      </c>
      <c r="D218" s="28" t="s">
        <v>1475</v>
      </c>
      <c r="E218" s="29" t="s">
        <v>1094</v>
      </c>
      <c r="F218" s="29" t="s">
        <v>1095</v>
      </c>
      <c r="G218" s="30">
        <v>32</v>
      </c>
      <c r="H218" s="28" t="s">
        <v>1476</v>
      </c>
      <c r="I218" s="28" t="s">
        <v>1410</v>
      </c>
      <c r="J218" s="30" t="s">
        <v>3</v>
      </c>
      <c r="K218" s="55" t="s">
        <v>4</v>
      </c>
      <c r="L218" s="58" t="s">
        <v>34</v>
      </c>
      <c r="M218" s="56" t="s">
        <v>34</v>
      </c>
      <c r="N218" s="54"/>
      <c r="O218" s="31" t="s">
        <v>78</v>
      </c>
      <c r="P218" s="31" t="s">
        <v>121</v>
      </c>
      <c r="Q218" s="29" t="s">
        <v>79</v>
      </c>
      <c r="R218" s="31" t="s">
        <v>1096</v>
      </c>
      <c r="S218" s="27">
        <v>25569.25</v>
      </c>
      <c r="T218" s="27">
        <v>25569.590277777799</v>
      </c>
      <c r="U218" s="29"/>
      <c r="V218" s="32"/>
      <c r="W218" s="72" t="s">
        <v>73</v>
      </c>
    </row>
    <row r="219" spans="2:23" s="16" customFormat="1" ht="62.45" hidden="1" customHeight="1" x14ac:dyDescent="0.2">
      <c r="B219" s="19">
        <v>42960</v>
      </c>
      <c r="C219" s="20">
        <v>25569.506944444402</v>
      </c>
      <c r="D219" s="21" t="s">
        <v>1097</v>
      </c>
      <c r="E219" s="22" t="s">
        <v>1098</v>
      </c>
      <c r="F219" s="22" t="s">
        <v>297</v>
      </c>
      <c r="G219" s="23">
        <v>57</v>
      </c>
      <c r="H219" s="21" t="s">
        <v>1099</v>
      </c>
      <c r="I219" s="21" t="s">
        <v>1405</v>
      </c>
      <c r="J219" s="23" t="s">
        <v>3</v>
      </c>
      <c r="K219" s="55" t="s">
        <v>4</v>
      </c>
      <c r="L219" s="58" t="s">
        <v>34</v>
      </c>
      <c r="M219" s="56" t="s">
        <v>34</v>
      </c>
      <c r="N219" s="54"/>
      <c r="O219" s="24" t="s">
        <v>405</v>
      </c>
      <c r="P219" s="24" t="s">
        <v>187</v>
      </c>
      <c r="Q219" s="22" t="s">
        <v>146</v>
      </c>
      <c r="R219" s="24" t="s">
        <v>1100</v>
      </c>
      <c r="S219" s="20">
        <v>25569.28125</v>
      </c>
      <c r="T219" s="20">
        <v>25569.649305555598</v>
      </c>
      <c r="U219" s="22"/>
      <c r="V219" s="25"/>
      <c r="W219" s="71"/>
    </row>
    <row r="220" spans="2:23" s="16" customFormat="1" ht="62.45" hidden="1" customHeight="1" x14ac:dyDescent="0.2">
      <c r="B220" s="26">
        <v>42963</v>
      </c>
      <c r="C220" s="27">
        <v>25569.451388888901</v>
      </c>
      <c r="D220" s="28" t="s">
        <v>1101</v>
      </c>
      <c r="E220" s="29" t="s">
        <v>233</v>
      </c>
      <c r="F220" s="29" t="s">
        <v>234</v>
      </c>
      <c r="G220" s="30">
        <v>32</v>
      </c>
      <c r="H220" s="28" t="s">
        <v>235</v>
      </c>
      <c r="I220" s="28" t="s">
        <v>1413</v>
      </c>
      <c r="J220" s="30" t="s">
        <v>3</v>
      </c>
      <c r="K220" s="55" t="s">
        <v>4</v>
      </c>
      <c r="L220" s="58" t="s">
        <v>34</v>
      </c>
      <c r="M220" s="56" t="s">
        <v>34</v>
      </c>
      <c r="N220" s="54"/>
      <c r="O220" s="31" t="s">
        <v>833</v>
      </c>
      <c r="P220" s="31" t="s">
        <v>289</v>
      </c>
      <c r="Q220" s="29" t="s">
        <v>146</v>
      </c>
      <c r="R220" s="31" t="s">
        <v>1102</v>
      </c>
      <c r="S220" s="27">
        <v>25569.263888888901</v>
      </c>
      <c r="T220" s="27">
        <v>25569.615277777801</v>
      </c>
      <c r="U220" s="29"/>
      <c r="V220" s="32"/>
      <c r="W220" s="72"/>
    </row>
    <row r="221" spans="2:23" s="16" customFormat="1" ht="41.1" hidden="1" customHeight="1" x14ac:dyDescent="0.2">
      <c r="B221" s="19">
        <v>42963</v>
      </c>
      <c r="C221" s="20">
        <v>25569.791666666701</v>
      </c>
      <c r="D221" s="21" t="s">
        <v>1477</v>
      </c>
      <c r="E221" s="22" t="s">
        <v>1103</v>
      </c>
      <c r="F221" s="22" t="s">
        <v>1104</v>
      </c>
      <c r="G221" s="23">
        <v>43</v>
      </c>
      <c r="H221" s="21" t="s">
        <v>1478</v>
      </c>
      <c r="I221" s="21" t="s">
        <v>1410</v>
      </c>
      <c r="J221" s="23" t="s">
        <v>3</v>
      </c>
      <c r="K221" s="55" t="s">
        <v>4</v>
      </c>
      <c r="L221" s="58" t="s">
        <v>34</v>
      </c>
      <c r="M221" s="56" t="s">
        <v>34</v>
      </c>
      <c r="N221" s="54"/>
      <c r="O221" s="24" t="s">
        <v>78</v>
      </c>
      <c r="P221" s="24" t="s">
        <v>61</v>
      </c>
      <c r="Q221" s="22" t="s">
        <v>79</v>
      </c>
      <c r="R221" s="24" t="s">
        <v>1105</v>
      </c>
      <c r="S221" s="20">
        <v>25569.604166666701</v>
      </c>
      <c r="T221" s="20">
        <v>25569.979166666701</v>
      </c>
      <c r="U221" s="22"/>
      <c r="V221" s="25"/>
      <c r="W221" s="71"/>
    </row>
    <row r="222" spans="2:23" s="16" customFormat="1" ht="51.75" hidden="1" customHeight="1" x14ac:dyDescent="0.2">
      <c r="B222" s="26">
        <v>42965</v>
      </c>
      <c r="C222" s="27">
        <v>25569.1875</v>
      </c>
      <c r="D222" s="28" t="s">
        <v>1106</v>
      </c>
      <c r="E222" s="29" t="s">
        <v>1107</v>
      </c>
      <c r="F222" s="29" t="s">
        <v>716</v>
      </c>
      <c r="G222" s="30">
        <v>30</v>
      </c>
      <c r="H222" s="28" t="s">
        <v>1108</v>
      </c>
      <c r="I222" s="28" t="s">
        <v>1417</v>
      </c>
      <c r="J222" s="30" t="s">
        <v>3</v>
      </c>
      <c r="K222" s="55" t="s">
        <v>4</v>
      </c>
      <c r="L222" s="58" t="s">
        <v>34</v>
      </c>
      <c r="M222" s="56" t="s">
        <v>34</v>
      </c>
      <c r="N222" s="54"/>
      <c r="O222" s="31" t="s">
        <v>78</v>
      </c>
      <c r="P222" s="31" t="s">
        <v>61</v>
      </c>
      <c r="Q222" s="29" t="s">
        <v>62</v>
      </c>
      <c r="R222" s="31" t="s">
        <v>1109</v>
      </c>
      <c r="S222" s="27">
        <v>25569.916666666701</v>
      </c>
      <c r="T222" s="27">
        <v>25569.256944444402</v>
      </c>
      <c r="U222" s="29"/>
      <c r="V222" s="32"/>
      <c r="W222" s="72"/>
    </row>
    <row r="223" spans="2:23" s="16" customFormat="1" ht="51.75" hidden="1" customHeight="1" x14ac:dyDescent="0.2">
      <c r="B223" s="19">
        <v>42967</v>
      </c>
      <c r="C223" s="20">
        <v>25569.270833333299</v>
      </c>
      <c r="D223" s="21" t="s">
        <v>1110</v>
      </c>
      <c r="E223" s="22" t="s">
        <v>1111</v>
      </c>
      <c r="F223" s="22" t="s">
        <v>223</v>
      </c>
      <c r="G223" s="23">
        <v>40</v>
      </c>
      <c r="H223" s="21" t="s">
        <v>1112</v>
      </c>
      <c r="I223" s="21" t="s">
        <v>1405</v>
      </c>
      <c r="J223" s="23" t="s">
        <v>3</v>
      </c>
      <c r="K223" s="55" t="s">
        <v>4</v>
      </c>
      <c r="L223" s="59" t="s">
        <v>33</v>
      </c>
      <c r="M223" s="56" t="s">
        <v>34</v>
      </c>
      <c r="N223" s="54">
        <v>26</v>
      </c>
      <c r="O223" s="24" t="s">
        <v>78</v>
      </c>
      <c r="P223" s="24" t="s">
        <v>145</v>
      </c>
      <c r="Q223" s="22" t="s">
        <v>71</v>
      </c>
      <c r="R223" s="24" t="s">
        <v>1113</v>
      </c>
      <c r="S223" s="20">
        <v>25569.25</v>
      </c>
      <c r="T223" s="20">
        <v>25569.616666666701</v>
      </c>
      <c r="U223" s="22" t="s">
        <v>1114</v>
      </c>
      <c r="V223" s="25"/>
      <c r="W223" s="71" t="s">
        <v>81</v>
      </c>
    </row>
    <row r="224" spans="2:23" s="16" customFormat="1" ht="62.45" hidden="1" customHeight="1" x14ac:dyDescent="0.2">
      <c r="B224" s="26">
        <v>42969</v>
      </c>
      <c r="C224" s="27">
        <v>25569.722222222201</v>
      </c>
      <c r="D224" s="28" t="s">
        <v>1115</v>
      </c>
      <c r="E224" s="29" t="s">
        <v>1116</v>
      </c>
      <c r="F224" s="29" t="s">
        <v>210</v>
      </c>
      <c r="G224" s="30">
        <v>49</v>
      </c>
      <c r="H224" s="28" t="s">
        <v>1117</v>
      </c>
      <c r="I224" s="28" t="s">
        <v>1405</v>
      </c>
      <c r="J224" s="30" t="s">
        <v>3</v>
      </c>
      <c r="K224" s="55" t="s">
        <v>4</v>
      </c>
      <c r="L224" s="59" t="s">
        <v>33</v>
      </c>
      <c r="M224" s="56" t="s">
        <v>34</v>
      </c>
      <c r="N224" s="54">
        <v>13</v>
      </c>
      <c r="O224" s="31" t="s">
        <v>78</v>
      </c>
      <c r="P224" s="31" t="s">
        <v>61</v>
      </c>
      <c r="Q224" s="29" t="s">
        <v>62</v>
      </c>
      <c r="R224" s="31" t="s">
        <v>1118</v>
      </c>
      <c r="S224" s="27">
        <v>25569.659722222201</v>
      </c>
      <c r="T224" s="27">
        <v>25569.020833333299</v>
      </c>
      <c r="U224" s="29"/>
      <c r="V224" s="32"/>
      <c r="W224" s="72" t="s">
        <v>81</v>
      </c>
    </row>
    <row r="225" spans="2:23" s="16" customFormat="1" ht="41.1" hidden="1" customHeight="1" x14ac:dyDescent="0.2">
      <c r="B225" s="19">
        <v>42969</v>
      </c>
      <c r="C225" s="20">
        <v>25569.958333333299</v>
      </c>
      <c r="D225" s="21" t="s">
        <v>1119</v>
      </c>
      <c r="E225" s="22" t="s">
        <v>1120</v>
      </c>
      <c r="F225" s="22" t="s">
        <v>1121</v>
      </c>
      <c r="G225" s="23">
        <v>37</v>
      </c>
      <c r="H225" s="21" t="s">
        <v>1122</v>
      </c>
      <c r="I225" s="21" t="s">
        <v>1408</v>
      </c>
      <c r="J225" s="23" t="s">
        <v>3</v>
      </c>
      <c r="K225" s="55" t="s">
        <v>4</v>
      </c>
      <c r="L225" s="58" t="s">
        <v>34</v>
      </c>
      <c r="M225" s="56" t="s">
        <v>34</v>
      </c>
      <c r="N225" s="54"/>
      <c r="O225" s="24" t="s">
        <v>107</v>
      </c>
      <c r="P225" s="24" t="s">
        <v>61</v>
      </c>
      <c r="Q225" s="22" t="s">
        <v>8</v>
      </c>
      <c r="R225" s="24" t="s">
        <v>1123</v>
      </c>
      <c r="S225" s="20">
        <v>25569.90625</v>
      </c>
      <c r="T225" s="20">
        <v>25569.25</v>
      </c>
      <c r="U225" s="22"/>
      <c r="V225" s="25"/>
      <c r="W225" s="71"/>
    </row>
    <row r="226" spans="2:23" s="16" customFormat="1" ht="41.1" hidden="1" customHeight="1" x14ac:dyDescent="0.2">
      <c r="B226" s="26">
        <v>42970</v>
      </c>
      <c r="C226" s="27">
        <v>25569.680555555598</v>
      </c>
      <c r="D226" s="28" t="s">
        <v>1124</v>
      </c>
      <c r="E226" s="29" t="s">
        <v>1125</v>
      </c>
      <c r="F226" s="29" t="s">
        <v>350</v>
      </c>
      <c r="G226" s="30">
        <v>56</v>
      </c>
      <c r="H226" s="28" t="s">
        <v>1126</v>
      </c>
      <c r="I226" s="28" t="s">
        <v>1449</v>
      </c>
      <c r="J226" s="30" t="s">
        <v>3</v>
      </c>
      <c r="K226" s="57" t="s">
        <v>1404</v>
      </c>
      <c r="L226" s="58" t="s">
        <v>34</v>
      </c>
      <c r="M226" s="56" t="s">
        <v>34</v>
      </c>
      <c r="N226" s="54"/>
      <c r="O226" s="31" t="s">
        <v>60</v>
      </c>
      <c r="P226" s="31" t="s">
        <v>1407</v>
      </c>
      <c r="Q226" s="29" t="s">
        <v>114</v>
      </c>
      <c r="R226" s="31" t="s">
        <v>1128</v>
      </c>
      <c r="S226" s="27">
        <v>25569.6944444445</v>
      </c>
      <c r="T226" s="27">
        <v>25569.041666666701</v>
      </c>
      <c r="U226" s="29"/>
      <c r="V226" s="32"/>
      <c r="W226" s="72" t="s">
        <v>81</v>
      </c>
    </row>
    <row r="227" spans="2:23" s="16" customFormat="1" ht="51.75" hidden="1" customHeight="1" x14ac:dyDescent="0.2">
      <c r="B227" s="19">
        <v>42975</v>
      </c>
      <c r="C227" s="20">
        <v>25569.416666666701</v>
      </c>
      <c r="D227" s="21" t="s">
        <v>1129</v>
      </c>
      <c r="E227" s="22" t="s">
        <v>1130</v>
      </c>
      <c r="F227" s="22" t="s">
        <v>297</v>
      </c>
      <c r="G227" s="23">
        <v>50</v>
      </c>
      <c r="H227" s="21" t="s">
        <v>1131</v>
      </c>
      <c r="I227" s="21" t="s">
        <v>1417</v>
      </c>
      <c r="J227" s="23" t="s">
        <v>3</v>
      </c>
      <c r="K227" s="55" t="s">
        <v>4</v>
      </c>
      <c r="L227" s="59" t="s">
        <v>33</v>
      </c>
      <c r="M227" s="56" t="s">
        <v>34</v>
      </c>
      <c r="N227" s="54">
        <v>4</v>
      </c>
      <c r="O227" s="24" t="s">
        <v>1132</v>
      </c>
      <c r="P227" s="24" t="s">
        <v>1407</v>
      </c>
      <c r="Q227" s="22" t="s">
        <v>114</v>
      </c>
      <c r="R227" s="24" t="s">
        <v>1133</v>
      </c>
      <c r="S227" s="20">
        <v>25569.272916666701</v>
      </c>
      <c r="T227" s="20">
        <v>25569.606250000001</v>
      </c>
      <c r="U227" s="22"/>
      <c r="V227" s="25"/>
      <c r="W227" s="71"/>
    </row>
    <row r="228" spans="2:23" s="16" customFormat="1" ht="41.1" hidden="1" customHeight="1" x14ac:dyDescent="0.2">
      <c r="B228" s="26">
        <v>42975</v>
      </c>
      <c r="C228" s="27">
        <v>25569.774305555598</v>
      </c>
      <c r="D228" s="28" t="s">
        <v>1479</v>
      </c>
      <c r="E228" s="29" t="s">
        <v>381</v>
      </c>
      <c r="F228" s="29" t="s">
        <v>382</v>
      </c>
      <c r="G228" s="30">
        <v>39</v>
      </c>
      <c r="H228" s="28" t="s">
        <v>1458</v>
      </c>
      <c r="I228" s="28" t="s">
        <v>1410</v>
      </c>
      <c r="J228" s="30" t="s">
        <v>3</v>
      </c>
      <c r="K228" s="55" t="s">
        <v>4</v>
      </c>
      <c r="L228" s="58" t="s">
        <v>34</v>
      </c>
      <c r="M228" s="56" t="s">
        <v>34</v>
      </c>
      <c r="N228" s="54"/>
      <c r="O228" s="31" t="s">
        <v>78</v>
      </c>
      <c r="P228" s="31" t="s">
        <v>121</v>
      </c>
      <c r="Q228" s="29" t="s">
        <v>122</v>
      </c>
      <c r="R228" s="31" t="s">
        <v>1134</v>
      </c>
      <c r="S228" s="27">
        <v>25569.458333333299</v>
      </c>
      <c r="T228" s="27">
        <v>25569.790972222199</v>
      </c>
      <c r="U228" s="29"/>
      <c r="V228" s="32"/>
      <c r="W228" s="72"/>
    </row>
    <row r="229" spans="2:23" s="16" customFormat="1" ht="30.4" hidden="1" customHeight="1" x14ac:dyDescent="0.2">
      <c r="B229" s="19">
        <v>42976</v>
      </c>
      <c r="C229" s="20">
        <v>25569.416666666701</v>
      </c>
      <c r="D229" s="21" t="s">
        <v>1135</v>
      </c>
      <c r="E229" s="22" t="s">
        <v>1136</v>
      </c>
      <c r="F229" s="22" t="s">
        <v>131</v>
      </c>
      <c r="G229" s="23">
        <v>65</v>
      </c>
      <c r="H229" s="21" t="s">
        <v>1137</v>
      </c>
      <c r="I229" s="21" t="s">
        <v>1450</v>
      </c>
      <c r="J229" s="23" t="s">
        <v>3</v>
      </c>
      <c r="K229" s="55" t="s">
        <v>4</v>
      </c>
      <c r="L229" s="59" t="s">
        <v>33</v>
      </c>
      <c r="M229" s="56" t="s">
        <v>34</v>
      </c>
      <c r="N229" s="54">
        <v>1</v>
      </c>
      <c r="O229" s="24" t="s">
        <v>60</v>
      </c>
      <c r="P229" s="24" t="s">
        <v>5</v>
      </c>
      <c r="Q229" s="22" t="s">
        <v>1407</v>
      </c>
      <c r="R229" s="24" t="s">
        <v>1139</v>
      </c>
      <c r="S229" s="20">
        <v>25569.3125</v>
      </c>
      <c r="T229" s="20">
        <v>25569.645833333299</v>
      </c>
      <c r="U229" s="22" t="s">
        <v>1140</v>
      </c>
      <c r="V229" s="25"/>
      <c r="W229" s="71"/>
    </row>
    <row r="230" spans="2:23" s="16" customFormat="1" ht="51.75" customHeight="1" x14ac:dyDescent="0.2">
      <c r="B230" s="26">
        <v>42976</v>
      </c>
      <c r="C230" s="27">
        <v>25569.666666666701</v>
      </c>
      <c r="D230" s="28" t="s">
        <v>1141</v>
      </c>
      <c r="E230" s="29" t="s">
        <v>1142</v>
      </c>
      <c r="F230" s="29" t="s">
        <v>156</v>
      </c>
      <c r="G230" s="30">
        <v>50</v>
      </c>
      <c r="H230" s="28" t="s">
        <v>1143</v>
      </c>
      <c r="I230" s="28" t="s">
        <v>1421</v>
      </c>
      <c r="J230" s="30" t="s">
        <v>3</v>
      </c>
      <c r="K230" s="55" t="s">
        <v>4</v>
      </c>
      <c r="L230" s="58" t="s">
        <v>34</v>
      </c>
      <c r="M230" s="56" t="s">
        <v>34</v>
      </c>
      <c r="N230" s="54"/>
      <c r="O230" s="31" t="s">
        <v>405</v>
      </c>
      <c r="P230" s="31" t="s">
        <v>88</v>
      </c>
      <c r="Q230" s="29" t="s">
        <v>8</v>
      </c>
      <c r="R230" s="31" t="s">
        <v>1144</v>
      </c>
      <c r="S230" s="27">
        <v>25569.583333333299</v>
      </c>
      <c r="T230" s="27">
        <v>25569.931250000001</v>
      </c>
      <c r="U230" s="29"/>
      <c r="V230" s="32"/>
      <c r="W230" s="72"/>
    </row>
    <row r="231" spans="2:23" s="16" customFormat="1" ht="51.75" hidden="1" customHeight="1" x14ac:dyDescent="0.2">
      <c r="B231" s="19">
        <v>42976</v>
      </c>
      <c r="C231" s="20">
        <v>25569.6875</v>
      </c>
      <c r="D231" s="21" t="s">
        <v>1145</v>
      </c>
      <c r="E231" s="22" t="s">
        <v>1146</v>
      </c>
      <c r="F231" s="22" t="s">
        <v>66</v>
      </c>
      <c r="G231" s="23">
        <v>45</v>
      </c>
      <c r="H231" s="21" t="s">
        <v>1147</v>
      </c>
      <c r="I231" s="21" t="s">
        <v>1405</v>
      </c>
      <c r="J231" s="23" t="s">
        <v>3</v>
      </c>
      <c r="K231" s="55" t="s">
        <v>4</v>
      </c>
      <c r="L231" s="58" t="s">
        <v>34</v>
      </c>
      <c r="M231" s="56" t="s">
        <v>34</v>
      </c>
      <c r="N231" s="54"/>
      <c r="O231" s="24" t="s">
        <v>133</v>
      </c>
      <c r="P231" s="24" t="s">
        <v>1407</v>
      </c>
      <c r="Q231" s="22" t="s">
        <v>71</v>
      </c>
      <c r="R231" s="24" t="s">
        <v>1148</v>
      </c>
      <c r="S231" s="20">
        <v>25569.604166666701</v>
      </c>
      <c r="T231" s="20">
        <v>25569.972222222201</v>
      </c>
      <c r="U231" s="22"/>
      <c r="V231" s="25"/>
      <c r="W231" s="71"/>
    </row>
    <row r="232" spans="2:23" s="16" customFormat="1" ht="51.75" hidden="1" customHeight="1" x14ac:dyDescent="0.2">
      <c r="B232" s="26">
        <v>42977</v>
      </c>
      <c r="C232" s="27">
        <v>25569.434027777799</v>
      </c>
      <c r="D232" s="28" t="s">
        <v>1149</v>
      </c>
      <c r="E232" s="29" t="s">
        <v>1150</v>
      </c>
      <c r="F232" s="29" t="s">
        <v>831</v>
      </c>
      <c r="G232" s="30">
        <v>46</v>
      </c>
      <c r="H232" s="28" t="s">
        <v>1151</v>
      </c>
      <c r="I232" s="28" t="s">
        <v>1403</v>
      </c>
      <c r="J232" s="30" t="s">
        <v>3</v>
      </c>
      <c r="K232" s="55" t="s">
        <v>4</v>
      </c>
      <c r="L232" s="58" t="s">
        <v>34</v>
      </c>
      <c r="M232" s="56" t="s">
        <v>34</v>
      </c>
      <c r="N232" s="54"/>
      <c r="O232" s="31" t="s">
        <v>78</v>
      </c>
      <c r="P232" s="31" t="s">
        <v>121</v>
      </c>
      <c r="Q232" s="29" t="s">
        <v>114</v>
      </c>
      <c r="R232" s="31" t="s">
        <v>1152</v>
      </c>
      <c r="S232" s="27">
        <v>25569.253472222201</v>
      </c>
      <c r="T232" s="27">
        <v>25569.604166666701</v>
      </c>
      <c r="U232" s="29" t="s">
        <v>1153</v>
      </c>
      <c r="V232" s="32"/>
      <c r="W232" s="72"/>
    </row>
    <row r="233" spans="2:23" s="16" customFormat="1" ht="51.75" customHeight="1" x14ac:dyDescent="0.2">
      <c r="B233" s="19">
        <v>42979</v>
      </c>
      <c r="C233" s="20">
        <v>25569.541666666701</v>
      </c>
      <c r="D233" s="21" t="s">
        <v>1154</v>
      </c>
      <c r="E233" s="22" t="s">
        <v>1155</v>
      </c>
      <c r="F233" s="22" t="s">
        <v>265</v>
      </c>
      <c r="G233" s="23">
        <v>40</v>
      </c>
      <c r="H233" s="21" t="s">
        <v>1156</v>
      </c>
      <c r="I233" s="21" t="s">
        <v>1421</v>
      </c>
      <c r="J233" s="23" t="s">
        <v>3</v>
      </c>
      <c r="K233" s="55" t="s">
        <v>4</v>
      </c>
      <c r="L233" s="59" t="s">
        <v>33</v>
      </c>
      <c r="M233" s="56" t="s">
        <v>34</v>
      </c>
      <c r="N233" s="54">
        <v>4</v>
      </c>
      <c r="O233" s="24" t="s">
        <v>78</v>
      </c>
      <c r="P233" s="24" t="s">
        <v>180</v>
      </c>
      <c r="Q233" s="22" t="s">
        <v>158</v>
      </c>
      <c r="R233" s="24" t="s">
        <v>1157</v>
      </c>
      <c r="S233" s="20">
        <v>25569.25</v>
      </c>
      <c r="T233" s="20">
        <v>25569.598611111101</v>
      </c>
      <c r="U233" s="22"/>
      <c r="V233" s="25"/>
      <c r="W233" s="71" t="s">
        <v>81</v>
      </c>
    </row>
    <row r="234" spans="2:23" s="16" customFormat="1" ht="30.4" hidden="1" customHeight="1" x14ac:dyDescent="0.2">
      <c r="B234" s="26">
        <v>42979</v>
      </c>
      <c r="C234" s="27">
        <v>25569.645833333299</v>
      </c>
      <c r="D234" s="28" t="s">
        <v>1158</v>
      </c>
      <c r="E234" s="29" t="s">
        <v>1159</v>
      </c>
      <c r="F234" s="29" t="s">
        <v>580</v>
      </c>
      <c r="G234" s="30">
        <v>17</v>
      </c>
      <c r="H234" s="28" t="s">
        <v>1160</v>
      </c>
      <c r="I234" s="28" t="s">
        <v>1414</v>
      </c>
      <c r="J234" s="30" t="s">
        <v>3</v>
      </c>
      <c r="K234" s="55" t="s">
        <v>4</v>
      </c>
      <c r="L234" s="58" t="s">
        <v>34</v>
      </c>
      <c r="M234" s="56" t="s">
        <v>34</v>
      </c>
      <c r="N234" s="54"/>
      <c r="O234" s="31" t="s">
        <v>60</v>
      </c>
      <c r="P234" s="31" t="s">
        <v>5</v>
      </c>
      <c r="Q234" s="29" t="s">
        <v>114</v>
      </c>
      <c r="R234" s="31" t="s">
        <v>1161</v>
      </c>
      <c r="S234" s="27">
        <v>25569.333333333299</v>
      </c>
      <c r="T234" s="27">
        <v>25569.6944444445</v>
      </c>
      <c r="U234" s="31"/>
      <c r="V234" s="32"/>
      <c r="W234" s="72"/>
    </row>
    <row r="235" spans="2:23" s="16" customFormat="1" ht="41.1" hidden="1" customHeight="1" x14ac:dyDescent="0.2">
      <c r="B235" s="19">
        <v>42979</v>
      </c>
      <c r="C235" s="20">
        <v>25569.989583333299</v>
      </c>
      <c r="D235" s="21" t="s">
        <v>1162</v>
      </c>
      <c r="E235" s="22" t="s">
        <v>1163</v>
      </c>
      <c r="F235" s="22" t="s">
        <v>1164</v>
      </c>
      <c r="G235" s="23">
        <v>36</v>
      </c>
      <c r="H235" s="21" t="s">
        <v>1165</v>
      </c>
      <c r="I235" s="21" t="s">
        <v>1417</v>
      </c>
      <c r="J235" s="23" t="s">
        <v>3</v>
      </c>
      <c r="K235" s="55" t="s">
        <v>4</v>
      </c>
      <c r="L235" s="58" t="s">
        <v>34</v>
      </c>
      <c r="M235" s="56" t="s">
        <v>34</v>
      </c>
      <c r="N235" s="54"/>
      <c r="O235" s="24" t="s">
        <v>78</v>
      </c>
      <c r="P235" s="24" t="s">
        <v>121</v>
      </c>
      <c r="Q235" s="22" t="s">
        <v>158</v>
      </c>
      <c r="R235" s="24" t="s">
        <v>1166</v>
      </c>
      <c r="S235" s="20">
        <v>25569.923611111099</v>
      </c>
      <c r="T235" s="20">
        <v>25569.260416666701</v>
      </c>
      <c r="U235" s="22"/>
      <c r="V235" s="25"/>
      <c r="W235" s="71" t="s">
        <v>81</v>
      </c>
    </row>
    <row r="236" spans="2:23" s="16" customFormat="1" ht="41.1" customHeight="1" x14ac:dyDescent="0.2">
      <c r="B236" s="26">
        <v>42980</v>
      </c>
      <c r="C236" s="27">
        <v>25569.833333333299</v>
      </c>
      <c r="D236" s="28" t="s">
        <v>1167</v>
      </c>
      <c r="E236" s="29" t="s">
        <v>217</v>
      </c>
      <c r="F236" s="29" t="s">
        <v>831</v>
      </c>
      <c r="G236" s="30">
        <v>50</v>
      </c>
      <c r="H236" s="28" t="s">
        <v>1168</v>
      </c>
      <c r="I236" s="28" t="s">
        <v>1421</v>
      </c>
      <c r="J236" s="30" t="s">
        <v>3</v>
      </c>
      <c r="K236" s="55" t="s">
        <v>4</v>
      </c>
      <c r="L236" s="58" t="s">
        <v>34</v>
      </c>
      <c r="M236" s="60" t="s">
        <v>33</v>
      </c>
      <c r="N236" s="54"/>
      <c r="O236" s="31" t="s">
        <v>78</v>
      </c>
      <c r="P236" s="31" t="s">
        <v>289</v>
      </c>
      <c r="Q236" s="29" t="s">
        <v>146</v>
      </c>
      <c r="R236" s="31" t="s">
        <v>1169</v>
      </c>
      <c r="S236" s="27">
        <v>25569.583333333299</v>
      </c>
      <c r="T236" s="27">
        <v>25569.931250000001</v>
      </c>
      <c r="U236" s="29" t="s">
        <v>1170</v>
      </c>
      <c r="V236" s="32"/>
      <c r="W236" s="72"/>
    </row>
    <row r="237" spans="2:23" s="16" customFormat="1" ht="41.1" hidden="1" customHeight="1" x14ac:dyDescent="0.2">
      <c r="B237" s="19">
        <v>42982</v>
      </c>
      <c r="C237" s="20">
        <v>25569.520833333299</v>
      </c>
      <c r="D237" s="21" t="s">
        <v>1171</v>
      </c>
      <c r="E237" s="22" t="s">
        <v>1172</v>
      </c>
      <c r="F237" s="22" t="s">
        <v>66</v>
      </c>
      <c r="G237" s="23">
        <v>38</v>
      </c>
      <c r="H237" s="21" t="s">
        <v>1173</v>
      </c>
      <c r="I237" s="21" t="s">
        <v>1405</v>
      </c>
      <c r="J237" s="23" t="s">
        <v>3</v>
      </c>
      <c r="K237" s="55" t="s">
        <v>4</v>
      </c>
      <c r="L237" s="59" t="s">
        <v>33</v>
      </c>
      <c r="M237" s="56" t="s">
        <v>34</v>
      </c>
      <c r="N237" s="54">
        <v>14</v>
      </c>
      <c r="O237" s="24" t="s">
        <v>78</v>
      </c>
      <c r="P237" s="24" t="s">
        <v>187</v>
      </c>
      <c r="Q237" s="22" t="s">
        <v>71</v>
      </c>
      <c r="R237" s="24" t="s">
        <v>1174</v>
      </c>
      <c r="S237" s="20">
        <v>25569.28125</v>
      </c>
      <c r="T237" s="20">
        <v>25569.645833333299</v>
      </c>
      <c r="U237" s="22"/>
      <c r="V237" s="25"/>
      <c r="W237" s="71" t="s">
        <v>81</v>
      </c>
    </row>
    <row r="238" spans="2:23" s="16" customFormat="1" ht="51.75" customHeight="1" x14ac:dyDescent="0.2">
      <c r="B238" s="26">
        <v>42982</v>
      </c>
      <c r="C238" s="27">
        <v>25569.75</v>
      </c>
      <c r="D238" s="28" t="s">
        <v>1175</v>
      </c>
      <c r="E238" s="29" t="s">
        <v>1176</v>
      </c>
      <c r="F238" s="29" t="s">
        <v>872</v>
      </c>
      <c r="G238" s="30">
        <v>28</v>
      </c>
      <c r="H238" s="28" t="s">
        <v>1177</v>
      </c>
      <c r="I238" s="28" t="s">
        <v>1421</v>
      </c>
      <c r="J238" s="30" t="s">
        <v>3</v>
      </c>
      <c r="K238" s="55" t="s">
        <v>4</v>
      </c>
      <c r="L238" s="59" t="s">
        <v>33</v>
      </c>
      <c r="M238" s="56" t="s">
        <v>34</v>
      </c>
      <c r="N238" s="54">
        <v>7</v>
      </c>
      <c r="O238" s="31" t="s">
        <v>78</v>
      </c>
      <c r="P238" s="31" t="s">
        <v>61</v>
      </c>
      <c r="Q238" s="29" t="s">
        <v>62</v>
      </c>
      <c r="R238" s="31" t="s">
        <v>1178</v>
      </c>
      <c r="S238" s="27">
        <v>25569.597916666698</v>
      </c>
      <c r="T238" s="27">
        <v>25569.927083333299</v>
      </c>
      <c r="U238" s="29"/>
      <c r="V238" s="32"/>
      <c r="W238" s="72" t="s">
        <v>81</v>
      </c>
    </row>
    <row r="239" spans="2:23" s="16" customFormat="1" ht="51.75" hidden="1" customHeight="1" x14ac:dyDescent="0.2">
      <c r="B239" s="19">
        <v>42982</v>
      </c>
      <c r="C239" s="20">
        <v>25569.875</v>
      </c>
      <c r="D239" s="21" t="s">
        <v>1179</v>
      </c>
      <c r="E239" s="22" t="s">
        <v>1180</v>
      </c>
      <c r="F239" s="22" t="s">
        <v>781</v>
      </c>
      <c r="G239" s="23">
        <v>25</v>
      </c>
      <c r="H239" s="21" t="s">
        <v>1181</v>
      </c>
      <c r="I239" s="21" t="s">
        <v>1417</v>
      </c>
      <c r="J239" s="23" t="s">
        <v>3</v>
      </c>
      <c r="K239" s="55" t="s">
        <v>4</v>
      </c>
      <c r="L239" s="58" t="s">
        <v>34</v>
      </c>
      <c r="M239" s="56" t="s">
        <v>34</v>
      </c>
      <c r="N239" s="54"/>
      <c r="O239" s="24" t="s">
        <v>60</v>
      </c>
      <c r="P239" s="24" t="s">
        <v>1182</v>
      </c>
      <c r="Q239" s="22" t="s">
        <v>146</v>
      </c>
      <c r="R239" s="24" t="s">
        <v>1183</v>
      </c>
      <c r="S239" s="20">
        <v>25569.597222222201</v>
      </c>
      <c r="T239" s="20">
        <v>25569.927083333299</v>
      </c>
      <c r="U239" s="22"/>
      <c r="V239" s="25"/>
      <c r="W239" s="71"/>
    </row>
    <row r="240" spans="2:23" s="16" customFormat="1" ht="51.75" hidden="1" customHeight="1" x14ac:dyDescent="0.2">
      <c r="B240" s="26">
        <v>42983</v>
      </c>
      <c r="C240" s="27">
        <v>25569.21875</v>
      </c>
      <c r="D240" s="28" t="s">
        <v>1184</v>
      </c>
      <c r="E240" s="29" t="s">
        <v>1185</v>
      </c>
      <c r="F240" s="29" t="s">
        <v>1186</v>
      </c>
      <c r="G240" s="30">
        <v>51</v>
      </c>
      <c r="H240" s="28" t="s">
        <v>1187</v>
      </c>
      <c r="I240" s="28" t="s">
        <v>1428</v>
      </c>
      <c r="J240" s="30" t="s">
        <v>3</v>
      </c>
      <c r="K240" s="57" t="s">
        <v>1404</v>
      </c>
      <c r="L240" s="58" t="s">
        <v>34</v>
      </c>
      <c r="M240" s="56" t="s">
        <v>34</v>
      </c>
      <c r="N240" s="54"/>
      <c r="O240" s="31" t="s">
        <v>87</v>
      </c>
      <c r="P240" s="31" t="s">
        <v>5</v>
      </c>
      <c r="Q240" s="29" t="s">
        <v>1407</v>
      </c>
      <c r="R240" s="31" t="s">
        <v>1188</v>
      </c>
      <c r="S240" s="27">
        <v>25569.229166666701</v>
      </c>
      <c r="T240" s="27">
        <v>25569.596527777801</v>
      </c>
      <c r="U240" s="29"/>
      <c r="V240" s="32"/>
      <c r="W240" s="72"/>
    </row>
    <row r="241" spans="2:23" s="16" customFormat="1" ht="41.1" hidden="1" customHeight="1" x14ac:dyDescent="0.2">
      <c r="B241" s="19">
        <v>42983</v>
      </c>
      <c r="C241" s="20">
        <v>25569.6875</v>
      </c>
      <c r="D241" s="21" t="s">
        <v>1189</v>
      </c>
      <c r="E241" s="22" t="s">
        <v>1190</v>
      </c>
      <c r="F241" s="22" t="s">
        <v>403</v>
      </c>
      <c r="G241" s="23">
        <v>33</v>
      </c>
      <c r="H241" s="21" t="s">
        <v>1191</v>
      </c>
      <c r="I241" s="21" t="s">
        <v>1413</v>
      </c>
      <c r="J241" s="23" t="s">
        <v>3</v>
      </c>
      <c r="K241" s="55" t="s">
        <v>4</v>
      </c>
      <c r="L241" s="58" t="s">
        <v>34</v>
      </c>
      <c r="M241" s="56" t="s">
        <v>34</v>
      </c>
      <c r="N241" s="54"/>
      <c r="O241" s="24" t="s">
        <v>60</v>
      </c>
      <c r="P241" s="24" t="s">
        <v>61</v>
      </c>
      <c r="Q241" s="22" t="s">
        <v>79</v>
      </c>
      <c r="R241" s="24" t="s">
        <v>1192</v>
      </c>
      <c r="S241" s="20">
        <v>25569.615277777801</v>
      </c>
      <c r="T241" s="20">
        <v>25569.9666666667</v>
      </c>
      <c r="U241" s="22"/>
      <c r="V241" s="25"/>
      <c r="W241" s="71"/>
    </row>
    <row r="242" spans="2:23" s="16" customFormat="1" ht="51.75" customHeight="1" x14ac:dyDescent="0.2">
      <c r="B242" s="26">
        <v>42984</v>
      </c>
      <c r="C242" s="27">
        <v>25569.833333333299</v>
      </c>
      <c r="D242" s="28" t="s">
        <v>1193</v>
      </c>
      <c r="E242" s="29" t="s">
        <v>1194</v>
      </c>
      <c r="F242" s="29" t="s">
        <v>66</v>
      </c>
      <c r="G242" s="30">
        <v>50</v>
      </c>
      <c r="H242" s="28" t="s">
        <v>1195</v>
      </c>
      <c r="I242" s="28" t="s">
        <v>1421</v>
      </c>
      <c r="J242" s="30" t="s">
        <v>3</v>
      </c>
      <c r="K242" s="55" t="s">
        <v>4</v>
      </c>
      <c r="L242" s="58" t="s">
        <v>34</v>
      </c>
      <c r="M242" s="56" t="s">
        <v>34</v>
      </c>
      <c r="N242" s="54"/>
      <c r="O242" s="31" t="s">
        <v>60</v>
      </c>
      <c r="P242" s="31" t="s">
        <v>121</v>
      </c>
      <c r="Q242" s="29" t="s">
        <v>158</v>
      </c>
      <c r="R242" s="31" t="s">
        <v>1196</v>
      </c>
      <c r="S242" s="27">
        <v>25569.597916666698</v>
      </c>
      <c r="T242" s="27">
        <v>25569.927083333299</v>
      </c>
      <c r="U242" s="29"/>
      <c r="V242" s="32"/>
      <c r="W242" s="72"/>
    </row>
    <row r="243" spans="2:23" s="16" customFormat="1" ht="62.45" hidden="1" customHeight="1" x14ac:dyDescent="0.2">
      <c r="B243" s="19">
        <v>42985</v>
      </c>
      <c r="C243" s="20">
        <v>25569.291666666701</v>
      </c>
      <c r="D243" s="21" t="s">
        <v>1197</v>
      </c>
      <c r="E243" s="22" t="s">
        <v>1198</v>
      </c>
      <c r="F243" s="22" t="s">
        <v>247</v>
      </c>
      <c r="G243" s="23">
        <v>48</v>
      </c>
      <c r="H243" s="21" t="s">
        <v>1199</v>
      </c>
      <c r="I243" s="21" t="s">
        <v>1405</v>
      </c>
      <c r="J243" s="23" t="s">
        <v>3</v>
      </c>
      <c r="K243" s="55" t="s">
        <v>4</v>
      </c>
      <c r="L243" s="58" t="s">
        <v>34</v>
      </c>
      <c r="M243" s="56" t="s">
        <v>34</v>
      </c>
      <c r="N243" s="54"/>
      <c r="O243" s="24" t="s">
        <v>78</v>
      </c>
      <c r="P243" s="24" t="s">
        <v>1407</v>
      </c>
      <c r="Q243" s="22" t="s">
        <v>62</v>
      </c>
      <c r="R243" s="24" t="s">
        <v>1200</v>
      </c>
      <c r="S243" s="20">
        <v>25569.25</v>
      </c>
      <c r="T243" s="20">
        <v>25569.617361111101</v>
      </c>
      <c r="U243" s="22"/>
      <c r="V243" s="25"/>
      <c r="W243" s="71"/>
    </row>
    <row r="244" spans="2:23" s="16" customFormat="1" ht="41.1" hidden="1" customHeight="1" x14ac:dyDescent="0.2">
      <c r="B244" s="26">
        <v>42985</v>
      </c>
      <c r="C244" s="27">
        <v>25569.315972222201</v>
      </c>
      <c r="D244" s="28" t="s">
        <v>1201</v>
      </c>
      <c r="E244" s="29" t="s">
        <v>1202</v>
      </c>
      <c r="F244" s="29" t="s">
        <v>259</v>
      </c>
      <c r="G244" s="30">
        <v>45</v>
      </c>
      <c r="H244" s="28" t="s">
        <v>1203</v>
      </c>
      <c r="I244" s="28" t="s">
        <v>1408</v>
      </c>
      <c r="J244" s="30" t="s">
        <v>3</v>
      </c>
      <c r="K244" s="55" t="s">
        <v>4</v>
      </c>
      <c r="L244" s="59" t="s">
        <v>33</v>
      </c>
      <c r="M244" s="56" t="s">
        <v>34</v>
      </c>
      <c r="N244" s="54">
        <v>3</v>
      </c>
      <c r="O244" s="31" t="s">
        <v>78</v>
      </c>
      <c r="P244" s="31" t="s">
        <v>61</v>
      </c>
      <c r="Q244" s="29" t="s">
        <v>79</v>
      </c>
      <c r="R244" s="31" t="s">
        <v>1204</v>
      </c>
      <c r="S244" s="27">
        <v>25569.222222222201</v>
      </c>
      <c r="T244" s="27">
        <v>25569.583333333299</v>
      </c>
      <c r="U244" s="29"/>
      <c r="V244" s="32"/>
      <c r="W244" s="72" t="s">
        <v>81</v>
      </c>
    </row>
    <row r="245" spans="2:23" s="16" customFormat="1" ht="41.1" hidden="1" customHeight="1" x14ac:dyDescent="0.2">
      <c r="B245" s="19">
        <v>42985</v>
      </c>
      <c r="C245" s="20">
        <v>25569.354166666701</v>
      </c>
      <c r="D245" s="21" t="s">
        <v>1205</v>
      </c>
      <c r="E245" s="22" t="s">
        <v>1206</v>
      </c>
      <c r="F245" s="22" t="s">
        <v>223</v>
      </c>
      <c r="G245" s="23">
        <v>44</v>
      </c>
      <c r="H245" s="21" t="s">
        <v>1207</v>
      </c>
      <c r="I245" s="21" t="s">
        <v>1413</v>
      </c>
      <c r="J245" s="23" t="s">
        <v>3</v>
      </c>
      <c r="K245" s="55" t="s">
        <v>4</v>
      </c>
      <c r="L245" s="59" t="s">
        <v>33</v>
      </c>
      <c r="M245" s="56" t="s">
        <v>34</v>
      </c>
      <c r="N245" s="54">
        <v>64</v>
      </c>
      <c r="O245" s="24" t="s">
        <v>405</v>
      </c>
      <c r="P245" s="24" t="s">
        <v>1407</v>
      </c>
      <c r="Q245" s="22" t="s">
        <v>114</v>
      </c>
      <c r="R245" s="24" t="s">
        <v>1208</v>
      </c>
      <c r="S245" s="20">
        <v>25569.263888888901</v>
      </c>
      <c r="T245" s="20">
        <v>25569.615277777801</v>
      </c>
      <c r="U245" s="22"/>
      <c r="V245" s="25"/>
      <c r="W245" s="71" t="s">
        <v>81</v>
      </c>
    </row>
    <row r="246" spans="2:23" s="16" customFormat="1" ht="62.45" hidden="1" customHeight="1" x14ac:dyDescent="0.2">
      <c r="B246" s="26">
        <v>42985</v>
      </c>
      <c r="C246" s="27">
        <v>25569.958333333299</v>
      </c>
      <c r="D246" s="28" t="s">
        <v>1209</v>
      </c>
      <c r="E246" s="29" t="s">
        <v>1210</v>
      </c>
      <c r="F246" s="29" t="s">
        <v>1211</v>
      </c>
      <c r="G246" s="30">
        <v>39</v>
      </c>
      <c r="H246" s="28" t="s">
        <v>1212</v>
      </c>
      <c r="I246" s="28" t="s">
        <v>1408</v>
      </c>
      <c r="J246" s="30" t="s">
        <v>3</v>
      </c>
      <c r="K246" s="55" t="s">
        <v>4</v>
      </c>
      <c r="L246" s="59" t="s">
        <v>33</v>
      </c>
      <c r="M246" s="56" t="s">
        <v>34</v>
      </c>
      <c r="N246" s="54">
        <v>48</v>
      </c>
      <c r="O246" s="31" t="s">
        <v>78</v>
      </c>
      <c r="P246" s="31" t="s">
        <v>61</v>
      </c>
      <c r="Q246" s="29" t="s">
        <v>158</v>
      </c>
      <c r="R246" s="31" t="s">
        <v>1213</v>
      </c>
      <c r="S246" s="27">
        <v>25569.90625</v>
      </c>
      <c r="T246" s="27">
        <v>25569.25</v>
      </c>
      <c r="U246" s="29"/>
      <c r="V246" s="32"/>
      <c r="W246" s="72" t="s">
        <v>81</v>
      </c>
    </row>
    <row r="247" spans="2:23" s="16" customFormat="1" ht="41.1" customHeight="1" x14ac:dyDescent="0.2">
      <c r="B247" s="19">
        <v>42985</v>
      </c>
      <c r="C247" s="20">
        <v>25569.958333333299</v>
      </c>
      <c r="D247" s="21" t="s">
        <v>1214</v>
      </c>
      <c r="E247" s="22" t="s">
        <v>1215</v>
      </c>
      <c r="F247" s="22" t="s">
        <v>1216</v>
      </c>
      <c r="G247" s="23">
        <v>34</v>
      </c>
      <c r="H247" s="21" t="s">
        <v>1217</v>
      </c>
      <c r="I247" s="21" t="s">
        <v>1421</v>
      </c>
      <c r="J247" s="23" t="s">
        <v>3</v>
      </c>
      <c r="K247" s="55" t="s">
        <v>4</v>
      </c>
      <c r="L247" s="58" t="s">
        <v>34</v>
      </c>
      <c r="M247" s="56" t="s">
        <v>34</v>
      </c>
      <c r="N247" s="54"/>
      <c r="O247" s="24" t="s">
        <v>78</v>
      </c>
      <c r="P247" s="24" t="s">
        <v>1407</v>
      </c>
      <c r="Q247" s="22" t="s">
        <v>122</v>
      </c>
      <c r="R247" s="24" t="s">
        <v>1218</v>
      </c>
      <c r="S247" s="20">
        <v>25569.916666666701</v>
      </c>
      <c r="T247" s="20">
        <v>25569.259722222199</v>
      </c>
      <c r="U247" s="22"/>
      <c r="V247" s="25"/>
      <c r="W247" s="71"/>
    </row>
    <row r="248" spans="2:23" s="16" customFormat="1" ht="51.75" hidden="1" customHeight="1" x14ac:dyDescent="0.2">
      <c r="B248" s="26">
        <v>42986</v>
      </c>
      <c r="C248" s="27">
        <v>25569.395833333299</v>
      </c>
      <c r="D248" s="28" t="s">
        <v>1219</v>
      </c>
      <c r="E248" s="29" t="s">
        <v>1220</v>
      </c>
      <c r="F248" s="29" t="s">
        <v>223</v>
      </c>
      <c r="G248" s="30">
        <v>40</v>
      </c>
      <c r="H248" s="28" t="s">
        <v>1221</v>
      </c>
      <c r="I248" s="28" t="s">
        <v>1451</v>
      </c>
      <c r="J248" s="30" t="s">
        <v>3</v>
      </c>
      <c r="K248" s="55" t="s">
        <v>4</v>
      </c>
      <c r="L248" s="58" t="s">
        <v>34</v>
      </c>
      <c r="M248" s="56" t="s">
        <v>34</v>
      </c>
      <c r="N248" s="54"/>
      <c r="O248" s="31" t="s">
        <v>78</v>
      </c>
      <c r="P248" s="31" t="s">
        <v>88</v>
      </c>
      <c r="Q248" s="29" t="s">
        <v>158</v>
      </c>
      <c r="R248" s="31" t="s">
        <v>1223</v>
      </c>
      <c r="S248" s="27">
        <v>25569.3347222222</v>
      </c>
      <c r="T248" s="27">
        <v>25569.666666666701</v>
      </c>
      <c r="U248" s="29"/>
      <c r="V248" s="32"/>
      <c r="W248" s="72"/>
    </row>
    <row r="249" spans="2:23" s="16" customFormat="1" ht="62.45" hidden="1" customHeight="1" x14ac:dyDescent="0.2">
      <c r="B249" s="19">
        <v>42988</v>
      </c>
      <c r="C249" s="20">
        <v>25569.451388888901</v>
      </c>
      <c r="D249" s="21" t="s">
        <v>1224</v>
      </c>
      <c r="E249" s="22" t="s">
        <v>1225</v>
      </c>
      <c r="F249" s="22" t="s">
        <v>911</v>
      </c>
      <c r="G249" s="23">
        <v>36</v>
      </c>
      <c r="H249" s="21" t="s">
        <v>1226</v>
      </c>
      <c r="I249" s="21" t="s">
        <v>1405</v>
      </c>
      <c r="J249" s="23" t="s">
        <v>3</v>
      </c>
      <c r="K249" s="55" t="s">
        <v>4</v>
      </c>
      <c r="L249" s="59" t="s">
        <v>33</v>
      </c>
      <c r="M249" s="56" t="s">
        <v>34</v>
      </c>
      <c r="N249" s="54">
        <v>22</v>
      </c>
      <c r="O249" s="24" t="s">
        <v>78</v>
      </c>
      <c r="P249" s="24" t="s">
        <v>121</v>
      </c>
      <c r="Q249" s="22" t="s">
        <v>158</v>
      </c>
      <c r="R249" s="24" t="s">
        <v>1227</v>
      </c>
      <c r="S249" s="20">
        <v>25569.28125</v>
      </c>
      <c r="T249" s="20">
        <v>25569.649305555598</v>
      </c>
      <c r="U249" s="22"/>
      <c r="V249" s="25"/>
      <c r="W249" s="71" t="s">
        <v>81</v>
      </c>
    </row>
    <row r="250" spans="2:23" s="16" customFormat="1" ht="62.45" hidden="1" customHeight="1" x14ac:dyDescent="0.2">
      <c r="B250" s="26">
        <v>42989</v>
      </c>
      <c r="C250" s="27">
        <v>25569.875</v>
      </c>
      <c r="D250" s="28" t="s">
        <v>1228</v>
      </c>
      <c r="E250" s="29" t="s">
        <v>1229</v>
      </c>
      <c r="F250" s="29" t="s">
        <v>105</v>
      </c>
      <c r="G250" s="30">
        <v>57</v>
      </c>
      <c r="H250" s="28" t="s">
        <v>1230</v>
      </c>
      <c r="I250" s="28" t="s">
        <v>1417</v>
      </c>
      <c r="J250" s="30" t="s">
        <v>3</v>
      </c>
      <c r="K250" s="57" t="s">
        <v>1404</v>
      </c>
      <c r="L250" s="59" t="s">
        <v>33</v>
      </c>
      <c r="M250" s="56" t="s">
        <v>34</v>
      </c>
      <c r="N250" s="54">
        <v>15</v>
      </c>
      <c r="O250" s="31" t="s">
        <v>69</v>
      </c>
      <c r="P250" s="31" t="s">
        <v>6</v>
      </c>
      <c r="Q250" s="29" t="s">
        <v>158</v>
      </c>
      <c r="R250" s="31" t="s">
        <v>1231</v>
      </c>
      <c r="S250" s="27">
        <v>25569.916666666701</v>
      </c>
      <c r="T250" s="27">
        <v>25569.25</v>
      </c>
      <c r="U250" s="29"/>
      <c r="V250" s="32"/>
      <c r="W250" s="72"/>
    </row>
    <row r="251" spans="2:23" s="16" customFormat="1" ht="51.75" hidden="1" customHeight="1" x14ac:dyDescent="0.2">
      <c r="B251" s="19">
        <v>42990</v>
      </c>
      <c r="C251" s="20">
        <v>25569.302083333299</v>
      </c>
      <c r="D251" s="21" t="s">
        <v>1232</v>
      </c>
      <c r="E251" s="22" t="s">
        <v>1233</v>
      </c>
      <c r="F251" s="22" t="s">
        <v>1234</v>
      </c>
      <c r="G251" s="23">
        <v>38</v>
      </c>
      <c r="H251" s="21" t="s">
        <v>1235</v>
      </c>
      <c r="I251" s="21" t="s">
        <v>1439</v>
      </c>
      <c r="J251" s="23" t="s">
        <v>3</v>
      </c>
      <c r="K251" s="57" t="s">
        <v>1404</v>
      </c>
      <c r="L251" s="59" t="s">
        <v>33</v>
      </c>
      <c r="M251" s="56" t="s">
        <v>34</v>
      </c>
      <c r="N251" s="54">
        <v>3</v>
      </c>
      <c r="O251" s="24" t="s">
        <v>87</v>
      </c>
      <c r="P251" s="24" t="s">
        <v>187</v>
      </c>
      <c r="Q251" s="22" t="s">
        <v>114</v>
      </c>
      <c r="R251" s="24" t="s">
        <v>1236</v>
      </c>
      <c r="S251" s="20">
        <v>25569.333333333299</v>
      </c>
      <c r="T251" s="20">
        <v>25569.662499999999</v>
      </c>
      <c r="U251" s="22"/>
      <c r="V251" s="25"/>
      <c r="W251" s="71" t="s">
        <v>81</v>
      </c>
    </row>
    <row r="252" spans="2:23" s="16" customFormat="1" ht="51.75" hidden="1" customHeight="1" x14ac:dyDescent="0.2">
      <c r="B252" s="26">
        <v>42990</v>
      </c>
      <c r="C252" s="27">
        <v>25569.65625</v>
      </c>
      <c r="D252" s="28" t="s">
        <v>1237</v>
      </c>
      <c r="E252" s="29" t="s">
        <v>1238</v>
      </c>
      <c r="F252" s="29" t="s">
        <v>1239</v>
      </c>
      <c r="G252" s="30">
        <v>39</v>
      </c>
      <c r="H252" s="28" t="s">
        <v>1240</v>
      </c>
      <c r="I252" s="28" t="s">
        <v>1417</v>
      </c>
      <c r="J252" s="30" t="s">
        <v>3</v>
      </c>
      <c r="K252" s="55" t="s">
        <v>4</v>
      </c>
      <c r="L252" s="58" t="s">
        <v>34</v>
      </c>
      <c r="M252" s="60" t="s">
        <v>33</v>
      </c>
      <c r="N252" s="54"/>
      <c r="O252" s="31" t="s">
        <v>597</v>
      </c>
      <c r="P252" s="31" t="s">
        <v>121</v>
      </c>
      <c r="Q252" s="29" t="s">
        <v>158</v>
      </c>
      <c r="R252" s="31" t="s">
        <v>1241</v>
      </c>
      <c r="S252" s="27">
        <v>25569.590277777799</v>
      </c>
      <c r="T252" s="27">
        <v>25569.9395833333</v>
      </c>
      <c r="U252" s="29"/>
      <c r="V252" s="32"/>
      <c r="W252" s="72"/>
    </row>
    <row r="253" spans="2:23" s="16" customFormat="1" ht="62.45" customHeight="1" x14ac:dyDescent="0.2">
      <c r="B253" s="19">
        <v>42996</v>
      </c>
      <c r="C253" s="20">
        <v>25569.677083333299</v>
      </c>
      <c r="D253" s="21" t="s">
        <v>1242</v>
      </c>
      <c r="E253" s="22" t="s">
        <v>1176</v>
      </c>
      <c r="F253" s="22" t="s">
        <v>872</v>
      </c>
      <c r="G253" s="23">
        <v>28</v>
      </c>
      <c r="H253" s="21" t="s">
        <v>1177</v>
      </c>
      <c r="I253" s="21" t="s">
        <v>1421</v>
      </c>
      <c r="J253" s="23" t="s">
        <v>3</v>
      </c>
      <c r="K253" s="55" t="s">
        <v>4</v>
      </c>
      <c r="L253" s="58" t="s">
        <v>34</v>
      </c>
      <c r="M253" s="56" t="s">
        <v>34</v>
      </c>
      <c r="N253" s="54"/>
      <c r="O253" s="24" t="s">
        <v>144</v>
      </c>
      <c r="P253" s="24" t="s">
        <v>289</v>
      </c>
      <c r="Q253" s="22" t="s">
        <v>146</v>
      </c>
      <c r="R253" s="24" t="s">
        <v>1243</v>
      </c>
      <c r="S253" s="20">
        <v>25569.597916666698</v>
      </c>
      <c r="T253" s="20">
        <v>25569.927083333299</v>
      </c>
      <c r="U253" s="22"/>
      <c r="V253" s="25"/>
      <c r="W253" s="71" t="s">
        <v>81</v>
      </c>
    </row>
    <row r="254" spans="2:23" s="16" customFormat="1" ht="51.75" hidden="1" customHeight="1" x14ac:dyDescent="0.2">
      <c r="B254" s="26">
        <v>42998</v>
      </c>
      <c r="C254" s="27">
        <v>25569.5</v>
      </c>
      <c r="D254" s="28" t="s">
        <v>1244</v>
      </c>
      <c r="E254" s="29" t="s">
        <v>1245</v>
      </c>
      <c r="F254" s="29" t="s">
        <v>766</v>
      </c>
      <c r="G254" s="30">
        <v>34</v>
      </c>
      <c r="H254" s="28" t="s">
        <v>1246</v>
      </c>
      <c r="I254" s="28" t="s">
        <v>1452</v>
      </c>
      <c r="J254" s="30" t="s">
        <v>3</v>
      </c>
      <c r="K254" s="55" t="s">
        <v>4</v>
      </c>
      <c r="L254" s="59" t="s">
        <v>33</v>
      </c>
      <c r="M254" s="56" t="s">
        <v>34</v>
      </c>
      <c r="N254" s="54">
        <v>4</v>
      </c>
      <c r="O254" s="31" t="s">
        <v>925</v>
      </c>
      <c r="P254" s="31" t="s">
        <v>289</v>
      </c>
      <c r="Q254" s="29" t="s">
        <v>146</v>
      </c>
      <c r="R254" s="31" t="s">
        <v>1248</v>
      </c>
      <c r="S254" s="27">
        <v>25569.322916666701</v>
      </c>
      <c r="T254" s="27">
        <v>25569.770833333299</v>
      </c>
      <c r="U254" s="29" t="s">
        <v>1249</v>
      </c>
      <c r="V254" s="32"/>
      <c r="W254" s="72"/>
    </row>
    <row r="255" spans="2:23" s="16" customFormat="1" ht="51.75" hidden="1" customHeight="1" x14ac:dyDescent="0.2">
      <c r="B255" s="19">
        <v>42999</v>
      </c>
      <c r="C255" s="20">
        <v>25569.388888888901</v>
      </c>
      <c r="D255" s="21" t="s">
        <v>1480</v>
      </c>
      <c r="E255" s="22" t="s">
        <v>1250</v>
      </c>
      <c r="F255" s="22" t="s">
        <v>1251</v>
      </c>
      <c r="G255" s="23">
        <v>47</v>
      </c>
      <c r="H255" s="21" t="s">
        <v>1481</v>
      </c>
      <c r="I255" s="21" t="s">
        <v>1410</v>
      </c>
      <c r="J255" s="23" t="s">
        <v>3</v>
      </c>
      <c r="K255" s="55" t="s">
        <v>4</v>
      </c>
      <c r="L255" s="58" t="s">
        <v>34</v>
      </c>
      <c r="M255" s="56" t="s">
        <v>34</v>
      </c>
      <c r="N255" s="54"/>
      <c r="O255" s="24" t="s">
        <v>87</v>
      </c>
      <c r="P255" s="24" t="s">
        <v>61</v>
      </c>
      <c r="Q255" s="22" t="s">
        <v>79</v>
      </c>
      <c r="R255" s="24" t="s">
        <v>1252</v>
      </c>
      <c r="S255" s="20">
        <v>25569.291666666701</v>
      </c>
      <c r="T255" s="20">
        <v>25569.645833333299</v>
      </c>
      <c r="U255" s="22"/>
      <c r="V255" s="25"/>
      <c r="W255" s="71"/>
    </row>
    <row r="256" spans="2:23" s="16" customFormat="1" ht="51.75" hidden="1" customHeight="1" x14ac:dyDescent="0.2">
      <c r="B256" s="26">
        <v>43000</v>
      </c>
      <c r="C256" s="27">
        <v>25569.125</v>
      </c>
      <c r="D256" s="28" t="s">
        <v>1253</v>
      </c>
      <c r="E256" s="29" t="s">
        <v>141</v>
      </c>
      <c r="F256" s="29" t="s">
        <v>142</v>
      </c>
      <c r="G256" s="30">
        <v>34</v>
      </c>
      <c r="H256" s="28" t="s">
        <v>143</v>
      </c>
      <c r="I256" s="28" t="s">
        <v>1405</v>
      </c>
      <c r="J256" s="30" t="s">
        <v>3</v>
      </c>
      <c r="K256" s="55" t="s">
        <v>4</v>
      </c>
      <c r="L256" s="59" t="s">
        <v>33</v>
      </c>
      <c r="M256" s="56" t="s">
        <v>34</v>
      </c>
      <c r="N256" s="54">
        <v>50</v>
      </c>
      <c r="O256" s="31" t="s">
        <v>78</v>
      </c>
      <c r="P256" s="31" t="s">
        <v>1407</v>
      </c>
      <c r="Q256" s="29" t="s">
        <v>114</v>
      </c>
      <c r="R256" s="31" t="s">
        <v>1254</v>
      </c>
      <c r="S256" s="27">
        <v>25569.916666666701</v>
      </c>
      <c r="T256" s="27">
        <v>25569.261805555601</v>
      </c>
      <c r="U256" s="29"/>
      <c r="V256" s="32"/>
      <c r="W256" s="72" t="s">
        <v>81</v>
      </c>
    </row>
    <row r="257" spans="2:23" s="16" customFormat="1" ht="73.150000000000006" hidden="1" customHeight="1" x14ac:dyDescent="0.2">
      <c r="B257" s="19">
        <v>43004</v>
      </c>
      <c r="C257" s="20">
        <v>25569.979166666701</v>
      </c>
      <c r="D257" s="21" t="s">
        <v>1255</v>
      </c>
      <c r="E257" s="22" t="s">
        <v>1256</v>
      </c>
      <c r="F257" s="22" t="s">
        <v>131</v>
      </c>
      <c r="G257" s="23">
        <v>50</v>
      </c>
      <c r="H257" s="21" t="s">
        <v>1257</v>
      </c>
      <c r="I257" s="21" t="s">
        <v>1428</v>
      </c>
      <c r="J257" s="23" t="s">
        <v>3</v>
      </c>
      <c r="K257" s="55" t="s">
        <v>4</v>
      </c>
      <c r="L257" s="58" t="s">
        <v>34</v>
      </c>
      <c r="M257" s="56" t="s">
        <v>34</v>
      </c>
      <c r="N257" s="54"/>
      <c r="O257" s="24" t="s">
        <v>69</v>
      </c>
      <c r="P257" s="24" t="s">
        <v>1407</v>
      </c>
      <c r="Q257" s="22" t="s">
        <v>71</v>
      </c>
      <c r="R257" s="33" t="s">
        <v>1258</v>
      </c>
      <c r="S257" s="20">
        <v>25569.90625</v>
      </c>
      <c r="T257" s="20">
        <v>25569.263888888901</v>
      </c>
      <c r="U257" s="22"/>
      <c r="V257" s="25"/>
      <c r="W257" s="71"/>
    </row>
    <row r="258" spans="2:23" s="16" customFormat="1" ht="51.75" hidden="1" customHeight="1" x14ac:dyDescent="0.2">
      <c r="B258" s="26">
        <v>43005</v>
      </c>
      <c r="C258" s="27">
        <v>25569.375</v>
      </c>
      <c r="D258" s="28" t="s">
        <v>1259</v>
      </c>
      <c r="E258" s="29" t="s">
        <v>1260</v>
      </c>
      <c r="F258" s="29" t="s">
        <v>1261</v>
      </c>
      <c r="G258" s="30">
        <v>57</v>
      </c>
      <c r="H258" s="28" t="s">
        <v>1262</v>
      </c>
      <c r="I258" s="28" t="s">
        <v>1413</v>
      </c>
      <c r="J258" s="30" t="s">
        <v>3</v>
      </c>
      <c r="K258" s="55" t="s">
        <v>4</v>
      </c>
      <c r="L258" s="58" t="s">
        <v>34</v>
      </c>
      <c r="M258" s="56" t="s">
        <v>34</v>
      </c>
      <c r="N258" s="54"/>
      <c r="O258" s="31" t="s">
        <v>78</v>
      </c>
      <c r="P258" s="31" t="s">
        <v>61</v>
      </c>
      <c r="Q258" s="29" t="s">
        <v>114</v>
      </c>
      <c r="R258" s="31" t="s">
        <v>1263</v>
      </c>
      <c r="S258" s="27">
        <v>25569.25</v>
      </c>
      <c r="T258" s="27">
        <v>25569.611111111099</v>
      </c>
      <c r="U258" s="29"/>
      <c r="V258" s="32"/>
      <c r="W258" s="72"/>
    </row>
    <row r="259" spans="2:23" s="16" customFormat="1" ht="30.4" hidden="1" customHeight="1" x14ac:dyDescent="0.2">
      <c r="B259" s="19">
        <v>43006</v>
      </c>
      <c r="C259" s="20">
        <v>25569.489583333299</v>
      </c>
      <c r="D259" s="21" t="s">
        <v>1264</v>
      </c>
      <c r="E259" s="22" t="s">
        <v>1265</v>
      </c>
      <c r="F259" s="22" t="s">
        <v>831</v>
      </c>
      <c r="G259" s="23">
        <v>53</v>
      </c>
      <c r="H259" s="21" t="s">
        <v>1266</v>
      </c>
      <c r="I259" s="21" t="s">
        <v>1447</v>
      </c>
      <c r="J259" s="23" t="s">
        <v>3</v>
      </c>
      <c r="K259" s="55" t="s">
        <v>4</v>
      </c>
      <c r="L259" s="58" t="s">
        <v>34</v>
      </c>
      <c r="M259" s="56" t="s">
        <v>34</v>
      </c>
      <c r="N259" s="54"/>
      <c r="O259" s="24" t="s">
        <v>60</v>
      </c>
      <c r="P259" s="24" t="s">
        <v>289</v>
      </c>
      <c r="Q259" s="22" t="s">
        <v>146</v>
      </c>
      <c r="R259" s="24" t="s">
        <v>1267</v>
      </c>
      <c r="S259" s="20">
        <v>25569.3125</v>
      </c>
      <c r="T259" s="20">
        <v>25569.673611111099</v>
      </c>
      <c r="U259" s="22"/>
      <c r="V259" s="25"/>
      <c r="W259" s="71"/>
    </row>
    <row r="260" spans="2:23" s="16" customFormat="1" ht="51.75" hidden="1" customHeight="1" x14ac:dyDescent="0.2">
      <c r="B260" s="26">
        <v>43007</v>
      </c>
      <c r="C260" s="27">
        <v>25569.416666666701</v>
      </c>
      <c r="D260" s="28" t="s">
        <v>1268</v>
      </c>
      <c r="E260" s="29" t="s">
        <v>1269</v>
      </c>
      <c r="F260" s="29" t="s">
        <v>1270</v>
      </c>
      <c r="G260" s="30">
        <v>57</v>
      </c>
      <c r="H260" s="28" t="s">
        <v>1271</v>
      </c>
      <c r="I260" s="28" t="s">
        <v>1428</v>
      </c>
      <c r="J260" s="30" t="s">
        <v>3</v>
      </c>
      <c r="K260" s="55" t="s">
        <v>4</v>
      </c>
      <c r="L260" s="58" t="s">
        <v>34</v>
      </c>
      <c r="M260" s="56" t="s">
        <v>34</v>
      </c>
      <c r="N260" s="54"/>
      <c r="O260" s="31" t="s">
        <v>78</v>
      </c>
      <c r="P260" s="31" t="s">
        <v>206</v>
      </c>
      <c r="Q260" s="29" t="s">
        <v>71</v>
      </c>
      <c r="R260" s="31" t="s">
        <v>1272</v>
      </c>
      <c r="S260" s="27">
        <v>25569.239583333299</v>
      </c>
      <c r="T260" s="27">
        <v>25569.59375</v>
      </c>
      <c r="U260" s="29"/>
      <c r="V260" s="32"/>
      <c r="W260" s="72" t="s">
        <v>81</v>
      </c>
    </row>
    <row r="261" spans="2:23" s="16" customFormat="1" ht="41.1" hidden="1" customHeight="1" x14ac:dyDescent="0.2">
      <c r="B261" s="19">
        <v>43007</v>
      </c>
      <c r="C261" s="20">
        <v>25569.447916666701</v>
      </c>
      <c r="D261" s="21" t="s">
        <v>1273</v>
      </c>
      <c r="E261" s="22" t="s">
        <v>1274</v>
      </c>
      <c r="F261" s="22" t="s">
        <v>766</v>
      </c>
      <c r="G261" s="23">
        <v>33</v>
      </c>
      <c r="H261" s="21" t="s">
        <v>1275</v>
      </c>
      <c r="I261" s="21" t="s">
        <v>1413</v>
      </c>
      <c r="J261" s="23" t="s">
        <v>3</v>
      </c>
      <c r="K261" s="55" t="s">
        <v>4</v>
      </c>
      <c r="L261" s="58" t="s">
        <v>34</v>
      </c>
      <c r="M261" s="60" t="s">
        <v>33</v>
      </c>
      <c r="N261" s="54"/>
      <c r="O261" s="24" t="s">
        <v>78</v>
      </c>
      <c r="P261" s="24" t="s">
        <v>121</v>
      </c>
      <c r="Q261" s="22" t="s">
        <v>122</v>
      </c>
      <c r="R261" s="24" t="s">
        <v>1276</v>
      </c>
      <c r="S261" s="20">
        <v>25569.263888888901</v>
      </c>
      <c r="T261" s="20">
        <v>25569.615277777801</v>
      </c>
      <c r="U261" s="22"/>
      <c r="V261" s="25"/>
      <c r="W261" s="71"/>
    </row>
    <row r="262" spans="2:23" s="16" customFormat="1" ht="51.75" hidden="1" customHeight="1" x14ac:dyDescent="0.2">
      <c r="B262" s="26">
        <v>43008</v>
      </c>
      <c r="C262" s="27">
        <v>25569.5625</v>
      </c>
      <c r="D262" s="28" t="s">
        <v>1277</v>
      </c>
      <c r="E262" s="29" t="s">
        <v>1278</v>
      </c>
      <c r="F262" s="29" t="s">
        <v>350</v>
      </c>
      <c r="G262" s="30">
        <v>58</v>
      </c>
      <c r="H262" s="28" t="s">
        <v>1279</v>
      </c>
      <c r="I262" s="28" t="s">
        <v>1405</v>
      </c>
      <c r="J262" s="30" t="s">
        <v>3</v>
      </c>
      <c r="K262" s="57" t="s">
        <v>1404</v>
      </c>
      <c r="L262" s="58" t="s">
        <v>34</v>
      </c>
      <c r="M262" s="56" t="s">
        <v>34</v>
      </c>
      <c r="N262" s="54"/>
      <c r="O262" s="31" t="s">
        <v>87</v>
      </c>
      <c r="P262" s="31" t="s">
        <v>5</v>
      </c>
      <c r="Q262" s="29" t="s">
        <v>1407</v>
      </c>
      <c r="R262" s="31" t="s">
        <v>1280</v>
      </c>
      <c r="S262" s="27">
        <v>25569.603472222199</v>
      </c>
      <c r="T262" s="27">
        <v>25569.999305555601</v>
      </c>
      <c r="U262" s="29"/>
      <c r="V262" s="32"/>
      <c r="W262" s="72"/>
    </row>
    <row r="263" spans="2:23" s="16" customFormat="1" ht="41.1" hidden="1" customHeight="1" x14ac:dyDescent="0.2">
      <c r="B263" s="19">
        <v>43010</v>
      </c>
      <c r="C263" s="20">
        <v>25569.427083333299</v>
      </c>
      <c r="D263" s="21" t="s">
        <v>1281</v>
      </c>
      <c r="E263" s="22" t="s">
        <v>1238</v>
      </c>
      <c r="F263" s="22" t="s">
        <v>1239</v>
      </c>
      <c r="G263" s="23">
        <v>39</v>
      </c>
      <c r="H263" s="21" t="s">
        <v>1240</v>
      </c>
      <c r="I263" s="21" t="s">
        <v>1417</v>
      </c>
      <c r="J263" s="23" t="s">
        <v>3</v>
      </c>
      <c r="K263" s="55" t="s">
        <v>4</v>
      </c>
      <c r="L263" s="59" t="s">
        <v>33</v>
      </c>
      <c r="M263" s="56" t="s">
        <v>34</v>
      </c>
      <c r="N263" s="54">
        <v>14</v>
      </c>
      <c r="O263" s="24" t="s">
        <v>60</v>
      </c>
      <c r="P263" s="24" t="s">
        <v>1407</v>
      </c>
      <c r="Q263" s="22" t="s">
        <v>71</v>
      </c>
      <c r="R263" s="24" t="s">
        <v>1282</v>
      </c>
      <c r="S263" s="20">
        <v>25569.256944444402</v>
      </c>
      <c r="T263" s="20">
        <v>25569.606250000001</v>
      </c>
      <c r="U263" s="22"/>
      <c r="V263" s="25"/>
      <c r="W263" s="71" t="s">
        <v>81</v>
      </c>
    </row>
    <row r="264" spans="2:23" s="16" customFormat="1" ht="105.6" hidden="1" customHeight="1" x14ac:dyDescent="0.2">
      <c r="B264" s="26">
        <v>43010</v>
      </c>
      <c r="C264" s="27">
        <v>25569.583333333299</v>
      </c>
      <c r="D264" s="28" t="s">
        <v>1283</v>
      </c>
      <c r="E264" s="29" t="s">
        <v>1284</v>
      </c>
      <c r="F264" s="29" t="s">
        <v>1285</v>
      </c>
      <c r="G264" s="30">
        <v>16</v>
      </c>
      <c r="H264" s="28" t="s">
        <v>1286</v>
      </c>
      <c r="I264" s="28" t="s">
        <v>1446</v>
      </c>
      <c r="J264" s="30" t="s">
        <v>3</v>
      </c>
      <c r="K264" s="57" t="s">
        <v>1404</v>
      </c>
      <c r="L264" s="58" t="s">
        <v>34</v>
      </c>
      <c r="M264" s="56" t="s">
        <v>34</v>
      </c>
      <c r="N264" s="54"/>
      <c r="O264" s="31" t="s">
        <v>958</v>
      </c>
      <c r="P264" s="31" t="s">
        <v>187</v>
      </c>
      <c r="Q264" s="29" t="s">
        <v>122</v>
      </c>
      <c r="R264" s="34" t="s">
        <v>1287</v>
      </c>
      <c r="S264" s="27">
        <v>25569.604166666701</v>
      </c>
      <c r="T264" s="27">
        <v>25569.916666666701</v>
      </c>
      <c r="U264" s="31"/>
      <c r="V264" s="32"/>
      <c r="W264" s="72"/>
    </row>
    <row r="265" spans="2:23" s="16" customFormat="1" ht="62.45" customHeight="1" x14ac:dyDescent="0.2">
      <c r="B265" s="19">
        <v>43011</v>
      </c>
      <c r="C265" s="20">
        <v>25569.4375</v>
      </c>
      <c r="D265" s="21" t="s">
        <v>1288</v>
      </c>
      <c r="E265" s="22" t="s">
        <v>1289</v>
      </c>
      <c r="F265" s="22" t="s">
        <v>940</v>
      </c>
      <c r="G265" s="23">
        <v>51</v>
      </c>
      <c r="H265" s="21" t="s">
        <v>1290</v>
      </c>
      <c r="I265" s="21" t="s">
        <v>1421</v>
      </c>
      <c r="J265" s="23" t="s">
        <v>3</v>
      </c>
      <c r="K265" s="55" t="s">
        <v>4</v>
      </c>
      <c r="L265" s="59" t="s">
        <v>33</v>
      </c>
      <c r="M265" s="56" t="s">
        <v>34</v>
      </c>
      <c r="N265" s="54">
        <v>11</v>
      </c>
      <c r="O265" s="24" t="s">
        <v>78</v>
      </c>
      <c r="P265" s="24" t="s">
        <v>1407</v>
      </c>
      <c r="Q265" s="22" t="s">
        <v>62</v>
      </c>
      <c r="R265" s="24" t="s">
        <v>1291</v>
      </c>
      <c r="S265" s="20">
        <v>25569.284722222201</v>
      </c>
      <c r="T265" s="20">
        <v>25569.6048611111</v>
      </c>
      <c r="U265" s="22"/>
      <c r="V265" s="25"/>
      <c r="W265" s="71" t="s">
        <v>81</v>
      </c>
    </row>
    <row r="266" spans="2:23" s="16" customFormat="1" ht="62.45" hidden="1" customHeight="1" x14ac:dyDescent="0.2">
      <c r="B266" s="26">
        <v>43013</v>
      </c>
      <c r="C266" s="27">
        <v>25569.173611111099</v>
      </c>
      <c r="D266" s="28" t="s">
        <v>1292</v>
      </c>
      <c r="E266" s="29" t="s">
        <v>1293</v>
      </c>
      <c r="F266" s="29" t="s">
        <v>403</v>
      </c>
      <c r="G266" s="30">
        <v>40</v>
      </c>
      <c r="H266" s="28" t="s">
        <v>1294</v>
      </c>
      <c r="I266" s="28" t="s">
        <v>1403</v>
      </c>
      <c r="J266" s="30" t="s">
        <v>3</v>
      </c>
      <c r="K266" s="55" t="s">
        <v>4</v>
      </c>
      <c r="L266" s="59" t="s">
        <v>33</v>
      </c>
      <c r="M266" s="56" t="s">
        <v>34</v>
      </c>
      <c r="N266" s="54">
        <v>15</v>
      </c>
      <c r="O266" s="31" t="s">
        <v>597</v>
      </c>
      <c r="P266" s="31" t="s">
        <v>70</v>
      </c>
      <c r="Q266" s="29" t="s">
        <v>158</v>
      </c>
      <c r="R266" s="31" t="s">
        <v>1295</v>
      </c>
      <c r="S266" s="27">
        <v>25569.916666666701</v>
      </c>
      <c r="T266" s="27">
        <v>25569.260416666701</v>
      </c>
      <c r="U266" s="29"/>
      <c r="V266" s="32"/>
      <c r="W266" s="72"/>
    </row>
    <row r="267" spans="2:23" s="16" customFormat="1" ht="62.45" hidden="1" customHeight="1" x14ac:dyDescent="0.2">
      <c r="B267" s="19">
        <v>43014</v>
      </c>
      <c r="C267" s="20">
        <v>25569.479166666701</v>
      </c>
      <c r="D267" s="21" t="s">
        <v>1296</v>
      </c>
      <c r="E267" s="22" t="s">
        <v>1297</v>
      </c>
      <c r="F267" s="22" t="s">
        <v>1298</v>
      </c>
      <c r="G267" s="23">
        <v>17</v>
      </c>
      <c r="H267" s="21" t="s">
        <v>1299</v>
      </c>
      <c r="I267" s="21" t="s">
        <v>1427</v>
      </c>
      <c r="J267" s="23" t="s">
        <v>3</v>
      </c>
      <c r="K267" s="55" t="s">
        <v>4</v>
      </c>
      <c r="L267" s="58" t="s">
        <v>34</v>
      </c>
      <c r="M267" s="56" t="s">
        <v>34</v>
      </c>
      <c r="N267" s="54"/>
      <c r="O267" s="24" t="s">
        <v>60</v>
      </c>
      <c r="P267" s="24" t="s">
        <v>61</v>
      </c>
      <c r="Q267" s="22" t="s">
        <v>122</v>
      </c>
      <c r="R267" s="24" t="s">
        <v>1300</v>
      </c>
      <c r="S267" s="20">
        <v>25569.333333333299</v>
      </c>
      <c r="T267" s="20">
        <v>25569.708333333299</v>
      </c>
      <c r="U267" s="24"/>
      <c r="V267" s="25"/>
      <c r="W267" s="71"/>
    </row>
    <row r="268" spans="2:23" s="16" customFormat="1" ht="51.75" hidden="1" customHeight="1" x14ac:dyDescent="0.2">
      <c r="B268" s="26">
        <v>43015</v>
      </c>
      <c r="C268" s="27">
        <v>25569.25</v>
      </c>
      <c r="D268" s="28" t="s">
        <v>1482</v>
      </c>
      <c r="E268" s="29" t="s">
        <v>1301</v>
      </c>
      <c r="F268" s="29" t="s">
        <v>210</v>
      </c>
      <c r="G268" s="30">
        <v>51</v>
      </c>
      <c r="H268" s="28" t="s">
        <v>1483</v>
      </c>
      <c r="I268" s="28" t="s">
        <v>1410</v>
      </c>
      <c r="J268" s="30" t="s">
        <v>3</v>
      </c>
      <c r="K268" s="57" t="s">
        <v>1404</v>
      </c>
      <c r="L268" s="59" t="s">
        <v>33</v>
      </c>
      <c r="M268" s="56" t="s">
        <v>34</v>
      </c>
      <c r="N268" s="54">
        <v>9</v>
      </c>
      <c r="O268" s="31" t="s">
        <v>87</v>
      </c>
      <c r="P268" s="31" t="s">
        <v>61</v>
      </c>
      <c r="Q268" s="29" t="s">
        <v>79</v>
      </c>
      <c r="R268" s="31" t="s">
        <v>1302</v>
      </c>
      <c r="S268" s="27">
        <v>25569.291666666701</v>
      </c>
      <c r="T268" s="27">
        <v>25569.645833333299</v>
      </c>
      <c r="U268" s="29"/>
      <c r="V268" s="32"/>
      <c r="W268" s="72"/>
    </row>
    <row r="269" spans="2:23" s="16" customFormat="1" ht="62.45" hidden="1" customHeight="1" x14ac:dyDescent="0.2">
      <c r="B269" s="19">
        <v>43015</v>
      </c>
      <c r="C269" s="20">
        <v>25569.302083333299</v>
      </c>
      <c r="D269" s="21" t="s">
        <v>1303</v>
      </c>
      <c r="E269" s="22" t="s">
        <v>836</v>
      </c>
      <c r="F269" s="22" t="s">
        <v>831</v>
      </c>
      <c r="G269" s="23">
        <v>57</v>
      </c>
      <c r="H269" s="21" t="s">
        <v>837</v>
      </c>
      <c r="I269" s="21" t="s">
        <v>1432</v>
      </c>
      <c r="J269" s="23" t="s">
        <v>3</v>
      </c>
      <c r="K269" s="55" t="s">
        <v>4</v>
      </c>
      <c r="L269" s="59" t="s">
        <v>33</v>
      </c>
      <c r="M269" s="56" t="s">
        <v>34</v>
      </c>
      <c r="N269" s="54">
        <v>54</v>
      </c>
      <c r="O269" s="24" t="s">
        <v>78</v>
      </c>
      <c r="P269" s="24" t="s">
        <v>61</v>
      </c>
      <c r="Q269" s="22" t="s">
        <v>158</v>
      </c>
      <c r="R269" s="24" t="s">
        <v>1304</v>
      </c>
      <c r="S269" s="20">
        <v>25569.25</v>
      </c>
      <c r="T269" s="20">
        <v>25569.583333333299</v>
      </c>
      <c r="U269" s="22"/>
      <c r="V269" s="25"/>
      <c r="W269" s="71" t="s">
        <v>81</v>
      </c>
    </row>
    <row r="270" spans="2:23" s="16" customFormat="1" ht="51.75" hidden="1" customHeight="1" x14ac:dyDescent="0.2">
      <c r="B270" s="26">
        <v>43015</v>
      </c>
      <c r="C270" s="27">
        <v>25569.645833333299</v>
      </c>
      <c r="D270" s="28" t="s">
        <v>1305</v>
      </c>
      <c r="E270" s="29" t="s">
        <v>1306</v>
      </c>
      <c r="F270" s="29" t="s">
        <v>369</v>
      </c>
      <c r="G270" s="30">
        <v>52</v>
      </c>
      <c r="H270" s="28" t="s">
        <v>1307</v>
      </c>
      <c r="I270" s="28" t="s">
        <v>1413</v>
      </c>
      <c r="J270" s="30" t="s">
        <v>3</v>
      </c>
      <c r="K270" s="55" t="s">
        <v>4</v>
      </c>
      <c r="L270" s="59" t="s">
        <v>33</v>
      </c>
      <c r="M270" s="56" t="s">
        <v>34</v>
      </c>
      <c r="N270" s="54">
        <v>41</v>
      </c>
      <c r="O270" s="31" t="s">
        <v>133</v>
      </c>
      <c r="P270" s="31" t="s">
        <v>1407</v>
      </c>
      <c r="Q270" s="29" t="s">
        <v>62</v>
      </c>
      <c r="R270" s="31" t="s">
        <v>1308</v>
      </c>
      <c r="S270" s="27">
        <v>25569.570138888899</v>
      </c>
      <c r="T270" s="27">
        <v>25569.921527777798</v>
      </c>
      <c r="U270" s="29"/>
      <c r="V270" s="32"/>
      <c r="W270" s="72" t="s">
        <v>81</v>
      </c>
    </row>
    <row r="271" spans="2:23" s="16" customFormat="1" ht="41.1" hidden="1" customHeight="1" x14ac:dyDescent="0.2">
      <c r="B271" s="19">
        <v>43018</v>
      </c>
      <c r="C271" s="20">
        <v>25569.375</v>
      </c>
      <c r="D271" s="21" t="s">
        <v>1309</v>
      </c>
      <c r="E271" s="22" t="s">
        <v>1310</v>
      </c>
      <c r="F271" s="22" t="s">
        <v>94</v>
      </c>
      <c r="G271" s="23">
        <v>42</v>
      </c>
      <c r="H271" s="21" t="s">
        <v>1311</v>
      </c>
      <c r="I271" s="21" t="s">
        <v>1413</v>
      </c>
      <c r="J271" s="23" t="s">
        <v>3</v>
      </c>
      <c r="K271" s="55" t="s">
        <v>4</v>
      </c>
      <c r="L271" s="58" t="s">
        <v>34</v>
      </c>
      <c r="M271" s="56" t="s">
        <v>34</v>
      </c>
      <c r="N271" s="54"/>
      <c r="O271" s="24" t="s">
        <v>78</v>
      </c>
      <c r="P271" s="24" t="s">
        <v>61</v>
      </c>
      <c r="Q271" s="22" t="s">
        <v>79</v>
      </c>
      <c r="R271" s="24" t="s">
        <v>1312</v>
      </c>
      <c r="S271" s="20">
        <v>25569.25</v>
      </c>
      <c r="T271" s="20">
        <v>25569.611111111099</v>
      </c>
      <c r="U271" s="22"/>
      <c r="V271" s="25"/>
      <c r="W271" s="71"/>
    </row>
    <row r="272" spans="2:23" s="16" customFormat="1" ht="51.75" hidden="1" customHeight="1" x14ac:dyDescent="0.2">
      <c r="B272" s="26">
        <v>43018</v>
      </c>
      <c r="C272" s="27">
        <v>25569.947916666701</v>
      </c>
      <c r="D272" s="28" t="s">
        <v>1313</v>
      </c>
      <c r="E272" s="29" t="s">
        <v>1314</v>
      </c>
      <c r="F272" s="29" t="s">
        <v>350</v>
      </c>
      <c r="G272" s="30">
        <v>58</v>
      </c>
      <c r="H272" s="28" t="s">
        <v>1315</v>
      </c>
      <c r="I272" s="28" t="s">
        <v>1408</v>
      </c>
      <c r="J272" s="30" t="s">
        <v>3</v>
      </c>
      <c r="K272" s="55" t="s">
        <v>4</v>
      </c>
      <c r="L272" s="59" t="s">
        <v>33</v>
      </c>
      <c r="M272" s="56" t="s">
        <v>34</v>
      </c>
      <c r="N272" s="54">
        <v>26</v>
      </c>
      <c r="O272" s="31" t="s">
        <v>133</v>
      </c>
      <c r="P272" s="31" t="s">
        <v>88</v>
      </c>
      <c r="Q272" s="29" t="s">
        <v>158</v>
      </c>
      <c r="R272" s="31" t="s">
        <v>1316</v>
      </c>
      <c r="S272" s="27">
        <v>25569.90625</v>
      </c>
      <c r="T272" s="27">
        <v>25569.256249999999</v>
      </c>
      <c r="U272" s="29"/>
      <c r="V272" s="32"/>
      <c r="W272" s="72"/>
    </row>
    <row r="273" spans="2:23" s="16" customFormat="1" ht="73.150000000000006" hidden="1" customHeight="1" x14ac:dyDescent="0.2">
      <c r="B273" s="19">
        <v>43019</v>
      </c>
      <c r="C273" s="20">
        <v>25569.333333333299</v>
      </c>
      <c r="D273" s="21" t="s">
        <v>1317</v>
      </c>
      <c r="E273" s="22" t="s">
        <v>1318</v>
      </c>
      <c r="F273" s="22" t="s">
        <v>1319</v>
      </c>
      <c r="G273" s="23">
        <v>22</v>
      </c>
      <c r="H273" s="21" t="s">
        <v>1320</v>
      </c>
      <c r="I273" s="21" t="s">
        <v>1433</v>
      </c>
      <c r="J273" s="23" t="s">
        <v>3</v>
      </c>
      <c r="K273" s="57" t="s">
        <v>1404</v>
      </c>
      <c r="L273" s="59" t="s">
        <v>33</v>
      </c>
      <c r="M273" s="56" t="s">
        <v>34</v>
      </c>
      <c r="N273" s="54">
        <v>9</v>
      </c>
      <c r="O273" s="24" t="s">
        <v>60</v>
      </c>
      <c r="P273" s="24" t="s">
        <v>206</v>
      </c>
      <c r="Q273" s="22" t="s">
        <v>114</v>
      </c>
      <c r="R273" s="33" t="s">
        <v>1321</v>
      </c>
      <c r="S273" s="20">
        <v>25569.333333333299</v>
      </c>
      <c r="T273" s="20">
        <v>25569.75</v>
      </c>
      <c r="U273" s="24"/>
      <c r="V273" s="25"/>
      <c r="W273" s="71"/>
    </row>
    <row r="274" spans="2:23" s="16" customFormat="1" ht="41.1" customHeight="1" x14ac:dyDescent="0.2">
      <c r="B274" s="26">
        <v>43019</v>
      </c>
      <c r="C274" s="27">
        <v>25569.458333333299</v>
      </c>
      <c r="D274" s="28" t="s">
        <v>1322</v>
      </c>
      <c r="E274" s="29" t="s">
        <v>1323</v>
      </c>
      <c r="F274" s="29" t="s">
        <v>1324</v>
      </c>
      <c r="G274" s="30">
        <v>56</v>
      </c>
      <c r="H274" s="28" t="s">
        <v>1325</v>
      </c>
      <c r="I274" s="28" t="s">
        <v>1421</v>
      </c>
      <c r="J274" s="30" t="s">
        <v>3</v>
      </c>
      <c r="K274" s="55" t="s">
        <v>4</v>
      </c>
      <c r="L274" s="59" t="s">
        <v>33</v>
      </c>
      <c r="M274" s="56" t="s">
        <v>34</v>
      </c>
      <c r="N274" s="54">
        <v>7</v>
      </c>
      <c r="O274" s="31" t="s">
        <v>60</v>
      </c>
      <c r="P274" s="31" t="s">
        <v>61</v>
      </c>
      <c r="Q274" s="29" t="s">
        <v>158</v>
      </c>
      <c r="R274" s="31" t="s">
        <v>1326</v>
      </c>
      <c r="S274" s="27">
        <v>25569.284722222201</v>
      </c>
      <c r="T274" s="27">
        <v>25569.6048611111</v>
      </c>
      <c r="U274" s="29"/>
      <c r="V274" s="32"/>
      <c r="W274" s="72" t="s">
        <v>81</v>
      </c>
    </row>
    <row r="275" spans="2:23" s="16" customFormat="1" ht="41.1" hidden="1" customHeight="1" x14ac:dyDescent="0.2">
      <c r="B275" s="19">
        <v>43019</v>
      </c>
      <c r="C275" s="20">
        <v>25569.666666666701</v>
      </c>
      <c r="D275" s="21" t="s">
        <v>1327</v>
      </c>
      <c r="E275" s="22" t="s">
        <v>1328</v>
      </c>
      <c r="F275" s="22" t="s">
        <v>1329</v>
      </c>
      <c r="G275" s="23">
        <v>19</v>
      </c>
      <c r="H275" s="21" t="s">
        <v>1330</v>
      </c>
      <c r="I275" s="21" t="s">
        <v>1448</v>
      </c>
      <c r="J275" s="23" t="s">
        <v>3</v>
      </c>
      <c r="K275" s="55" t="s">
        <v>4</v>
      </c>
      <c r="L275" s="59" t="s">
        <v>33</v>
      </c>
      <c r="M275" s="56" t="s">
        <v>34</v>
      </c>
      <c r="N275" s="54">
        <v>16</v>
      </c>
      <c r="O275" s="24" t="s">
        <v>69</v>
      </c>
      <c r="P275" s="24" t="s">
        <v>88</v>
      </c>
      <c r="Q275" s="22" t="s">
        <v>8</v>
      </c>
      <c r="R275" s="24" t="s">
        <v>1331</v>
      </c>
      <c r="S275" s="20">
        <v>25569.333333333299</v>
      </c>
      <c r="T275" s="20">
        <v>25569.6944444445</v>
      </c>
      <c r="U275" s="24"/>
      <c r="V275" s="25"/>
      <c r="W275" s="71"/>
    </row>
    <row r="276" spans="2:23" s="16" customFormat="1" ht="41.1" hidden="1" customHeight="1" x14ac:dyDescent="0.2">
      <c r="B276" s="26">
        <v>43021</v>
      </c>
      <c r="C276" s="27">
        <v>25569.375</v>
      </c>
      <c r="D276" s="28" t="s">
        <v>1332</v>
      </c>
      <c r="E276" s="29" t="s">
        <v>1063</v>
      </c>
      <c r="F276" s="29" t="s">
        <v>210</v>
      </c>
      <c r="G276" s="30">
        <v>47</v>
      </c>
      <c r="H276" s="28" t="s">
        <v>1333</v>
      </c>
      <c r="I276" s="28" t="s">
        <v>1424</v>
      </c>
      <c r="J276" s="30" t="s">
        <v>3</v>
      </c>
      <c r="K276" s="55" t="s">
        <v>4</v>
      </c>
      <c r="L276" s="59" t="s">
        <v>33</v>
      </c>
      <c r="M276" s="56" t="s">
        <v>34</v>
      </c>
      <c r="N276" s="54">
        <v>7</v>
      </c>
      <c r="O276" s="31" t="s">
        <v>133</v>
      </c>
      <c r="P276" s="31" t="s">
        <v>187</v>
      </c>
      <c r="Q276" s="29" t="s">
        <v>8</v>
      </c>
      <c r="R276" s="31" t="s">
        <v>1334</v>
      </c>
      <c r="S276" s="27">
        <v>25569.25</v>
      </c>
      <c r="T276" s="27">
        <v>25569.645833333299</v>
      </c>
      <c r="U276" s="29"/>
      <c r="V276" s="32"/>
      <c r="W276" s="72"/>
    </row>
    <row r="277" spans="2:23" s="16" customFormat="1" ht="41.1" hidden="1" customHeight="1" x14ac:dyDescent="0.2">
      <c r="B277" s="19">
        <v>43021</v>
      </c>
      <c r="C277" s="20">
        <v>25569.583333333299</v>
      </c>
      <c r="D277" s="21" t="s">
        <v>1335</v>
      </c>
      <c r="E277" s="22" t="s">
        <v>1336</v>
      </c>
      <c r="F277" s="22" t="s">
        <v>1337</v>
      </c>
      <c r="G277" s="23">
        <v>25</v>
      </c>
      <c r="H277" s="21" t="s">
        <v>1338</v>
      </c>
      <c r="I277" s="21" t="s">
        <v>1414</v>
      </c>
      <c r="J277" s="23" t="s">
        <v>3</v>
      </c>
      <c r="K277" s="55" t="s">
        <v>4</v>
      </c>
      <c r="L277" s="58" t="s">
        <v>34</v>
      </c>
      <c r="M277" s="56" t="s">
        <v>34</v>
      </c>
      <c r="N277" s="54"/>
      <c r="O277" s="24" t="s">
        <v>60</v>
      </c>
      <c r="P277" s="24" t="s">
        <v>61</v>
      </c>
      <c r="Q277" s="22" t="s">
        <v>71</v>
      </c>
      <c r="R277" s="24" t="s">
        <v>1339</v>
      </c>
      <c r="S277" s="20">
        <v>25569.375</v>
      </c>
      <c r="T277" s="20">
        <v>25569.611111111099</v>
      </c>
      <c r="U277" s="24"/>
      <c r="V277" s="25"/>
      <c r="W277" s="71"/>
    </row>
    <row r="278" spans="2:23" s="16" customFormat="1" ht="62.45" hidden="1" customHeight="1" x14ac:dyDescent="0.2">
      <c r="B278" s="26">
        <v>43025</v>
      </c>
      <c r="C278" s="27">
        <v>25569.958333333299</v>
      </c>
      <c r="D278" s="28" t="s">
        <v>1340</v>
      </c>
      <c r="E278" s="29" t="s">
        <v>105</v>
      </c>
      <c r="F278" s="29" t="s">
        <v>795</v>
      </c>
      <c r="G278" s="30">
        <v>36</v>
      </c>
      <c r="H278" s="28" t="s">
        <v>1341</v>
      </c>
      <c r="I278" s="28" t="s">
        <v>1405</v>
      </c>
      <c r="J278" s="30" t="s">
        <v>3</v>
      </c>
      <c r="K278" s="55" t="s">
        <v>4</v>
      </c>
      <c r="L278" s="59" t="s">
        <v>33</v>
      </c>
      <c r="M278" s="56" t="s">
        <v>34</v>
      </c>
      <c r="N278" s="54">
        <v>14</v>
      </c>
      <c r="O278" s="31" t="s">
        <v>69</v>
      </c>
      <c r="P278" s="31" t="s">
        <v>206</v>
      </c>
      <c r="Q278" s="29" t="s">
        <v>79</v>
      </c>
      <c r="R278" s="34" t="s">
        <v>1342</v>
      </c>
      <c r="S278" s="27">
        <v>25569.916666666701</v>
      </c>
      <c r="T278" s="27">
        <v>25569.261805555601</v>
      </c>
      <c r="U278" s="29"/>
      <c r="V278" s="32"/>
      <c r="W278" s="72" t="s">
        <v>81</v>
      </c>
    </row>
    <row r="279" spans="2:23" s="16" customFormat="1" ht="41.1" hidden="1" customHeight="1" x14ac:dyDescent="0.2">
      <c r="B279" s="19">
        <v>43027</v>
      </c>
      <c r="C279" s="20">
        <v>25569.815972222201</v>
      </c>
      <c r="D279" s="21" t="s">
        <v>1343</v>
      </c>
      <c r="E279" s="22" t="s">
        <v>1344</v>
      </c>
      <c r="F279" s="22" t="s">
        <v>1345</v>
      </c>
      <c r="G279" s="23">
        <v>54</v>
      </c>
      <c r="H279" s="21" t="s">
        <v>1346</v>
      </c>
      <c r="I279" s="21" t="s">
        <v>1405</v>
      </c>
      <c r="J279" s="23" t="s">
        <v>3</v>
      </c>
      <c r="K279" s="57" t="s">
        <v>1404</v>
      </c>
      <c r="L279" s="59" t="s">
        <v>33</v>
      </c>
      <c r="M279" s="56" t="s">
        <v>34</v>
      </c>
      <c r="N279" s="54">
        <v>18</v>
      </c>
      <c r="O279" s="24" t="s">
        <v>133</v>
      </c>
      <c r="P279" s="24" t="s">
        <v>1407</v>
      </c>
      <c r="Q279" s="22" t="s">
        <v>79</v>
      </c>
      <c r="R279" s="24" t="s">
        <v>1347</v>
      </c>
      <c r="S279" s="20">
        <v>25569.659722222201</v>
      </c>
      <c r="T279" s="20">
        <v>25569.024305555598</v>
      </c>
      <c r="U279" s="22"/>
      <c r="V279" s="25"/>
      <c r="W279" s="71"/>
    </row>
    <row r="280" spans="2:23" s="16" customFormat="1" ht="41.1" hidden="1" customHeight="1" x14ac:dyDescent="0.2">
      <c r="B280" s="26">
        <v>43031</v>
      </c>
      <c r="C280" s="27">
        <v>25569.375</v>
      </c>
      <c r="D280" s="28" t="s">
        <v>1348</v>
      </c>
      <c r="E280" s="29" t="s">
        <v>1349</v>
      </c>
      <c r="F280" s="29" t="s">
        <v>1350</v>
      </c>
      <c r="G280" s="30">
        <v>19</v>
      </c>
      <c r="H280" s="28" t="s">
        <v>1351</v>
      </c>
      <c r="I280" s="28" t="s">
        <v>1406</v>
      </c>
      <c r="J280" s="30" t="s">
        <v>3</v>
      </c>
      <c r="K280" s="55" t="s">
        <v>4</v>
      </c>
      <c r="L280" s="58" t="s">
        <v>34</v>
      </c>
      <c r="M280" s="56" t="s">
        <v>34</v>
      </c>
      <c r="N280" s="54"/>
      <c r="O280" s="31" t="s">
        <v>60</v>
      </c>
      <c r="P280" s="31" t="s">
        <v>206</v>
      </c>
      <c r="Q280" s="29" t="s">
        <v>8</v>
      </c>
      <c r="R280" s="31" t="s">
        <v>1352</v>
      </c>
      <c r="S280" s="27">
        <v>25569.333333333299</v>
      </c>
      <c r="T280" s="27">
        <v>25569.6875</v>
      </c>
      <c r="U280" s="31"/>
      <c r="V280" s="32"/>
      <c r="W280" s="72"/>
    </row>
    <row r="281" spans="2:23" s="16" customFormat="1" ht="51.75" hidden="1" customHeight="1" x14ac:dyDescent="0.2">
      <c r="B281" s="19">
        <v>43032</v>
      </c>
      <c r="C281" s="20">
        <v>25569.041666666701</v>
      </c>
      <c r="D281" s="21" t="s">
        <v>1353</v>
      </c>
      <c r="E281" s="22" t="s">
        <v>1354</v>
      </c>
      <c r="F281" s="22" t="s">
        <v>1064</v>
      </c>
      <c r="G281" s="23">
        <v>25</v>
      </c>
      <c r="H281" s="21" t="s">
        <v>1355</v>
      </c>
      <c r="I281" s="21" t="s">
        <v>1417</v>
      </c>
      <c r="J281" s="23" t="s">
        <v>3</v>
      </c>
      <c r="K281" s="55" t="s">
        <v>4</v>
      </c>
      <c r="L281" s="58" t="s">
        <v>34</v>
      </c>
      <c r="M281" s="56" t="s">
        <v>34</v>
      </c>
      <c r="N281" s="54"/>
      <c r="O281" s="24" t="s">
        <v>78</v>
      </c>
      <c r="P281" s="24" t="s">
        <v>61</v>
      </c>
      <c r="Q281" s="22" t="s">
        <v>158</v>
      </c>
      <c r="R281" s="24" t="s">
        <v>1356</v>
      </c>
      <c r="S281" s="20">
        <v>25569.916666666701</v>
      </c>
      <c r="T281" s="20">
        <v>25569.256944444402</v>
      </c>
      <c r="U281" s="22"/>
      <c r="V281" s="25"/>
      <c r="W281" s="71"/>
    </row>
    <row r="282" spans="2:23" s="16" customFormat="1" ht="30.4" hidden="1" customHeight="1" x14ac:dyDescent="0.2">
      <c r="B282" s="26">
        <v>43032</v>
      </c>
      <c r="C282" s="27">
        <v>25569.302083333299</v>
      </c>
      <c r="D282" s="28" t="s">
        <v>1357</v>
      </c>
      <c r="E282" s="29" t="s">
        <v>1358</v>
      </c>
      <c r="F282" s="29" t="s">
        <v>162</v>
      </c>
      <c r="G282" s="30">
        <v>41</v>
      </c>
      <c r="H282" s="28" t="s">
        <v>1359</v>
      </c>
      <c r="I282" s="28" t="s">
        <v>1417</v>
      </c>
      <c r="J282" s="30" t="s">
        <v>3</v>
      </c>
      <c r="K282" s="57" t="s">
        <v>1404</v>
      </c>
      <c r="L282" s="59" t="s">
        <v>33</v>
      </c>
      <c r="M282" s="56" t="s">
        <v>34</v>
      </c>
      <c r="N282" s="54">
        <v>36</v>
      </c>
      <c r="O282" s="31" t="s">
        <v>60</v>
      </c>
      <c r="P282" s="31" t="s">
        <v>88</v>
      </c>
      <c r="Q282" s="29" t="s">
        <v>8</v>
      </c>
      <c r="R282" s="31" t="s">
        <v>1360</v>
      </c>
      <c r="S282" s="27">
        <v>25569.333333333299</v>
      </c>
      <c r="T282" s="27">
        <v>25569.666666666701</v>
      </c>
      <c r="U282" s="29"/>
      <c r="V282" s="32"/>
      <c r="W282" s="72"/>
    </row>
    <row r="283" spans="2:23" s="16" customFormat="1" ht="73.150000000000006" hidden="1" customHeight="1" x14ac:dyDescent="0.2">
      <c r="B283" s="19">
        <v>43033</v>
      </c>
      <c r="C283" s="20">
        <v>25569.375</v>
      </c>
      <c r="D283" s="21" t="s">
        <v>1361</v>
      </c>
      <c r="E283" s="22" t="s">
        <v>1362</v>
      </c>
      <c r="F283" s="22" t="s">
        <v>1363</v>
      </c>
      <c r="G283" s="23">
        <v>34</v>
      </c>
      <c r="H283" s="21" t="s">
        <v>1364</v>
      </c>
      <c r="I283" s="21" t="s">
        <v>1417</v>
      </c>
      <c r="J283" s="23" t="s">
        <v>3</v>
      </c>
      <c r="K283" s="55" t="s">
        <v>4</v>
      </c>
      <c r="L283" s="58" t="s">
        <v>34</v>
      </c>
      <c r="M283" s="56" t="s">
        <v>34</v>
      </c>
      <c r="N283" s="54"/>
      <c r="O283" s="24" t="s">
        <v>78</v>
      </c>
      <c r="P283" s="24" t="s">
        <v>1407</v>
      </c>
      <c r="Q283" s="22" t="s">
        <v>71</v>
      </c>
      <c r="R283" s="33" t="s">
        <v>1365</v>
      </c>
      <c r="S283" s="20">
        <v>25569.256944444402</v>
      </c>
      <c r="T283" s="20">
        <v>25569.606250000001</v>
      </c>
      <c r="U283" s="22"/>
      <c r="V283" s="25"/>
      <c r="W283" s="71"/>
    </row>
    <row r="284" spans="2:23" s="16" customFormat="1" ht="41.1" hidden="1" customHeight="1" x14ac:dyDescent="0.2">
      <c r="B284" s="26">
        <v>43034</v>
      </c>
      <c r="C284" s="27">
        <v>25569.708333333299</v>
      </c>
      <c r="D284" s="28" t="s">
        <v>1366</v>
      </c>
      <c r="E284" s="29" t="s">
        <v>1367</v>
      </c>
      <c r="F284" s="29" t="s">
        <v>871</v>
      </c>
      <c r="G284" s="30">
        <v>42</v>
      </c>
      <c r="H284" s="28" t="s">
        <v>1368</v>
      </c>
      <c r="I284" s="28" t="s">
        <v>1405</v>
      </c>
      <c r="J284" s="30" t="s">
        <v>3</v>
      </c>
      <c r="K284" s="55" t="s">
        <v>4</v>
      </c>
      <c r="L284" s="59" t="s">
        <v>33</v>
      </c>
      <c r="M284" s="56" t="s">
        <v>34</v>
      </c>
      <c r="N284" s="54">
        <v>4</v>
      </c>
      <c r="O284" s="31" t="s">
        <v>78</v>
      </c>
      <c r="P284" s="31" t="s">
        <v>61</v>
      </c>
      <c r="Q284" s="29" t="s">
        <v>62</v>
      </c>
      <c r="R284" s="31" t="s">
        <v>1369</v>
      </c>
      <c r="S284" s="27">
        <v>25569.603472222199</v>
      </c>
      <c r="T284" s="27">
        <v>25569.999305555601</v>
      </c>
      <c r="U284" s="29" t="s">
        <v>425</v>
      </c>
      <c r="V284" s="32"/>
      <c r="W284" s="72"/>
    </row>
    <row r="285" spans="2:23" s="16" customFormat="1" ht="51.75" hidden="1" customHeight="1" x14ac:dyDescent="0.2">
      <c r="B285" s="19">
        <v>43034</v>
      </c>
      <c r="C285" s="20">
        <v>25569.958333333299</v>
      </c>
      <c r="D285" s="21" t="s">
        <v>1370</v>
      </c>
      <c r="E285" s="22" t="s">
        <v>1371</v>
      </c>
      <c r="F285" s="22" t="s">
        <v>452</v>
      </c>
      <c r="G285" s="23">
        <v>34</v>
      </c>
      <c r="H285" s="21" t="s">
        <v>1372</v>
      </c>
      <c r="I285" s="21" t="s">
        <v>1405</v>
      </c>
      <c r="J285" s="23" t="s">
        <v>3</v>
      </c>
      <c r="K285" s="55" t="s">
        <v>4</v>
      </c>
      <c r="L285" s="58" t="s">
        <v>34</v>
      </c>
      <c r="M285" s="56" t="s">
        <v>34</v>
      </c>
      <c r="N285" s="54"/>
      <c r="O285" s="24" t="s">
        <v>60</v>
      </c>
      <c r="P285" s="24" t="s">
        <v>289</v>
      </c>
      <c r="Q285" s="22" t="s">
        <v>146</v>
      </c>
      <c r="R285" s="24" t="s">
        <v>1373</v>
      </c>
      <c r="S285" s="20">
        <v>25569.916666666701</v>
      </c>
      <c r="T285" s="20">
        <v>25569.261805555601</v>
      </c>
      <c r="U285" s="22" t="s">
        <v>1374</v>
      </c>
      <c r="V285" s="25"/>
      <c r="W285" s="71"/>
    </row>
    <row r="286" spans="2:23" s="16" customFormat="1" ht="51.75" hidden="1" customHeight="1" x14ac:dyDescent="0.2">
      <c r="B286" s="26">
        <v>43035</v>
      </c>
      <c r="C286" s="27">
        <v>25569.020833333299</v>
      </c>
      <c r="D286" s="28" t="s">
        <v>1375</v>
      </c>
      <c r="E286" s="29" t="s">
        <v>1376</v>
      </c>
      <c r="F286" s="29" t="s">
        <v>1377</v>
      </c>
      <c r="G286" s="30">
        <v>43</v>
      </c>
      <c r="H286" s="28" t="s">
        <v>1378</v>
      </c>
      <c r="I286" s="28" t="s">
        <v>1405</v>
      </c>
      <c r="J286" s="30" t="s">
        <v>3</v>
      </c>
      <c r="K286" s="55" t="s">
        <v>4</v>
      </c>
      <c r="L286" s="59" t="s">
        <v>33</v>
      </c>
      <c r="M286" s="56" t="s">
        <v>34</v>
      </c>
      <c r="N286" s="54">
        <v>17</v>
      </c>
      <c r="O286" s="31" t="s">
        <v>69</v>
      </c>
      <c r="P286" s="31" t="s">
        <v>206</v>
      </c>
      <c r="Q286" s="29" t="s">
        <v>158</v>
      </c>
      <c r="R286" s="31" t="s">
        <v>1379</v>
      </c>
      <c r="S286" s="27">
        <v>25569.916666666701</v>
      </c>
      <c r="T286" s="27">
        <v>25569.261805555601</v>
      </c>
      <c r="U286" s="29"/>
      <c r="V286" s="32"/>
      <c r="W286" s="72"/>
    </row>
    <row r="287" spans="2:23" s="16" customFormat="1" ht="51.75" customHeight="1" x14ac:dyDescent="0.2">
      <c r="B287" s="19">
        <v>43038</v>
      </c>
      <c r="C287" s="20">
        <v>25569.25</v>
      </c>
      <c r="D287" s="21" t="s">
        <v>1380</v>
      </c>
      <c r="E287" s="22" t="s">
        <v>1381</v>
      </c>
      <c r="F287" s="22" t="s">
        <v>1382</v>
      </c>
      <c r="G287" s="23">
        <v>56</v>
      </c>
      <c r="H287" s="21" t="s">
        <v>1383</v>
      </c>
      <c r="I287" s="21" t="s">
        <v>1421</v>
      </c>
      <c r="J287" s="23" t="s">
        <v>3</v>
      </c>
      <c r="K287" s="57" t="s">
        <v>1404</v>
      </c>
      <c r="L287" s="59" t="s">
        <v>33</v>
      </c>
      <c r="M287" s="56" t="s">
        <v>34</v>
      </c>
      <c r="N287" s="54">
        <v>1</v>
      </c>
      <c r="O287" s="24" t="s">
        <v>78</v>
      </c>
      <c r="P287" s="24" t="s">
        <v>173</v>
      </c>
      <c r="Q287" s="22" t="s">
        <v>158</v>
      </c>
      <c r="R287" s="24" t="s">
        <v>1384</v>
      </c>
      <c r="S287" s="20">
        <v>25569.25</v>
      </c>
      <c r="T287" s="20">
        <v>25569.598611111101</v>
      </c>
      <c r="U287" s="22"/>
      <c r="V287" s="25"/>
      <c r="W287" s="71"/>
    </row>
    <row r="288" spans="2:23" s="16" customFormat="1" ht="41.1" hidden="1" customHeight="1" x14ac:dyDescent="0.2">
      <c r="B288" s="26">
        <v>43045</v>
      </c>
      <c r="C288" s="27">
        <v>25569.072916666701</v>
      </c>
      <c r="D288" s="28" t="s">
        <v>1385</v>
      </c>
      <c r="E288" s="29" t="s">
        <v>1107</v>
      </c>
      <c r="F288" s="29" t="s">
        <v>716</v>
      </c>
      <c r="G288" s="30">
        <v>30</v>
      </c>
      <c r="H288" s="28" t="s">
        <v>1108</v>
      </c>
      <c r="I288" s="28" t="s">
        <v>1417</v>
      </c>
      <c r="J288" s="30" t="s">
        <v>3</v>
      </c>
      <c r="K288" s="55" t="s">
        <v>4</v>
      </c>
      <c r="L288" s="58" t="s">
        <v>34</v>
      </c>
      <c r="M288" s="56" t="s">
        <v>34</v>
      </c>
      <c r="N288" s="54"/>
      <c r="O288" s="31" t="s">
        <v>78</v>
      </c>
      <c r="P288" s="31" t="s">
        <v>61</v>
      </c>
      <c r="Q288" s="29" t="s">
        <v>158</v>
      </c>
      <c r="R288" s="31" t="s">
        <v>1386</v>
      </c>
      <c r="S288" s="27">
        <v>25569.916666666701</v>
      </c>
      <c r="T288" s="27">
        <v>25569.256944444402</v>
      </c>
      <c r="U288" s="29"/>
      <c r="V288" s="32"/>
      <c r="W288" s="72"/>
    </row>
    <row r="289" spans="2:23" s="16" customFormat="1" ht="62.45" hidden="1" customHeight="1" x14ac:dyDescent="0.2">
      <c r="B289" s="19">
        <v>43048</v>
      </c>
      <c r="C289" s="20">
        <v>25569.256944444402</v>
      </c>
      <c r="D289" s="21" t="s">
        <v>1387</v>
      </c>
      <c r="E289" s="22" t="s">
        <v>1388</v>
      </c>
      <c r="F289" s="22" t="s">
        <v>297</v>
      </c>
      <c r="G289" s="23">
        <v>54</v>
      </c>
      <c r="H289" s="21" t="s">
        <v>1389</v>
      </c>
      <c r="I289" s="21" t="s">
        <v>1413</v>
      </c>
      <c r="J289" s="23" t="s">
        <v>3</v>
      </c>
      <c r="K289" s="57" t="s">
        <v>1404</v>
      </c>
      <c r="L289" s="58" t="s">
        <v>34</v>
      </c>
      <c r="M289" s="56" t="s">
        <v>34</v>
      </c>
      <c r="N289" s="54"/>
      <c r="O289" s="24" t="s">
        <v>69</v>
      </c>
      <c r="P289" s="24" t="s">
        <v>61</v>
      </c>
      <c r="Q289" s="22" t="s">
        <v>71</v>
      </c>
      <c r="R289" s="24" t="s">
        <v>1390</v>
      </c>
      <c r="S289" s="20">
        <v>25569.902777777799</v>
      </c>
      <c r="T289" s="20">
        <v>25569.25</v>
      </c>
      <c r="U289" s="22"/>
      <c r="V289" s="25"/>
      <c r="W289" s="71"/>
    </row>
    <row r="290" spans="2:23" s="16" customFormat="1" ht="41.1" hidden="1" customHeight="1" x14ac:dyDescent="0.2">
      <c r="B290" s="26">
        <v>43050</v>
      </c>
      <c r="C290" s="27">
        <v>25569.472222222201</v>
      </c>
      <c r="D290" s="28" t="s">
        <v>1391</v>
      </c>
      <c r="E290" s="29" t="s">
        <v>1392</v>
      </c>
      <c r="F290" s="29" t="s">
        <v>57</v>
      </c>
      <c r="G290" s="30">
        <v>48</v>
      </c>
      <c r="H290" s="28" t="s">
        <v>1393</v>
      </c>
      <c r="I290" s="28" t="s">
        <v>1413</v>
      </c>
      <c r="J290" s="30" t="s">
        <v>3</v>
      </c>
      <c r="K290" s="55" t="s">
        <v>4</v>
      </c>
      <c r="L290" s="58" t="s">
        <v>34</v>
      </c>
      <c r="M290" s="56" t="s">
        <v>34</v>
      </c>
      <c r="N290" s="54"/>
      <c r="O290" s="31" t="s">
        <v>78</v>
      </c>
      <c r="P290" s="31" t="s">
        <v>121</v>
      </c>
      <c r="Q290" s="29" t="s">
        <v>122</v>
      </c>
      <c r="R290" s="31" t="s">
        <v>1394</v>
      </c>
      <c r="S290" s="27">
        <v>25569.21875</v>
      </c>
      <c r="T290" s="27">
        <v>25569.570138888899</v>
      </c>
      <c r="U290" s="29"/>
      <c r="V290" s="32"/>
      <c r="W290" s="72"/>
    </row>
    <row r="291" spans="2:23" s="16" customFormat="1" ht="41.1" hidden="1" customHeight="1" x14ac:dyDescent="0.2">
      <c r="B291" s="19">
        <v>43052</v>
      </c>
      <c r="C291" s="20">
        <v>25569.041666666701</v>
      </c>
      <c r="D291" s="21" t="s">
        <v>1395</v>
      </c>
      <c r="E291" s="22" t="s">
        <v>1396</v>
      </c>
      <c r="F291" s="22" t="s">
        <v>408</v>
      </c>
      <c r="G291" s="23">
        <v>42</v>
      </c>
      <c r="H291" s="21" t="s">
        <v>1397</v>
      </c>
      <c r="I291" s="21" t="s">
        <v>1405</v>
      </c>
      <c r="J291" s="23" t="s">
        <v>3</v>
      </c>
      <c r="K291" s="55" t="s">
        <v>4</v>
      </c>
      <c r="L291" s="58" t="s">
        <v>34</v>
      </c>
      <c r="M291" s="56" t="s">
        <v>34</v>
      </c>
      <c r="N291" s="54"/>
      <c r="O291" s="24" t="s">
        <v>78</v>
      </c>
      <c r="P291" s="24" t="s">
        <v>61</v>
      </c>
      <c r="Q291" s="22" t="s">
        <v>62</v>
      </c>
      <c r="R291" s="24" t="s">
        <v>1398</v>
      </c>
      <c r="S291" s="20">
        <v>25569.916666666701</v>
      </c>
      <c r="T291" s="20">
        <v>25569.261805555601</v>
      </c>
      <c r="U291" s="22"/>
      <c r="V291" s="25"/>
      <c r="W291" s="71"/>
    </row>
    <row r="292" spans="2:23" s="16" customFormat="1" ht="12.75" customHeight="1" x14ac:dyDescent="0.2">
      <c r="K292" s="61"/>
      <c r="L292" s="61"/>
      <c r="M292" s="61"/>
      <c r="N292" s="63"/>
      <c r="U292" s="93"/>
    </row>
    <row r="293" spans="2:23" x14ac:dyDescent="0.2">
      <c r="K293" s="62"/>
      <c r="L293" s="62"/>
      <c r="M293" s="62"/>
      <c r="N293" s="64"/>
    </row>
    <row r="294" spans="2:23" x14ac:dyDescent="0.2">
      <c r="K294" s="62"/>
      <c r="L294" s="62"/>
      <c r="M294" s="62"/>
      <c r="N294" s="64"/>
    </row>
    <row r="295" spans="2:23" x14ac:dyDescent="0.2">
      <c r="K295" s="62"/>
      <c r="L295" s="62"/>
      <c r="M295" s="62"/>
      <c r="N295" s="64"/>
    </row>
    <row r="296" spans="2:23" x14ac:dyDescent="0.2">
      <c r="K296" s="62"/>
      <c r="L296" s="62"/>
      <c r="M296" s="62"/>
      <c r="N296" s="64"/>
    </row>
    <row r="297" spans="2:23" x14ac:dyDescent="0.2">
      <c r="K297" s="62"/>
      <c r="L297" s="62"/>
      <c r="M297" s="62"/>
      <c r="N297" s="64"/>
    </row>
    <row r="298" spans="2:23" x14ac:dyDescent="0.2">
      <c r="K298" s="62"/>
      <c r="L298" s="62"/>
      <c r="M298" s="62"/>
      <c r="N298" s="64"/>
    </row>
    <row r="299" spans="2:23" x14ac:dyDescent="0.2">
      <c r="K299" s="62"/>
      <c r="L299" s="62"/>
      <c r="M299" s="62"/>
      <c r="N299" s="64"/>
    </row>
    <row r="300" spans="2:23" x14ac:dyDescent="0.2">
      <c r="K300" s="62"/>
      <c r="L300" s="62"/>
      <c r="M300" s="62"/>
      <c r="N300" s="64"/>
    </row>
    <row r="301" spans="2:23" x14ac:dyDescent="0.2">
      <c r="K301" s="62"/>
      <c r="L301" s="62"/>
      <c r="M301" s="62"/>
      <c r="N301" s="64"/>
    </row>
    <row r="302" spans="2:23" x14ac:dyDescent="0.2">
      <c r="K302" s="62"/>
      <c r="L302" s="62"/>
      <c r="M302" s="62"/>
      <c r="N302" s="64"/>
    </row>
    <row r="303" spans="2:23" x14ac:dyDescent="0.2">
      <c r="K303" s="62"/>
      <c r="L303" s="62"/>
      <c r="M303" s="62"/>
      <c r="N303" s="64"/>
    </row>
    <row r="304" spans="2:23" x14ac:dyDescent="0.2">
      <c r="K304" s="62"/>
      <c r="L304" s="62"/>
      <c r="M304" s="62"/>
      <c r="N304" s="64"/>
    </row>
    <row r="305" spans="11:14" x14ac:dyDescent="0.2">
      <c r="K305" s="62"/>
      <c r="L305" s="62"/>
      <c r="M305" s="62"/>
      <c r="N305" s="64"/>
    </row>
    <row r="306" spans="11:14" x14ac:dyDescent="0.2">
      <c r="K306" s="62"/>
      <c r="L306" s="62"/>
      <c r="M306" s="62"/>
      <c r="N306" s="64"/>
    </row>
    <row r="307" spans="11:14" x14ac:dyDescent="0.2">
      <c r="K307" s="62"/>
      <c r="L307" s="62"/>
      <c r="M307" s="62"/>
      <c r="N307" s="64"/>
    </row>
    <row r="308" spans="11:14" x14ac:dyDescent="0.2">
      <c r="K308" s="62"/>
      <c r="L308" s="62"/>
      <c r="M308" s="62"/>
      <c r="N308" s="64"/>
    </row>
    <row r="309" spans="11:14" x14ac:dyDescent="0.2">
      <c r="K309" s="62"/>
      <c r="L309" s="62"/>
      <c r="M309" s="62"/>
      <c r="N309" s="64"/>
    </row>
    <row r="310" spans="11:14" x14ac:dyDescent="0.2">
      <c r="K310" s="62"/>
      <c r="L310" s="62"/>
      <c r="M310" s="62"/>
      <c r="N310" s="64"/>
    </row>
    <row r="311" spans="11:14" x14ac:dyDescent="0.2">
      <c r="K311" s="62"/>
      <c r="L311" s="62"/>
      <c r="M311" s="62"/>
      <c r="N311" s="64"/>
    </row>
    <row r="312" spans="11:14" x14ac:dyDescent="0.2">
      <c r="K312" s="62"/>
      <c r="L312" s="62"/>
      <c r="M312" s="62"/>
      <c r="N312" s="64"/>
    </row>
    <row r="313" spans="11:14" x14ac:dyDescent="0.2">
      <c r="K313" s="62"/>
      <c r="L313" s="62"/>
      <c r="M313" s="62"/>
      <c r="N313" s="64"/>
    </row>
    <row r="314" spans="11:14" x14ac:dyDescent="0.2">
      <c r="K314" s="62"/>
      <c r="L314" s="62"/>
      <c r="M314" s="62"/>
      <c r="N314" s="64"/>
    </row>
    <row r="315" spans="11:14" x14ac:dyDescent="0.2">
      <c r="K315" s="62"/>
      <c r="L315" s="62"/>
      <c r="M315" s="62"/>
      <c r="N315" s="64"/>
    </row>
    <row r="316" spans="11:14" x14ac:dyDescent="0.2">
      <c r="K316" s="62"/>
      <c r="L316" s="62"/>
      <c r="M316" s="62"/>
      <c r="N316" s="64"/>
    </row>
    <row r="317" spans="11:14" x14ac:dyDescent="0.2">
      <c r="K317" s="62"/>
      <c r="L317" s="62"/>
      <c r="M317" s="62"/>
      <c r="N317" s="64"/>
    </row>
    <row r="318" spans="11:14" x14ac:dyDescent="0.2">
      <c r="K318" s="62"/>
      <c r="L318" s="62"/>
      <c r="M318" s="62"/>
      <c r="N318" s="64"/>
    </row>
    <row r="319" spans="11:14" x14ac:dyDescent="0.2">
      <c r="K319" s="62"/>
      <c r="L319" s="62"/>
      <c r="M319" s="62"/>
      <c r="N319" s="64"/>
    </row>
    <row r="320" spans="11:14" x14ac:dyDescent="0.2">
      <c r="K320" s="62"/>
      <c r="L320" s="62"/>
      <c r="M320" s="62"/>
      <c r="N320" s="64"/>
    </row>
    <row r="321" spans="11:14" x14ac:dyDescent="0.2">
      <c r="K321" s="62"/>
      <c r="L321" s="62"/>
      <c r="M321" s="62"/>
      <c r="N321" s="64"/>
    </row>
    <row r="322" spans="11:14" x14ac:dyDescent="0.2">
      <c r="K322" s="62"/>
      <c r="L322" s="62"/>
      <c r="M322" s="62"/>
      <c r="N322" s="64"/>
    </row>
    <row r="323" spans="11:14" x14ac:dyDescent="0.2">
      <c r="K323" s="62"/>
      <c r="L323" s="62"/>
      <c r="M323" s="62"/>
      <c r="N323" s="64"/>
    </row>
    <row r="324" spans="11:14" x14ac:dyDescent="0.2">
      <c r="K324" s="62"/>
      <c r="L324" s="62"/>
      <c r="M324" s="62"/>
      <c r="N324" s="64"/>
    </row>
    <row r="325" spans="11:14" x14ac:dyDescent="0.2">
      <c r="K325" s="62"/>
      <c r="L325" s="62"/>
      <c r="M325" s="62"/>
      <c r="N325" s="64"/>
    </row>
    <row r="326" spans="11:14" x14ac:dyDescent="0.2">
      <c r="K326" s="62"/>
      <c r="L326" s="62"/>
      <c r="M326" s="62"/>
      <c r="N326" s="64"/>
    </row>
    <row r="327" spans="11:14" x14ac:dyDescent="0.2">
      <c r="K327" s="62"/>
      <c r="L327" s="62"/>
      <c r="M327" s="62"/>
      <c r="N327" s="64"/>
    </row>
    <row r="328" spans="11:14" x14ac:dyDescent="0.2">
      <c r="K328" s="62"/>
      <c r="L328" s="62"/>
      <c r="M328" s="62"/>
      <c r="N328" s="64"/>
    </row>
    <row r="329" spans="11:14" x14ac:dyDescent="0.2">
      <c r="K329" s="62"/>
      <c r="L329" s="62"/>
      <c r="M329" s="62"/>
      <c r="N329" s="64"/>
    </row>
    <row r="330" spans="11:14" x14ac:dyDescent="0.2">
      <c r="K330" s="62"/>
      <c r="L330" s="62"/>
      <c r="M330" s="62"/>
      <c r="N330" s="64"/>
    </row>
    <row r="331" spans="11:14" x14ac:dyDescent="0.2">
      <c r="K331" s="62"/>
      <c r="L331" s="62"/>
      <c r="M331" s="62"/>
      <c r="N331" s="64"/>
    </row>
    <row r="332" spans="11:14" x14ac:dyDescent="0.2">
      <c r="K332" s="62"/>
      <c r="L332" s="62"/>
      <c r="M332" s="62"/>
      <c r="N332" s="64"/>
    </row>
    <row r="333" spans="11:14" x14ac:dyDescent="0.2">
      <c r="K333" s="62"/>
      <c r="L333" s="62"/>
      <c r="M333" s="62"/>
      <c r="N333" s="64"/>
    </row>
    <row r="334" spans="11:14" x14ac:dyDescent="0.2">
      <c r="K334" s="62"/>
      <c r="L334" s="62"/>
      <c r="M334" s="62"/>
      <c r="N334" s="64"/>
    </row>
    <row r="335" spans="11:14" x14ac:dyDescent="0.2">
      <c r="K335" s="62"/>
      <c r="L335" s="62"/>
      <c r="M335" s="62"/>
      <c r="N335" s="64"/>
    </row>
    <row r="336" spans="11:14" x14ac:dyDescent="0.2">
      <c r="K336" s="62"/>
      <c r="L336" s="62"/>
      <c r="M336" s="62"/>
      <c r="N336" s="64"/>
    </row>
    <row r="337" spans="11:14" x14ac:dyDescent="0.2">
      <c r="K337" s="62"/>
      <c r="L337" s="62"/>
      <c r="M337" s="62"/>
      <c r="N337" s="64"/>
    </row>
    <row r="338" spans="11:14" x14ac:dyDescent="0.2">
      <c r="K338" s="62"/>
      <c r="L338" s="62"/>
      <c r="M338" s="62"/>
      <c r="N338" s="64"/>
    </row>
    <row r="339" spans="11:14" x14ac:dyDescent="0.2">
      <c r="K339" s="62"/>
      <c r="L339" s="62"/>
      <c r="M339" s="62"/>
      <c r="N339" s="64"/>
    </row>
    <row r="340" spans="11:14" x14ac:dyDescent="0.2">
      <c r="K340" s="62"/>
      <c r="L340" s="62"/>
      <c r="M340" s="62"/>
      <c r="N340" s="64"/>
    </row>
    <row r="341" spans="11:14" x14ac:dyDescent="0.2">
      <c r="K341" s="62"/>
      <c r="L341" s="62"/>
      <c r="M341" s="62"/>
      <c r="N341" s="64"/>
    </row>
    <row r="342" spans="11:14" x14ac:dyDescent="0.2">
      <c r="K342" s="62"/>
      <c r="L342" s="62"/>
      <c r="M342" s="62"/>
      <c r="N342" s="64"/>
    </row>
    <row r="343" spans="11:14" x14ac:dyDescent="0.2">
      <c r="K343" s="62"/>
      <c r="L343" s="62"/>
      <c r="M343" s="62"/>
      <c r="N343" s="64"/>
    </row>
    <row r="344" spans="11:14" x14ac:dyDescent="0.2">
      <c r="K344" s="62"/>
      <c r="L344" s="62"/>
      <c r="M344" s="62"/>
      <c r="N344" s="64"/>
    </row>
    <row r="345" spans="11:14" x14ac:dyDescent="0.2">
      <c r="K345" s="62"/>
      <c r="L345" s="62"/>
      <c r="M345" s="62"/>
      <c r="N345" s="64"/>
    </row>
    <row r="346" spans="11:14" x14ac:dyDescent="0.2">
      <c r="K346" s="62"/>
      <c r="L346" s="62"/>
      <c r="M346" s="62"/>
      <c r="N346" s="64"/>
    </row>
    <row r="347" spans="11:14" x14ac:dyDescent="0.2">
      <c r="K347" s="62"/>
      <c r="L347" s="62"/>
      <c r="M347" s="62"/>
      <c r="N347" s="64"/>
    </row>
    <row r="348" spans="11:14" x14ac:dyDescent="0.2">
      <c r="K348" s="62"/>
      <c r="L348" s="62"/>
      <c r="M348" s="62"/>
      <c r="N348" s="64"/>
    </row>
    <row r="349" spans="11:14" x14ac:dyDescent="0.2">
      <c r="K349" s="62"/>
      <c r="L349" s="62"/>
      <c r="M349" s="62"/>
      <c r="N349" s="64"/>
    </row>
    <row r="350" spans="11:14" x14ac:dyDescent="0.2">
      <c r="K350" s="62"/>
      <c r="L350" s="62"/>
      <c r="M350" s="62"/>
      <c r="N350" s="64"/>
    </row>
    <row r="351" spans="11:14" x14ac:dyDescent="0.2">
      <c r="K351" s="62"/>
      <c r="L351" s="62"/>
      <c r="M351" s="62"/>
      <c r="N351" s="64"/>
    </row>
    <row r="352" spans="11:14" x14ac:dyDescent="0.2">
      <c r="K352" s="62"/>
      <c r="L352" s="62"/>
      <c r="M352" s="62"/>
      <c r="N352" s="64"/>
    </row>
    <row r="353" spans="11:14" x14ac:dyDescent="0.2">
      <c r="K353" s="62"/>
      <c r="L353" s="62"/>
      <c r="M353" s="62"/>
      <c r="N353" s="64"/>
    </row>
    <row r="354" spans="11:14" x14ac:dyDescent="0.2">
      <c r="K354" s="62"/>
      <c r="L354" s="62"/>
      <c r="M354" s="62"/>
      <c r="N354" s="64"/>
    </row>
    <row r="355" spans="11:14" x14ac:dyDescent="0.2">
      <c r="K355" s="62"/>
      <c r="L355" s="62"/>
      <c r="M355" s="62"/>
      <c r="N355" s="64"/>
    </row>
    <row r="356" spans="11:14" x14ac:dyDescent="0.2">
      <c r="K356" s="62"/>
      <c r="L356" s="62"/>
      <c r="M356" s="62"/>
      <c r="N356" s="64"/>
    </row>
    <row r="357" spans="11:14" x14ac:dyDescent="0.2">
      <c r="K357" s="62"/>
      <c r="L357" s="62"/>
      <c r="M357" s="62"/>
      <c r="N357" s="64"/>
    </row>
    <row r="358" spans="11:14" x14ac:dyDescent="0.2">
      <c r="K358" s="62"/>
      <c r="L358" s="62"/>
      <c r="M358" s="62"/>
      <c r="N358" s="64"/>
    </row>
    <row r="359" spans="11:14" x14ac:dyDescent="0.2">
      <c r="K359" s="62"/>
      <c r="L359" s="62"/>
      <c r="M359" s="62"/>
      <c r="N359" s="64"/>
    </row>
    <row r="360" spans="11:14" x14ac:dyDescent="0.2">
      <c r="K360" s="62"/>
      <c r="L360" s="62"/>
      <c r="M360" s="62"/>
      <c r="N360" s="64"/>
    </row>
    <row r="361" spans="11:14" x14ac:dyDescent="0.2">
      <c r="K361" s="62"/>
      <c r="L361" s="62"/>
      <c r="M361" s="62"/>
      <c r="N361" s="64"/>
    </row>
    <row r="362" spans="11:14" x14ac:dyDescent="0.2">
      <c r="K362" s="62"/>
      <c r="L362" s="62"/>
      <c r="M362" s="62"/>
      <c r="N362" s="64"/>
    </row>
    <row r="363" spans="11:14" x14ac:dyDescent="0.2">
      <c r="K363" s="62"/>
      <c r="L363" s="62"/>
      <c r="M363" s="62"/>
      <c r="N363" s="64"/>
    </row>
    <row r="364" spans="11:14" x14ac:dyDescent="0.2">
      <c r="K364" s="62"/>
      <c r="L364" s="62"/>
      <c r="M364" s="62"/>
      <c r="N364" s="64"/>
    </row>
    <row r="365" spans="11:14" x14ac:dyDescent="0.2">
      <c r="K365" s="62"/>
      <c r="L365" s="62"/>
      <c r="M365" s="62"/>
      <c r="N365" s="64"/>
    </row>
    <row r="366" spans="11:14" x14ac:dyDescent="0.2">
      <c r="K366" s="62"/>
      <c r="L366" s="62"/>
      <c r="M366" s="62"/>
      <c r="N366" s="64"/>
    </row>
    <row r="367" spans="11:14" x14ac:dyDescent="0.2">
      <c r="K367" s="62"/>
      <c r="L367" s="62"/>
      <c r="M367" s="62"/>
      <c r="N367" s="64"/>
    </row>
    <row r="368" spans="11:14" x14ac:dyDescent="0.2">
      <c r="K368" s="62"/>
      <c r="L368" s="62"/>
      <c r="M368" s="62"/>
      <c r="N368" s="64"/>
    </row>
    <row r="369" spans="11:14" x14ac:dyDescent="0.2">
      <c r="K369" s="62"/>
      <c r="L369" s="62"/>
      <c r="M369" s="62"/>
      <c r="N369" s="64"/>
    </row>
    <row r="370" spans="11:14" x14ac:dyDescent="0.2">
      <c r="K370" s="62"/>
      <c r="L370" s="62"/>
      <c r="M370" s="62"/>
      <c r="N370" s="64"/>
    </row>
    <row r="371" spans="11:14" x14ac:dyDescent="0.2">
      <c r="K371" s="62"/>
      <c r="L371" s="62"/>
      <c r="M371" s="62"/>
      <c r="N371" s="64"/>
    </row>
    <row r="372" spans="11:14" x14ac:dyDescent="0.2">
      <c r="K372" s="62"/>
      <c r="L372" s="62"/>
      <c r="M372" s="62"/>
      <c r="N372" s="64"/>
    </row>
    <row r="373" spans="11:14" x14ac:dyDescent="0.2">
      <c r="K373" s="62"/>
      <c r="L373" s="62"/>
      <c r="M373" s="62"/>
      <c r="N373" s="64"/>
    </row>
    <row r="374" spans="11:14" x14ac:dyDescent="0.2">
      <c r="K374" s="62"/>
      <c r="L374" s="62"/>
      <c r="M374" s="62"/>
      <c r="N374" s="64"/>
    </row>
    <row r="375" spans="11:14" x14ac:dyDescent="0.2">
      <c r="K375" s="62"/>
      <c r="L375" s="62"/>
      <c r="M375" s="62"/>
      <c r="N375" s="64"/>
    </row>
    <row r="376" spans="11:14" x14ac:dyDescent="0.2">
      <c r="K376" s="62"/>
      <c r="L376" s="62"/>
      <c r="M376" s="62"/>
      <c r="N376" s="64"/>
    </row>
    <row r="377" spans="11:14" x14ac:dyDescent="0.2">
      <c r="K377" s="62"/>
      <c r="L377" s="62"/>
      <c r="M377" s="62"/>
      <c r="N377" s="64"/>
    </row>
    <row r="378" spans="11:14" x14ac:dyDescent="0.2">
      <c r="K378" s="62"/>
      <c r="L378" s="62"/>
      <c r="M378" s="62"/>
      <c r="N378" s="64"/>
    </row>
    <row r="379" spans="11:14" x14ac:dyDescent="0.2">
      <c r="K379" s="62"/>
      <c r="L379" s="62"/>
      <c r="M379" s="62"/>
      <c r="N379" s="64"/>
    </row>
    <row r="380" spans="11:14" x14ac:dyDescent="0.2">
      <c r="K380" s="62"/>
      <c r="L380" s="62"/>
      <c r="M380" s="62"/>
      <c r="N380" s="64"/>
    </row>
    <row r="381" spans="11:14" x14ac:dyDescent="0.2">
      <c r="K381" s="62"/>
      <c r="L381" s="62"/>
      <c r="M381" s="62"/>
      <c r="N381" s="64"/>
    </row>
    <row r="382" spans="11:14" x14ac:dyDescent="0.2">
      <c r="K382" s="62"/>
      <c r="L382" s="62"/>
      <c r="M382" s="62"/>
      <c r="N382" s="64"/>
    </row>
    <row r="383" spans="11:14" x14ac:dyDescent="0.2">
      <c r="K383" s="62"/>
      <c r="L383" s="62"/>
      <c r="M383" s="62"/>
      <c r="N383" s="64"/>
    </row>
    <row r="384" spans="11:14" x14ac:dyDescent="0.2">
      <c r="K384" s="62"/>
      <c r="L384" s="62"/>
      <c r="M384" s="62"/>
      <c r="N384" s="64"/>
    </row>
    <row r="385" spans="11:14" x14ac:dyDescent="0.2">
      <c r="K385" s="62"/>
      <c r="L385" s="62"/>
      <c r="M385" s="62"/>
      <c r="N385" s="64"/>
    </row>
    <row r="386" spans="11:14" x14ac:dyDescent="0.2">
      <c r="K386" s="62"/>
      <c r="L386" s="62"/>
      <c r="M386" s="62"/>
      <c r="N386" s="64"/>
    </row>
    <row r="387" spans="11:14" x14ac:dyDescent="0.2">
      <c r="K387" s="62"/>
      <c r="L387" s="62"/>
      <c r="M387" s="62"/>
      <c r="N387" s="64"/>
    </row>
    <row r="388" spans="11:14" x14ac:dyDescent="0.2">
      <c r="K388" s="62"/>
      <c r="L388" s="62"/>
      <c r="M388" s="62"/>
      <c r="N388" s="64"/>
    </row>
    <row r="389" spans="11:14" x14ac:dyDescent="0.2">
      <c r="K389" s="62"/>
      <c r="L389" s="62"/>
      <c r="M389" s="62"/>
      <c r="N389" s="64"/>
    </row>
    <row r="390" spans="11:14" x14ac:dyDescent="0.2">
      <c r="K390" s="62"/>
      <c r="L390" s="62"/>
      <c r="M390" s="62"/>
      <c r="N390" s="64"/>
    </row>
    <row r="391" spans="11:14" x14ac:dyDescent="0.2">
      <c r="K391" s="62"/>
      <c r="L391" s="62"/>
      <c r="M391" s="62"/>
      <c r="N391" s="64"/>
    </row>
    <row r="392" spans="11:14" x14ac:dyDescent="0.2">
      <c r="K392" s="62"/>
      <c r="L392" s="62"/>
      <c r="M392" s="62"/>
      <c r="N392" s="64"/>
    </row>
    <row r="393" spans="11:14" x14ac:dyDescent="0.2">
      <c r="K393" s="62"/>
      <c r="L393" s="62"/>
      <c r="M393" s="62"/>
      <c r="N393" s="64"/>
    </row>
    <row r="394" spans="11:14" x14ac:dyDescent="0.2">
      <c r="K394" s="62"/>
      <c r="L394" s="62"/>
      <c r="M394" s="62"/>
      <c r="N394" s="64"/>
    </row>
    <row r="395" spans="11:14" x14ac:dyDescent="0.2">
      <c r="K395" s="62"/>
      <c r="L395" s="62"/>
      <c r="M395" s="62"/>
      <c r="N395" s="64"/>
    </row>
    <row r="396" spans="11:14" x14ac:dyDescent="0.2">
      <c r="K396" s="62"/>
      <c r="L396" s="62"/>
      <c r="M396" s="62"/>
      <c r="N396" s="64"/>
    </row>
    <row r="397" spans="11:14" x14ac:dyDescent="0.2">
      <c r="K397" s="62"/>
      <c r="L397" s="62"/>
      <c r="M397" s="62"/>
      <c r="N397" s="64"/>
    </row>
    <row r="398" spans="11:14" x14ac:dyDescent="0.2">
      <c r="K398" s="62"/>
      <c r="L398" s="62"/>
      <c r="M398" s="62"/>
      <c r="N398" s="64"/>
    </row>
    <row r="399" spans="11:14" x14ac:dyDescent="0.2">
      <c r="K399" s="62"/>
      <c r="L399" s="62"/>
      <c r="M399" s="62"/>
      <c r="N399" s="64"/>
    </row>
    <row r="400" spans="11:14" x14ac:dyDescent="0.2">
      <c r="K400" s="62"/>
      <c r="L400" s="62"/>
      <c r="M400" s="62"/>
      <c r="N400" s="64"/>
    </row>
    <row r="401" spans="11:14" x14ac:dyDescent="0.2">
      <c r="K401" s="62"/>
      <c r="L401" s="62"/>
      <c r="M401" s="62"/>
      <c r="N401" s="64"/>
    </row>
    <row r="402" spans="11:14" x14ac:dyDescent="0.2">
      <c r="K402" s="62"/>
      <c r="L402" s="62"/>
      <c r="M402" s="62"/>
      <c r="N402" s="64"/>
    </row>
    <row r="403" spans="11:14" x14ac:dyDescent="0.2">
      <c r="K403" s="62"/>
      <c r="L403" s="62"/>
      <c r="M403" s="62"/>
      <c r="N403" s="64"/>
    </row>
    <row r="404" spans="11:14" x14ac:dyDescent="0.2">
      <c r="K404" s="62"/>
      <c r="L404" s="62"/>
      <c r="M404" s="62"/>
      <c r="N404" s="64"/>
    </row>
    <row r="405" spans="11:14" x14ac:dyDescent="0.2">
      <c r="K405" s="62"/>
      <c r="L405" s="62"/>
      <c r="M405" s="62"/>
      <c r="N405" s="64"/>
    </row>
    <row r="406" spans="11:14" x14ac:dyDescent="0.2">
      <c r="K406" s="62"/>
      <c r="L406" s="62"/>
      <c r="M406" s="62"/>
      <c r="N406" s="64"/>
    </row>
    <row r="407" spans="11:14" x14ac:dyDescent="0.2">
      <c r="K407" s="62"/>
      <c r="L407" s="62"/>
      <c r="M407" s="62"/>
      <c r="N407" s="64"/>
    </row>
    <row r="408" spans="11:14" x14ac:dyDescent="0.2">
      <c r="K408" s="62"/>
      <c r="L408" s="62"/>
      <c r="M408" s="62"/>
      <c r="N408" s="64"/>
    </row>
    <row r="409" spans="11:14" x14ac:dyDescent="0.2">
      <c r="K409" s="62"/>
      <c r="L409" s="62"/>
      <c r="M409" s="62"/>
      <c r="N409" s="64"/>
    </row>
    <row r="410" spans="11:14" x14ac:dyDescent="0.2">
      <c r="K410" s="62"/>
      <c r="L410" s="62"/>
      <c r="M410" s="62"/>
      <c r="N410" s="64"/>
    </row>
    <row r="411" spans="11:14" x14ac:dyDescent="0.2">
      <c r="K411" s="62"/>
      <c r="L411" s="62"/>
      <c r="M411" s="62"/>
      <c r="N411" s="64"/>
    </row>
    <row r="412" spans="11:14" x14ac:dyDescent="0.2">
      <c r="K412" s="62"/>
      <c r="L412" s="62"/>
      <c r="M412" s="62"/>
      <c r="N412" s="64"/>
    </row>
    <row r="413" spans="11:14" x14ac:dyDescent="0.2">
      <c r="K413" s="62"/>
      <c r="L413" s="62"/>
      <c r="M413" s="62"/>
      <c r="N413" s="64"/>
    </row>
    <row r="414" spans="11:14" x14ac:dyDescent="0.2">
      <c r="K414" s="62"/>
      <c r="L414" s="62"/>
      <c r="M414" s="62"/>
      <c r="N414" s="64"/>
    </row>
    <row r="415" spans="11:14" x14ac:dyDescent="0.2">
      <c r="K415" s="62"/>
      <c r="L415" s="62"/>
      <c r="M415" s="62"/>
      <c r="N415" s="64"/>
    </row>
    <row r="416" spans="11:14" x14ac:dyDescent="0.2">
      <c r="K416" s="62"/>
      <c r="L416" s="62"/>
      <c r="M416" s="62"/>
      <c r="N416" s="64"/>
    </row>
    <row r="417" spans="11:14" x14ac:dyDescent="0.2">
      <c r="K417" s="62"/>
      <c r="L417" s="62"/>
      <c r="M417" s="62"/>
      <c r="N417" s="64"/>
    </row>
    <row r="418" spans="11:14" x14ac:dyDescent="0.2">
      <c r="K418" s="62"/>
      <c r="L418" s="62"/>
      <c r="M418" s="62"/>
      <c r="N418" s="64"/>
    </row>
    <row r="419" spans="11:14" x14ac:dyDescent="0.2">
      <c r="K419" s="62"/>
      <c r="L419" s="62"/>
      <c r="M419" s="62"/>
      <c r="N419" s="64"/>
    </row>
    <row r="420" spans="11:14" x14ac:dyDescent="0.2">
      <c r="K420" s="62"/>
      <c r="L420" s="62"/>
      <c r="M420" s="62"/>
      <c r="N420" s="64"/>
    </row>
    <row r="421" spans="11:14" x14ac:dyDescent="0.2">
      <c r="K421" s="62"/>
      <c r="L421" s="62"/>
      <c r="M421" s="62"/>
      <c r="N421" s="64"/>
    </row>
    <row r="422" spans="11:14" x14ac:dyDescent="0.2">
      <c r="K422" s="62"/>
      <c r="L422" s="62"/>
      <c r="M422" s="62"/>
      <c r="N422" s="64"/>
    </row>
    <row r="423" spans="11:14" x14ac:dyDescent="0.2">
      <c r="K423" s="62"/>
      <c r="L423" s="62"/>
      <c r="M423" s="62"/>
      <c r="N423" s="64"/>
    </row>
    <row r="424" spans="11:14" x14ac:dyDescent="0.2">
      <c r="K424" s="62"/>
      <c r="L424" s="62"/>
      <c r="M424" s="62"/>
      <c r="N424" s="64"/>
    </row>
    <row r="425" spans="11:14" x14ac:dyDescent="0.2">
      <c r="K425" s="62"/>
      <c r="L425" s="62"/>
      <c r="M425" s="62"/>
      <c r="N425" s="64"/>
    </row>
    <row r="426" spans="11:14" x14ac:dyDescent="0.2">
      <c r="K426" s="62"/>
      <c r="L426" s="62"/>
      <c r="M426" s="62"/>
      <c r="N426" s="64"/>
    </row>
    <row r="427" spans="11:14" x14ac:dyDescent="0.2">
      <c r="K427" s="62"/>
      <c r="L427" s="62"/>
      <c r="M427" s="62"/>
      <c r="N427" s="64"/>
    </row>
    <row r="428" spans="11:14" x14ac:dyDescent="0.2">
      <c r="K428" s="62"/>
      <c r="L428" s="62"/>
      <c r="M428" s="62"/>
      <c r="N428" s="64"/>
    </row>
    <row r="429" spans="11:14" x14ac:dyDescent="0.2">
      <c r="K429" s="62"/>
      <c r="L429" s="62"/>
      <c r="M429" s="62"/>
      <c r="N429" s="64"/>
    </row>
    <row r="430" spans="11:14" x14ac:dyDescent="0.2">
      <c r="K430" s="62"/>
      <c r="L430" s="62"/>
      <c r="M430" s="62"/>
      <c r="N430" s="64"/>
    </row>
    <row r="431" spans="11:14" x14ac:dyDescent="0.2">
      <c r="K431" s="62"/>
      <c r="L431" s="62"/>
      <c r="M431" s="62"/>
      <c r="N431" s="64"/>
    </row>
    <row r="432" spans="11:14" x14ac:dyDescent="0.2">
      <c r="K432" s="62"/>
      <c r="L432" s="62"/>
      <c r="M432" s="62"/>
      <c r="N432" s="64"/>
    </row>
    <row r="433" spans="11:14" x14ac:dyDescent="0.2">
      <c r="K433" s="62"/>
      <c r="L433" s="62"/>
      <c r="M433" s="62"/>
      <c r="N433" s="64"/>
    </row>
    <row r="434" spans="11:14" x14ac:dyDescent="0.2">
      <c r="K434" s="62"/>
      <c r="L434" s="62"/>
      <c r="M434" s="62"/>
      <c r="N434" s="64"/>
    </row>
    <row r="435" spans="11:14" x14ac:dyDescent="0.2">
      <c r="K435" s="62"/>
      <c r="L435" s="62"/>
      <c r="M435" s="62"/>
      <c r="N435" s="64"/>
    </row>
    <row r="436" spans="11:14" x14ac:dyDescent="0.2">
      <c r="K436" s="62"/>
      <c r="L436" s="62"/>
      <c r="M436" s="62"/>
      <c r="N436" s="64"/>
    </row>
    <row r="437" spans="11:14" x14ac:dyDescent="0.2">
      <c r="K437" s="62"/>
      <c r="L437" s="62"/>
      <c r="M437" s="62"/>
      <c r="N437" s="64"/>
    </row>
    <row r="438" spans="11:14" x14ac:dyDescent="0.2">
      <c r="K438" s="62"/>
      <c r="L438" s="62"/>
      <c r="M438" s="62"/>
      <c r="N438" s="64"/>
    </row>
    <row r="439" spans="11:14" x14ac:dyDescent="0.2">
      <c r="K439" s="62"/>
      <c r="L439" s="62"/>
      <c r="M439" s="62"/>
      <c r="N439" s="64"/>
    </row>
    <row r="440" spans="11:14" x14ac:dyDescent="0.2">
      <c r="K440" s="62"/>
      <c r="L440" s="62"/>
      <c r="M440" s="62"/>
      <c r="N440" s="64"/>
    </row>
    <row r="441" spans="11:14" x14ac:dyDescent="0.2">
      <c r="K441" s="62"/>
      <c r="L441" s="62"/>
      <c r="M441" s="62"/>
      <c r="N441" s="64"/>
    </row>
    <row r="442" spans="11:14" x14ac:dyDescent="0.2">
      <c r="K442" s="62"/>
      <c r="L442" s="62"/>
      <c r="M442" s="62"/>
      <c r="N442" s="64"/>
    </row>
    <row r="443" spans="11:14" x14ac:dyDescent="0.2">
      <c r="K443" s="62"/>
      <c r="L443" s="62"/>
      <c r="M443" s="62"/>
      <c r="N443" s="64"/>
    </row>
    <row r="444" spans="11:14" x14ac:dyDescent="0.2">
      <c r="K444" s="62"/>
      <c r="L444" s="62"/>
      <c r="M444" s="62"/>
      <c r="N444" s="64"/>
    </row>
    <row r="445" spans="11:14" x14ac:dyDescent="0.2">
      <c r="K445" s="62"/>
      <c r="L445" s="62"/>
      <c r="M445" s="62"/>
      <c r="N445" s="64"/>
    </row>
    <row r="446" spans="11:14" x14ac:dyDescent="0.2">
      <c r="K446" s="62"/>
      <c r="L446" s="62"/>
      <c r="M446" s="62"/>
      <c r="N446" s="64"/>
    </row>
    <row r="447" spans="11:14" x14ac:dyDescent="0.2">
      <c r="K447" s="62"/>
      <c r="L447" s="62"/>
      <c r="M447" s="62"/>
      <c r="N447" s="64"/>
    </row>
    <row r="448" spans="11:14" x14ac:dyDescent="0.2">
      <c r="K448" s="62"/>
      <c r="L448" s="62"/>
      <c r="M448" s="62"/>
      <c r="N448" s="64"/>
    </row>
    <row r="449" spans="11:14" x14ac:dyDescent="0.2">
      <c r="K449" s="62"/>
      <c r="L449" s="62"/>
      <c r="M449" s="62"/>
      <c r="N449" s="64"/>
    </row>
    <row r="450" spans="11:14" x14ac:dyDescent="0.2">
      <c r="K450" s="62"/>
      <c r="L450" s="62"/>
      <c r="M450" s="62"/>
      <c r="N450" s="64"/>
    </row>
    <row r="451" spans="11:14" x14ac:dyDescent="0.2">
      <c r="K451" s="62"/>
      <c r="L451" s="62"/>
      <c r="M451" s="62"/>
      <c r="N451" s="64"/>
    </row>
    <row r="452" spans="11:14" x14ac:dyDescent="0.2">
      <c r="K452" s="62"/>
      <c r="L452" s="62"/>
      <c r="M452" s="62"/>
      <c r="N452" s="64"/>
    </row>
    <row r="453" spans="11:14" x14ac:dyDescent="0.2">
      <c r="K453" s="62"/>
      <c r="L453" s="62"/>
      <c r="M453" s="62"/>
      <c r="N453" s="64"/>
    </row>
    <row r="454" spans="11:14" x14ac:dyDescent="0.2">
      <c r="K454" s="62"/>
      <c r="L454" s="62"/>
      <c r="M454" s="62"/>
      <c r="N454" s="64"/>
    </row>
    <row r="455" spans="11:14" x14ac:dyDescent="0.2">
      <c r="K455" s="62"/>
      <c r="L455" s="62"/>
      <c r="M455" s="62"/>
      <c r="N455" s="64"/>
    </row>
    <row r="456" spans="11:14" x14ac:dyDescent="0.2">
      <c r="K456" s="62"/>
      <c r="L456" s="62"/>
      <c r="M456" s="62"/>
      <c r="N456" s="64"/>
    </row>
    <row r="457" spans="11:14" x14ac:dyDescent="0.2">
      <c r="K457" s="62"/>
      <c r="L457" s="62"/>
      <c r="M457" s="62"/>
      <c r="N457" s="64"/>
    </row>
    <row r="458" spans="11:14" x14ac:dyDescent="0.2">
      <c r="K458" s="62"/>
      <c r="L458" s="62"/>
      <c r="M458" s="62"/>
      <c r="N458" s="64"/>
    </row>
    <row r="459" spans="11:14" x14ac:dyDescent="0.2">
      <c r="K459" s="62"/>
      <c r="L459" s="62"/>
      <c r="M459" s="62"/>
      <c r="N459" s="64"/>
    </row>
    <row r="460" spans="11:14" x14ac:dyDescent="0.2">
      <c r="K460" s="62"/>
      <c r="L460" s="62"/>
      <c r="M460" s="62"/>
      <c r="N460" s="64"/>
    </row>
    <row r="461" spans="11:14" x14ac:dyDescent="0.2">
      <c r="K461" s="62"/>
      <c r="L461" s="62"/>
      <c r="M461" s="62"/>
      <c r="N461" s="64"/>
    </row>
    <row r="462" spans="11:14" x14ac:dyDescent="0.2">
      <c r="K462" s="62"/>
      <c r="L462" s="62"/>
      <c r="M462" s="62"/>
      <c r="N462" s="64"/>
    </row>
    <row r="463" spans="11:14" x14ac:dyDescent="0.2">
      <c r="K463" s="62"/>
      <c r="L463" s="62"/>
      <c r="M463" s="62"/>
      <c r="N463" s="64"/>
    </row>
    <row r="464" spans="11:14" x14ac:dyDescent="0.2">
      <c r="K464" s="62"/>
      <c r="L464" s="62"/>
      <c r="M464" s="62"/>
      <c r="N464" s="64"/>
    </row>
    <row r="465" spans="11:14" x14ac:dyDescent="0.2">
      <c r="K465" s="62"/>
      <c r="L465" s="62"/>
      <c r="M465" s="62"/>
      <c r="N465" s="64"/>
    </row>
    <row r="466" spans="11:14" x14ac:dyDescent="0.2">
      <c r="K466" s="62"/>
      <c r="L466" s="62"/>
      <c r="M466" s="62"/>
      <c r="N466" s="64"/>
    </row>
    <row r="467" spans="11:14" x14ac:dyDescent="0.2">
      <c r="K467" s="62"/>
      <c r="L467" s="62"/>
      <c r="M467" s="62"/>
      <c r="N467" s="64"/>
    </row>
    <row r="468" spans="11:14" x14ac:dyDescent="0.2">
      <c r="K468" s="62"/>
      <c r="L468" s="62"/>
      <c r="M468" s="62"/>
      <c r="N468" s="64"/>
    </row>
    <row r="469" spans="11:14" x14ac:dyDescent="0.2">
      <c r="K469" s="62"/>
      <c r="L469" s="62"/>
      <c r="M469" s="62"/>
      <c r="N469" s="64"/>
    </row>
    <row r="470" spans="11:14" x14ac:dyDescent="0.2">
      <c r="K470" s="62"/>
      <c r="L470" s="62"/>
      <c r="M470" s="62"/>
      <c r="N470" s="64"/>
    </row>
    <row r="471" spans="11:14" x14ac:dyDescent="0.2">
      <c r="K471" s="62"/>
      <c r="L471" s="62"/>
      <c r="M471" s="62"/>
      <c r="N471" s="64"/>
    </row>
    <row r="472" spans="11:14" x14ac:dyDescent="0.2">
      <c r="K472" s="62"/>
      <c r="L472" s="62"/>
      <c r="M472" s="62"/>
      <c r="N472" s="64"/>
    </row>
    <row r="473" spans="11:14" x14ac:dyDescent="0.2">
      <c r="K473" s="62"/>
      <c r="L473" s="62"/>
      <c r="M473" s="62"/>
      <c r="N473" s="64"/>
    </row>
    <row r="474" spans="11:14" x14ac:dyDescent="0.2">
      <c r="K474" s="62"/>
      <c r="L474" s="62"/>
      <c r="M474" s="62"/>
      <c r="N474" s="64"/>
    </row>
    <row r="475" spans="11:14" x14ac:dyDescent="0.2">
      <c r="K475" s="62"/>
      <c r="L475" s="62"/>
      <c r="M475" s="62"/>
      <c r="N475" s="64"/>
    </row>
    <row r="476" spans="11:14" x14ac:dyDescent="0.2">
      <c r="K476" s="62"/>
      <c r="L476" s="62"/>
      <c r="M476" s="62"/>
      <c r="N476" s="64"/>
    </row>
    <row r="477" spans="11:14" x14ac:dyDescent="0.2">
      <c r="K477" s="62"/>
      <c r="L477" s="62"/>
      <c r="M477" s="62"/>
      <c r="N477" s="64"/>
    </row>
    <row r="478" spans="11:14" x14ac:dyDescent="0.2">
      <c r="K478" s="62"/>
      <c r="L478" s="62"/>
      <c r="M478" s="62"/>
      <c r="N478" s="64"/>
    </row>
    <row r="479" spans="11:14" x14ac:dyDescent="0.2">
      <c r="K479" s="62"/>
      <c r="L479" s="62"/>
      <c r="M479" s="62"/>
      <c r="N479" s="64"/>
    </row>
    <row r="480" spans="11:14" x14ac:dyDescent="0.2">
      <c r="K480" s="62"/>
      <c r="L480" s="62"/>
      <c r="M480" s="62"/>
      <c r="N480" s="64"/>
    </row>
    <row r="481" spans="11:14" x14ac:dyDescent="0.2">
      <c r="K481" s="62"/>
      <c r="L481" s="62"/>
      <c r="M481" s="62"/>
      <c r="N481" s="64"/>
    </row>
    <row r="482" spans="11:14" x14ac:dyDescent="0.2">
      <c r="K482" s="62"/>
      <c r="L482" s="62"/>
      <c r="M482" s="62"/>
      <c r="N482" s="64"/>
    </row>
    <row r="483" spans="11:14" x14ac:dyDescent="0.2">
      <c r="K483" s="62"/>
      <c r="L483" s="62"/>
      <c r="M483" s="62"/>
      <c r="N483" s="64"/>
    </row>
    <row r="484" spans="11:14" x14ac:dyDescent="0.2">
      <c r="K484" s="62"/>
      <c r="L484" s="62"/>
      <c r="M484" s="62"/>
      <c r="N484" s="64"/>
    </row>
    <row r="485" spans="11:14" x14ac:dyDescent="0.2">
      <c r="K485" s="62"/>
      <c r="L485" s="62"/>
      <c r="M485" s="62"/>
      <c r="N485" s="64"/>
    </row>
    <row r="486" spans="11:14" x14ac:dyDescent="0.2">
      <c r="K486" s="62"/>
      <c r="L486" s="62"/>
      <c r="M486" s="62"/>
      <c r="N486" s="64"/>
    </row>
    <row r="487" spans="11:14" x14ac:dyDescent="0.2">
      <c r="K487" s="62"/>
      <c r="L487" s="62"/>
      <c r="M487" s="62"/>
      <c r="N487" s="64"/>
    </row>
    <row r="488" spans="11:14" x14ac:dyDescent="0.2">
      <c r="K488" s="62"/>
      <c r="L488" s="62"/>
      <c r="M488" s="62"/>
      <c r="N488" s="64"/>
    </row>
    <row r="489" spans="11:14" x14ac:dyDescent="0.2">
      <c r="K489" s="62"/>
      <c r="L489" s="62"/>
      <c r="M489" s="62"/>
      <c r="N489" s="64"/>
    </row>
    <row r="490" spans="11:14" x14ac:dyDescent="0.2">
      <c r="K490" s="62"/>
      <c r="L490" s="62"/>
      <c r="M490" s="62"/>
      <c r="N490" s="64"/>
    </row>
    <row r="491" spans="11:14" x14ac:dyDescent="0.2">
      <c r="K491" s="62"/>
      <c r="L491" s="62"/>
      <c r="M491" s="62"/>
      <c r="N491" s="64"/>
    </row>
    <row r="492" spans="11:14" x14ac:dyDescent="0.2">
      <c r="K492" s="62"/>
      <c r="L492" s="62"/>
      <c r="M492" s="62"/>
      <c r="N492" s="64"/>
    </row>
    <row r="493" spans="11:14" x14ac:dyDescent="0.2">
      <c r="K493" s="62"/>
      <c r="L493" s="62"/>
      <c r="M493" s="62"/>
      <c r="N493" s="64"/>
    </row>
    <row r="494" spans="11:14" x14ac:dyDescent="0.2">
      <c r="K494" s="62"/>
      <c r="L494" s="62"/>
      <c r="M494" s="62"/>
      <c r="N494" s="64"/>
    </row>
    <row r="495" spans="11:14" x14ac:dyDescent="0.2">
      <c r="K495" s="62"/>
      <c r="L495" s="62"/>
      <c r="M495" s="62"/>
      <c r="N495" s="64"/>
    </row>
    <row r="496" spans="11:14" x14ac:dyDescent="0.2">
      <c r="K496" s="62"/>
      <c r="L496" s="62"/>
      <c r="M496" s="62"/>
      <c r="N496" s="64"/>
    </row>
    <row r="497" spans="11:14" x14ac:dyDescent="0.2">
      <c r="K497" s="62"/>
      <c r="L497" s="62"/>
      <c r="M497" s="62"/>
      <c r="N497" s="64"/>
    </row>
    <row r="498" spans="11:14" x14ac:dyDescent="0.2">
      <c r="K498" s="62"/>
      <c r="L498" s="62"/>
      <c r="M498" s="62"/>
      <c r="N498" s="64"/>
    </row>
    <row r="499" spans="11:14" x14ac:dyDescent="0.2">
      <c r="K499" s="62"/>
      <c r="L499" s="62"/>
      <c r="M499" s="62"/>
      <c r="N499" s="64"/>
    </row>
    <row r="500" spans="11:14" x14ac:dyDescent="0.2">
      <c r="K500" s="62"/>
      <c r="L500" s="62"/>
      <c r="M500" s="62"/>
      <c r="N500" s="64"/>
    </row>
  </sheetData>
  <autoFilter ref="B2:W291">
    <filterColumn colId="7">
      <filters>
        <filter val="MT CA PR"/>
      </filters>
    </filterColumn>
  </autoFilter>
  <pageMargins left="0.7" right="0.7" top="0.75" bottom="0.75" header="0.3" footer="0.3"/>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00B0F0"/>
  </sheetPr>
  <dimension ref="A1:S64"/>
  <sheetViews>
    <sheetView workbookViewId="0">
      <selection activeCell="J9" sqref="J9"/>
    </sheetView>
  </sheetViews>
  <sheetFormatPr baseColWidth="10" defaultRowHeight="15" x14ac:dyDescent="0.25"/>
  <cols>
    <col min="1" max="1" width="24.85546875" style="8" customWidth="1"/>
    <col min="2" max="7" width="14.7109375" style="8" customWidth="1"/>
    <col min="8" max="8" width="2.85546875" style="8" customWidth="1"/>
    <col min="9" max="18" width="8.7109375" style="85" customWidth="1"/>
    <col min="19" max="19" width="2.85546875" style="8" customWidth="1"/>
    <col min="20" max="16384" width="11.42578125" style="8"/>
  </cols>
  <sheetData>
    <row r="1" spans="1:19" ht="24" customHeight="1" x14ac:dyDescent="0.25">
      <c r="A1" s="111" t="s">
        <v>1489</v>
      </c>
      <c r="B1" s="111"/>
      <c r="C1" s="111"/>
      <c r="D1" s="111"/>
      <c r="E1" s="111"/>
      <c r="F1" s="111"/>
      <c r="G1" s="111"/>
      <c r="H1" s="11"/>
      <c r="I1" s="111" t="s">
        <v>1495</v>
      </c>
      <c r="J1" s="111"/>
      <c r="K1" s="111"/>
      <c r="L1" s="111"/>
      <c r="M1" s="111"/>
      <c r="N1" s="111"/>
      <c r="O1" s="111"/>
      <c r="P1" s="111"/>
      <c r="Q1" s="111"/>
      <c r="R1" s="111"/>
      <c r="S1" s="11"/>
    </row>
    <row r="2" spans="1:19" x14ac:dyDescent="0.25">
      <c r="H2" s="11"/>
      <c r="S2" s="11"/>
    </row>
    <row r="3" spans="1:19" ht="61.5" customHeight="1" x14ac:dyDescent="0.25">
      <c r="A3" s="9" t="s">
        <v>1399</v>
      </c>
      <c r="B3" s="10" t="s">
        <v>1401</v>
      </c>
      <c r="C3" s="10" t="s">
        <v>1402</v>
      </c>
      <c r="D3" s="10" t="s">
        <v>1400</v>
      </c>
      <c r="E3" s="10" t="s">
        <v>1572</v>
      </c>
      <c r="F3" s="10" t="s">
        <v>1573</v>
      </c>
      <c r="G3" s="10" t="s">
        <v>32</v>
      </c>
      <c r="H3" s="11"/>
      <c r="I3" s="86" t="s">
        <v>25</v>
      </c>
      <c r="J3" s="86" t="s">
        <v>26</v>
      </c>
      <c r="K3" s="86" t="s">
        <v>27</v>
      </c>
      <c r="L3" s="86" t="s">
        <v>28</v>
      </c>
      <c r="M3" s="86" t="s">
        <v>29</v>
      </c>
      <c r="N3" s="86" t="s">
        <v>1490</v>
      </c>
      <c r="O3" s="86" t="s">
        <v>1491</v>
      </c>
      <c r="P3" s="86" t="s">
        <v>30</v>
      </c>
      <c r="Q3" s="86" t="s">
        <v>31</v>
      </c>
      <c r="R3" s="86" t="s">
        <v>1492</v>
      </c>
      <c r="S3" s="11"/>
    </row>
    <row r="4" spans="1:19" ht="15.95" customHeight="1" x14ac:dyDescent="0.25">
      <c r="A4" s="12" t="s">
        <v>1574</v>
      </c>
      <c r="B4" s="37">
        <f>SUM(B5:B12)</f>
        <v>3</v>
      </c>
      <c r="C4" s="38">
        <f>SUM(C5:C12)</f>
        <v>12</v>
      </c>
      <c r="D4" s="39">
        <f>SUM(D5:D12)</f>
        <v>0</v>
      </c>
      <c r="E4" s="107">
        <f>SUM(E5:E12)</f>
        <v>4</v>
      </c>
      <c r="F4" s="107">
        <f>SUM(F5:F12)</f>
        <v>6</v>
      </c>
      <c r="G4" s="36"/>
      <c r="H4" s="13"/>
      <c r="I4" s="92"/>
      <c r="J4" s="92"/>
      <c r="K4" s="92"/>
      <c r="L4" s="92"/>
      <c r="M4" s="92"/>
      <c r="N4" s="92"/>
      <c r="O4" s="92"/>
      <c r="P4" s="92"/>
      <c r="Q4" s="92"/>
      <c r="R4" s="92"/>
      <c r="S4" s="13"/>
    </row>
    <row r="5" spans="1:19" ht="15.95" customHeight="1" x14ac:dyDescent="0.25">
      <c r="A5" s="14" t="s">
        <v>762</v>
      </c>
      <c r="B5" s="41">
        <f>SUMPRODUCT(--(TRIM('EXTRACTION AT GLOBAL DEA'!$I$3:$I$1500)="BLDPMERY")*('EXTRACTION AT GLOBAL DEA'!$L$3:$L$1500="O")*('EXTRACTION AT GLOBAL DEA'!$K$3:$K$1500="S"))</f>
        <v>0</v>
      </c>
      <c r="C5" s="42">
        <f>SUMPRODUCT(--(TRIM('EXTRACTION AT GLOBAL DEA'!$I$3:$I$1500)="BLDPMERY")*('EXTRACTION AT GLOBAL DEA'!$L$3:$L$1500="N")*('EXTRACTION AT GLOBAL DEA'!$K$3:$K$1500="S"))</f>
        <v>0</v>
      </c>
      <c r="D5" s="43">
        <f>SUMPRODUCT(--(TRIM('EXTRACTION AT GLOBAL DEA'!$I$3:$I$1500)="BLDPMERY")*('EXTRACTION AT GLOBAL DEA'!$M$3:$M$1500="O")*('EXTRACTION AT GLOBAL DEA'!$K$3:$K$1500="S"))</f>
        <v>0</v>
      </c>
      <c r="E5" s="110">
        <f>SUMPRODUCT(--(TRIM('EXTRACTION AT GLOBAL DEA'!$I$3:$I$1500)="BLDPMERY")*('EXTRACTION AT GLOBAL DEA'!$L$3:$L$1500="O")*('EXTRACTION AT GLOBAL DEA'!$K$3:$K$1500="T"))</f>
        <v>0</v>
      </c>
      <c r="F5" s="44">
        <f>SUMPRODUCT(--(TRIM('EXTRACTION AT GLOBAL DEA'!$I$3:$I$1500)="BLDPMERY")*('EXTRACTION AT GLOBAL DEA'!$L$3:$L$1500="N")*('EXTRACTION AT GLOBAL DEA'!$K$3:$K$1500="T"))</f>
        <v>1</v>
      </c>
      <c r="G5" s="46">
        <f>SUMPRODUCT(--(TRIM('EXTRACTION AT GLOBAL DEA'!$I$3:$I$1500)="BLDPMERY")*('EXTRACTION AT GLOBAL DEA'!$L$3:$L$1500="O")*('EXTRACTION AT GLOBAL DEA'!$N$3:$N$1500=""))</f>
        <v>0</v>
      </c>
      <c r="H5" s="13"/>
      <c r="I5" s="92">
        <f>SUMPRODUCT(--(TRIM(MATRICE!$D$5:$D$500)="BLDPMERY")*(MATRICE!$F$5:$F$500="Moins de 20 ans")*(MATRICE!$G$5:$G$500="S")*(MATRICE!$I$5:$I$500="O"))</f>
        <v>0</v>
      </c>
      <c r="J5" s="92">
        <f>SUMPRODUCT(--(TRIM(MATRICE!$D$5:$D$500)="BLDPMERY ")*(MATRICE!$F$5:$F$500="Moins de 20 ans")*(MATRICE!$G$5:$G$500="S")*(MATRICE!$I$5:$I$500="O"))</f>
        <v>0</v>
      </c>
      <c r="K5" s="92">
        <f>SUMPRODUCT(--(TRIM(MATRICE!$D$5:$D$500)="BLDPMERY ")*(MATRICE!$F$5:$F$500="Moins de 20 ans")*(MATRICE!$G$5:$G$500="S")*(MATRICE!$I$5:$I$500="O"))</f>
        <v>0</v>
      </c>
      <c r="L5" s="92">
        <f>SUMPRODUCT(--(TRIM(MATRICE!$D$5:$D$500)="BLDPMERY ")*(MATRICE!$F$5:$F$500="Moins de 20 ans")*(MATRICE!$G$5:$G$500="S")*(MATRICE!$I$5:$I$500="O"))</f>
        <v>0</v>
      </c>
      <c r="M5" s="92">
        <f>SUMPRODUCT(--(TRIM(MATRICE!$D$5:$D$500)="BLDPMERY ")*(MATRICE!$F$5:$F$500="Moins de 20 ans")*(MATRICE!$G$5:$G$500="S")*(MATRICE!$I$5:$I$500="O"))</f>
        <v>0</v>
      </c>
      <c r="N5" s="92">
        <f>SUMPRODUCT(--(TRIM(MATRICE!$D$5:$D$500)="BLDPMERY ")*(MATRICE!$F$5:$F$500="Moins de 20 ans")*(MATRICE!$G$5:$G$500="S")*(MATRICE!$I$5:$I$500="O"))</f>
        <v>0</v>
      </c>
      <c r="O5" s="92">
        <f>SUMPRODUCT(--(TRIM(MATRICE!$D$5:$D$500)="BLDPMERY ")*(MATRICE!$F$5:$F$500="Moins de 20 ans")*(MATRICE!$G$5:$G$500="S")*(MATRICE!$I$5:$I$500="O"))</f>
        <v>0</v>
      </c>
      <c r="P5" s="92">
        <f>SUMPRODUCT(--(TRIM(MATRICE!$D$5:$D$500)="BLDPMERY ")*(MATRICE!$F$5:$F$500="Moins de 20 ans")*(MATRICE!$G$5:$G$500="S")*(MATRICE!$I$5:$I$500="O"))</f>
        <v>0</v>
      </c>
      <c r="Q5" s="92">
        <f>SUMPRODUCT(--(TRIM(MATRICE!$D$5:$D$500)="BLDPMERY ")*(MATRICE!$F$5:$F$500="Moins de 20 ans")*(MATRICE!$G$5:$G$500="S")*(MATRICE!$I$5:$I$500="O"))</f>
        <v>0</v>
      </c>
      <c r="R5" s="92">
        <f>SUMPRODUCT(--(TRIM(MATRICE!$D$5:$D$500)="BLDPMERY ")*(MATRICE!$F$5:$F$500="Moins de 20 ans")*(MATRICE!$G$5:$G$500="S")*(MATRICE!$I$5:$I$500="O"))</f>
        <v>0</v>
      </c>
      <c r="S5" s="13"/>
    </row>
    <row r="6" spans="1:19" ht="15.95" customHeight="1" x14ac:dyDescent="0.25">
      <c r="A6" s="15" t="s">
        <v>399</v>
      </c>
      <c r="B6" s="41">
        <f>SUMPRODUCT(--(TRIM('EXTRACTION AT GLOBAL DEA'!$I$3:$I$1500)="BLDPMMOR")*('EXTRACTION AT GLOBAL DEA'!$L$3:$L$1500="O")*('EXTRACTION AT GLOBAL DEA'!$K$3:$K$1500="S"))</f>
        <v>0</v>
      </c>
      <c r="C6" s="42">
        <f>SUMPRODUCT(--(TRIM('EXTRACTION AT GLOBAL DEA'!$I$3:$I$1500)="BLDPMMOR")*('EXTRACTION AT GLOBAL DEA'!$L$3:$L$1500="N")*('EXTRACTION AT GLOBAL DEA'!$K$3:$K$1500="S"))</f>
        <v>2</v>
      </c>
      <c r="D6" s="43">
        <f>SUMPRODUCT(--(TRIM('EXTRACTION AT GLOBAL DEA'!$I$3:$I$1500)="BLDPMMOR")*('EXTRACTION AT GLOBAL DEA'!$M$3:$M$1500="O")*('EXTRACTION AT GLOBAL DEA'!$K$3:$K$1500="S"))</f>
        <v>0</v>
      </c>
      <c r="E6" s="110">
        <f>SUMPRODUCT(--(TRIM('EXTRACTION AT GLOBAL DEA'!$I$3:$I$1500)="BLDPMMOR")*('EXTRACTION AT GLOBAL DEA'!$L$3:$L$1500="O")*('EXTRACTION AT GLOBAL DEA'!$K$3:$K$1500="T"))</f>
        <v>0</v>
      </c>
      <c r="F6" s="44">
        <f>SUMPRODUCT(--(TRIM('EXTRACTION AT GLOBAL DEA'!$I$3:$I$1500)="BLDPMMOR")*('EXTRACTION AT GLOBAL DEA'!$L$3:$L$1500="N")*('EXTRACTION AT GLOBAL DEA'!$K$3:$K$1500="T"))</f>
        <v>0</v>
      </c>
      <c r="G6" s="46">
        <f>SUMPRODUCT(--(TRIM('EXTRACTION AT GLOBAL DEA'!$I$3:$I$1500)="BLDPMMOR")*('EXTRACTION AT GLOBAL DEA'!$L$3:$L$1500="O")*('EXTRACTION AT GLOBAL DEA'!$N$3:$N$1500=""))</f>
        <v>0</v>
      </c>
      <c r="H6" s="13"/>
      <c r="I6" s="92">
        <f>SUMPRODUCT(--(TRIM(MATRICE!$D$5:$D$500)="BLDPMMOR")*(MATRICE!$F$5:$F$500="Moins de 20 ans")*(MATRICE!$G$5:$G$500="S")*(MATRICE!$I$5:$I$500="O"))</f>
        <v>0</v>
      </c>
      <c r="J6" s="92">
        <f>SUMPRODUCT(--(TRIM(MATRICE!$D$5:$D$500)="BLDPMMOR")*(MATRICE!$F$5:$F$500="Moins de 20 ans")*(MATRICE!$G$5:$G$500="S")*(MATRICE!$I$5:$I$500="O"))</f>
        <v>0</v>
      </c>
      <c r="K6" s="92">
        <f>SUMPRODUCT(--(TRIM(MATRICE!$D$5:$D$500)="BLDPMMOR")*(MATRICE!$F$5:$F$500="Moins de 20 ans")*(MATRICE!$G$5:$G$500="S")*(MATRICE!$I$5:$I$500="O"))</f>
        <v>0</v>
      </c>
      <c r="L6" s="92">
        <f>SUMPRODUCT(--(TRIM(MATRICE!$D$5:$D$500)="BLDPMMOR")*(MATRICE!$F$5:$F$500="Moins de 20 ans")*(MATRICE!$G$5:$G$500="S")*(MATRICE!$I$5:$I$500="O"))</f>
        <v>0</v>
      </c>
      <c r="M6" s="92">
        <f>SUMPRODUCT(--(TRIM(MATRICE!$D$5:$D$500)="BLDPMMOR")*(MATRICE!$F$5:$F$500="Moins de 20 ans")*(MATRICE!$G$5:$G$500="S")*(MATRICE!$I$5:$I$500="O"))</f>
        <v>0</v>
      </c>
      <c r="N6" s="92">
        <f>SUMPRODUCT(--(TRIM(MATRICE!$D$5:$D$500)="BLDPMMOR")*(MATRICE!$F$5:$F$500="Moins de 20 ans")*(MATRICE!$G$5:$G$500="S")*(MATRICE!$I$5:$I$500="O"))</f>
        <v>0</v>
      </c>
      <c r="O6" s="92">
        <f>SUMPRODUCT(--(TRIM(MATRICE!$D$5:$D$500)="BLDPMMOR")*(MATRICE!$F$5:$F$500="Moins de 20 ans")*(MATRICE!$G$5:$G$500="S")*(MATRICE!$I$5:$I$500="O"))</f>
        <v>0</v>
      </c>
      <c r="P6" s="92">
        <f>SUMPRODUCT(--(TRIM(MATRICE!$D$5:$D$500)="BLDPMMOR")*(MATRICE!$F$5:$F$500="Moins de 20 ans")*(MATRICE!$G$5:$G$500="S")*(MATRICE!$I$5:$I$500="O"))</f>
        <v>0</v>
      </c>
      <c r="Q6" s="92">
        <f>SUMPRODUCT(--(TRIM(MATRICE!$D$5:$D$500)="BLDPMMOR")*(MATRICE!$F$5:$F$500="Moins de 20 ans")*(MATRICE!$G$5:$G$500="S")*(MATRICE!$I$5:$I$500="O"))</f>
        <v>0</v>
      </c>
      <c r="R6" s="92">
        <f>SUMPRODUCT(--(TRIM(MATRICE!$D$5:$D$500)="BLDPMMOR")*(MATRICE!$F$5:$F$500="Moins de 20 ans")*(MATRICE!$G$5:$G$500="S")*(MATRICE!$I$5:$I$500="O"))</f>
        <v>0</v>
      </c>
      <c r="S6" s="13"/>
    </row>
    <row r="7" spans="1:19" ht="15.95" customHeight="1" x14ac:dyDescent="0.25">
      <c r="A7" s="15" t="s">
        <v>340</v>
      </c>
      <c r="B7" s="41">
        <f>SUMPRODUCT(--(TRIM('EXTRACTION AT GLOBAL DEA'!$I$3:$I$1500)="BLDPMSLB")*('EXTRACTION AT GLOBAL DEA'!$L$3:$L$1500="O")*('EXTRACTION AT GLOBAL DEA'!$K$3:$K$1500="S"))</f>
        <v>0</v>
      </c>
      <c r="C7" s="42">
        <f>SUMPRODUCT(--(TRIM('EXTRACTION AT GLOBAL DEA'!$I$3:$I$1500)="BLDPMSLB")*('EXTRACTION AT GLOBAL DEA'!$L$3:$L$1500="N")*('EXTRACTION AT GLOBAL DEA'!$K$3:$K$1500="S"))</f>
        <v>0</v>
      </c>
      <c r="D7" s="43">
        <f>SUMPRODUCT(--(TRIM('EXTRACTION AT GLOBAL DEA'!$I$3:$I$1500)="BLDPMSLB")*('EXTRACTION AT GLOBAL DEA'!$M$3:$M$1500="O")*('EXTRACTION AT GLOBAL DEA'!$K$3:$K$1500="S"))</f>
        <v>0</v>
      </c>
      <c r="E7" s="110">
        <f>SUMPRODUCT(--(TRIM('EXTRACTION AT GLOBAL DEA'!$I$3:$I$1500)="BLDPMSLB")*('EXTRACTION AT GLOBAL DEA'!$L$3:$L$1500="O")*('EXTRACTION AT GLOBAL DEA'!$K$3:$K$1500="T"))</f>
        <v>0</v>
      </c>
      <c r="F7" s="44">
        <f>SUMPRODUCT(--(TRIM('EXTRACTION AT GLOBAL DEA'!$I$3:$I$1500)="BLDPMSLB")*('EXTRACTION AT GLOBAL DEA'!$L$3:$L$1500="N")*('EXTRACTION AT GLOBAL DEA'!$K$3:$K$1500="T"))</f>
        <v>1</v>
      </c>
      <c r="G7" s="46">
        <f>SUMPRODUCT(--(TRIM('EXTRACTION AT GLOBAL DEA'!$I$3:$I$1500)="BLDPMSLB")*('EXTRACTION AT GLOBAL DEA'!$L$3:$L$1500="O")*('EXTRACTION AT GLOBAL DEA'!$N$3:$N$1500=""))</f>
        <v>0</v>
      </c>
      <c r="H7" s="13"/>
      <c r="I7" s="92">
        <f>SUMPRODUCT(--(TRIM(MATRICE!$D$5:$D$500)="BLDPMSLB")*(MATRICE!$F$5:$F$500="Moins de 20 ans")*(MATRICE!$G$5:$G$500="S")*(MATRICE!$I$5:$I$500="O"))</f>
        <v>0</v>
      </c>
      <c r="J7" s="92">
        <f>SUMPRODUCT(--(TRIM(MATRICE!$D$5:$D$500)="BLDPMSLB")*(MATRICE!$F$5:$F$500="Moins de 20 ans")*(MATRICE!$G$5:$G$500="S")*(MATRICE!$I$5:$I$500="O"))</f>
        <v>0</v>
      </c>
      <c r="K7" s="92">
        <f>SUMPRODUCT(--(TRIM(MATRICE!$D$5:$D$500)="BLDPMSLB")*(MATRICE!$F$5:$F$500="Moins de 20 ans")*(MATRICE!$G$5:$G$500="S")*(MATRICE!$I$5:$I$500="O"))</f>
        <v>0</v>
      </c>
      <c r="L7" s="92">
        <f>SUMPRODUCT(--(TRIM(MATRICE!$D$5:$D$500)="BLDPMSLB")*(MATRICE!$F$5:$F$500="Moins de 20 ans")*(MATRICE!$G$5:$G$500="S")*(MATRICE!$I$5:$I$500="O"))</f>
        <v>0</v>
      </c>
      <c r="M7" s="92">
        <f>SUMPRODUCT(--(TRIM(MATRICE!$D$5:$D$500)="BLDPMSLB")*(MATRICE!$F$5:$F$500="Moins de 20 ans")*(MATRICE!$G$5:$G$500="S")*(MATRICE!$I$5:$I$500="O"))</f>
        <v>0</v>
      </c>
      <c r="N7" s="92">
        <f>SUMPRODUCT(--(TRIM(MATRICE!$D$5:$D$500)="BLDPMSLB")*(MATRICE!$F$5:$F$500="Moins de 20 ans")*(MATRICE!$G$5:$G$500="S")*(MATRICE!$I$5:$I$500="O"))</f>
        <v>0</v>
      </c>
      <c r="O7" s="92">
        <f>SUMPRODUCT(--(TRIM(MATRICE!$D$5:$D$500)="BLDPMSLB")*(MATRICE!$F$5:$F$500="Moins de 20 ans")*(MATRICE!$G$5:$G$500="S")*(MATRICE!$I$5:$I$500="O"))</f>
        <v>0</v>
      </c>
      <c r="P7" s="92">
        <f>SUMPRODUCT(--(TRIM(MATRICE!$D$5:$D$500)="BLDPMSLB")*(MATRICE!$F$5:$F$500="Moins de 20 ans")*(MATRICE!$G$5:$G$500="S")*(MATRICE!$I$5:$I$500="O"))</f>
        <v>0</v>
      </c>
      <c r="Q7" s="92">
        <f>SUMPRODUCT(--(TRIM(MATRICE!$D$5:$D$500)="BLDPMSLB")*(MATRICE!$F$5:$F$500="Moins de 20 ans")*(MATRICE!$G$5:$G$500="S")*(MATRICE!$I$5:$I$500="O"))</f>
        <v>0</v>
      </c>
      <c r="R7" s="92">
        <f>SUMPRODUCT(--(TRIM(MATRICE!$D$5:$D$500)="BLDPMSLB")*(MATRICE!$F$5:$F$500="Moins de 20 ans")*(MATRICE!$G$5:$G$500="S")*(MATRICE!$I$5:$I$500="O"))</f>
        <v>0</v>
      </c>
      <c r="S7" s="13"/>
    </row>
    <row r="8" spans="1:19" ht="15.95" customHeight="1" x14ac:dyDescent="0.25">
      <c r="A8" s="15" t="s">
        <v>625</v>
      </c>
      <c r="B8" s="41">
        <f>SUMPRODUCT(--(TRIM('EXTRACTION AT GLOBAL DEA'!$I$3:$I$1500)="BLDPMSRY")*('EXTRACTION AT GLOBAL DEA'!$L$3:$L$1500="O")*('EXTRACTION AT GLOBAL DEA'!$K$3:$K$1500="S"))</f>
        <v>0</v>
      </c>
      <c r="C8" s="42">
        <f>SUMPRODUCT(--(TRIM('EXTRACTION AT GLOBAL DEA'!$I$3:$I$1500)="BLDPMSRY")*('EXTRACTION AT GLOBAL DEA'!$L$3:$L$1500="N")*('EXTRACTION AT GLOBAL DEA'!$K$3:$K$1500="S"))</f>
        <v>1</v>
      </c>
      <c r="D8" s="43">
        <f>SUMPRODUCT(--(TRIM('EXTRACTION AT GLOBAL DEA'!$I$3:$I$1500)="BLDPMSRY")*('EXTRACTION AT GLOBAL DEA'!$M$3:$M$1500="O")*('EXTRACTION AT GLOBAL DEA'!$K$3:$K$1500="S"))</f>
        <v>0</v>
      </c>
      <c r="E8" s="110">
        <f>SUMPRODUCT(--(TRIM('EXTRACTION AT GLOBAL DEA'!$I$3:$I$1500)="BLDPMSRY")*('EXTRACTION AT GLOBAL DEA'!$L$3:$L$1500="O")*('EXTRACTION AT GLOBAL DEA'!$K$3:$K$1500="T"))</f>
        <v>1</v>
      </c>
      <c r="F8" s="44">
        <f>SUMPRODUCT(--(TRIM('EXTRACTION AT GLOBAL DEA'!$I$3:$I$1500)="BLDPMSRY")*('EXTRACTION AT GLOBAL DEA'!$L$3:$L$1500="N")*('EXTRACTION AT GLOBAL DEA'!$K$3:$K$1500="T"))</f>
        <v>1</v>
      </c>
      <c r="G8" s="46">
        <f>SUMPRODUCT(--(TRIM('EXTRACTION AT GLOBAL DEA'!$I$3:$I$1500)="BLDPMERY ")*('EXTRACTION AT GLOBAL DEA'!$L$3:$L$1500="O")*('EXTRACTION AT GLOBAL DEA'!$N$3:$N$1500=""))</f>
        <v>0</v>
      </c>
      <c r="H8" s="13"/>
      <c r="I8" s="92">
        <f>SUMPRODUCT(--(TRIM(MATRICE!$D$5:$D$500)="BLDPMSRY")*(MATRICE!$F$5:$F$500="Moins de 20 ans")*(MATRICE!$G$5:$G$500="S")*(MATRICE!$I$5:$I$500="O"))</f>
        <v>0</v>
      </c>
      <c r="J8" s="92">
        <f>SUMPRODUCT(--(TRIM(MATRICE!$D$5:$D$500)="BLDPMSRY")*(MATRICE!$F$5:$F$500="Moins de 20 ans")*(MATRICE!$G$5:$G$500="S")*(MATRICE!$I$5:$I$500="O"))</f>
        <v>0</v>
      </c>
      <c r="K8" s="92">
        <f>SUMPRODUCT(--(TRIM(MATRICE!$D$5:$D$500)="BLDPMSRY")*(MATRICE!$F$5:$F$500="Moins de 20 ans")*(MATRICE!$G$5:$G$500="S")*(MATRICE!$I$5:$I$500="O"))</f>
        <v>0</v>
      </c>
      <c r="L8" s="92">
        <f>SUMPRODUCT(--(TRIM(MATRICE!$D$5:$D$500)="BLDPMSRY")*(MATRICE!$F$5:$F$500="Moins de 20 ans")*(MATRICE!$G$5:$G$500="S")*(MATRICE!$I$5:$I$500="O"))</f>
        <v>0</v>
      </c>
      <c r="M8" s="92">
        <f>SUMPRODUCT(--(TRIM(MATRICE!$D$5:$D$500)="BLDPMSRY")*(MATRICE!$F$5:$F$500="Moins de 20 ans")*(MATRICE!$G$5:$G$500="S")*(MATRICE!$I$5:$I$500="O"))</f>
        <v>0</v>
      </c>
      <c r="N8" s="92">
        <f>SUMPRODUCT(--(TRIM(MATRICE!$D$5:$D$500)="BLDPMSRY")*(MATRICE!$F$5:$F$500="Moins de 20 ans")*(MATRICE!$G$5:$G$500="S")*(MATRICE!$I$5:$I$500="O"))</f>
        <v>0</v>
      </c>
      <c r="O8" s="92">
        <f>SUMPRODUCT(--(TRIM(MATRICE!$D$5:$D$500)="BLDPMSRY")*(MATRICE!$F$5:$F$500="Moins de 20 ans")*(MATRICE!$G$5:$G$500="S")*(MATRICE!$I$5:$I$500="O"))</f>
        <v>0</v>
      </c>
      <c r="P8" s="92">
        <f>SUMPRODUCT(--(TRIM(MATRICE!$D$5:$D$500)="BLDPMSRY")*(MATRICE!$F$5:$F$500="Moins de 20 ans")*(MATRICE!$G$5:$G$500="S")*(MATRICE!$I$5:$I$500="O"))</f>
        <v>0</v>
      </c>
      <c r="Q8" s="92">
        <f>SUMPRODUCT(--(TRIM(MATRICE!$D$5:$D$500)="BLDPMSRY")*(MATRICE!$F$5:$F$500="Moins de 20 ans")*(MATRICE!$G$5:$G$500="S")*(MATRICE!$I$5:$I$500="O"))</f>
        <v>0</v>
      </c>
      <c r="R8" s="92">
        <f>SUMPRODUCT(--(TRIM(MATRICE!$D$5:$D$500)="BLDPMSRY")*(MATRICE!$F$5:$F$500="Moins de 20 ans")*(MATRICE!$G$5:$G$500="S")*(MATRICE!$I$5:$I$500="O"))</f>
        <v>0</v>
      </c>
      <c r="S8" s="13"/>
    </row>
    <row r="9" spans="1:19" ht="15.95" customHeight="1" x14ac:dyDescent="0.25">
      <c r="A9" s="14" t="s">
        <v>86</v>
      </c>
      <c r="B9" s="41">
        <f>SUMPRODUCT(--(TRIM('EXTRACTION AT GLOBAL DEA'!$I$3:$I$1500)="BLDPMSVL")*('EXTRACTION AT GLOBAL DEA'!$L$3:$L$1500="O")*('EXTRACTION AT GLOBAL DEA'!$K$3:$K$1500="S"))</f>
        <v>0</v>
      </c>
      <c r="C9" s="42">
        <f>SUMPRODUCT(--(TRIM('EXTRACTION AT GLOBAL DEA'!$I$3:$I$1500)="BLDPMSVL")*('EXTRACTION AT GLOBAL DEA'!$L$3:$L$1500="N")*('EXTRACTION AT GLOBAL DEA'!$K$3:$K$1500="S"))</f>
        <v>6</v>
      </c>
      <c r="D9" s="43">
        <f>SUMPRODUCT(--(TRIM('EXTRACTION AT GLOBAL DEA'!$I$3:$I$1500)="BLDPMSVL")*('EXTRACTION AT GLOBAL DEA'!$M$3:$M$1500="O")*('EXTRACTION AT GLOBAL DEA'!$K$3:$K$1500="S"))</f>
        <v>0</v>
      </c>
      <c r="E9" s="110">
        <f>SUMPRODUCT(--(TRIM('EXTRACTION AT GLOBAL DEA'!$I$3:$I$1500)="BLDPMSVL")*('EXTRACTION AT GLOBAL DEA'!$L$3:$L$1500="O")*('EXTRACTION AT GLOBAL DEA'!$K$3:$K$1500="T"))</f>
        <v>1</v>
      </c>
      <c r="F9" s="44">
        <f>SUMPRODUCT(--(TRIM('EXTRACTION AT GLOBAL DEA'!$I$3:$I$1500)="BLDPMSVL")*('EXTRACTION AT GLOBAL DEA'!$L$3:$L$1500="N")*('EXTRACTION AT GLOBAL DEA'!$K$3:$K$1500="T"))</f>
        <v>2</v>
      </c>
      <c r="G9" s="46">
        <f>SUMPRODUCT(--(TRIM('EXTRACTION AT GLOBAL DEA'!$I$3:$I$1500)="BLDPMERY ")*('EXTRACTION AT GLOBAL DEA'!$L$3:$L$1500="O")*('EXTRACTION AT GLOBAL DEA'!$N$3:$N$1500=""))</f>
        <v>0</v>
      </c>
      <c r="H9" s="13"/>
      <c r="I9" s="92">
        <f>SUMPRODUCT(--(TRIM(MATRICE!$D$5:$D$500)="BLDPMSVL")*(MATRICE!$F$5:$F$500="Moins de 20 ans")*(MATRICE!$G$5:$G$500="S")*(MATRICE!$I$5:$I$500="O"))</f>
        <v>0</v>
      </c>
      <c r="J9" s="92">
        <f>SUMPRODUCT(--(TRIM(MATRICE!$D$5:$D$500)="BLDPMSVL")*(MATRICE!$F$5:$F$500="Moins de 20 ans")*(MATRICE!$G$5:$G$500="S")*(MATRICE!$I$5:$I$500="O"))</f>
        <v>0</v>
      </c>
      <c r="K9" s="92">
        <f>SUMPRODUCT(--(TRIM(MATRICE!$D$5:$D$500)="BLDPMSVL")*(MATRICE!$F$5:$F$500="Moins de 20 ans")*(MATRICE!$G$5:$G$500="S")*(MATRICE!$I$5:$I$500="O"))</f>
        <v>0</v>
      </c>
      <c r="L9" s="92">
        <f>SUMPRODUCT(--(TRIM(MATRICE!$D$5:$D$500)="BLDPMSVL")*(MATRICE!$F$5:$F$500="Moins de 20 ans")*(MATRICE!$G$5:$G$500="S")*(MATRICE!$I$5:$I$500="O"))</f>
        <v>0</v>
      </c>
      <c r="M9" s="92">
        <f>SUMPRODUCT(--(TRIM(MATRICE!$D$5:$D$500)="BLDPMSVL")*(MATRICE!$F$5:$F$500="Moins de 20 ans")*(MATRICE!$G$5:$G$500="S")*(MATRICE!$I$5:$I$500="O"))</f>
        <v>0</v>
      </c>
      <c r="N9" s="92">
        <f>SUMPRODUCT(--(TRIM(MATRICE!$D$5:$D$500)="BLDPMSVL")*(MATRICE!$F$5:$F$500="Moins de 20 ans")*(MATRICE!$G$5:$G$500="S")*(MATRICE!$I$5:$I$500="O"))</f>
        <v>0</v>
      </c>
      <c r="O9" s="92">
        <f>SUMPRODUCT(--(TRIM(MATRICE!$D$5:$D$500)="BLDPMSVL")*(MATRICE!$F$5:$F$500="Moins de 20 ans")*(MATRICE!$G$5:$G$500="S")*(MATRICE!$I$5:$I$500="O"))</f>
        <v>0</v>
      </c>
      <c r="P9" s="92">
        <f>SUMPRODUCT(--(TRIM(MATRICE!$D$5:$D$500)="BLDPMSVL")*(MATRICE!$F$5:$F$500="Moins de 20 ans")*(MATRICE!$G$5:$G$500="S")*(MATRICE!$I$5:$I$500="O"))</f>
        <v>0</v>
      </c>
      <c r="Q9" s="92">
        <f>SUMPRODUCT(--(TRIM(MATRICE!$D$5:$D$500)="BLDPMSVL")*(MATRICE!$F$5:$F$500="Moins de 20 ans")*(MATRICE!$G$5:$G$500="S")*(MATRICE!$I$5:$I$500="O"))</f>
        <v>0</v>
      </c>
      <c r="R9" s="92">
        <f>SUMPRODUCT(--(TRIM(MATRICE!$D$5:$D$500)="BLDPMSVL")*(MATRICE!$F$5:$F$500="Moins de 20 ans")*(MATRICE!$G$5:$G$500="S")*(MATRICE!$I$5:$I$500="O"))</f>
        <v>0</v>
      </c>
      <c r="S9" s="13"/>
    </row>
    <row r="10" spans="1:19" ht="15.95" customHeight="1" x14ac:dyDescent="0.25">
      <c r="A10" s="15" t="s">
        <v>1066</v>
      </c>
      <c r="B10" s="41">
        <f>SUMPRODUCT(--(TRIM('EXTRACTION AT GLOBAL DEA'!$I$3:$I$1500)="BLDPTDTL")*('EXTRACTION AT GLOBAL DEA'!$L$3:$L$1500="O")*('EXTRACTION AT GLOBAL DEA'!$K$3:$K$1500="S"))</f>
        <v>1</v>
      </c>
      <c r="C10" s="42">
        <f>SUMPRODUCT(--(TRIM('EXTRACTION AT GLOBAL DEA'!$I$3:$I$1500)="BLDPTDTL")*('EXTRACTION AT GLOBAL DEA'!$L$3:$L$1500="N")*('EXTRACTION AT GLOBAL DEA'!$K$3:$K$1500="S"))</f>
        <v>1</v>
      </c>
      <c r="D10" s="43">
        <f>SUMPRODUCT(--(TRIM('EXTRACTION AT GLOBAL DEA'!$I$3:$I$1500)="BLDPTDTL")*('EXTRACTION AT GLOBAL DEA'!$M$3:$M$1500="O")*('EXTRACTION AT GLOBAL DEA'!$K$3:$K$1500="S"))</f>
        <v>0</v>
      </c>
      <c r="E10" s="110">
        <f>SUMPRODUCT(--(TRIM('EXTRACTION AT GLOBAL DEA'!$I$3:$I$1500)="BLDPTDTL")*('EXTRACTION AT GLOBAL DEA'!$L$3:$L$1500="O")*('EXTRACTION AT GLOBAL DEA'!$K$3:$K$1500="T"))</f>
        <v>0</v>
      </c>
      <c r="F10" s="44">
        <f>SUMPRODUCT(--(TRIM('EXTRACTION AT GLOBAL DEA'!$I$3:$I$1500)="BLDPTDTL")*('EXTRACTION AT GLOBAL DEA'!$L$3:$L$1500="N")*('EXTRACTION AT GLOBAL DEA'!$K$3:$K$1500="T"))</f>
        <v>0</v>
      </c>
      <c r="G10" s="46">
        <f>SUMPRODUCT(--(TRIM('EXTRACTION AT GLOBAL DEA'!$I$3:$I$1500)="BLDPMERY ")*('EXTRACTION AT GLOBAL DEA'!$L$3:$L$1500="O")*('EXTRACTION AT GLOBAL DEA'!$N$3:$N$1500=""))</f>
        <v>0</v>
      </c>
      <c r="H10" s="13"/>
      <c r="I10" s="92">
        <f>SUMPRODUCT(--(TRIM(MATRICE!$D$5:$D$500)="BLDPTDTL")*(MATRICE!$F$5:$F$500="Moins de 20 ans")*(MATRICE!$G$5:$G$500="S")*(MATRICE!$I$5:$I$500="O"))</f>
        <v>1</v>
      </c>
      <c r="J10" s="92">
        <f>SUMPRODUCT(--(TRIM(MATRICE!$D$5:$D$500)="BLDPTDTL")*(MATRICE!$F$5:$F$500="Moins de 20 ans")*(MATRICE!$G$5:$G$500="S")*(MATRICE!$I$5:$I$500="O"))</f>
        <v>1</v>
      </c>
      <c r="K10" s="92">
        <f>SUMPRODUCT(--(TRIM(MATRICE!$D$5:$D$500)="BLDPTDTL")*(MATRICE!$F$5:$F$500="Moins de 20 ans")*(MATRICE!$G$5:$G$500="S")*(MATRICE!$I$5:$I$500="O"))</f>
        <v>1</v>
      </c>
      <c r="L10" s="92">
        <f>SUMPRODUCT(--(TRIM(MATRICE!$D$5:$D$500)="BLDPTDTL")*(MATRICE!$F$5:$F$500="Moins de 20 ans")*(MATRICE!$G$5:$G$500="S")*(MATRICE!$I$5:$I$500="O"))</f>
        <v>1</v>
      </c>
      <c r="M10" s="92">
        <f>SUMPRODUCT(--(TRIM(MATRICE!$D$5:$D$500)="BLDPTDTL")*(MATRICE!$F$5:$F$500="Moins de 20 ans")*(MATRICE!$G$5:$G$500="S")*(MATRICE!$I$5:$I$500="O"))</f>
        <v>1</v>
      </c>
      <c r="N10" s="92">
        <f>SUMPRODUCT(--(TRIM(MATRICE!$D$5:$D$500)="BLDPTDTL")*(MATRICE!$F$5:$F$500="Moins de 20 ans")*(MATRICE!$G$5:$G$500="S")*(MATRICE!$I$5:$I$500="O"))</f>
        <v>1</v>
      </c>
      <c r="O10" s="92">
        <f>SUMPRODUCT(--(TRIM(MATRICE!$D$5:$D$500)="BLDPTDTL")*(MATRICE!$F$5:$F$500="Moins de 20 ans")*(MATRICE!$G$5:$G$500="S")*(MATRICE!$I$5:$I$500="O"))</f>
        <v>1</v>
      </c>
      <c r="P10" s="92">
        <f>SUMPRODUCT(--(TRIM(MATRICE!$D$5:$D$500)="BLDPTDTL")*(MATRICE!$F$5:$F$500="Moins de 20 ans")*(MATRICE!$G$5:$G$500="S")*(MATRICE!$I$5:$I$500="O"))</f>
        <v>1</v>
      </c>
      <c r="Q10" s="92">
        <f>SUMPRODUCT(--(TRIM(MATRICE!$D$5:$D$500)="BLDPTDTL")*(MATRICE!$F$5:$F$500="Moins de 20 ans")*(MATRICE!$G$5:$G$500="S")*(MATRICE!$I$5:$I$500="O"))</f>
        <v>1</v>
      </c>
      <c r="R10" s="92">
        <f>SUMPRODUCT(--(TRIM(MATRICE!$D$5:$D$500)="BLDPTDTL")*(MATRICE!$F$5:$F$500="Moins de 20 ans")*(MATRICE!$G$5:$G$500="S")*(MATRICE!$I$5:$I$500="O"))</f>
        <v>1</v>
      </c>
      <c r="S10" s="13"/>
    </row>
    <row r="11" spans="1:19" ht="15.95" customHeight="1" x14ac:dyDescent="0.25">
      <c r="A11" s="14" t="s">
        <v>193</v>
      </c>
      <c r="B11" s="41">
        <f>SUMPRODUCT(--(TRIM('EXTRACTION AT GLOBAL DEA'!$I$3:$I$1500)="BLDPUDRY")*('EXTRACTION AT GLOBAL DEA'!$L$3:$L$1500="O")*('EXTRACTION AT GLOBAL DEA'!$K$3:$K$1500="S"))</f>
        <v>1</v>
      </c>
      <c r="C11" s="42">
        <f>SUMPRODUCT(--(TRIM('EXTRACTION AT GLOBAL DEA'!$I$3:$I$1500)="BLDPUDRY")*('EXTRACTION AT GLOBAL DEA'!$L$3:$L$1500="N")*('EXTRACTION AT GLOBAL DEA'!$K$3:$K$1500="S"))</f>
        <v>2</v>
      </c>
      <c r="D11" s="43">
        <f>SUMPRODUCT(--(TRIM('EXTRACTION AT GLOBAL DEA'!$I$3:$I$1500)="BLDPUDRY")*('EXTRACTION AT GLOBAL DEA'!$M$3:$M$1500="O")*('EXTRACTION AT GLOBAL DEA'!$K$3:$K$1500="S"))</f>
        <v>0</v>
      </c>
      <c r="E11" s="110">
        <f>SUMPRODUCT(--(TRIM('EXTRACTION AT GLOBAL DEA'!$I$3:$I$1500)="BLDPUDRY")*('EXTRACTION AT GLOBAL DEA'!$L$3:$L$1500="O")*('EXTRACTION AT GLOBAL DEA'!$K$3:$K$1500="T"))</f>
        <v>2</v>
      </c>
      <c r="F11" s="44">
        <f>SUMPRODUCT(--(TRIM('EXTRACTION AT GLOBAL DEA'!$I$3:$I$1500)="BLDPUDRY")*('EXTRACTION AT GLOBAL DEA'!$L$3:$L$1500="N")*('EXTRACTION AT GLOBAL DEA'!$K$3:$K$1500="T"))</f>
        <v>0</v>
      </c>
      <c r="G11" s="46">
        <f>SUMPRODUCT(--(TRIM('EXTRACTION AT GLOBAL DEA'!$I$3:$I$1500)="BLDPMERY ")*('EXTRACTION AT GLOBAL DEA'!$L$3:$L$1500="O")*('EXTRACTION AT GLOBAL DEA'!$N$3:$N$1500=""))</f>
        <v>0</v>
      </c>
      <c r="H11" s="13"/>
      <c r="I11" s="92">
        <f>SUMPRODUCT(--(TRIM(MATRICE!$D$5:$D$500)="BLDPUDRY ")*(MATRICE!$F$5:$F$500="Moins de 20 ans")*(MATRICE!$G$5:$G$500="S")*(MATRICE!$I$5:$I$500="O"))</f>
        <v>0</v>
      </c>
      <c r="J11" s="92">
        <f>SUMPRODUCT(--(TRIM(MATRICE!$D$5:$D$500)="BLDPUDRY ")*(MATRICE!$F$5:$F$500="Moins de 20 ans")*(MATRICE!$G$5:$G$500="S")*(MATRICE!$I$5:$I$500="O"))</f>
        <v>0</v>
      </c>
      <c r="K11" s="92">
        <f>SUMPRODUCT(--(TRIM(MATRICE!$D$5:$D$500)="BLDPUDRY ")*(MATRICE!$F$5:$F$500="Moins de 20 ans")*(MATRICE!$G$5:$G$500="S")*(MATRICE!$I$5:$I$500="O"))</f>
        <v>0</v>
      </c>
      <c r="L11" s="92">
        <f>SUMPRODUCT(--(TRIM(MATRICE!$D$5:$D$500)="BLDPUDRY ")*(MATRICE!$F$5:$F$500="Moins de 20 ans")*(MATRICE!$G$5:$G$500="S")*(MATRICE!$I$5:$I$500="O"))</f>
        <v>0</v>
      </c>
      <c r="M11" s="92">
        <f>SUMPRODUCT(--(TRIM(MATRICE!$D$5:$D$500)="BLDPUDRY ")*(MATRICE!$F$5:$F$500="Moins de 20 ans")*(MATRICE!$G$5:$G$500="S")*(MATRICE!$I$5:$I$500="O"))</f>
        <v>0</v>
      </c>
      <c r="N11" s="92">
        <f>SUMPRODUCT(--(TRIM(MATRICE!$D$5:$D$500)="BLDPUDRY ")*(MATRICE!$F$5:$F$500="Moins de 20 ans")*(MATRICE!$G$5:$G$500="S")*(MATRICE!$I$5:$I$500="O"))</f>
        <v>0</v>
      </c>
      <c r="O11" s="92">
        <f>SUMPRODUCT(--(TRIM(MATRICE!$D$5:$D$500)="BLDPUDRY ")*(MATRICE!$F$5:$F$500="Moins de 20 ans")*(MATRICE!$G$5:$G$500="S")*(MATRICE!$I$5:$I$500="O"))</f>
        <v>0</v>
      </c>
      <c r="P11" s="92">
        <f>SUMPRODUCT(--(TRIM(MATRICE!$D$5:$D$500)="BLDPUDRY ")*(MATRICE!$F$5:$F$500="Moins de 20 ans")*(MATRICE!$G$5:$G$500="S")*(MATRICE!$I$5:$I$500="O"))</f>
        <v>0</v>
      </c>
      <c r="Q11" s="92">
        <f>SUMPRODUCT(--(TRIM(MATRICE!$D$5:$D$500)="BLDPUDRY ")*(MATRICE!$F$5:$F$500="Moins de 20 ans")*(MATRICE!$G$5:$G$500="S")*(MATRICE!$I$5:$I$500="O"))</f>
        <v>0</v>
      </c>
      <c r="R11" s="92">
        <f>SUMPRODUCT(--(TRIM(MATRICE!$D$5:$D$500)="BLDPUDRY ")*(MATRICE!$F$5:$F$500="Moins de 20 ans")*(MATRICE!$G$5:$G$500="S")*(MATRICE!$I$5:$I$500="O"))</f>
        <v>0</v>
      </c>
      <c r="S11" s="13"/>
    </row>
    <row r="12" spans="1:19" ht="15.95" customHeight="1" x14ac:dyDescent="0.25">
      <c r="A12" s="14" t="s">
        <v>936</v>
      </c>
      <c r="B12" s="41">
        <f>SUMPRODUCT(--(TRIM('EXTRACTION AT GLOBAL DEA'!$I$3:$I$1500)="BLDPVDOR")*('EXTRACTION AT GLOBAL DEA'!$L$3:$L$1500="O")*('EXTRACTION AT GLOBAL DEA'!$K$3:$K$1500="S"))</f>
        <v>1</v>
      </c>
      <c r="C12" s="42">
        <f>SUMPRODUCT(--(TRIM('EXTRACTION AT GLOBAL DEA'!$I$3:$I$1500)="BLDPVDOR")*('EXTRACTION AT GLOBAL DEA'!$L$3:$L$1500="N")*('EXTRACTION AT GLOBAL DEA'!$K$3:$K$1500="S"))</f>
        <v>0</v>
      </c>
      <c r="D12" s="43">
        <f>SUMPRODUCT(--(TRIM('EXTRACTION AT GLOBAL DEA'!$I$3:$I$1500)="BLDPVDOR")*('EXTRACTION AT GLOBAL DEA'!$M$3:$M$1500="O")*('EXTRACTION AT GLOBAL DEA'!$K$3:$K$1500="S"))</f>
        <v>0</v>
      </c>
      <c r="E12" s="110">
        <f>SUMPRODUCT(--(TRIM('EXTRACTION AT GLOBAL DEA'!$I$3:$I$1500)="BLDPVDOR")*('EXTRACTION AT GLOBAL DEA'!$L$3:$L$1500="O")*('EXTRACTION AT GLOBAL DEA'!$K$3:$K$1500="T"))</f>
        <v>0</v>
      </c>
      <c r="F12" s="44">
        <f>SUMPRODUCT(--(TRIM('EXTRACTION AT GLOBAL DEA'!$I$3:$I$1500)="BLDPVDOR")*('EXTRACTION AT GLOBAL DEA'!$L$3:$L$1500="N")*('EXTRACTION AT GLOBAL DEA'!$K$3:$K$1500="T"))</f>
        <v>1</v>
      </c>
      <c r="G12" s="46">
        <f>SUMPRODUCT(--(TRIM('EXTRACTION AT GLOBAL DEA'!$I$3:$I$1500)="BLDPMERY ")*('EXTRACTION AT GLOBAL DEA'!$L$3:$L$1500="O")*('EXTRACTION AT GLOBAL DEA'!$N$3:$N$1500=""))</f>
        <v>0</v>
      </c>
      <c r="H12" s="13"/>
      <c r="I12" s="92">
        <f>SUMPRODUCT(--(TRIM(MATRICE!$D$5:$D$500)="BLDPVDOR")*(MATRICE!$F$5:$F$500="Moins de 20 ans")*(MATRICE!$G$5:$G$500="S")*(MATRICE!$I$5:$I$500="O"))</f>
        <v>1</v>
      </c>
      <c r="J12" s="92">
        <f>SUMPRODUCT(--(TRIM(MATRICE!$D$5:$D$500)="BLDPVDOR")*(MATRICE!$F$5:$F$500="Moins de 20 ans")*(MATRICE!$G$5:$G$500="S")*(MATRICE!$I$5:$I$500="O"))</f>
        <v>1</v>
      </c>
      <c r="K12" s="92">
        <f>SUMPRODUCT(--(TRIM(MATRICE!$D$5:$D$500)="BLDPVDOR")*(MATRICE!$F$5:$F$500="Moins de 20 ans")*(MATRICE!$G$5:$G$500="S")*(MATRICE!$I$5:$I$500="O"))</f>
        <v>1</v>
      </c>
      <c r="L12" s="92">
        <f>SUMPRODUCT(--(TRIM(MATRICE!$D$5:$D$500)="BLDPVDOR")*(MATRICE!$F$5:$F$500="Moins de 20 ans")*(MATRICE!$G$5:$G$500="S")*(MATRICE!$I$5:$I$500="O"))</f>
        <v>1</v>
      </c>
      <c r="M12" s="92">
        <f>SUMPRODUCT(--(TRIM(MATRICE!$D$5:$D$500)="BLDPVDOR")*(MATRICE!$F$5:$F$500="Moins de 20 ans")*(MATRICE!$G$5:$G$500="S")*(MATRICE!$I$5:$I$500="O"))</f>
        <v>1</v>
      </c>
      <c r="N12" s="92">
        <f>SUMPRODUCT(--(TRIM(MATRICE!$D$5:$D$500)="BLDPVDOR")*(MATRICE!$F$5:$F$500="Moins de 20 ans")*(MATRICE!$G$5:$G$500="S")*(MATRICE!$I$5:$I$500="O"))</f>
        <v>1</v>
      </c>
      <c r="O12" s="92">
        <f>SUMPRODUCT(--(TRIM(MATRICE!$D$5:$D$500)="BLDPVDOR")*(MATRICE!$F$5:$F$500="Moins de 20 ans")*(MATRICE!$G$5:$G$500="S")*(MATRICE!$I$5:$I$500="O"))</f>
        <v>1</v>
      </c>
      <c r="P12" s="92">
        <f>SUMPRODUCT(--(TRIM(MATRICE!$D$5:$D$500)="BLDPVDOR")*(MATRICE!$F$5:$F$500="Moins de 20 ans")*(MATRICE!$G$5:$G$500="S")*(MATRICE!$I$5:$I$500="O"))</f>
        <v>1</v>
      </c>
      <c r="Q12" s="92">
        <f>SUMPRODUCT(--(TRIM(MATRICE!$D$5:$D$500)="BLDPVDOR")*(MATRICE!$F$5:$F$500="Moins de 20 ans")*(MATRICE!$G$5:$G$500="S")*(MATRICE!$I$5:$I$500="O"))</f>
        <v>1</v>
      </c>
      <c r="R12" s="92">
        <f>SUMPRODUCT(--(TRIM(MATRICE!$D$5:$D$500)="BLDPVDOR")*(MATRICE!$F$5:$F$500="Moins de 20 ans")*(MATRICE!$G$5:$G$500="S")*(MATRICE!$I$5:$I$500="O"))</f>
        <v>1</v>
      </c>
      <c r="S12" s="13"/>
    </row>
    <row r="13" spans="1:19" ht="15.95" customHeight="1" x14ac:dyDescent="0.25">
      <c r="A13" s="47"/>
      <c r="B13" s="48"/>
      <c r="C13" s="49"/>
      <c r="D13" s="49"/>
      <c r="E13" s="49"/>
      <c r="F13" s="49"/>
      <c r="G13" s="50"/>
      <c r="H13" s="13"/>
      <c r="I13" s="92"/>
      <c r="J13" s="92"/>
      <c r="K13" s="92"/>
      <c r="L13" s="92"/>
      <c r="M13" s="92"/>
      <c r="N13" s="92"/>
      <c r="O13" s="92"/>
      <c r="P13" s="92"/>
      <c r="Q13" s="92"/>
      <c r="R13" s="92"/>
      <c r="S13" s="13"/>
    </row>
    <row r="14" spans="1:19" ht="15.95" customHeight="1" x14ac:dyDescent="0.25">
      <c r="A14" s="12" t="s">
        <v>1575</v>
      </c>
      <c r="B14" s="37">
        <f t="shared" ref="B14:G14" si="0">SUM(B15:B23)</f>
        <v>25</v>
      </c>
      <c r="C14" s="38">
        <f t="shared" si="0"/>
        <v>53</v>
      </c>
      <c r="D14" s="39">
        <f t="shared" si="0"/>
        <v>13</v>
      </c>
      <c r="E14" s="107">
        <f t="shared" si="0"/>
        <v>9</v>
      </c>
      <c r="F14" s="40">
        <f t="shared" si="0"/>
        <v>6</v>
      </c>
      <c r="G14" s="109">
        <f t="shared" si="0"/>
        <v>728</v>
      </c>
      <c r="H14" s="13"/>
      <c r="I14" s="92"/>
      <c r="J14" s="92"/>
      <c r="K14" s="92"/>
      <c r="L14" s="92"/>
      <c r="M14" s="92"/>
      <c r="N14" s="92"/>
      <c r="O14" s="92"/>
      <c r="P14" s="92"/>
      <c r="Q14" s="92"/>
      <c r="R14" s="92"/>
      <c r="S14" s="13"/>
    </row>
    <row r="15" spans="1:19" ht="15.95" customHeight="1" x14ac:dyDescent="0.25">
      <c r="A15" s="14" t="s">
        <v>261</v>
      </c>
      <c r="B15" s="41">
        <f>SUMPRODUCT(--(TRIM('EXTRACTION AT GLOBAL DEA'!$I$3:$I$1500)="MT CA PR")*('EXTRACTION AT GLOBAL DEA'!$L$3:$L$1500="O")*('EXTRACTION AT GLOBAL DEA'!$K$3:$K$1500="S"))</f>
        <v>12</v>
      </c>
      <c r="C15" s="42">
        <f>SUMPRODUCT(--(TRIM('EXTRACTION AT GLOBAL DEA'!$I$3:$I$1500)="MT CA PR")*('EXTRACTION AT GLOBAL DEA'!$L$3:$L$1500="N")*('EXTRACTION AT GLOBAL DEA'!$K$3:$K$1500="S"))</f>
        <v>22</v>
      </c>
      <c r="D15" s="43">
        <f>SUMPRODUCT(--(TRIM('EXTRACTION AT GLOBAL DEA'!$I$3:$I$1500)="MT CA PR")*('EXTRACTION AT GLOBAL DEA'!$M$3:$M$1500="O")*('EXTRACTION AT GLOBAL DEA'!$K$3:$K$1500="S"))</f>
        <v>5</v>
      </c>
      <c r="E15" s="110">
        <f>SUMPRODUCT(--(TRIM('EXTRACTION AT GLOBAL DEA'!$I$3:$I$1500)="MT CA PR")*('EXTRACTION AT GLOBAL DEA'!$L$3:$L$1500="O")*('EXTRACTION AT GLOBAL DEA'!$K$3:$K$1500="T"))</f>
        <v>2</v>
      </c>
      <c r="F15" s="44">
        <f>SUMPRODUCT(--(TRIM('EXTRACTION AT GLOBAL DEA'!$I$3:$I$1500)="MT CA PR")*('EXTRACTION AT GLOBAL DEA'!$L$3:$L$1500="n")*('EXTRACTION AT GLOBAL DEA'!$K$3:$K$1500="T"))</f>
        <v>2</v>
      </c>
      <c r="G15" s="108">
        <f>SUMPRODUCT(--(TRIM('EXTRACTION AT GLOBAL DEA'!$I$3:$I$1500)="MT CA PR")*('EXTRACTION AT GLOBAL DEA'!$L$3:$L$1500="O")*('EXTRACTION AT GLOBAL DEA'!$N$3:$N$1500))</f>
        <v>133</v>
      </c>
      <c r="H15" s="13"/>
      <c r="I15" s="92">
        <f>SUMPRODUCT(--(TRIM(MATRICE!$D$5:$D$500)="MT CA PR")*(MATRICE!$F$5:$F$500="Moins de 20 ans")*(MATRICE!$G$5:$G$500="S")*(MATRICE!$I$5:$I$500="O"))</f>
        <v>0</v>
      </c>
      <c r="J15" s="92">
        <f>SUMPRODUCT(--(TRIM(MATRICE!$D$5:$D$500)="MT CA PR")*(MATRICE!$F$5:$F$500="20 à 24 ans")*(MATRICE!$G$5:$G$500="S")*(MATRICE!$I$5:$I$500="O"))</f>
        <v>0</v>
      </c>
      <c r="K15" s="92">
        <f>SUMPRODUCT(--(TRIM(MATRICE!$D$5:$D$500)="MT CA PR")*(MATRICE!$F$5:$F$500="25 à 29 ans")*(MATRICE!$G$5:$G$500="S")*(MATRICE!$I$5:$I$500="O"))</f>
        <v>2</v>
      </c>
      <c r="L15" s="92">
        <f>SUMPRODUCT(--(TRIM(MATRICE!$D$5:$D$500)="MT CA PR")*(MATRICE!$F$5:$F$500="30 à 34 ans")*(MATRICE!$G$5:$G$500="S")*(MATRICE!$I$5:$I$500="O"))</f>
        <v>4</v>
      </c>
      <c r="M15" s="92">
        <f>SUMPRODUCT(--(TRIM(MATRICE!$D$5:$D$500)="MT CA PR")*(MATRICE!$F$5:$F$500="35 à 39 ans")*(MATRICE!$G$5:$G$500="S")*(MATRICE!$I$5:$I$500="O"))</f>
        <v>1</v>
      </c>
      <c r="N15" s="92">
        <f>SUMPRODUCT(--(TRIM(MATRICE!$D$5:$D$500)="MT CA PR")*(MATRICE!$F$5:$F$500="40 à 44 ans")*(MATRICE!$G$5:$G$500="S")*(MATRICE!$I$5:$I$500="O"))</f>
        <v>1</v>
      </c>
      <c r="O15" s="92">
        <f>SUMPRODUCT(--(TRIM(MATRICE!$D$5:$D$500)="MT CA PR")*(MATRICE!$F$5:$F$500="45 à 49 ans")*(MATRICE!$G$5:$G$500="S")*(MATRICE!$I$5:$I$500="O"))</f>
        <v>2</v>
      </c>
      <c r="P15" s="92">
        <f>SUMPRODUCT(--(TRIM(MATRICE!$D$5:$D$500)="MT CA PR")*(MATRICE!$F$5:$F$500="50 à 54 ans")*(MATRICE!$G$5:$G$500="S")*(MATRICE!$I$5:$I$500="O"))</f>
        <v>1</v>
      </c>
      <c r="Q15" s="92">
        <f>SUMPRODUCT(--(TRIM(MATRICE!$D$5:$D$500)="MT CA PR")*(MATRICE!$F$5:$F$500="55 à 59 ans")*(MATRICE!$G$5:$G$500="S")*(MATRICE!$I$5:$I$500="O"))</f>
        <v>1</v>
      </c>
      <c r="R15" s="92">
        <f>SUMPRODUCT(--(TRIM(MATRICE!$D$5:$D$500)="MT CA PR")*(MATRICE!$F$5:$F$500="60 ans et +")*(MATRICE!$G$5:$G$500="S")*(MATRICE!$I$5:$I$500="O"))</f>
        <v>0</v>
      </c>
      <c r="S15" s="13"/>
    </row>
    <row r="16" spans="1:19" ht="15.95" customHeight="1" x14ac:dyDescent="0.25">
      <c r="A16" s="15" t="s">
        <v>172</v>
      </c>
      <c r="B16" s="41">
        <f>SUMPRODUCT(--(TRIM('EXTRACTION AT GLOBAL DEA'!$I$3:$I$1500)="MT CA SU")*('EXTRACTION AT GLOBAL DEA'!$L$3:$L$1500="O")*('EXTRACTION AT GLOBAL DEA'!$K$3:$K$1500="S"))</f>
        <v>0</v>
      </c>
      <c r="C16" s="42">
        <f>SUMPRODUCT(--(TRIM('EXTRACTION AT GLOBAL DEA'!$I$3:$I$1500)="MT CA SU")*('EXTRACTION AT GLOBAL DEA'!$L$3:$L$1500="N")*('EXTRACTION AT GLOBAL DEA'!$K$3:$K$1500="S"))</f>
        <v>1</v>
      </c>
      <c r="D16" s="43">
        <f>SUMPRODUCT(--(TRIM('EXTRACTION AT GLOBAL DEA'!$I$3:$I$1500)="MT CA SU")*('EXTRACTION AT GLOBAL DEA'!$M$3:$M$1500="O")*('EXTRACTION AT GLOBAL DEA'!$K$3:$K$1500="S"))</f>
        <v>0</v>
      </c>
      <c r="E16" s="110">
        <f>SUMPRODUCT(--(TRIM('EXTRACTION AT GLOBAL DEA'!$I$3:$I$1500)="MT CA SU")*('EXTRACTION AT GLOBAL DEA'!$L$3:$L$1500="o")*('EXTRACTION AT GLOBAL DEA'!$K$3:$K$1500="t"))</f>
        <v>0</v>
      </c>
      <c r="F16" s="44">
        <f>SUMPRODUCT(--(TRIM('EXTRACTION AT GLOBAL DEA'!$I$3:$I$1500)="MT CA SU")*('EXTRACTION AT GLOBAL DEA'!$L$3:$L$1500="n")*('EXTRACTION AT GLOBAL DEA'!$K$3:$K$1500="t"))</f>
        <v>0</v>
      </c>
      <c r="G16" s="108">
        <f>SUMPRODUCT(--(TRIM('EXTRACTION AT GLOBAL DEA'!$I$3:$I$1500)="MT CA SU")*('EXTRACTION AT GLOBAL DEA'!$L$3:$L$1500="O")*('EXTRACTION AT GLOBAL DEA'!$N$3:$N$1500))</f>
        <v>0</v>
      </c>
      <c r="H16" s="13"/>
      <c r="I16" s="92">
        <f>SUMPRODUCT(--(TRIM(MATRICE!$D$5:$D$500)="MT CA SU")*(MATRICE!$F$5:$F$500="Moins de 20 ans")*(MATRICE!$G$5:$G$500="S")*(MATRICE!$I$5:$I$500="O"))</f>
        <v>0</v>
      </c>
      <c r="J16" s="92">
        <f>SUMPRODUCT(--(TRIM(MATRICE!$D$5:$D$500)="MT CA SU")*(MATRICE!$F$5:$F$500="20 à 24 ans")*(MATRICE!$G$5:$G$500="S")*(MATRICE!$I$5:$I$500="O"))</f>
        <v>0</v>
      </c>
      <c r="K16" s="92">
        <f>SUMPRODUCT(--(TRIM(MATRICE!$D$5:$D$500)="MT CA SU")*(MATRICE!$F$5:$F$500="Moins de 20 ans")*(MATRICE!$G$5:$G$500="S")*(MATRICE!$I$5:$I$500="O"))</f>
        <v>0</v>
      </c>
      <c r="L16" s="92">
        <f>SUMPRODUCT(--(TRIM(MATRICE!$D$5:$D$500)="MT CA SU")*(MATRICE!$F$5:$F$500="Moins de 20 ans")*(MATRICE!$G$5:$G$500="S")*(MATRICE!$I$5:$I$500="O"))</f>
        <v>0</v>
      </c>
      <c r="M16" s="92">
        <f>SUMPRODUCT(--(TRIM(MATRICE!$D$5:$D$500)="MT CA SU")*(MATRICE!$F$5:$F$500="Moins de 20 ans")*(MATRICE!$G$5:$G$500="S")*(MATRICE!$I$5:$I$500="O"))</f>
        <v>0</v>
      </c>
      <c r="N16" s="92">
        <f>SUMPRODUCT(--(TRIM(MATRICE!$D$5:$D$500)="MT CA SU")*(MATRICE!$F$5:$F$500="Moins de 20 ans")*(MATRICE!$G$5:$G$500="S")*(MATRICE!$I$5:$I$500="O"))</f>
        <v>0</v>
      </c>
      <c r="O16" s="92">
        <f>SUMPRODUCT(--(TRIM(MATRICE!$D$5:$D$500)="MT CA SU")*(MATRICE!$F$5:$F$500="Moins de 20 ans")*(MATRICE!$G$5:$G$500="S")*(MATRICE!$I$5:$I$500="O"))</f>
        <v>0</v>
      </c>
      <c r="P16" s="92">
        <f>SUMPRODUCT(--(TRIM(MATRICE!$D$5:$D$500)="MT CA SU")*(MATRICE!$F$5:$F$500="Moins de 20 ans")*(MATRICE!$G$5:$G$500="S")*(MATRICE!$I$5:$I$500="O"))</f>
        <v>0</v>
      </c>
      <c r="Q16" s="92">
        <f>SUMPRODUCT(--(TRIM(MATRICE!$D$5:$D$500)="MT CA SU")*(MATRICE!$F$5:$F$500="Moins de 20 ans")*(MATRICE!$G$5:$G$500="S")*(MATRICE!$I$5:$I$500="O"))</f>
        <v>0</v>
      </c>
      <c r="R16" s="92">
        <f>SUMPRODUCT(--(TRIM(MATRICE!$D$5:$D$500)="MT CA SU")*(MATRICE!$F$5:$F$500="Moins de 20 ans")*(MATRICE!$G$5:$G$500="S")*(MATRICE!$I$5:$I$500="O"))</f>
        <v>0</v>
      </c>
      <c r="S16" s="13"/>
    </row>
    <row r="17" spans="1:19" ht="15.95" customHeight="1" x14ac:dyDescent="0.25">
      <c r="A17" s="15" t="s">
        <v>225</v>
      </c>
      <c r="B17" s="41">
        <f>SUMPRODUCT(--(TRIM('EXTRACTION AT GLOBAL DEA'!$I$3:$I$1500)="MT CC PR")*('EXTRACTION AT GLOBAL DEA'!$L$3:$L$1500="O")*('EXTRACTION AT GLOBAL DEA'!$K$3:$K$1500="S"))</f>
        <v>8</v>
      </c>
      <c r="C17" s="42">
        <f>SUMPRODUCT(--(TRIM('EXTRACTION AT GLOBAL DEA'!$I$3:$I$1500)="MT CC PR")*('EXTRACTION AT GLOBAL DEA'!$L$3:$L$1500="N")*('EXTRACTION AT GLOBAL DEA'!$K$3:$K$1500="S"))</f>
        <v>12</v>
      </c>
      <c r="D17" s="43">
        <f>SUMPRODUCT(--(TRIM('EXTRACTION AT GLOBAL DEA'!$I$3:$I$1500)="MT CC PR")*('EXTRACTION AT GLOBAL DEA'!$M$3:$M$1500="O")*('EXTRACTION AT GLOBAL DEA'!$K$3:$K$1500="S"))</f>
        <v>4</v>
      </c>
      <c r="E17" s="110">
        <f>SUMPRODUCT(--(TRIM('EXTRACTION AT GLOBAL DEA'!$I$3:$I$1500)="MT CC PR")*('EXTRACTION AT GLOBAL DEA'!$L$3:$L$1500="o")*('EXTRACTION AT GLOBAL DEA'!$K$3:$K$1500="t"))</f>
        <v>5</v>
      </c>
      <c r="F17" s="44">
        <f>SUMPRODUCT(--(TRIM('EXTRACTION AT GLOBAL DEA'!$I$3:$I$1500)="MT CC PR")*('EXTRACTION AT GLOBAL DEA'!$L$3:$L$1500="n")*('EXTRACTION AT GLOBAL DEA'!$K$3:$K$1500="t"))</f>
        <v>1</v>
      </c>
      <c r="G17" s="108">
        <f>SUMPRODUCT(--(TRIM('EXTRACTION AT GLOBAL DEA'!$I$3:$I$1500)="MT CC PR")*('EXTRACTION AT GLOBAL DEA'!$L$3:$L$1500="O")*('EXTRACTION AT GLOBAL DEA'!$N$3:$N$1500))</f>
        <v>442</v>
      </c>
      <c r="H17" s="13"/>
      <c r="I17" s="92">
        <f>SUMPRODUCT(--(TRIM(MATRICE!$D$5:$D$500)="MT CC PR")*(MATRICE!$F$5:$F$500="Moins de 20 ans")*(MATRICE!$G$5:$G$500="S")*(MATRICE!$I$5:$I$500="O"))</f>
        <v>0</v>
      </c>
      <c r="J17" s="92">
        <f>SUMPRODUCT(--(TRIM(MATRICE!$D$5:$D$500)="MT CC PR")*(MATRICE!$F$5:$F$500="20 à 24 ans")*(MATRICE!$G$5:$G$500="S")*(MATRICE!$I$5:$I$500="O"))</f>
        <v>0</v>
      </c>
      <c r="K17" s="92">
        <f>SUMPRODUCT(--(TRIM(MATRICE!$D$5:$D$500)="MT CC PR")*(MATRICE!$F$5:$F$500="Moins de 20 ans")*(MATRICE!$G$5:$G$500="S")*(MATRICE!$I$5:$I$500="O"))</f>
        <v>0</v>
      </c>
      <c r="L17" s="92">
        <f>SUMPRODUCT(--(TRIM(MATRICE!$D$5:$D$500)="MT CC PR")*(MATRICE!$F$5:$F$500="Moins de 20 ans")*(MATRICE!$G$5:$G$500="S")*(MATRICE!$I$5:$I$500="O"))</f>
        <v>0</v>
      </c>
      <c r="M17" s="92">
        <f>SUMPRODUCT(--(TRIM(MATRICE!$D$5:$D$500)="MT CC PR")*(MATRICE!$F$5:$F$500="Moins de 20 ans")*(MATRICE!$G$5:$G$500="S")*(MATRICE!$I$5:$I$500="O"))</f>
        <v>0</v>
      </c>
      <c r="N17" s="92">
        <f>SUMPRODUCT(--(TRIM(MATRICE!$D$5:$D$500)="MT CC PR")*(MATRICE!$F$5:$F$500="Moins de 20 ans")*(MATRICE!$G$5:$G$500="S")*(MATRICE!$I$5:$I$500="O"))</f>
        <v>0</v>
      </c>
      <c r="O17" s="92">
        <f>SUMPRODUCT(--(TRIM(MATRICE!$D$5:$D$500)="MT CC PR")*(MATRICE!$F$5:$F$500="Moins de 20 ans")*(MATRICE!$G$5:$G$500="S")*(MATRICE!$I$5:$I$500="O"))</f>
        <v>0</v>
      </c>
      <c r="P17" s="92">
        <f>SUMPRODUCT(--(TRIM(MATRICE!$D$5:$D$500)="MT CC PR")*(MATRICE!$F$5:$F$500="Moins de 20 ans")*(MATRICE!$G$5:$G$500="S")*(MATRICE!$I$5:$I$500="O"))</f>
        <v>0</v>
      </c>
      <c r="Q17" s="92">
        <f>SUMPRODUCT(--(TRIM(MATRICE!$D$5:$D$500)="MT CC PR")*(MATRICE!$F$5:$F$500="Moins de 20 ans")*(MATRICE!$G$5:$G$500="S")*(MATRICE!$I$5:$I$500="O"))</f>
        <v>0</v>
      </c>
      <c r="R17" s="92">
        <f>SUMPRODUCT(--(TRIM(MATRICE!$D$5:$D$500)="MT CC PR")*(MATRICE!$F$5:$F$500="Moins de 20 ans")*(MATRICE!$G$5:$G$500="S")*(MATRICE!$I$5:$I$500="O"))</f>
        <v>0</v>
      </c>
      <c r="S17" s="13"/>
    </row>
    <row r="18" spans="1:19" ht="15.95" customHeight="1" x14ac:dyDescent="0.25">
      <c r="A18" s="15" t="s">
        <v>662</v>
      </c>
      <c r="B18" s="41">
        <f>SUMPRODUCT(--(TRIM('EXTRACTION AT GLOBAL DEA'!$I$3:$I$1500)="MT CC SM")*('EXTRACTION AT GLOBAL DEA'!$L$3:$L$1500="O")*('EXTRACTION AT GLOBAL DEA'!$K$3:$K$1500="S"))</f>
        <v>0</v>
      </c>
      <c r="C18" s="42">
        <f>SUMPRODUCT(--(TRIM('EXTRACTION AT GLOBAL DEA'!$I$3:$I$1500)="MT CC SM")*('EXTRACTION AT GLOBAL DEA'!$L$3:$L$1500="N")*('EXTRACTION AT GLOBAL DEA'!$K$3:$K$1500="S"))</f>
        <v>1</v>
      </c>
      <c r="D18" s="43">
        <f>SUMPRODUCT(--(TRIM('EXTRACTION AT GLOBAL DEA'!$I$3:$I$1500)="MT CC SM")*('EXTRACTION AT GLOBAL DEA'!$M$3:$M$1500="O")*('EXTRACTION AT GLOBAL DEA'!$K$3:$K$1500="S"))</f>
        <v>1</v>
      </c>
      <c r="E18" s="110">
        <f>SUMPRODUCT(--(TRIM('EXTRACTION AT GLOBAL DEA'!$I$3:$I$1500)="MT CC SM")*('EXTRACTION AT GLOBAL DEA'!$L$3:$L$1500="o")*('EXTRACTION AT GLOBAL DEA'!$K$3:$K$1500="t"))</f>
        <v>0</v>
      </c>
      <c r="F18" s="44">
        <f>SUMPRODUCT(--(TRIM('EXTRACTION AT GLOBAL DEA'!$I$3:$I$1500)="MT CC SM")*('EXTRACTION AT GLOBAL DEA'!$L$3:$L$1500="n")*('EXTRACTION AT GLOBAL DEA'!$K$3:$K$1500="t"))</f>
        <v>0</v>
      </c>
      <c r="G18" s="108">
        <f>SUMPRODUCT(--(TRIM('EXTRACTION AT GLOBAL DEA'!$I$3:$I$1500)="MT CC SM")*('EXTRACTION AT GLOBAL DEA'!$L$3:$L$1500="O")*('EXTRACTION AT GLOBAL DEA'!$N$3:$N$1500))</f>
        <v>0</v>
      </c>
      <c r="H18" s="13"/>
      <c r="I18" s="92">
        <f>SUMPRODUCT(--(TRIM(MATRICE!$D$5:$D$500)="MT CC SM")*(MATRICE!$F$5:$F$500="Moins de 20 ans")*(MATRICE!$G$5:$G$500="S")*(MATRICE!$I$5:$I$500="O"))</f>
        <v>0</v>
      </c>
      <c r="J18" s="92">
        <f>SUMPRODUCT(--(TRIM(MATRICE!$D$5:$D$500)="MT CC SM")*(MATRICE!$F$5:$F$500="20 à 24 ans")*(MATRICE!$G$5:$G$500="S")*(MATRICE!$I$5:$I$500="O"))</f>
        <v>0</v>
      </c>
      <c r="K18" s="92">
        <f>SUMPRODUCT(--(TRIM(MATRICE!$D$5:$D$500)="MT CC SM")*(MATRICE!$F$5:$F$500="Moins de 20 ans")*(MATRICE!$G$5:$G$500="S")*(MATRICE!$I$5:$I$500="O"))</f>
        <v>0</v>
      </c>
      <c r="L18" s="92">
        <f>SUMPRODUCT(--(TRIM(MATRICE!$D$5:$D$500)="MT CC SM")*(MATRICE!$F$5:$F$500="Moins de 20 ans")*(MATRICE!$G$5:$G$500="S")*(MATRICE!$I$5:$I$500="O"))</f>
        <v>0</v>
      </c>
      <c r="M18" s="92">
        <f>SUMPRODUCT(--(TRIM(MATRICE!$D$5:$D$500)="MT CC SM")*(MATRICE!$F$5:$F$500="Moins de 20 ans")*(MATRICE!$G$5:$G$500="S")*(MATRICE!$I$5:$I$500="O"))</f>
        <v>0</v>
      </c>
      <c r="N18" s="92">
        <f>SUMPRODUCT(--(TRIM(MATRICE!$D$5:$D$500)="MT CC SM")*(MATRICE!$F$5:$F$500="Moins de 20 ans")*(MATRICE!$G$5:$G$500="S")*(MATRICE!$I$5:$I$500="O"))</f>
        <v>0</v>
      </c>
      <c r="O18" s="92">
        <f>SUMPRODUCT(--(TRIM(MATRICE!$D$5:$D$500)="MT CC SM")*(MATRICE!$F$5:$F$500="Moins de 20 ans")*(MATRICE!$G$5:$G$500="S")*(MATRICE!$I$5:$I$500="O"))</f>
        <v>0</v>
      </c>
      <c r="P18" s="92">
        <f>SUMPRODUCT(--(TRIM(MATRICE!$D$5:$D$500)="MT CC SM")*(MATRICE!$F$5:$F$500="Moins de 20 ans")*(MATRICE!$G$5:$G$500="S")*(MATRICE!$I$5:$I$500="O"))</f>
        <v>0</v>
      </c>
      <c r="Q18" s="92">
        <f>SUMPRODUCT(--(TRIM(MATRICE!$D$5:$D$500)="MT CC SM")*(MATRICE!$F$5:$F$500="Moins de 20 ans")*(MATRICE!$G$5:$G$500="S")*(MATRICE!$I$5:$I$500="O"))</f>
        <v>0</v>
      </c>
      <c r="R18" s="92">
        <f>SUMPRODUCT(--(TRIM(MATRICE!$D$5:$D$500)="MT CC SM")*(MATRICE!$F$5:$F$500="Moins de 20 ans")*(MATRICE!$G$5:$G$500="S")*(MATRICE!$I$5:$I$500="O"))</f>
        <v>0</v>
      </c>
      <c r="S18" s="13"/>
    </row>
    <row r="19" spans="1:19" ht="15.95" customHeight="1" x14ac:dyDescent="0.25">
      <c r="A19" s="15" t="s">
        <v>59</v>
      </c>
      <c r="B19" s="41">
        <f>SUMPRODUCT(--(TRIM('EXTRACTION AT GLOBAL DEA'!$I$3:$I$1500)="MT CG PR")*('EXTRACTION AT GLOBAL DEA'!$L$3:$L$1500="O")*('EXTRACTION AT GLOBAL DEA'!$K$3:$K$1500="S"))</f>
        <v>5</v>
      </c>
      <c r="C19" s="42">
        <f>SUMPRODUCT(--(TRIM('EXTRACTION AT GLOBAL DEA'!$I$3:$I$1500)="MT CG PR")*('EXTRACTION AT GLOBAL DEA'!$L$3:$L$1500="N")*('EXTRACTION AT GLOBAL DEA'!$K$3:$K$1500="S"))</f>
        <v>9</v>
      </c>
      <c r="D19" s="43">
        <f>SUMPRODUCT(--(TRIM('EXTRACTION AT GLOBAL DEA'!$I$3:$I$1500)="MT CG PR")*('EXTRACTION AT GLOBAL DEA'!$M$3:$M$1500="O")*('EXTRACTION AT GLOBAL DEA'!$K$3:$K$1500="S"))</f>
        <v>2</v>
      </c>
      <c r="E19" s="110">
        <f>SUMPRODUCT(--(TRIM('EXTRACTION AT GLOBAL DEA'!$I$3:$I$1500)="MT CG PR")*('EXTRACTION AT GLOBAL DEA'!$L$3:$L$1500="o")*('EXTRACTION AT GLOBAL DEA'!$K$3:$K$1500="t"))</f>
        <v>1</v>
      </c>
      <c r="F19" s="44">
        <f>SUMPRODUCT(--(TRIM('EXTRACTION AT GLOBAL DEA'!$I$3:$I$1500)="MT CG PR")*('EXTRACTION AT GLOBAL DEA'!$L$3:$L$1500="n")*('EXTRACTION AT GLOBAL DEA'!$K$3:$K$1500="t"))</f>
        <v>3</v>
      </c>
      <c r="G19" s="108">
        <f>SUMPRODUCT(--(TRIM('EXTRACTION AT GLOBAL DEA'!$I$3:$I$1500)="MT CG PR")*('EXTRACTION AT GLOBAL DEA'!$L$3:$L$1500="O")*('EXTRACTION AT GLOBAL DEA'!$N$3:$N$1500))</f>
        <v>150</v>
      </c>
      <c r="H19" s="13"/>
      <c r="I19" s="92">
        <f>SUMPRODUCT(--(TRIM(MATRICE!$D$5:$D$500)="MT CG PR")*(MATRICE!$F$5:$F$500="Moins de 20 ans")*(MATRICE!$G$5:$G$500="S")*(MATRICE!$I$5:$I$500="O"))</f>
        <v>0</v>
      </c>
      <c r="J19" s="92">
        <f>SUMPRODUCT(--(TRIM(MATRICE!$D$5:$D$500)="MT CG PR")*(MATRICE!$F$5:$F$500="20 à 24 ans")*(MATRICE!$G$5:$G$500="S")*(MATRICE!$I$5:$I$500="O"))</f>
        <v>0</v>
      </c>
      <c r="K19" s="92">
        <f>SUMPRODUCT(--(TRIM(MATRICE!$D$5:$D$500)="MT CG PR")*(MATRICE!$F$5:$F$500="Moins de 20 ans")*(MATRICE!$G$5:$G$500="S")*(MATRICE!$I$5:$I$500="O"))</f>
        <v>0</v>
      </c>
      <c r="L19" s="92">
        <f>SUMPRODUCT(--(TRIM(MATRICE!$D$5:$D$500)="MT CG PR")*(MATRICE!$F$5:$F$500="Moins de 20 ans")*(MATRICE!$G$5:$G$500="S")*(MATRICE!$I$5:$I$500="O"))</f>
        <v>0</v>
      </c>
      <c r="M19" s="92">
        <f>SUMPRODUCT(--(TRIM(MATRICE!$D$5:$D$500)="MT CG PR")*(MATRICE!$F$5:$F$500="Moins de 20 ans")*(MATRICE!$G$5:$G$500="S")*(MATRICE!$I$5:$I$500="O"))</f>
        <v>0</v>
      </c>
      <c r="N19" s="92">
        <f>SUMPRODUCT(--(TRIM(MATRICE!$D$5:$D$500)="MT CG PR")*(MATRICE!$F$5:$F$500="Moins de 20 ans")*(MATRICE!$G$5:$G$500="S")*(MATRICE!$I$5:$I$500="O"))</f>
        <v>0</v>
      </c>
      <c r="O19" s="92">
        <f>SUMPRODUCT(--(TRIM(MATRICE!$D$5:$D$500)="MT CG PR")*(MATRICE!$F$5:$F$500="Moins de 20 ans")*(MATRICE!$G$5:$G$500="S")*(MATRICE!$I$5:$I$500="O"))</f>
        <v>0</v>
      </c>
      <c r="P19" s="92">
        <f>SUMPRODUCT(--(TRIM(MATRICE!$D$5:$D$500)="MT CG PR")*(MATRICE!$F$5:$F$500="Moins de 20 ans")*(MATRICE!$G$5:$G$500="S")*(MATRICE!$I$5:$I$500="O"))</f>
        <v>0</v>
      </c>
      <c r="Q19" s="92">
        <f>SUMPRODUCT(--(TRIM(MATRICE!$D$5:$D$500)="MT CG PR")*(MATRICE!$F$5:$F$500="Moins de 20 ans")*(MATRICE!$G$5:$G$500="S")*(MATRICE!$I$5:$I$500="O"))</f>
        <v>0</v>
      </c>
      <c r="R19" s="92">
        <f>SUMPRODUCT(--(TRIM(MATRICE!$D$5:$D$500)="MT CG PR")*(MATRICE!$F$5:$F$500="Moins de 20 ans")*(MATRICE!$G$5:$G$500="S")*(MATRICE!$I$5:$I$500="O"))</f>
        <v>0</v>
      </c>
      <c r="S19" s="13"/>
    </row>
    <row r="20" spans="1:19" ht="15.95" customHeight="1" x14ac:dyDescent="0.25">
      <c r="A20" s="15" t="s">
        <v>278</v>
      </c>
      <c r="B20" s="41">
        <f>SUMPRODUCT(--(TRIM('EXTRACTION AT GLOBAL DEA'!$I$3:$I$1500)="MT CG PW")*('EXTRACTION AT GLOBAL DEA'!$L$3:$L$1500="O")*('EXTRACTION AT GLOBAL DEA'!$K$3:$K$1500="S"))</f>
        <v>0</v>
      </c>
      <c r="C20" s="42">
        <f>SUMPRODUCT(--(TRIM('EXTRACTION AT GLOBAL DEA'!$I$3:$I$1500)="MT CG PW")*('EXTRACTION AT GLOBAL DEA'!$L$3:$L$1500="N")*('EXTRACTION AT GLOBAL DEA'!$K$3:$K$1500="S"))</f>
        <v>4</v>
      </c>
      <c r="D20" s="43">
        <f>SUMPRODUCT(--(TRIM('EXTRACTION AT GLOBAL DEA'!$I$3:$I$1500)="MT CG PW")*('EXTRACTION AT GLOBAL DEA'!$M$3:$M$1500="O")*('EXTRACTION AT GLOBAL DEA'!$K$3:$K$1500="S"))</f>
        <v>0</v>
      </c>
      <c r="E20" s="110">
        <f>SUMPRODUCT(--(TRIM('EXTRACTION AT GLOBAL DEA'!$I$3:$I$1500)="MT CG PW")*('EXTRACTION AT GLOBAL DEA'!$L$3:$L$1500="o")*('EXTRACTION AT GLOBAL DEA'!$K$3:$K$1500="t"))</f>
        <v>0</v>
      </c>
      <c r="F20" s="44">
        <f>SUMPRODUCT(--(TRIM('EXTRACTION AT GLOBAL DEA'!$I$3:$I$1500)="MT CG PW")*('EXTRACTION AT GLOBAL DEA'!$L$3:$L$1500="n")*('EXTRACTION AT GLOBAL DEA'!$K$3:$K$1500="t"))</f>
        <v>0</v>
      </c>
      <c r="G20" s="108">
        <f>SUMPRODUCT(--(TRIM('EXTRACTION AT GLOBAL DEA'!$I$3:$I$1500)="MT CG PW")*('EXTRACTION AT GLOBAL DEA'!$L$3:$L$1500="O")*('EXTRACTION AT GLOBAL DEA'!$N$3:$N$1500))</f>
        <v>0</v>
      </c>
      <c r="H20" s="13"/>
      <c r="I20" s="92">
        <f>SUMPRODUCT(--(TRIM(MATRICE!$D$5:$D$500)="MT CG PW")*(MATRICE!$F$5:$F$500="Moins de 20 ans")*(MATRICE!$G$5:$G$500="S")*(MATRICE!$I$5:$I$500="O"))</f>
        <v>0</v>
      </c>
      <c r="J20" s="92">
        <f>SUMPRODUCT(--(TRIM(MATRICE!$D$5:$D$500)="MT CG PW")*(MATRICE!$F$5:$F$500="20 à 24 ans")*(MATRICE!$G$5:$G$500="S")*(MATRICE!$I$5:$I$500="O"))</f>
        <v>0</v>
      </c>
      <c r="K20" s="92">
        <f>SUMPRODUCT(--(TRIM(MATRICE!$D$5:$D$500)="MT CG PW")*(MATRICE!$F$5:$F$500="Moins de 20 ans")*(MATRICE!$G$5:$G$500="S")*(MATRICE!$I$5:$I$500="O"))</f>
        <v>0</v>
      </c>
      <c r="L20" s="92">
        <f>SUMPRODUCT(--(TRIM(MATRICE!$D$5:$D$500)="MT CG PW")*(MATRICE!$F$5:$F$500="Moins de 20 ans")*(MATRICE!$G$5:$G$500="S")*(MATRICE!$I$5:$I$500="O"))</f>
        <v>0</v>
      </c>
      <c r="M20" s="92">
        <f>SUMPRODUCT(--(TRIM(MATRICE!$D$5:$D$500)="MT CG PW")*(MATRICE!$F$5:$F$500="Moins de 20 ans")*(MATRICE!$G$5:$G$500="S")*(MATRICE!$I$5:$I$500="O"))</f>
        <v>0</v>
      </c>
      <c r="N20" s="92">
        <f>SUMPRODUCT(--(TRIM(MATRICE!$D$5:$D$500)="MT CG PW")*(MATRICE!$F$5:$F$500="Moins de 20 ans")*(MATRICE!$G$5:$G$500="S")*(MATRICE!$I$5:$I$500="O"))</f>
        <v>0</v>
      </c>
      <c r="O20" s="92">
        <f>SUMPRODUCT(--(TRIM(MATRICE!$D$5:$D$500)="MT CG PW")*(MATRICE!$F$5:$F$500="Moins de 20 ans")*(MATRICE!$G$5:$G$500="S")*(MATRICE!$I$5:$I$500="O"))</f>
        <v>0</v>
      </c>
      <c r="P20" s="92">
        <f>SUMPRODUCT(--(TRIM(MATRICE!$D$5:$D$500)="MT CG PW")*(MATRICE!$F$5:$F$500="Moins de 20 ans")*(MATRICE!$G$5:$G$500="S")*(MATRICE!$I$5:$I$500="O"))</f>
        <v>0</v>
      </c>
      <c r="Q20" s="92">
        <f>SUMPRODUCT(--(TRIM(MATRICE!$D$5:$D$500)="MT CG PW")*(MATRICE!$F$5:$F$500="Moins de 20 ans")*(MATRICE!$G$5:$G$500="S")*(MATRICE!$I$5:$I$500="O"))</f>
        <v>0</v>
      </c>
      <c r="R20" s="92">
        <f>SUMPRODUCT(--(TRIM(MATRICE!$D$5:$D$500)="MT CG PW")*(MATRICE!$F$5:$F$500="Moins de 20 ans")*(MATRICE!$G$5:$G$500="S")*(MATRICE!$I$5:$I$500="O"))</f>
        <v>0</v>
      </c>
      <c r="S20" s="13"/>
    </row>
    <row r="21" spans="1:19" ht="15.95" customHeight="1" x14ac:dyDescent="0.25">
      <c r="A21" s="14" t="s">
        <v>810</v>
      </c>
      <c r="B21" s="41">
        <f>SUMPRODUCT(--(TRIM('EXTRACTION AT GLOBAL DEA'!$I$3:$I$1500)="MT UD QU")*('EXTRACTION AT GLOBAL DEA'!$L$3:$L$1500="O")*('EXTRACTION AT GLOBAL DEA'!$K$3:$K$1500="S"))</f>
        <v>0</v>
      </c>
      <c r="C21" s="42">
        <f>SUMPRODUCT(--(TRIM('EXTRACTION AT GLOBAL DEA'!$I$3:$I$1500)="MT UD QU")*('EXTRACTION AT GLOBAL DEA'!$L$3:$L$1500="N")*('EXTRACTION AT GLOBAL DEA'!$K$3:$K$1500="S"))</f>
        <v>1</v>
      </c>
      <c r="D21" s="43">
        <f>SUMPRODUCT(--(TRIM('EXTRACTION AT GLOBAL DEA'!$I$3:$I$1500)="MT UD QU")*('EXTRACTION AT GLOBAL DEA'!$M$3:$M$1500="O")*('EXTRACTION AT GLOBAL DEA'!$K$3:$K$1500="S"))</f>
        <v>0</v>
      </c>
      <c r="E21" s="110">
        <f>SUMPRODUCT(--(TRIM('EXTRACTION AT GLOBAL DEA'!$I$3:$I$1500)="MT UD QU")*('EXTRACTION AT GLOBAL DEA'!$L$3:$L$1500="o")*('EXTRACTION AT GLOBAL DEA'!$K$3:$K$1500="t"))</f>
        <v>0</v>
      </c>
      <c r="F21" s="44">
        <f>SUMPRODUCT(--(TRIM('EXTRACTION AT GLOBAL DEA'!$I$3:$I$1500)="MT UD QU")*('EXTRACTION AT GLOBAL DEA'!$L$3:$L$1500="n")*('EXTRACTION AT GLOBAL DEA'!$K$3:$K$1500="t"))</f>
        <v>0</v>
      </c>
      <c r="G21" s="108">
        <f>SUMPRODUCT(--(TRIM('EXTRACTION AT GLOBAL DEA'!$I$3:$I$1500)="MT UD QU")*('EXTRACTION AT GLOBAL DEA'!$L$3:$L$1500="O")*('EXTRACTION AT GLOBAL DEA'!$N$3:$N$1500))</f>
        <v>0</v>
      </c>
      <c r="H21" s="13"/>
      <c r="I21" s="92">
        <f>SUMPRODUCT(--(TRIM(MATRICE!$D$5:$D$500)="MT UD QU")*(MATRICE!$F$5:$F$500="Moins de 20 ans")*(MATRICE!$G$5:$G$500="S")*(MATRICE!$I$5:$I$500="O"))</f>
        <v>0</v>
      </c>
      <c r="J21" s="92">
        <f>SUMPRODUCT(--(TRIM(MATRICE!$D$5:$D$500)="MT UD QU")*(MATRICE!$F$5:$F$500="20 à 24 ans")*(MATRICE!$G$5:$G$500="S")*(MATRICE!$I$5:$I$500="O"))</f>
        <v>0</v>
      </c>
      <c r="K21" s="92">
        <f>SUMPRODUCT(--(TRIM(MATRICE!$D$5:$D$500)="MT UD QU")*(MATRICE!$F$5:$F$500="Moins de 20 ans")*(MATRICE!$G$5:$G$500="S")*(MATRICE!$I$5:$I$500="O"))</f>
        <v>0</v>
      </c>
      <c r="L21" s="92">
        <f>SUMPRODUCT(--(TRIM(MATRICE!$D$5:$D$500)="MT UD QU")*(MATRICE!$F$5:$F$500="Moins de 20 ans")*(MATRICE!$G$5:$G$500="S")*(MATRICE!$I$5:$I$500="O"))</f>
        <v>0</v>
      </c>
      <c r="M21" s="92">
        <f>SUMPRODUCT(--(TRIM(MATRICE!$D$5:$D$500)="MT UD QU")*(MATRICE!$F$5:$F$500="Moins de 20 ans")*(MATRICE!$G$5:$G$500="S")*(MATRICE!$I$5:$I$500="O"))</f>
        <v>0</v>
      </c>
      <c r="N21" s="92">
        <f>SUMPRODUCT(--(TRIM(MATRICE!$D$5:$D$500)="MT UD QU")*(MATRICE!$F$5:$F$500="Moins de 20 ans")*(MATRICE!$G$5:$G$500="S")*(MATRICE!$I$5:$I$500="O"))</f>
        <v>0</v>
      </c>
      <c r="O21" s="92">
        <f>SUMPRODUCT(--(TRIM(MATRICE!$D$5:$D$500)="MT UD QU")*(MATRICE!$F$5:$F$500="Moins de 20 ans")*(MATRICE!$G$5:$G$500="S")*(MATRICE!$I$5:$I$500="O"))</f>
        <v>0</v>
      </c>
      <c r="P21" s="92">
        <f>SUMPRODUCT(--(TRIM(MATRICE!$D$5:$D$500)="MT UD QU")*(MATRICE!$F$5:$F$500="Moins de 20 ans")*(MATRICE!$G$5:$G$500="S")*(MATRICE!$I$5:$I$500="O"))</f>
        <v>0</v>
      </c>
      <c r="Q21" s="92">
        <f>SUMPRODUCT(--(TRIM(MATRICE!$D$5:$D$500)="MT UD QU")*(MATRICE!$F$5:$F$500="Moins de 20 ans")*(MATRICE!$G$5:$G$500="S")*(MATRICE!$I$5:$I$500="O"))</f>
        <v>0</v>
      </c>
      <c r="R21" s="92">
        <f>SUMPRODUCT(--(TRIM(MATRICE!$D$5:$D$500)="MT UD QU")*(MATRICE!$F$5:$F$500="Moins de 20 ans")*(MATRICE!$G$5:$G$500="S")*(MATRICE!$I$5:$I$500="O"))</f>
        <v>0</v>
      </c>
      <c r="S21" s="13"/>
    </row>
    <row r="22" spans="1:19" ht="15.95" customHeight="1" x14ac:dyDescent="0.25">
      <c r="A22" s="15" t="s">
        <v>113</v>
      </c>
      <c r="B22" s="41">
        <f>SUMPRODUCT(--(TRIM('EXTRACTION AT GLOBAL DEA'!$I$3:$I$1500)="MT UD TE")*('EXTRACTION AT GLOBAL DEA'!$L$3:$L$1500="O")*('EXTRACTION AT GLOBAL DEA'!$K$3:$K$1500="S"))</f>
        <v>0</v>
      </c>
      <c r="C22" s="42">
        <f>SUMPRODUCT(--(TRIM('EXTRACTION AT GLOBAL DEA'!$I$3:$I$1500)="MT UD TE")*('EXTRACTION AT GLOBAL DEA'!$L$3:$L$1500="N")*('EXTRACTION AT GLOBAL DEA'!$K$3:$K$1500="S"))</f>
        <v>1</v>
      </c>
      <c r="D22" s="43">
        <f>SUMPRODUCT(--(TRIM('EXTRACTION AT GLOBAL DEA'!$I$3:$I$1500)="MT UD TE")*('EXTRACTION AT GLOBAL DEA'!$M$3:$M$1500="O")*('EXTRACTION AT GLOBAL DEA'!$K$3:$K$1500="S"))</f>
        <v>1</v>
      </c>
      <c r="E22" s="110">
        <f>SUMPRODUCT(--(TRIM('EXTRACTION AT GLOBAL DEA'!$I$3:$I$1500)="MT UD TE")*('EXTRACTION AT GLOBAL DEA'!$L$3:$L$1500="o")*('EXTRACTION AT GLOBAL DEA'!$K$3:$K$1500="t"))</f>
        <v>0</v>
      </c>
      <c r="F22" s="44">
        <f>SUMPRODUCT(--(TRIM('EXTRACTION AT GLOBAL DEA'!$I$3:$I$1500)="MT UD TE")*('EXTRACTION AT GLOBAL DEA'!$L$3:$L$1500="n")*('EXTRACTION AT GLOBAL DEA'!$K$3:$K$1500="t"))</f>
        <v>0</v>
      </c>
      <c r="G22" s="108">
        <f>SUMPRODUCT(--(TRIM('EXTRACTION AT GLOBAL DEA'!$I$3:$I$1500)="MT UD TE")*('EXTRACTION AT GLOBAL DEA'!$L$3:$L$1500="O")*('EXTRACTION AT GLOBAL DEA'!$N$3:$N$1500))</f>
        <v>0</v>
      </c>
      <c r="H22" s="13"/>
      <c r="I22" s="92">
        <f>SUMPRODUCT(--(TRIM(MATRICE!$D$5:$D$500)="MT UD TE")*(MATRICE!$F$5:$F$500="Moins de 20 ans")*(MATRICE!$G$5:$G$500="S")*(MATRICE!$I$5:$I$500="O"))</f>
        <v>0</v>
      </c>
      <c r="J22" s="92">
        <f>SUMPRODUCT(--(TRIM(MATRICE!$D$5:$D$500)="MT UD TE")*(MATRICE!$F$5:$F$500="20 à 24 ans")*(MATRICE!$G$5:$G$500="S")*(MATRICE!$I$5:$I$500="O"))</f>
        <v>0</v>
      </c>
      <c r="K22" s="92">
        <f>SUMPRODUCT(--(TRIM(MATRICE!$D$5:$D$500)="MT UD TE")*(MATRICE!$F$5:$F$500="Moins de 20 ans")*(MATRICE!$G$5:$G$500="S")*(MATRICE!$I$5:$I$500="O"))</f>
        <v>0</v>
      </c>
      <c r="L22" s="92">
        <f>SUMPRODUCT(--(TRIM(MATRICE!$D$5:$D$500)="MT UD TE")*(MATRICE!$F$5:$F$500="Moins de 20 ans")*(MATRICE!$G$5:$G$500="S")*(MATRICE!$I$5:$I$500="O"))</f>
        <v>0</v>
      </c>
      <c r="M22" s="92">
        <f>SUMPRODUCT(--(TRIM(MATRICE!$D$5:$D$500)="MT UD TE")*(MATRICE!$F$5:$F$500="Moins de 20 ans")*(MATRICE!$G$5:$G$500="S")*(MATRICE!$I$5:$I$500="O"))</f>
        <v>0</v>
      </c>
      <c r="N22" s="92">
        <f>SUMPRODUCT(--(TRIM(MATRICE!$D$5:$D$500)="MT UD TE")*(MATRICE!$F$5:$F$500="Moins de 20 ans")*(MATRICE!$G$5:$G$500="S")*(MATRICE!$I$5:$I$500="O"))</f>
        <v>0</v>
      </c>
      <c r="O22" s="92">
        <f>SUMPRODUCT(--(TRIM(MATRICE!$D$5:$D$500)="MT UD TE")*(MATRICE!$F$5:$F$500="Moins de 20 ans")*(MATRICE!$G$5:$G$500="S")*(MATRICE!$I$5:$I$500="O"))</f>
        <v>0</v>
      </c>
      <c r="P22" s="92">
        <f>SUMPRODUCT(--(TRIM(MATRICE!$D$5:$D$500)="MT UD TE")*(MATRICE!$F$5:$F$500="Moins de 20 ans")*(MATRICE!$G$5:$G$500="S")*(MATRICE!$I$5:$I$500="O"))</f>
        <v>0</v>
      </c>
      <c r="Q22" s="92">
        <f>SUMPRODUCT(--(TRIM(MATRICE!$D$5:$D$500)="MT UD TE")*(MATRICE!$F$5:$F$500="Moins de 20 ans")*(MATRICE!$G$5:$G$500="S")*(MATRICE!$I$5:$I$500="O"))</f>
        <v>0</v>
      </c>
      <c r="R22" s="92">
        <f>SUMPRODUCT(--(TRIM(MATRICE!$D$5:$D$500)="MT UD TE")*(MATRICE!$F$5:$F$500="Moins de 20 ans")*(MATRICE!$G$5:$G$500="S")*(MATRICE!$I$5:$I$500="O"))</f>
        <v>0</v>
      </c>
      <c r="S22" s="13"/>
    </row>
    <row r="23" spans="1:19" ht="15.95" customHeight="1" x14ac:dyDescent="0.25">
      <c r="A23" s="15" t="s">
        <v>756</v>
      </c>
      <c r="B23" s="41">
        <f>SUMPRODUCT(--(TRIM('EXTRACTION AT GLOBAL DEA'!$I$3:$I$1500)="MT UD TO")*('EXTRACTION AT GLOBAL DEA'!$L$3:$L$1500="O")*('EXTRACTION AT GLOBAL DEA'!$K$3:$K$1500="S"))</f>
        <v>0</v>
      </c>
      <c r="C23" s="42">
        <f>SUMPRODUCT(--(TRIM('EXTRACTION AT GLOBAL DEA'!$I$3:$I$1500)="MT UD TO")*('EXTRACTION AT GLOBAL DEA'!$L$3:$L$1500="N")*('EXTRACTION AT GLOBAL DEA'!$K$3:$K$1500="S"))</f>
        <v>2</v>
      </c>
      <c r="D23" s="43">
        <f>SUMPRODUCT(--(TRIM('EXTRACTION AT GLOBAL DEA'!$I$3:$I$1500)="MT UD TO")*('EXTRACTION AT GLOBAL DEA'!$M$3:$M$1500="O")*('EXTRACTION AT GLOBAL DEA'!$K$3:$K$1500="S"))</f>
        <v>0</v>
      </c>
      <c r="E23" s="110">
        <f>SUMPRODUCT(--(TRIM('EXTRACTION AT GLOBAL DEA'!$I$3:$I$1500)="MT UD TO")*('EXTRACTION AT GLOBAL DEA'!$L$3:$L$1500="o")*('EXTRACTION AT GLOBAL DEA'!$K$3:$K$1500="t"))</f>
        <v>1</v>
      </c>
      <c r="F23" s="44">
        <f>SUMPRODUCT(--(TRIM('EXTRACTION AT GLOBAL DEA'!$I$3:$I$1500)="MT UD TO")*('EXTRACTION AT GLOBAL DEA'!$L$3:$L$1500="n")*('EXTRACTION AT GLOBAL DEA'!$K$3:$K$1500="t"))</f>
        <v>0</v>
      </c>
      <c r="G23" s="108">
        <f>SUMPRODUCT(--(TRIM('EXTRACTION AT GLOBAL DEA'!$I$3:$I$1500)="MT UD TO")*('EXTRACTION AT GLOBAL DEA'!$L$3:$L$1500="O")*('EXTRACTION AT GLOBAL DEA'!$N$3:$N$1500))</f>
        <v>3</v>
      </c>
      <c r="H23" s="13"/>
      <c r="I23" s="92">
        <f>SUMPRODUCT(--(TRIM(MATRICE!$D$5:$D$500)="MT UD TO")*(MATRICE!$F$5:$F$500="Moins de 20 ans")*(MATRICE!$G$5:$G$500="S")*(MATRICE!$I$5:$I$500="O"))</f>
        <v>0</v>
      </c>
      <c r="J23" s="92">
        <f>SUMPRODUCT(--(TRIM(MATRICE!$D$5:$D$500)="MT UD TO")*(MATRICE!$F$5:$F$500="20 à 24 ans")*(MATRICE!$G$5:$G$500="S")*(MATRICE!$I$5:$I$500="O"))</f>
        <v>0</v>
      </c>
      <c r="K23" s="92">
        <f>SUMPRODUCT(--(TRIM(MATRICE!$D$5:$D$500)="MT UD TO")*(MATRICE!$F$5:$F$500="Moins de 20 ans")*(MATRICE!$G$5:$G$500="S")*(MATRICE!$I$5:$I$500="O"))</f>
        <v>0</v>
      </c>
      <c r="L23" s="92">
        <f>SUMPRODUCT(--(TRIM(MATRICE!$D$5:$D$500)="MT UD TO")*(MATRICE!$F$5:$F$500="Moins de 20 ans")*(MATRICE!$G$5:$G$500="S")*(MATRICE!$I$5:$I$500="O"))</f>
        <v>0</v>
      </c>
      <c r="M23" s="92">
        <f>SUMPRODUCT(--(TRIM(MATRICE!$D$5:$D$500)="MT UD TO")*(MATRICE!$F$5:$F$500="Moins de 20 ans")*(MATRICE!$G$5:$G$500="S")*(MATRICE!$I$5:$I$500="O"))</f>
        <v>0</v>
      </c>
      <c r="N23" s="92">
        <f>SUMPRODUCT(--(TRIM(MATRICE!$D$5:$D$500)="MT UD TO")*(MATRICE!$F$5:$F$500="Moins de 20 ans")*(MATRICE!$G$5:$G$500="S")*(MATRICE!$I$5:$I$500="O"))</f>
        <v>0</v>
      </c>
      <c r="O23" s="92">
        <f>SUMPRODUCT(--(TRIM(MATRICE!$D$5:$D$500)="MT UD TO")*(MATRICE!$F$5:$F$500="Moins de 20 ans")*(MATRICE!$G$5:$G$500="S")*(MATRICE!$I$5:$I$500="O"))</f>
        <v>0</v>
      </c>
      <c r="P23" s="92">
        <f>SUMPRODUCT(--(TRIM(MATRICE!$D$5:$D$500)="MT UD TO")*(MATRICE!$F$5:$F$500="Moins de 20 ans")*(MATRICE!$G$5:$G$500="S")*(MATRICE!$I$5:$I$500="O"))</f>
        <v>0</v>
      </c>
      <c r="Q23" s="92">
        <f>SUMPRODUCT(--(TRIM(MATRICE!$D$5:$D$500)="MT UD TO")*(MATRICE!$F$5:$F$500="Moins de 20 ans")*(MATRICE!$G$5:$G$500="S")*(MATRICE!$I$5:$I$500="O"))</f>
        <v>0</v>
      </c>
      <c r="R23" s="92">
        <f>SUMPRODUCT(--(TRIM(MATRICE!$D$5:$D$500)="MT UD TO")*(MATRICE!$F$5:$F$500="Moins de 20 ans")*(MATRICE!$G$5:$G$500="S")*(MATRICE!$I$5:$I$500="O"))</f>
        <v>0</v>
      </c>
      <c r="S23" s="13"/>
    </row>
    <row r="24" spans="1:19" ht="15.95" customHeight="1" x14ac:dyDescent="0.25">
      <c r="A24" s="47"/>
      <c r="B24" s="48"/>
      <c r="C24" s="49"/>
      <c r="D24" s="49"/>
      <c r="E24" s="49"/>
      <c r="F24" s="49"/>
      <c r="G24" s="50"/>
      <c r="H24" s="13"/>
      <c r="I24" s="92"/>
      <c r="J24" s="92"/>
      <c r="K24" s="92"/>
      <c r="L24" s="92"/>
      <c r="M24" s="92"/>
      <c r="N24" s="92"/>
      <c r="O24" s="92"/>
      <c r="P24" s="92"/>
      <c r="Q24" s="92"/>
      <c r="R24" s="92"/>
      <c r="S24" s="13"/>
    </row>
    <row r="25" spans="1:19" ht="15.95" customHeight="1" x14ac:dyDescent="0.25">
      <c r="A25" s="12" t="s">
        <v>1576</v>
      </c>
      <c r="B25" s="37">
        <f>SUM(B26:B28)</f>
        <v>5</v>
      </c>
      <c r="C25" s="38">
        <f>SUM(C26:C28)</f>
        <v>5</v>
      </c>
      <c r="D25" s="39">
        <f>SUM(D26:D28)</f>
        <v>5</v>
      </c>
      <c r="E25" s="40">
        <f>SUM(E26:E28)</f>
        <v>5</v>
      </c>
      <c r="F25" s="40"/>
      <c r="G25" s="36"/>
      <c r="H25" s="13"/>
      <c r="I25" s="92"/>
      <c r="J25" s="92"/>
      <c r="K25" s="92"/>
      <c r="L25" s="92"/>
      <c r="M25" s="92"/>
      <c r="N25" s="92"/>
      <c r="O25" s="92"/>
      <c r="P25" s="92"/>
      <c r="Q25" s="92"/>
      <c r="R25" s="92"/>
      <c r="S25" s="13"/>
    </row>
    <row r="26" spans="1:19" ht="15.95" customHeight="1" x14ac:dyDescent="0.25">
      <c r="A26" s="14" t="s">
        <v>462</v>
      </c>
      <c r="B26" s="41">
        <f>SUMPRODUCT(--(TRIM('EXTRACTION AT GLOBAL DEA'!$I$3:$I$1500)="MT YC AD")*('EXTRACTION AT GLOBAL DEA'!$L$3:$L$1500="O")*('EXTRACTION AT GLOBAL DEA'!$K$3:$K$1500="S"))</f>
        <v>0</v>
      </c>
      <c r="C26" s="42">
        <f>SUMPRODUCT(--(TRIM('EXTRACTION AT GLOBAL DEA'!$I$3:$I$1500)="MT YC AD")*('EXTRACTION AT GLOBAL DEA'!$L$3:$L$1500="O")*('EXTRACTION AT GLOBAL DEA'!$K$3:$K$1500="S"))</f>
        <v>0</v>
      </c>
      <c r="D26" s="43">
        <f>SUMPRODUCT(--(TRIM('EXTRACTION AT GLOBAL DEA'!$I$3:$I$1500)="MT YC AD")*('EXTRACTION AT GLOBAL DEA'!$L$3:$L$1500="O")*('EXTRACTION AT GLOBAL DEA'!$K$3:$K$1500="S"))</f>
        <v>0</v>
      </c>
      <c r="E26" s="110">
        <f>SUMPRODUCT(--(TRIM('EXTRACTION AT GLOBAL DEA'!$I$3:$I$1500)="MT YC AD")*('EXTRACTION AT GLOBAL DEA'!$L$3:$L$1500="O")*('EXTRACTION AT GLOBAL DEA'!$K$3:$K$1500="S"))</f>
        <v>0</v>
      </c>
      <c r="F26" s="44">
        <f>SUMPRODUCT(--(TRIM('EXTRACTION AT GLOBAL DEA'!$I$3:$I$1500)="MT YC AD")*('EXTRACTION AT GLOBAL DEA'!$L$3:$L$1500="O")*('EXTRACTION AT GLOBAL DEA'!$K$3:$K$1500="S"))</f>
        <v>0</v>
      </c>
      <c r="G26" s="46"/>
      <c r="H26" s="13"/>
      <c r="I26" s="92">
        <f>SUMPRODUCT(--(TRIM(MATRICE!$D$5:$D$500)="BLDPVDOR")*(MATRICE!$F$5:$F$500="Moins de 20 ans")*(MATRICE!$G$5:$G$500="S")*(MATRICE!$I$5:$I$500="O"))</f>
        <v>1</v>
      </c>
      <c r="J26" s="92">
        <f>SUMPRODUCT(--(TRIM(MATRICE!$D$5:$D$500)="BLDPVDOR")*(MATRICE!$F$5:$F$500="Moins de 20 ans")*(MATRICE!$G$5:$G$500="S")*(MATRICE!$I$5:$I$500="O"))</f>
        <v>1</v>
      </c>
      <c r="K26" s="92">
        <f>SUMPRODUCT(--(TRIM(MATRICE!$D$5:$D$500)="BLDPVDOR")*(MATRICE!$F$5:$F$500="Moins de 20 ans")*(MATRICE!$G$5:$G$500="S")*(MATRICE!$I$5:$I$500="O"))</f>
        <v>1</v>
      </c>
      <c r="L26" s="92">
        <f>SUMPRODUCT(--(TRIM(MATRICE!$D$5:$D$500)="BLDPVDOR")*(MATRICE!$F$5:$F$500="Moins de 20 ans")*(MATRICE!$G$5:$G$500="S")*(MATRICE!$I$5:$I$500="O"))</f>
        <v>1</v>
      </c>
      <c r="M26" s="92">
        <f>SUMPRODUCT(--(TRIM(MATRICE!$D$5:$D$500)="BLDPVDOR")*(MATRICE!$F$5:$F$500="Moins de 20 ans")*(MATRICE!$G$5:$G$500="S")*(MATRICE!$I$5:$I$500="O"))</f>
        <v>1</v>
      </c>
      <c r="N26" s="92">
        <f>SUMPRODUCT(--(TRIM(MATRICE!$D$5:$D$500)="BLDPVDOR")*(MATRICE!$F$5:$F$500="Moins de 20 ans")*(MATRICE!$G$5:$G$500="S")*(MATRICE!$I$5:$I$500="O"))</f>
        <v>1</v>
      </c>
      <c r="O26" s="92">
        <f>SUMPRODUCT(--(TRIM(MATRICE!$D$5:$D$500)="BLDPVDOR")*(MATRICE!$F$5:$F$500="Moins de 20 ans")*(MATRICE!$G$5:$G$500="S")*(MATRICE!$I$5:$I$500="O"))</f>
        <v>1</v>
      </c>
      <c r="P26" s="92">
        <f>SUMPRODUCT(--(TRIM(MATRICE!$D$5:$D$500)="BLDPVDOR")*(MATRICE!$F$5:$F$500="Moins de 20 ans")*(MATRICE!$G$5:$G$500="S")*(MATRICE!$I$5:$I$500="O"))</f>
        <v>1</v>
      </c>
      <c r="Q26" s="92">
        <f>SUMPRODUCT(--(TRIM(MATRICE!$D$5:$D$500)="BLDPVDOR")*(MATRICE!$F$5:$F$500="Moins de 20 ans")*(MATRICE!$G$5:$G$500="S")*(MATRICE!$I$5:$I$500="O"))</f>
        <v>1</v>
      </c>
      <c r="R26" s="92">
        <f>SUMPRODUCT(--(TRIM(MATRICE!$D$5:$D$500)="BLDPVDOR")*(MATRICE!$F$5:$F$500="Moins de 20 ans")*(MATRICE!$G$5:$G$500="S")*(MATRICE!$I$5:$I$500="O"))</f>
        <v>1</v>
      </c>
      <c r="S26" s="13"/>
    </row>
    <row r="27" spans="1:19" ht="15.95" customHeight="1" x14ac:dyDescent="0.25">
      <c r="A27" s="15" t="s">
        <v>152</v>
      </c>
      <c r="B27" s="41">
        <f>SUMPRODUCT(--(TRIM('EXTRACTION AT GLOBAL DEA'!$I$3:$I$1500)="MT YC PR")*('EXTRACTION AT GLOBAL DEA'!$L$3:$L$1500="O")*('EXTRACTION AT GLOBAL DEA'!$K$3:$K$1500="S"))</f>
        <v>5</v>
      </c>
      <c r="C27" s="42">
        <f>SUMPRODUCT(--(TRIM('EXTRACTION AT GLOBAL DEA'!$I$3:$I$1500)="MT YC PR")*('EXTRACTION AT GLOBAL DEA'!$L$3:$L$1500="O")*('EXTRACTION AT GLOBAL DEA'!$K$3:$K$1500="S"))</f>
        <v>5</v>
      </c>
      <c r="D27" s="43">
        <f>SUMPRODUCT(--(TRIM('EXTRACTION AT GLOBAL DEA'!$I$3:$I$1500)="MT YC PR")*('EXTRACTION AT GLOBAL DEA'!$L$3:$L$1500="O")*('EXTRACTION AT GLOBAL DEA'!$K$3:$K$1500="S"))</f>
        <v>5</v>
      </c>
      <c r="E27" s="110">
        <f>SUMPRODUCT(--(TRIM('EXTRACTION AT GLOBAL DEA'!$I$3:$I$1500)="MT YC PR")*('EXTRACTION AT GLOBAL DEA'!$L$3:$L$1500="O")*('EXTRACTION AT GLOBAL DEA'!$K$3:$K$1500="S"))</f>
        <v>5</v>
      </c>
      <c r="F27" s="44">
        <f>SUMPRODUCT(--(TRIM('EXTRACTION AT GLOBAL DEA'!$I$3:$I$1500)="MT YC PR")*('EXTRACTION AT GLOBAL DEA'!$L$3:$L$1500="O")*('EXTRACTION AT GLOBAL DEA'!$K$3:$K$1500="S"))</f>
        <v>5</v>
      </c>
      <c r="G27" s="46"/>
      <c r="H27" s="13"/>
      <c r="I27" s="92">
        <f>SUMPRODUCT(--(TRIM(MATRICE!$D$5:$D$500)="BLDPVDOR")*(MATRICE!$F$5:$F$500="Moins de 20 ans")*(MATRICE!$G$5:$G$500="S")*(MATRICE!$I$5:$I$500="O"))</f>
        <v>1</v>
      </c>
      <c r="J27" s="92">
        <f>SUMPRODUCT(--(TRIM(MATRICE!$D$5:$D$500)="BLDPVDOR")*(MATRICE!$F$5:$F$500="Moins de 20 ans")*(MATRICE!$G$5:$G$500="S")*(MATRICE!$I$5:$I$500="O"))</f>
        <v>1</v>
      </c>
      <c r="K27" s="92">
        <f>SUMPRODUCT(--(TRIM(MATRICE!$D$5:$D$500)="BLDPVDOR")*(MATRICE!$F$5:$F$500="Moins de 20 ans")*(MATRICE!$G$5:$G$500="S")*(MATRICE!$I$5:$I$500="O"))</f>
        <v>1</v>
      </c>
      <c r="L27" s="92">
        <f>SUMPRODUCT(--(TRIM(MATRICE!$D$5:$D$500)="BLDPVDOR")*(MATRICE!$F$5:$F$500="Moins de 20 ans")*(MATRICE!$G$5:$G$500="S")*(MATRICE!$I$5:$I$500="O"))</f>
        <v>1</v>
      </c>
      <c r="M27" s="92">
        <f>SUMPRODUCT(--(TRIM(MATRICE!$D$5:$D$500)="BLDPVDOR")*(MATRICE!$F$5:$F$500="Moins de 20 ans")*(MATRICE!$G$5:$G$500="S")*(MATRICE!$I$5:$I$500="O"))</f>
        <v>1</v>
      </c>
      <c r="N27" s="92">
        <f>SUMPRODUCT(--(TRIM(MATRICE!$D$5:$D$500)="BLDPVDOR")*(MATRICE!$F$5:$F$500="Moins de 20 ans")*(MATRICE!$G$5:$G$500="S")*(MATRICE!$I$5:$I$500="O"))</f>
        <v>1</v>
      </c>
      <c r="O27" s="92">
        <f>SUMPRODUCT(--(TRIM(MATRICE!$D$5:$D$500)="BLDPVDOR")*(MATRICE!$F$5:$F$500="Moins de 20 ans")*(MATRICE!$G$5:$G$500="S")*(MATRICE!$I$5:$I$500="O"))</f>
        <v>1</v>
      </c>
      <c r="P27" s="92">
        <f>SUMPRODUCT(--(TRIM(MATRICE!$D$5:$D$500)="BLDPVDOR")*(MATRICE!$F$5:$F$500="Moins de 20 ans")*(MATRICE!$G$5:$G$500="S")*(MATRICE!$I$5:$I$500="O"))</f>
        <v>1</v>
      </c>
      <c r="Q27" s="92">
        <f>SUMPRODUCT(--(TRIM(MATRICE!$D$5:$D$500)="BLDPVDOR")*(MATRICE!$F$5:$F$500="Moins de 20 ans")*(MATRICE!$G$5:$G$500="S")*(MATRICE!$I$5:$I$500="O"))</f>
        <v>1</v>
      </c>
      <c r="R27" s="92">
        <f>SUMPRODUCT(--(TRIM(MATRICE!$D$5:$D$500)="BLDPVDOR")*(MATRICE!$F$5:$F$500="Moins de 20 ans")*(MATRICE!$G$5:$G$500="S")*(MATRICE!$I$5:$I$500="O"))</f>
        <v>1</v>
      </c>
      <c r="S27" s="13"/>
    </row>
    <row r="28" spans="1:19" ht="15.95" customHeight="1" x14ac:dyDescent="0.25">
      <c r="A28" s="14" t="s">
        <v>272</v>
      </c>
      <c r="B28" s="41">
        <f>SUMPRODUCT(--(TRIM('EXTRACTION AT GLOBAL DEA'!$I$3:$I$1500)="MT YC SU")*('EXTRACTION AT GLOBAL DEA'!$L$3:$L$1500="O")*('EXTRACTION AT GLOBAL DEA'!$K$3:$K$1500="S"))</f>
        <v>0</v>
      </c>
      <c r="C28" s="42">
        <f>SUMPRODUCT(--(TRIM('EXTRACTION AT GLOBAL DEA'!$I$3:$I$1500)="MT YC SU")*('EXTRACTION AT GLOBAL DEA'!$L$3:$L$1500="O")*('EXTRACTION AT GLOBAL DEA'!$K$3:$K$1500="S"))</f>
        <v>0</v>
      </c>
      <c r="D28" s="43">
        <f>SUMPRODUCT(--(TRIM('EXTRACTION AT GLOBAL DEA'!$I$3:$I$1500)="MT YC SU")*('EXTRACTION AT GLOBAL DEA'!$L$3:$L$1500="O")*('EXTRACTION AT GLOBAL DEA'!$K$3:$K$1500="S"))</f>
        <v>0</v>
      </c>
      <c r="E28" s="110">
        <f>SUMPRODUCT(--(TRIM('EXTRACTION AT GLOBAL DEA'!$I$3:$I$1500)="MT YC SU")*('EXTRACTION AT GLOBAL DEA'!$L$3:$L$1500="O")*('EXTRACTION AT GLOBAL DEA'!$K$3:$K$1500="S"))</f>
        <v>0</v>
      </c>
      <c r="F28" s="44">
        <f>SUMPRODUCT(--(TRIM('EXTRACTION AT GLOBAL DEA'!$I$3:$I$1500)="MT YC SU")*('EXTRACTION AT GLOBAL DEA'!$L$3:$L$1500="O")*('EXTRACTION AT GLOBAL DEA'!$K$3:$K$1500="S"))</f>
        <v>0</v>
      </c>
      <c r="G28" s="46"/>
      <c r="H28" s="13"/>
      <c r="I28" s="92">
        <f>SUMPRODUCT(--(TRIM(MATRICE!$D$5:$D$500)="BLDPVDOR")*(MATRICE!$F$5:$F$500="Moins de 20 ans")*(MATRICE!$G$5:$G$500="S")*(MATRICE!$I$5:$I$500="O"))</f>
        <v>1</v>
      </c>
      <c r="J28" s="92">
        <f>SUMPRODUCT(--(TRIM(MATRICE!$D$5:$D$500)="BLDPVDOR")*(MATRICE!$F$5:$F$500="Moins de 20 ans")*(MATRICE!$G$5:$G$500="S")*(MATRICE!$I$5:$I$500="O"))</f>
        <v>1</v>
      </c>
      <c r="K28" s="92">
        <f>SUMPRODUCT(--(TRIM(MATRICE!$D$5:$D$500)="BLDPVDOR")*(MATRICE!$F$5:$F$500="Moins de 20 ans")*(MATRICE!$G$5:$G$500="S")*(MATRICE!$I$5:$I$500="O"))</f>
        <v>1</v>
      </c>
      <c r="L28" s="92">
        <f>SUMPRODUCT(--(TRIM(MATRICE!$D$5:$D$500)="BLDPVDOR")*(MATRICE!$F$5:$F$500="Moins de 20 ans")*(MATRICE!$G$5:$G$500="S")*(MATRICE!$I$5:$I$500="O"))</f>
        <v>1</v>
      </c>
      <c r="M28" s="92">
        <f>SUMPRODUCT(--(TRIM(MATRICE!$D$5:$D$500)="BLDPVDOR")*(MATRICE!$F$5:$F$500="Moins de 20 ans")*(MATRICE!$G$5:$G$500="S")*(MATRICE!$I$5:$I$500="O"))</f>
        <v>1</v>
      </c>
      <c r="N28" s="92">
        <f>SUMPRODUCT(--(TRIM(MATRICE!$D$5:$D$500)="BLDPVDOR")*(MATRICE!$F$5:$F$500="Moins de 20 ans")*(MATRICE!$G$5:$G$500="S")*(MATRICE!$I$5:$I$500="O"))</f>
        <v>1</v>
      </c>
      <c r="O28" s="92">
        <f>SUMPRODUCT(--(TRIM(MATRICE!$D$5:$D$500)="BLDPVDOR")*(MATRICE!$F$5:$F$500="Moins de 20 ans")*(MATRICE!$G$5:$G$500="S")*(MATRICE!$I$5:$I$500="O"))</f>
        <v>1</v>
      </c>
      <c r="P28" s="92">
        <f>SUMPRODUCT(--(TRIM(MATRICE!$D$5:$D$500)="BLDPVDOR")*(MATRICE!$F$5:$F$500="Moins de 20 ans")*(MATRICE!$G$5:$G$500="S")*(MATRICE!$I$5:$I$500="O"))</f>
        <v>1</v>
      </c>
      <c r="Q28" s="92">
        <f>SUMPRODUCT(--(TRIM(MATRICE!$D$5:$D$500)="BLDPVDOR")*(MATRICE!$F$5:$F$500="Moins de 20 ans")*(MATRICE!$G$5:$G$500="S")*(MATRICE!$I$5:$I$500="O"))</f>
        <v>1</v>
      </c>
      <c r="R28" s="92">
        <f>SUMPRODUCT(--(TRIM(MATRICE!$D$5:$D$500)="BLDPVDOR")*(MATRICE!$F$5:$F$500="Moins de 20 ans")*(MATRICE!$G$5:$G$500="S")*(MATRICE!$I$5:$I$500="O"))</f>
        <v>1</v>
      </c>
      <c r="S28" s="13"/>
    </row>
    <row r="29" spans="1:19" ht="15.95" customHeight="1" x14ac:dyDescent="0.25">
      <c r="A29" s="47"/>
      <c r="B29" s="51"/>
      <c r="C29" s="51"/>
      <c r="D29" s="51"/>
      <c r="E29" s="52"/>
      <c r="F29" s="52"/>
      <c r="G29" s="50"/>
      <c r="H29" s="13"/>
      <c r="I29" s="92"/>
      <c r="J29" s="92"/>
      <c r="K29" s="92"/>
      <c r="L29" s="92"/>
      <c r="M29" s="92"/>
      <c r="N29" s="92"/>
      <c r="O29" s="92"/>
      <c r="P29" s="92"/>
      <c r="Q29" s="92"/>
      <c r="R29" s="92"/>
      <c r="S29" s="13"/>
    </row>
    <row r="30" spans="1:19" ht="15.95" customHeight="1" x14ac:dyDescent="0.25">
      <c r="A30" s="12" t="s">
        <v>1580</v>
      </c>
      <c r="B30" s="37">
        <f>SUM(B31:B32)</f>
        <v>7</v>
      </c>
      <c r="C30" s="38">
        <f>SUM(C31:C32)</f>
        <v>28</v>
      </c>
      <c r="D30" s="39">
        <f>SUM(D31:D32)</f>
        <v>10</v>
      </c>
      <c r="E30" s="40">
        <f>SUM(E31:E32)</f>
        <v>8</v>
      </c>
      <c r="F30" s="40"/>
      <c r="G30" s="36"/>
      <c r="H30" s="13"/>
      <c r="I30" s="92">
        <f>SUMPRODUCT(--(TRIM(MATRICE!$D$5:$D$500)="BLDPVDOR")*(MATRICE!$F$5:$F$500="Moins de 20 ans")*(MATRICE!$G$5:$G$500="S")*(MATRICE!$I$5:$I$500="O"))</f>
        <v>1</v>
      </c>
      <c r="J30" s="92">
        <f>SUMPRODUCT(--(TRIM(MATRICE!$D$5:$D$500)="BLDPVDOR")*(MATRICE!$F$5:$F$500="Moins de 20 ans")*(MATRICE!$G$5:$G$500="S")*(MATRICE!$I$5:$I$500="O"))</f>
        <v>1</v>
      </c>
      <c r="K30" s="92">
        <f>SUMPRODUCT(--(TRIM(MATRICE!$D$5:$D$500)="BLDPVDOR")*(MATRICE!$F$5:$F$500="Moins de 20 ans")*(MATRICE!$G$5:$G$500="S")*(MATRICE!$I$5:$I$500="O"))</f>
        <v>1</v>
      </c>
      <c r="L30" s="92">
        <f>SUMPRODUCT(--(TRIM(MATRICE!$D$5:$D$500)="BLDPVDOR")*(MATRICE!$F$5:$F$500="Moins de 20 ans")*(MATRICE!$G$5:$G$500="S")*(MATRICE!$I$5:$I$500="O"))</f>
        <v>1</v>
      </c>
      <c r="M30" s="92">
        <f>SUMPRODUCT(--(TRIM(MATRICE!$D$5:$D$500)="BLDPVDOR")*(MATRICE!$F$5:$F$500="Moins de 20 ans")*(MATRICE!$G$5:$G$500="S")*(MATRICE!$I$5:$I$500="O"))</f>
        <v>1</v>
      </c>
      <c r="N30" s="92">
        <f>SUMPRODUCT(--(TRIM(MATRICE!$D$5:$D$500)="BLDPVDOR")*(MATRICE!$F$5:$F$500="Moins de 20 ans")*(MATRICE!$G$5:$G$500="S")*(MATRICE!$I$5:$I$500="O"))</f>
        <v>1</v>
      </c>
      <c r="O30" s="92">
        <f>SUMPRODUCT(--(TRIM(MATRICE!$D$5:$D$500)="BLDPVDOR")*(MATRICE!$F$5:$F$500="Moins de 20 ans")*(MATRICE!$G$5:$G$500="S")*(MATRICE!$I$5:$I$500="O"))</f>
        <v>1</v>
      </c>
      <c r="P30" s="92">
        <f>SUMPRODUCT(--(TRIM(MATRICE!$D$5:$D$500)="BLDPVDOR")*(MATRICE!$F$5:$F$500="Moins de 20 ans")*(MATRICE!$G$5:$G$500="S")*(MATRICE!$I$5:$I$500="O"))</f>
        <v>1</v>
      </c>
      <c r="Q30" s="92">
        <f>SUMPRODUCT(--(TRIM(MATRICE!$D$5:$D$500)="BLDPVDOR")*(MATRICE!$F$5:$F$500="Moins de 20 ans")*(MATRICE!$G$5:$G$500="S")*(MATRICE!$I$5:$I$500="O"))</f>
        <v>1</v>
      </c>
      <c r="R30" s="92">
        <f>SUMPRODUCT(--(TRIM(MATRICE!$D$5:$D$500)="BLDPVDOR")*(MATRICE!$F$5:$F$500="Moins de 20 ans")*(MATRICE!$G$5:$G$500="S")*(MATRICE!$I$5:$I$500="O"))</f>
        <v>1</v>
      </c>
      <c r="S30" s="13"/>
    </row>
    <row r="31" spans="1:19" ht="15.95" customHeight="1" x14ac:dyDescent="0.25">
      <c r="A31" s="14" t="s">
        <v>707</v>
      </c>
      <c r="B31" s="41">
        <f>SUMPRODUCT(--(TRIM('EXTRACTION AT GLOBAL DEA'!$I$3:$I$1500)="MT YH AR")*('EXTRACTION AT GLOBAL DEA'!$L$3:$L$1500="O")*('EXTRACTION AT GLOBAL DEA'!$K$3:$K$1500="S"))</f>
        <v>0</v>
      </c>
      <c r="C31" s="42">
        <f>SUMPRODUCT(--(TRIM('EXTRACTION AT GLOBAL DEA'!$I$3:$I$1500)="MT CA PR")*('EXTRACTION AT GLOBAL DEA'!$L$3:$L$1500="O"))</f>
        <v>14</v>
      </c>
      <c r="D31" s="43">
        <f>SUMPRODUCT(--(TRIM('EXTRACTION AT GLOBAL DEA'!$I$3:$I$1500)="MT CA PR")*('EXTRACTION AT GLOBAL DEA'!$M$3:$M$1500="O"))</f>
        <v>5</v>
      </c>
      <c r="E31" s="44">
        <f>SUMPRODUCT(--(TRIM('EXTRACTION AT GLOBAL DEA'!$I$3:$I$1500)="MT CA PR")*('EXTRACTION AT GLOBAL DEA'!$K$3:$K$1500="T"))</f>
        <v>4</v>
      </c>
      <c r="F31" s="44"/>
      <c r="G31" s="46"/>
      <c r="H31" s="13"/>
      <c r="I31" s="92">
        <f>SUMPRODUCT(--(TRIM(MATRICE!$D$5:$D$500)="BLDPVDOR")*(MATRICE!$F$5:$F$500="Moins de 20 ans")*(MATRICE!$G$5:$G$500="S")*(MATRICE!$I$5:$I$500="O"))</f>
        <v>1</v>
      </c>
      <c r="J31" s="92">
        <f>SUMPRODUCT(--(TRIM(MATRICE!$D$5:$D$500)="BLDPVDOR")*(MATRICE!$F$5:$F$500="Moins de 20 ans")*(MATRICE!$G$5:$G$500="S")*(MATRICE!$I$5:$I$500="O"))</f>
        <v>1</v>
      </c>
      <c r="K31" s="92">
        <f>SUMPRODUCT(--(TRIM(MATRICE!$D$5:$D$500)="BLDPVDOR")*(MATRICE!$F$5:$F$500="Moins de 20 ans")*(MATRICE!$G$5:$G$500="S")*(MATRICE!$I$5:$I$500="O"))</f>
        <v>1</v>
      </c>
      <c r="L31" s="92">
        <f>SUMPRODUCT(--(TRIM(MATRICE!$D$5:$D$500)="BLDPVDOR")*(MATRICE!$F$5:$F$500="Moins de 20 ans")*(MATRICE!$G$5:$G$500="S")*(MATRICE!$I$5:$I$500="O"))</f>
        <v>1</v>
      </c>
      <c r="M31" s="92">
        <f>SUMPRODUCT(--(TRIM(MATRICE!$D$5:$D$500)="BLDPVDOR")*(MATRICE!$F$5:$F$500="Moins de 20 ans")*(MATRICE!$G$5:$G$500="S")*(MATRICE!$I$5:$I$500="O"))</f>
        <v>1</v>
      </c>
      <c r="N31" s="92">
        <f>SUMPRODUCT(--(TRIM(MATRICE!$D$5:$D$500)="BLDPVDOR")*(MATRICE!$F$5:$F$500="Moins de 20 ans")*(MATRICE!$G$5:$G$500="S")*(MATRICE!$I$5:$I$500="O"))</f>
        <v>1</v>
      </c>
      <c r="O31" s="92">
        <f>SUMPRODUCT(--(TRIM(MATRICE!$D$5:$D$500)="BLDPVDOR")*(MATRICE!$F$5:$F$500="Moins de 20 ans")*(MATRICE!$G$5:$G$500="S")*(MATRICE!$I$5:$I$500="O"))</f>
        <v>1</v>
      </c>
      <c r="P31" s="92">
        <f>SUMPRODUCT(--(TRIM(MATRICE!$D$5:$D$500)="BLDPVDOR")*(MATRICE!$F$5:$F$500="Moins de 20 ans")*(MATRICE!$G$5:$G$500="S")*(MATRICE!$I$5:$I$500="O"))</f>
        <v>1</v>
      </c>
      <c r="Q31" s="92">
        <f>SUMPRODUCT(--(TRIM(MATRICE!$D$5:$D$500)="BLDPVDOR")*(MATRICE!$F$5:$F$500="Moins de 20 ans")*(MATRICE!$G$5:$G$500="S")*(MATRICE!$I$5:$I$500="O"))</f>
        <v>1</v>
      </c>
      <c r="R31" s="92">
        <f>SUMPRODUCT(--(TRIM(MATRICE!$D$5:$D$500)="BLDPVDOR")*(MATRICE!$F$5:$F$500="Moins de 20 ans")*(MATRICE!$G$5:$G$500="S")*(MATRICE!$I$5:$I$500="O"))</f>
        <v>1</v>
      </c>
      <c r="S31" s="13"/>
    </row>
    <row r="32" spans="1:19" ht="15.95" customHeight="1" x14ac:dyDescent="0.25">
      <c r="A32" s="14" t="s">
        <v>96</v>
      </c>
      <c r="B32" s="41">
        <f>SUMPRODUCT(--(TRIM('EXTRACTION AT GLOBAL DEA'!$I$3:$I$1500)="MT YH TA")*('EXTRACTION AT GLOBAL DEA'!$L$3:$L$1500="O")*('EXTRACTION AT GLOBAL DEA'!$K$3:$K$1500="S"))</f>
        <v>7</v>
      </c>
      <c r="C32" s="42">
        <f>SUMPRODUCT(--(TRIM('EXTRACTION AT GLOBAL DEA'!$I$3:$I$1500)="MT CA PR")*('EXTRACTION AT GLOBAL DEA'!$L$3:$L$1500="O"))</f>
        <v>14</v>
      </c>
      <c r="D32" s="43">
        <f>SUMPRODUCT(--(TRIM('EXTRACTION AT GLOBAL DEA'!$I$3:$I$1500)="MT CA PR")*('EXTRACTION AT GLOBAL DEA'!$M$3:$M$1500="O"))</f>
        <v>5</v>
      </c>
      <c r="E32" s="44">
        <f>SUMPRODUCT(--(TRIM('EXTRACTION AT GLOBAL DEA'!$I$3:$I$1500)="MT CA PR")*('EXTRACTION AT GLOBAL DEA'!$K$3:$K$1500="T"))</f>
        <v>4</v>
      </c>
      <c r="F32" s="44"/>
      <c r="G32" s="46"/>
      <c r="H32" s="13"/>
      <c r="I32" s="92">
        <f>SUMPRODUCT(--(TRIM(MATRICE!$D$5:$D$500)="BLDPVDOR")*(MATRICE!$F$5:$F$500="Moins de 20 ans")*(MATRICE!$G$5:$G$500="S")*(MATRICE!$I$5:$I$500="O"))</f>
        <v>1</v>
      </c>
      <c r="J32" s="92">
        <f>SUMPRODUCT(--(TRIM(MATRICE!$D$5:$D$500)="BLDPVDOR")*(MATRICE!$F$5:$F$500="Moins de 20 ans")*(MATRICE!$G$5:$G$500="S")*(MATRICE!$I$5:$I$500="O"))</f>
        <v>1</v>
      </c>
      <c r="K32" s="92">
        <f>SUMPRODUCT(--(TRIM(MATRICE!$D$5:$D$500)="BLDPVDOR")*(MATRICE!$F$5:$F$500="Moins de 20 ans")*(MATRICE!$G$5:$G$500="S")*(MATRICE!$I$5:$I$500="O"))</f>
        <v>1</v>
      </c>
      <c r="L32" s="92">
        <f>SUMPRODUCT(--(TRIM(MATRICE!$D$5:$D$500)="BLDPVDOR")*(MATRICE!$F$5:$F$500="Moins de 20 ans")*(MATRICE!$G$5:$G$500="S")*(MATRICE!$I$5:$I$500="O"))</f>
        <v>1</v>
      </c>
      <c r="M32" s="92">
        <f>SUMPRODUCT(--(TRIM(MATRICE!$D$5:$D$500)="BLDPVDOR")*(MATRICE!$F$5:$F$500="Moins de 20 ans")*(MATRICE!$G$5:$G$500="S")*(MATRICE!$I$5:$I$500="O"))</f>
        <v>1</v>
      </c>
      <c r="N32" s="92">
        <f>SUMPRODUCT(--(TRIM(MATRICE!$D$5:$D$500)="BLDPVDOR")*(MATRICE!$F$5:$F$500="Moins de 20 ans")*(MATRICE!$G$5:$G$500="S")*(MATRICE!$I$5:$I$500="O"))</f>
        <v>1</v>
      </c>
      <c r="O32" s="92">
        <f>SUMPRODUCT(--(TRIM(MATRICE!$D$5:$D$500)="BLDPVDOR")*(MATRICE!$F$5:$F$500="Moins de 20 ans")*(MATRICE!$G$5:$G$500="S")*(MATRICE!$I$5:$I$500="O"))</f>
        <v>1</v>
      </c>
      <c r="P32" s="92">
        <f>SUMPRODUCT(--(TRIM(MATRICE!$D$5:$D$500)="BLDPVDOR")*(MATRICE!$F$5:$F$500="Moins de 20 ans")*(MATRICE!$G$5:$G$500="S")*(MATRICE!$I$5:$I$500="O"))</f>
        <v>1</v>
      </c>
      <c r="Q32" s="92">
        <f>SUMPRODUCT(--(TRIM(MATRICE!$D$5:$D$500)="BLDPVDOR")*(MATRICE!$F$5:$F$500="Moins de 20 ans")*(MATRICE!$G$5:$G$500="S")*(MATRICE!$I$5:$I$500="O"))</f>
        <v>1</v>
      </c>
      <c r="R32" s="92">
        <f>SUMPRODUCT(--(TRIM(MATRICE!$D$5:$D$500)="BLDPVDOR")*(MATRICE!$F$5:$F$500="Moins de 20 ans")*(MATRICE!$G$5:$G$500="S")*(MATRICE!$I$5:$I$500="O"))</f>
        <v>1</v>
      </c>
      <c r="S32" s="13"/>
    </row>
    <row r="33" spans="1:19" ht="15.95" customHeight="1" x14ac:dyDescent="0.25">
      <c r="A33" s="47"/>
      <c r="B33" s="51"/>
      <c r="C33" s="51"/>
      <c r="D33" s="51"/>
      <c r="E33" s="52"/>
      <c r="F33" s="52"/>
      <c r="G33" s="50"/>
      <c r="H33" s="13"/>
      <c r="I33" s="92"/>
      <c r="J33" s="92"/>
      <c r="K33" s="92"/>
      <c r="L33" s="92"/>
      <c r="M33" s="92"/>
      <c r="N33" s="92"/>
      <c r="O33" s="92"/>
      <c r="P33" s="92"/>
      <c r="Q33" s="92"/>
      <c r="R33" s="92"/>
      <c r="S33" s="13"/>
    </row>
    <row r="34" spans="1:19" ht="15.95" customHeight="1" x14ac:dyDescent="0.25">
      <c r="A34" s="12" t="s">
        <v>1577</v>
      </c>
      <c r="B34" s="37">
        <f>SUM(B35:B42)</f>
        <v>46</v>
      </c>
      <c r="C34" s="38">
        <f>SUM(C35:C42)</f>
        <v>55</v>
      </c>
      <c r="D34" s="39">
        <f>SUM(D35:D42)</f>
        <v>55</v>
      </c>
      <c r="E34" s="40">
        <f>SUM(E35:E42)</f>
        <v>9</v>
      </c>
      <c r="F34" s="40">
        <f>SUM(F35:F42)</f>
        <v>6</v>
      </c>
      <c r="G34" s="36"/>
      <c r="H34" s="13"/>
      <c r="I34" s="92"/>
      <c r="J34" s="92"/>
      <c r="K34" s="92"/>
      <c r="L34" s="92"/>
      <c r="M34" s="92"/>
      <c r="N34" s="92"/>
      <c r="O34" s="92"/>
      <c r="P34" s="92"/>
      <c r="Q34" s="92"/>
      <c r="R34" s="92"/>
      <c r="S34" s="13"/>
    </row>
    <row r="35" spans="1:19" ht="15.95" customHeight="1" x14ac:dyDescent="0.25">
      <c r="A35" s="14" t="s">
        <v>68</v>
      </c>
      <c r="B35" s="41">
        <f>SUMPRODUCT(--(TRIM('EXTRACTION AT GLOBAL DEA'!$I$3:$I$1500)="MT HB PR")*('EXTRACTION AT GLOBAL DEA'!$L$3:$L$1500="O")*('EXTRACTION AT GLOBAL DEA'!$K$3:$K$1500="S"))</f>
        <v>29</v>
      </c>
      <c r="C35" s="42">
        <f>SUMPRODUCT(--(TRIM('EXTRACTION AT GLOBAL DEA'!$I$3:$I$1500)="MT HB PR")*('EXTRACTION AT GLOBAL DEA'!$L$3:$L$1500="N")*('EXTRACTION AT GLOBAL DEA'!$K$3:$K$1500="S"))</f>
        <v>32</v>
      </c>
      <c r="D35" s="43">
        <f>SUMPRODUCT(--(TRIM('EXTRACTION AT GLOBAL DEA'!$I$3:$I$1500)="MT HB PR")*('EXTRACTION AT GLOBAL DEA'!$L$3:$L$1500="N")*('EXTRACTION AT GLOBAL DEA'!$K$3:$K$1500="S"))</f>
        <v>32</v>
      </c>
      <c r="E35" s="110">
        <f>SUMPRODUCT(--(TRIM('EXTRACTION AT GLOBAL DEA'!$I$3:$I$1500)="MT HB PR")*('EXTRACTION AT GLOBAL DEA'!$L$3:$L$1500="O")*('EXTRACTION AT GLOBAL DEA'!$K$3:$K$1500="T"))</f>
        <v>4</v>
      </c>
      <c r="F35" s="44">
        <f>SUMPRODUCT(--(TRIM('EXTRACTION AT GLOBAL DEA'!$I$3:$I$1500)="MT HB PR")*('EXTRACTION AT GLOBAL DEA'!$L$3:$L$1500="N")*('EXTRACTION AT GLOBAL DEA'!$K$3:$K$1500="T"))</f>
        <v>1</v>
      </c>
      <c r="G35" s="46">
        <f>SUMPRODUCT(--(TRIM('EXTRACTION AT GLOBAL DEA'!$I$3:$I$1500)="MT HB PR")*('EXTRACTION AT GLOBAL DEA'!$L$3:$L$1500="O")*('EXTRACTION AT GLOBAL DEA'!$N$3:$N$1500))</f>
        <v>814</v>
      </c>
      <c r="H35" s="13"/>
      <c r="I35" s="92">
        <f>SUMPRODUCT(--(TRIM(MATRICE!$D$5:$D$500)="MT HB PR")*(MATRICE!$F$5:$F$500="Moins de 20 ans")*(MATRICE!$G$5:$G$500="S")*(MATRICE!$I$5:$I$500="O"))</f>
        <v>0</v>
      </c>
      <c r="J35" s="92">
        <f>SUMPRODUCT(--(TRIM(MATRICE!$D$5:$D$500)="MT HB PR")*(MATRICE!$F$5:$F$500="20 à 24 ans")*(MATRICE!$G$5:$G$500="S")*(MATRICE!$I$5:$I$500="O"))</f>
        <v>0</v>
      </c>
      <c r="K35" s="92">
        <f>SUMPRODUCT(--(TRIM(MATRICE!$D$5:$D$500)="MT HB PR")*(MATRICE!$F$5:$F$500="25 à 29 ans")*(MATRICE!$G$5:$G$500="S")*(MATRICE!$I$5:$I$500="O"))</f>
        <v>0</v>
      </c>
      <c r="L35" s="92">
        <f>SUMPRODUCT(--(TRIM(MATRICE!$D$5:$D$500)="MT HB PR")*(MATRICE!$F$5:$F$500="30 à 34 ans")*(MATRICE!$G$5:$G$500="S")*(MATRICE!$I$5:$I$500="O"))</f>
        <v>4</v>
      </c>
      <c r="M35" s="92">
        <f>SUMPRODUCT(--(TRIM(MATRICE!$D$5:$D$500)="MT HB PR")*(MATRICE!$F$5:$F$500="35 à 39 ans")*(MATRICE!$G$5:$G$500="S")*(MATRICE!$I$5:$I$500="O"))</f>
        <v>9</v>
      </c>
      <c r="N35" s="92">
        <f>SUMPRODUCT(--(TRIM(MATRICE!$D$5:$D$500)="MT HB PR")*(MATRICE!$F$5:$F$500="40 à 44 ans")*(MATRICE!$G$5:$G$500="S")*(MATRICE!$I$5:$I$500="O"))</f>
        <v>7</v>
      </c>
      <c r="O35" s="92">
        <f>SUMPRODUCT(--(TRIM(MATRICE!$D$5:$D$500)="MT HB PR")*(MATRICE!$F$5:$F$500="45 à 49 ans")*(MATRICE!$G$5:$G$500="S")*(MATRICE!$I$5:$I$500="O"))</f>
        <v>5</v>
      </c>
      <c r="P35" s="92">
        <f>SUMPRODUCT(--(TRIM(MATRICE!$D$5:$D$500)="MT HB PR")*(MATRICE!$F$5:$F$500="50 à 54 ans")*(MATRICE!$G$5:$G$500="S")*(MATRICE!$I$5:$I$500="O"))</f>
        <v>4</v>
      </c>
      <c r="Q35" s="92">
        <f>SUMPRODUCT(--(TRIM(MATRICE!$D$5:$D$500)="MT HB PR")*(MATRICE!$F$5:$F$500="50 à 54 ans")*(MATRICE!$G$5:$G$500="S")*(MATRICE!$I$5:$I$500="O"))</f>
        <v>4</v>
      </c>
      <c r="R35" s="92">
        <f>SUMPRODUCT(--(TRIM(MATRICE!$D$5:$D$500)="MT HB PR")*(MATRICE!$F$5:$F$500="60 ans et +")*(MATRICE!$G$5:$G$500="S")*(MATRICE!$I$5:$I$500="O"))</f>
        <v>0</v>
      </c>
      <c r="S35" s="13"/>
    </row>
    <row r="36" spans="1:19" ht="15.75" customHeight="1" x14ac:dyDescent="0.25">
      <c r="A36" s="14" t="s">
        <v>132</v>
      </c>
      <c r="B36" s="41">
        <f>SUMPRODUCT(--(TRIM('EXTRACTION AT GLOBAL DEA'!$I$3:$I$1500)="MT HB QO")*('EXTRACTION AT GLOBAL DEA'!$L$3:$L$1500="O")*('EXTRACTION AT GLOBAL DEA'!$K$3:$K$1500="S"))</f>
        <v>5</v>
      </c>
      <c r="C36" s="42">
        <f>SUMPRODUCT(--(TRIM('EXTRACTION AT GLOBAL DEA'!$I$3:$I$1500)="MT HB QO")*('EXTRACTION AT GLOBAL DEA'!$L$3:$L$1500="N")*('EXTRACTION AT GLOBAL DEA'!$K$3:$K$1500="S"))</f>
        <v>8</v>
      </c>
      <c r="D36" s="43">
        <f>SUMPRODUCT(--(TRIM('EXTRACTION AT GLOBAL DEA'!$I$3:$I$1500)="MT HB QO")*('EXTRACTION AT GLOBAL DEA'!$L$3:$L$1500="N")*('EXTRACTION AT GLOBAL DEA'!$K$3:$K$1500="S"))</f>
        <v>8</v>
      </c>
      <c r="E36" s="110">
        <f>SUMPRODUCT(--(TRIM('EXTRACTION AT GLOBAL DEA'!$I$3:$I$1500)="MT HB QO")*('EXTRACTION AT GLOBAL DEA'!$L$3:$L$1500="O")*('EXTRACTION AT GLOBAL DEA'!$K$3:$K$1500="T"))</f>
        <v>2</v>
      </c>
      <c r="F36" s="44">
        <f>SUMPRODUCT(--(TRIM('EXTRACTION AT GLOBAL DEA'!$I$3:$I$1500)="MT HB QO")*('EXTRACTION AT GLOBAL DEA'!$L$3:$L$1500="N")*('EXTRACTION AT GLOBAL DEA'!$K$3:$K$1500="T"))</f>
        <v>1</v>
      </c>
      <c r="G36" s="46"/>
      <c r="H36" s="13"/>
      <c r="I36" s="92">
        <f>SUMPRODUCT(--(TRIM(MATRICE!$D$5:$D$500)="MT HB QO")*(MATRICE!$F$5:$F$500="Moins de 20 ans")*(MATRICE!$G$5:$G$500="S")*(MATRICE!$I$5:$I$500="O"))</f>
        <v>0</v>
      </c>
      <c r="J36" s="92">
        <f>SUMPRODUCT(--(TRIM(MATRICE!$D$5:$D$500)="MT HB QO")*(MATRICE!$F$5:$F$500="20 à 24 ans")*(MATRICE!$G$5:$G$500="S")*(MATRICE!$I$5:$I$500="O"))</f>
        <v>0</v>
      </c>
      <c r="K36" s="92">
        <f>SUMPRODUCT(--(TRIM(MATRICE!$D$5:$D$500)="MT HB QO")*(MATRICE!$F$5:$F$500="25 à 29 ans")*(MATRICE!$G$5:$G$500="S")*(MATRICE!$I$5:$I$500="O"))</f>
        <v>0</v>
      </c>
      <c r="L36" s="92">
        <f>SUMPRODUCT(--(TRIM(MATRICE!$D$5:$D$500)="MT HB QO")*(MATRICE!$F$5:$F$500="30 à 34 ans")*(MATRICE!$G$5:$G$500="S")*(MATRICE!$I$5:$I$500="O"))</f>
        <v>1</v>
      </c>
      <c r="M36" s="92">
        <f>SUMPRODUCT(--(TRIM(MATRICE!$D$5:$D$500)="MT HB QO")*(MATRICE!$F$5:$F$500="35 à 39 ans")*(MATRICE!$G$5:$G$500="S")*(MATRICE!$I$5:$I$500="O"))</f>
        <v>0</v>
      </c>
      <c r="N36" s="92">
        <f>SUMPRODUCT(--(TRIM(MATRICE!$D$5:$D$500)="MT HB QO")*(MATRICE!$F$5:$F$500="40 à 44 ans")*(MATRICE!$G$5:$G$500="S")*(MATRICE!$I$5:$I$500="O"))</f>
        <v>0</v>
      </c>
      <c r="O36" s="92">
        <f>SUMPRODUCT(--(TRIM(MATRICE!$D$5:$D$500)="MT HB QO")*(MATRICE!$F$5:$F$500="Moins de 20 ans")*(MATRICE!$G$5:$G$500="S")*(MATRICE!$I$5:$I$500="O"))</f>
        <v>0</v>
      </c>
      <c r="P36" s="92">
        <f>SUMPRODUCT(--(TRIM(MATRICE!$D$5:$D$500)="MT HB QO")*(MATRICE!$F$5:$F$500="Moins de 20 ans")*(MATRICE!$G$5:$G$500="S")*(MATRICE!$I$5:$I$500="O"))</f>
        <v>0</v>
      </c>
      <c r="Q36" s="92">
        <f>SUMPRODUCT(--(TRIM(MATRICE!$D$5:$D$500)="MT HB QO")*(MATRICE!$F$5:$F$500="Moins de 20 ans")*(MATRICE!$G$5:$G$500="S")*(MATRICE!$I$5:$I$500="O"))</f>
        <v>0</v>
      </c>
      <c r="R36" s="92">
        <f>SUMPRODUCT(--(TRIM(MATRICE!$D$5:$D$500)="MT HB QO")*(MATRICE!$F$5:$F$500="Moins de 20 ans")*(MATRICE!$G$5:$G$500="S")*(MATRICE!$I$5:$I$500="O"))</f>
        <v>0</v>
      </c>
      <c r="S36" s="13"/>
    </row>
    <row r="37" spans="1:19" ht="15.75" customHeight="1" x14ac:dyDescent="0.25">
      <c r="A37" s="14" t="s">
        <v>325</v>
      </c>
      <c r="B37" s="41">
        <f>SUMPRODUCT(--(TRIM('EXTRACTION AT GLOBAL DEA'!$I$3:$I$1500)="MT HB QU")*('EXTRACTION AT GLOBAL DEA'!$L$3:$L$1500="O")*('EXTRACTION AT GLOBAL DEA'!$K$3:$K$1500="S"))</f>
        <v>2</v>
      </c>
      <c r="C37" s="42">
        <f>SUMPRODUCT(--(TRIM('EXTRACTION AT GLOBAL DEA'!$I$3:$I$1500)="MT HB QU")*('EXTRACTION AT GLOBAL DEA'!$L$3:$L$1500="N")*('EXTRACTION AT GLOBAL DEA'!$K$3:$K$1500="S"))</f>
        <v>1</v>
      </c>
      <c r="D37" s="43">
        <f>SUMPRODUCT(--(TRIM('EXTRACTION AT GLOBAL DEA'!$I$3:$I$1500)="MT HB QU")*('EXTRACTION AT GLOBAL DEA'!$L$3:$L$1500="N")*('EXTRACTION AT GLOBAL DEA'!$K$3:$K$1500="S"))</f>
        <v>1</v>
      </c>
      <c r="E37" s="110">
        <f>SUMPRODUCT(--(TRIM('EXTRACTION AT GLOBAL DEA'!$I$3:$I$1500)="MT HB QU")*('EXTRACTION AT GLOBAL DEA'!$L$3:$L$1500="O")*('EXTRACTION AT GLOBAL DEA'!$K$3:$K$1500="T"))</f>
        <v>0</v>
      </c>
      <c r="F37" s="44">
        <f>SUMPRODUCT(--(TRIM('EXTRACTION AT GLOBAL DEA'!$I$3:$I$1500)="MT HB QU")*('EXTRACTION AT GLOBAL DEA'!$L$3:$L$1500="N")*('EXTRACTION AT GLOBAL DEA'!$K$3:$K$1500="T"))</f>
        <v>0</v>
      </c>
      <c r="G37" s="46"/>
      <c r="H37" s="13"/>
      <c r="I37" s="92">
        <f>SUMPRODUCT(--(TRIM(MATRICE!$D$5:$D$500)="MT HB QU")*(MATRICE!$F$5:$F$500="Moins de 20 ans")*(MATRICE!$G$5:$G$500="S")*(MATRICE!$I$5:$I$500="O"))</f>
        <v>0</v>
      </c>
      <c r="J37" s="92">
        <f>SUMPRODUCT(--(TRIM(MATRICE!$D$5:$D$500)="MT HB QU")*(MATRICE!$F$5:$F$500="20 à 24 ans")*(MATRICE!$G$5:$G$500="S")*(MATRICE!$I$5:$I$500="O"))</f>
        <v>0</v>
      </c>
      <c r="K37" s="92">
        <f>SUMPRODUCT(--(TRIM(MATRICE!$D$5:$D$500)="MT HB QU")*(MATRICE!$F$5:$F$500="25 à 29 ans")*(MATRICE!$G$5:$G$500="S")*(MATRICE!$I$5:$I$500="O"))</f>
        <v>0</v>
      </c>
      <c r="L37" s="92">
        <f>SUMPRODUCT(--(TRIM(MATRICE!$D$5:$D$500)="MT HB QU")*(MATRICE!$F$5:$F$500="30 à 34 ans")*(MATRICE!$G$5:$G$500="S")*(MATRICE!$I$5:$I$500="O"))</f>
        <v>0</v>
      </c>
      <c r="M37" s="92">
        <f>SUMPRODUCT(--(TRIM(MATRICE!$D$5:$D$500)="MT HB QU")*(MATRICE!$F$5:$F$500="35 à 39 ans")*(MATRICE!$G$5:$G$500="S")*(MATRICE!$I$5:$I$500="O"))</f>
        <v>1</v>
      </c>
      <c r="N37" s="92">
        <f>SUMPRODUCT(--(TRIM(MATRICE!$D$5:$D$500)="MT HB QU")*(MATRICE!$F$5:$F$500="40 à 44 ans")*(MATRICE!$G$5:$G$500="S")*(MATRICE!$I$5:$I$500="O"))</f>
        <v>0</v>
      </c>
      <c r="O37" s="92">
        <f>SUMPRODUCT(--(TRIM(MATRICE!$D$5:$D$500)="MT HB QU")*(MATRICE!$F$5:$F$500="Moins de 20 ans")*(MATRICE!$G$5:$G$500="S")*(MATRICE!$I$5:$I$500="O"))</f>
        <v>0</v>
      </c>
      <c r="P37" s="92">
        <f>SUMPRODUCT(--(TRIM(MATRICE!$D$5:$D$500)="MT HB QU")*(MATRICE!$F$5:$F$500="Moins de 20 ans")*(MATRICE!$G$5:$G$500="S")*(MATRICE!$I$5:$I$500="O"))</f>
        <v>0</v>
      </c>
      <c r="Q37" s="92">
        <f>SUMPRODUCT(--(TRIM(MATRICE!$D$5:$D$500)="MT HB QU")*(MATRICE!$F$5:$F$500="Moins de 20 ans")*(MATRICE!$G$5:$G$500="S")*(MATRICE!$I$5:$I$500="O"))</f>
        <v>0</v>
      </c>
      <c r="R37" s="92">
        <f>SUMPRODUCT(--(TRIM(MATRICE!$D$5:$D$500)="MT HB QU")*(MATRICE!$F$5:$F$500="Moins de 20 ans")*(MATRICE!$G$5:$G$500="S")*(MATRICE!$I$5:$I$500="O"))</f>
        <v>0</v>
      </c>
      <c r="S37" s="13"/>
    </row>
    <row r="38" spans="1:19" ht="15.75" x14ac:dyDescent="0.25">
      <c r="A38" s="15" t="s">
        <v>1138</v>
      </c>
      <c r="B38" s="41">
        <f>SUMPRODUCT(--(TRIM('EXTRACTION AT GLOBAL DEA'!$I$3:$I$1500)="MT HB SA")*('EXTRACTION AT GLOBAL DEA'!$L$3:$L$1500="O")*('EXTRACTION AT GLOBAL DEA'!$K$3:$K$1500="S"))</f>
        <v>1</v>
      </c>
      <c r="C38" s="42">
        <f>SUMPRODUCT(--(TRIM('EXTRACTION AT GLOBAL DEA'!$I$3:$I$1500)="MT HB SA")*('EXTRACTION AT GLOBAL DEA'!$L$3:$L$1500="N")*('EXTRACTION AT GLOBAL DEA'!$K$3:$K$1500="S"))</f>
        <v>0</v>
      </c>
      <c r="D38" s="43">
        <f>SUMPRODUCT(--(TRIM('EXTRACTION AT GLOBAL DEA'!$I$3:$I$1500)="MT HB SA")*('EXTRACTION AT GLOBAL DEA'!$L$3:$L$1500="N")*('EXTRACTION AT GLOBAL DEA'!$K$3:$K$1500="S"))</f>
        <v>0</v>
      </c>
      <c r="E38" s="110">
        <f>SUMPRODUCT(--(TRIM('EXTRACTION AT GLOBAL DEA'!$I$3:$I$1500)="MT HB SA")*('EXTRACTION AT GLOBAL DEA'!$L$3:$L$1500="O")*('EXTRACTION AT GLOBAL DEA'!$K$3:$K$1500="T"))</f>
        <v>0</v>
      </c>
      <c r="F38" s="44">
        <f>SUMPRODUCT(--(TRIM('EXTRACTION AT GLOBAL DEA'!$I$3:$I$1500)="MT HB SA")*('EXTRACTION AT GLOBAL DEA'!$L$3:$L$1500="N")*('EXTRACTION AT GLOBAL DEA'!$K$3:$K$1500="T"))</f>
        <v>0</v>
      </c>
      <c r="G38" s="46"/>
      <c r="H38" s="11"/>
      <c r="I38" s="92">
        <f>SUMPRODUCT(--(TRIM(MATRICE!$D$5:$D$500)="MT HB SA")*(MATRICE!$F$5:$F$500="Moins de 20 ans")*(MATRICE!$G$5:$G$500="S")*(MATRICE!$I$5:$I$500="O"))</f>
        <v>0</v>
      </c>
      <c r="J38" s="92">
        <f>SUMPRODUCT(--(TRIM(MATRICE!$D$5:$D$500)="MT HB SA")*(MATRICE!$F$5:$F$500="20 à 24 ans")*(MATRICE!$G$5:$G$500="S")*(MATRICE!$I$5:$I$500="O"))</f>
        <v>0</v>
      </c>
      <c r="K38" s="92">
        <f>SUMPRODUCT(--(TRIM(MATRICE!$D$5:$D$500)="MT HB SA")*(MATRICE!$F$5:$F$500="25 à 29 ans")*(MATRICE!$G$5:$G$500="S")*(MATRICE!$I$5:$I$500="O"))</f>
        <v>0</v>
      </c>
      <c r="L38" s="92">
        <f>SUMPRODUCT(--(TRIM(MATRICE!$D$5:$D$500)="MT HB SA")*(MATRICE!$F$5:$F$500="30 à 34 ans")*(MATRICE!$G$5:$G$500="S")*(MATRICE!$I$5:$I$500="O"))</f>
        <v>0</v>
      </c>
      <c r="M38" s="92">
        <f>SUMPRODUCT(--(TRIM(MATRICE!$D$5:$D$500)="MT HB SA")*(MATRICE!$F$5:$F$500="35 à 39 ans")*(MATRICE!$G$5:$G$500="S")*(MATRICE!$I$5:$I$500="O"))</f>
        <v>0</v>
      </c>
      <c r="N38" s="92">
        <f>SUMPRODUCT(--(TRIM(MATRICE!$D$5:$D$500)="MT HB SA")*(MATRICE!$F$5:$F$500="40 à 44 ans")*(MATRICE!$G$5:$G$500="S")*(MATRICE!$I$5:$I$500="O"))</f>
        <v>0</v>
      </c>
      <c r="O38" s="92">
        <f>SUMPRODUCT(--(TRIM(MATRICE!$D$5:$D$500)="MT HB SA")*(MATRICE!$F$5:$F$500="Moins de 20 ans")*(MATRICE!$G$5:$G$500="S")*(MATRICE!$I$5:$I$500="O"))</f>
        <v>0</v>
      </c>
      <c r="P38" s="92">
        <f>SUMPRODUCT(--(TRIM(MATRICE!$D$5:$D$500)="MT HB SA")*(MATRICE!$F$5:$F$500="Moins de 20 ans")*(MATRICE!$G$5:$G$500="S")*(MATRICE!$I$5:$I$500="O"))</f>
        <v>0</v>
      </c>
      <c r="Q38" s="92">
        <f>SUMPRODUCT(--(TRIM(MATRICE!$D$5:$D$500)="MT HB SA")*(MATRICE!$F$5:$F$500="Moins de 20 ans")*(MATRICE!$G$5:$G$500="S")*(MATRICE!$I$5:$I$500="O"))</f>
        <v>0</v>
      </c>
      <c r="R38" s="92">
        <f>SUMPRODUCT(--(TRIM(MATRICE!$D$5:$D$500)="MT HB SA")*(MATRICE!$F$5:$F$500="Moins de 20 ans")*(MATRICE!$G$5:$G$500="S")*(MATRICE!$I$5:$I$500="O"))</f>
        <v>0</v>
      </c>
      <c r="S38" s="11"/>
    </row>
    <row r="39" spans="1:19" ht="15.75" x14ac:dyDescent="0.25">
      <c r="A39" s="15" t="s">
        <v>212</v>
      </c>
      <c r="B39" s="41">
        <f>SUMPRODUCT(--(TRIM('EXTRACTION AT GLOBAL DEA'!$I$3:$I$1500)="MT HB SL")*('EXTRACTION AT GLOBAL DEA'!$L$3:$L$1500="O")*('EXTRACTION AT GLOBAL DEA'!$K$3:$K$1500="S"))</f>
        <v>0</v>
      </c>
      <c r="C39" s="42">
        <f>SUMPRODUCT(--(TRIM('EXTRACTION AT GLOBAL DEA'!$I$3:$I$1500)="MT HB SL")*('EXTRACTION AT GLOBAL DEA'!$L$3:$L$1500="N")*('EXTRACTION AT GLOBAL DEA'!$K$3:$K$1500="S"))</f>
        <v>1</v>
      </c>
      <c r="D39" s="43">
        <f>SUMPRODUCT(--(TRIM('EXTRACTION AT GLOBAL DEA'!$I$3:$I$1500)="MT HB SL")*('EXTRACTION AT GLOBAL DEA'!$L$3:$L$1500="N")*('EXTRACTION AT GLOBAL DEA'!$K$3:$K$1500="S"))</f>
        <v>1</v>
      </c>
      <c r="E39" s="110">
        <f>SUMPRODUCT(--(TRIM('EXTRACTION AT GLOBAL DEA'!$I$3:$I$1500)="MT HB SL")*('EXTRACTION AT GLOBAL DEA'!$L$3:$L$1500="O")*('EXTRACTION AT GLOBAL DEA'!$K$3:$K$1500="T"))</f>
        <v>0</v>
      </c>
      <c r="F39" s="44">
        <f>SUMPRODUCT(--(TRIM('EXTRACTION AT GLOBAL DEA'!$I$3:$I$1500)="MT HB SL")*('EXTRACTION AT GLOBAL DEA'!$L$3:$L$1500="N")*('EXTRACTION AT GLOBAL DEA'!$K$3:$K$1500="T"))</f>
        <v>1</v>
      </c>
      <c r="G39" s="46"/>
      <c r="H39" s="11"/>
      <c r="I39" s="92">
        <f>SUMPRODUCT(--(TRIM(MATRICE!$D$5:$D$500)="MT HB SL")*(MATRICE!$F$5:$F$500="Moins de 20 ans")*(MATRICE!$G$5:$G$500="S")*(MATRICE!$I$5:$I$500="O"))</f>
        <v>0</v>
      </c>
      <c r="J39" s="92">
        <f>SUMPRODUCT(--(TRIM(MATRICE!$D$5:$D$500)="MT HB SL")*(MATRICE!$F$5:$F$500="20 à 24 ans")*(MATRICE!$G$5:$G$500="S")*(MATRICE!$I$5:$I$500="O"))</f>
        <v>0</v>
      </c>
      <c r="K39" s="92">
        <f>SUMPRODUCT(--(TRIM(MATRICE!$D$5:$D$500)="MT HB SL")*(MATRICE!$F$5:$F$500="25 à 29 ans")*(MATRICE!$G$5:$G$500="S")*(MATRICE!$I$5:$I$500="O"))</f>
        <v>0</v>
      </c>
      <c r="L39" s="92">
        <f>SUMPRODUCT(--(TRIM(MATRICE!$D$5:$D$500)="MT HB SL")*(MATRICE!$F$5:$F$500="30 à 34 ans")*(MATRICE!$G$5:$G$500="S")*(MATRICE!$I$5:$I$500="O"))</f>
        <v>0</v>
      </c>
      <c r="M39" s="92">
        <f>SUMPRODUCT(--(TRIM(MATRICE!$D$5:$D$500)="MT HB SL")*(MATRICE!$F$5:$F$500="35 à 39 ans")*(MATRICE!$G$5:$G$500="S")*(MATRICE!$I$5:$I$500="O"))</f>
        <v>0</v>
      </c>
      <c r="N39" s="92">
        <f>SUMPRODUCT(--(TRIM(MATRICE!$D$5:$D$500)="MT HB SL")*(MATRICE!$F$5:$F$500="40 à 44 ans")*(MATRICE!$G$5:$G$500="S")*(MATRICE!$I$5:$I$500="O"))</f>
        <v>0</v>
      </c>
      <c r="O39" s="92">
        <f>SUMPRODUCT(--(TRIM(MATRICE!$D$5:$D$500)="MT HB SL")*(MATRICE!$F$5:$F$500="Moins de 20 ans")*(MATRICE!$G$5:$G$500="S")*(MATRICE!$I$5:$I$500="O"))</f>
        <v>0</v>
      </c>
      <c r="P39" s="92">
        <f>SUMPRODUCT(--(TRIM(MATRICE!$D$5:$D$500)="MT HB SL")*(MATRICE!$F$5:$F$500="Moins de 20 ans")*(MATRICE!$G$5:$G$500="S")*(MATRICE!$I$5:$I$500="O"))</f>
        <v>0</v>
      </c>
      <c r="Q39" s="92">
        <f>SUMPRODUCT(--(TRIM(MATRICE!$D$5:$D$500)="MT HB SL")*(MATRICE!$F$5:$F$500="Moins de 20 ans")*(MATRICE!$G$5:$G$500="S")*(MATRICE!$I$5:$I$500="O"))</f>
        <v>0</v>
      </c>
      <c r="R39" s="92">
        <f>SUMPRODUCT(--(TRIM(MATRICE!$D$5:$D$500)="MT HB SL")*(MATRICE!$F$5:$F$500="Moins de 20 ans")*(MATRICE!$G$5:$G$500="S")*(MATRICE!$I$5:$I$500="O"))</f>
        <v>0</v>
      </c>
      <c r="S39" s="11"/>
    </row>
    <row r="40" spans="1:19" ht="15.75" x14ac:dyDescent="0.25">
      <c r="A40" s="14" t="s">
        <v>1222</v>
      </c>
      <c r="B40" s="41">
        <f>SUMPRODUCT(--(TRIM('EXTRACTION AT GLOBAL DEA'!$I$3:$I$1500)="MT HB TH")*('EXTRACTION AT GLOBAL DEA'!$L$3:$L$1500="O")*('EXTRACTION AT GLOBAL DEA'!$K$3:$K$1500="S"))</f>
        <v>0</v>
      </c>
      <c r="C40" s="42">
        <f>SUMPRODUCT(--(TRIM('EXTRACTION AT GLOBAL DEA'!$I$3:$I$1500)="MT HB TH")*('EXTRACTION AT GLOBAL DEA'!$L$3:$L$1500="N")*('EXTRACTION AT GLOBAL DEA'!$K$3:$K$1500="S"))</f>
        <v>1</v>
      </c>
      <c r="D40" s="43">
        <f>SUMPRODUCT(--(TRIM('EXTRACTION AT GLOBAL DEA'!$I$3:$I$1500)="MT HB TH")*('EXTRACTION AT GLOBAL DEA'!$L$3:$L$1500="N")*('EXTRACTION AT GLOBAL DEA'!$K$3:$K$1500="S"))</f>
        <v>1</v>
      </c>
      <c r="E40" s="110">
        <f>SUMPRODUCT(--(TRIM('EXTRACTION AT GLOBAL DEA'!$I$3:$I$1500)="MT HB TH")*('EXTRACTION AT GLOBAL DEA'!$L$3:$L$1500="O")*('EXTRACTION AT GLOBAL DEA'!$K$3:$K$1500="T"))</f>
        <v>0</v>
      </c>
      <c r="F40" s="44">
        <f>SUMPRODUCT(--(TRIM('EXTRACTION AT GLOBAL DEA'!$I$3:$I$1500)="MT HB TH")*('EXTRACTION AT GLOBAL DEA'!$L$3:$L$1500="N")*('EXTRACTION AT GLOBAL DEA'!$K$3:$K$1500="T"))</f>
        <v>0</v>
      </c>
      <c r="G40" s="46"/>
      <c r="H40" s="11"/>
      <c r="I40" s="92">
        <f>SUMPRODUCT(--(TRIM(MATRICE!$D$5:$D$500)="MT HB TH")*(MATRICE!$F$5:$F$500="Moins de 20 ans")*(MATRICE!$G$5:$G$500="S")*(MATRICE!$I$5:$I$500="O"))</f>
        <v>0</v>
      </c>
      <c r="J40" s="92">
        <f>SUMPRODUCT(--(TRIM(MATRICE!$D$5:$D$500)="MT HB TH")*(MATRICE!$F$5:$F$500="20 à 24 ans")*(MATRICE!$G$5:$G$500="S")*(MATRICE!$I$5:$I$500="O"))</f>
        <v>0</v>
      </c>
      <c r="K40" s="92">
        <f>SUMPRODUCT(--(TRIM(MATRICE!$D$5:$D$500)="MT HB TH")*(MATRICE!$F$5:$F$500="25 à 29 ans")*(MATRICE!$G$5:$G$500="S")*(MATRICE!$I$5:$I$500="O"))</f>
        <v>0</v>
      </c>
      <c r="L40" s="92">
        <f>SUMPRODUCT(--(TRIM(MATRICE!$D$5:$D$500)="MT HB TH")*(MATRICE!$F$5:$F$500="30 à 34 ans")*(MATRICE!$G$5:$G$500="S")*(MATRICE!$I$5:$I$500="O"))</f>
        <v>0</v>
      </c>
      <c r="M40" s="92">
        <f>SUMPRODUCT(--(TRIM(MATRICE!$D$5:$D$500)="MT HB TH")*(MATRICE!$F$5:$F$500="35 à 39 ans")*(MATRICE!$G$5:$G$500="S")*(MATRICE!$I$5:$I$500="O"))</f>
        <v>0</v>
      </c>
      <c r="N40" s="92">
        <f>SUMPRODUCT(--(TRIM(MATRICE!$D$5:$D$500)="MT HB TH")*(MATRICE!$F$5:$F$500="40 à 44 ans")*(MATRICE!$G$5:$G$500="S")*(MATRICE!$I$5:$I$500="O"))</f>
        <v>0</v>
      </c>
      <c r="O40" s="92">
        <f>SUMPRODUCT(--(TRIM(MATRICE!$D$5:$D$500)="MT HB TH")*(MATRICE!$F$5:$F$500="Moins de 20 ans")*(MATRICE!$G$5:$G$500="S")*(MATRICE!$I$5:$I$500="O"))</f>
        <v>0</v>
      </c>
      <c r="P40" s="92">
        <f>SUMPRODUCT(--(TRIM(MATRICE!$D$5:$D$500)="MT HB TH")*(MATRICE!$F$5:$F$500="Moins de 20 ans")*(MATRICE!$G$5:$G$500="S")*(MATRICE!$I$5:$I$500="O"))</f>
        <v>0</v>
      </c>
      <c r="Q40" s="92">
        <f>SUMPRODUCT(--(TRIM(MATRICE!$D$5:$D$500)="MT HB TH")*(MATRICE!$F$5:$F$500="Moins de 20 ans")*(MATRICE!$G$5:$G$500="S")*(MATRICE!$I$5:$I$500="O"))</f>
        <v>0</v>
      </c>
      <c r="R40" s="92">
        <f>SUMPRODUCT(--(TRIM(MATRICE!$D$5:$D$500)="MT HB TH")*(MATRICE!$F$5:$F$500="Moins de 20 ans")*(MATRICE!$G$5:$G$500="S")*(MATRICE!$I$5:$I$500="O"))</f>
        <v>0</v>
      </c>
      <c r="S40" s="11"/>
    </row>
    <row r="41" spans="1:19" ht="15.75" x14ac:dyDescent="0.25">
      <c r="A41" s="15" t="s">
        <v>200</v>
      </c>
      <c r="B41" s="41">
        <f>SUMPRODUCT(--(TRIM('EXTRACTION AT GLOBAL DEA'!$I$3:$I$1500)="MT ME CI")*('EXTRACTION AT GLOBAL DEA'!$L$3:$L$1500="O")*('EXTRACTION AT GLOBAL DEA'!$K$3:$K$1500="S"))</f>
        <v>1</v>
      </c>
      <c r="C41" s="42">
        <f>SUMPRODUCT(--(TRIM('EXTRACTION AT GLOBAL DEA'!$I$3:$I$1500)="MT ME CI")*('EXTRACTION AT GLOBAL DEA'!$L$3:$L$1500="N")*('EXTRACTION AT GLOBAL DEA'!$K$3:$K$1500="S"))</f>
        <v>0</v>
      </c>
      <c r="D41" s="43">
        <f>SUMPRODUCT(--(TRIM('EXTRACTION AT GLOBAL DEA'!$I$3:$I$1500)="MT ME CI")*('EXTRACTION AT GLOBAL DEA'!$L$3:$L$1500="N")*('EXTRACTION AT GLOBAL DEA'!$K$3:$K$1500="S"))</f>
        <v>0</v>
      </c>
      <c r="E41" s="110">
        <f>SUMPRODUCT(--(TRIM('EXTRACTION AT GLOBAL DEA'!$I$3:$I$1500)="MT ME CI")*('EXTRACTION AT GLOBAL DEA'!$L$3:$L$1500="O")*('EXTRACTION AT GLOBAL DEA'!$K$3:$K$1500="T"))</f>
        <v>0</v>
      </c>
      <c r="F41" s="44">
        <f>SUMPRODUCT(--(TRIM('EXTRACTION AT GLOBAL DEA'!$I$3:$I$1500)="MT ME CI")*('EXTRACTION AT GLOBAL DEA'!$L$3:$L$1500="N")*('EXTRACTION AT GLOBAL DEA'!$K$3:$K$1500="T"))</f>
        <v>0</v>
      </c>
      <c r="G41" s="46"/>
      <c r="H41" s="11"/>
      <c r="I41" s="92">
        <f>SUMPRODUCT(--(TRIM(MATRICE!$D$5:$D$500)="MT ME CI")*(MATRICE!$F$5:$F$500="Moins de 20 ans")*(MATRICE!$G$5:$G$500="S")*(MATRICE!$I$5:$I$500="O"))</f>
        <v>0</v>
      </c>
      <c r="J41" s="92">
        <f>SUMPRODUCT(--(TRIM(MATRICE!$D$5:$D$500)="MT ME CI")*(MATRICE!$F$5:$F$500="20 à 24 ans")*(MATRICE!$G$5:$G$500="S")*(MATRICE!$I$5:$I$500="O"))</f>
        <v>0</v>
      </c>
      <c r="K41" s="92">
        <f>SUMPRODUCT(--(TRIM(MATRICE!$D$5:$D$500)="MT ME CI")*(MATRICE!$F$5:$F$500="25 à 29 ans")*(MATRICE!$G$5:$G$500="S")*(MATRICE!$I$5:$I$500="O"))</f>
        <v>0</v>
      </c>
      <c r="L41" s="92">
        <f>SUMPRODUCT(--(TRIM(MATRICE!$D$5:$D$500)="MT ME CI")*(MATRICE!$F$5:$F$500="30 à 34 ans")*(MATRICE!$G$5:$G$500="S")*(MATRICE!$I$5:$I$500="O"))</f>
        <v>0</v>
      </c>
      <c r="M41" s="92">
        <f>SUMPRODUCT(--(TRIM(MATRICE!$D$5:$D$500)="MT ME CI")*(MATRICE!$F$5:$F$500="35 à 39 ans")*(MATRICE!$G$5:$G$500="S")*(MATRICE!$I$5:$I$500="O"))</f>
        <v>1</v>
      </c>
      <c r="N41" s="92">
        <f>SUMPRODUCT(--(TRIM(MATRICE!$D$5:$D$500)="MT ME CI")*(MATRICE!$F$5:$F$500="40 à 44 ans")*(MATRICE!$G$5:$G$500="S")*(MATRICE!$I$5:$I$500="O"))</f>
        <v>0</v>
      </c>
      <c r="O41" s="92">
        <f>SUMPRODUCT(--(TRIM(MATRICE!$D$5:$D$500)="MT ME CI")*(MATRICE!$F$5:$F$500="Moins de 20 ans")*(MATRICE!$G$5:$G$500="S")*(MATRICE!$I$5:$I$500="O"))</f>
        <v>0</v>
      </c>
      <c r="P41" s="92">
        <f>SUMPRODUCT(--(TRIM(MATRICE!$D$5:$D$500)="MT ME CI")*(MATRICE!$F$5:$F$500="Moins de 20 ans")*(MATRICE!$G$5:$G$500="S")*(MATRICE!$I$5:$I$500="O"))</f>
        <v>0</v>
      </c>
      <c r="Q41" s="92">
        <f>SUMPRODUCT(--(TRIM(MATRICE!$D$5:$D$500)="MT ME CI")*(MATRICE!$F$5:$F$500="Moins de 20 ans")*(MATRICE!$G$5:$G$500="S")*(MATRICE!$I$5:$I$500="O"))</f>
        <v>0</v>
      </c>
      <c r="R41" s="92">
        <f>SUMPRODUCT(--(TRIM(MATRICE!$D$5:$D$500)="MT ME CI")*(MATRICE!$F$5:$F$500="Moins de 20 ans")*(MATRICE!$G$5:$G$500="S")*(MATRICE!$I$5:$I$500="O"))</f>
        <v>0</v>
      </c>
      <c r="S41" s="11"/>
    </row>
    <row r="42" spans="1:19" ht="15.75" x14ac:dyDescent="0.25">
      <c r="A42" s="14" t="s">
        <v>179</v>
      </c>
      <c r="B42" s="41">
        <f>SUMPRODUCT(--(TRIM('EXTRACTION AT GLOBAL DEA'!$I$3:$I$1500)="MT QJ")*('EXTRACTION AT GLOBAL DEA'!$L$3:$L$1500="O")*('EXTRACTION AT GLOBAL DEA'!$K$3:$K$1500="S"))</f>
        <v>8</v>
      </c>
      <c r="C42" s="42">
        <f>SUMPRODUCT(--(TRIM('EXTRACTION AT GLOBAL DEA'!$I$3:$I$1500)="MT QJ")*('EXTRACTION AT GLOBAL DEA'!$L$3:$L$1500="N")*('EXTRACTION AT GLOBAL DEA'!$K$3:$K$1500="S"))</f>
        <v>12</v>
      </c>
      <c r="D42" s="43">
        <f>SUMPRODUCT(--(TRIM('EXTRACTION AT GLOBAL DEA'!$I$3:$I$1500)="MT QJ")*('EXTRACTION AT GLOBAL DEA'!$L$3:$L$1500="N")*('EXTRACTION AT GLOBAL DEA'!$K$3:$K$1500="S"))</f>
        <v>12</v>
      </c>
      <c r="E42" s="110">
        <f>SUMPRODUCT(--(TRIM('EXTRACTION AT GLOBAL DEA'!$I$3:$I$1500)="MT QJ")*('EXTRACTION AT GLOBAL DEA'!$L$3:$L$1500="O")*('EXTRACTION AT GLOBAL DEA'!$K$3:$K$1500="T"))</f>
        <v>3</v>
      </c>
      <c r="F42" s="44">
        <f>SUMPRODUCT(--(TRIM('EXTRACTION AT GLOBAL DEA'!$I$3:$I$1500)="MT QJ")*('EXTRACTION AT GLOBAL DEA'!$L$3:$L$1500="N")*('EXTRACTION AT GLOBAL DEA'!$K$3:$K$1500="T"))</f>
        <v>3</v>
      </c>
      <c r="G42" s="46"/>
      <c r="H42" s="11"/>
      <c r="I42" s="92">
        <f>SUMPRODUCT(--(TRIM(MATRICE!$D$5:$D$500)="MT QJ")*(MATRICE!$F$5:$F$500="Moins de 20 ans")*(MATRICE!$G$5:$G$500="S")*(MATRICE!$I$5:$I$500="O"))</f>
        <v>0</v>
      </c>
      <c r="J42" s="92">
        <f>SUMPRODUCT(--(TRIM(MATRICE!$D$5:$D$500)="MT QJ")*(MATRICE!$F$5:$F$500="20 à 24 ans")*(MATRICE!$G$5:$G$500="S")*(MATRICE!$I$5:$I$500="O"))</f>
        <v>0</v>
      </c>
      <c r="K42" s="92">
        <f>SUMPRODUCT(--(TRIM(MATRICE!$D$5:$D$500)="MT QJ")*(MATRICE!$F$5:$F$500="25 à 29 ans")*(MATRICE!$G$5:$G$500="S")*(MATRICE!$I$5:$I$500="O"))</f>
        <v>0</v>
      </c>
      <c r="L42" s="92">
        <f>SUMPRODUCT(--(TRIM(MATRICE!$D$5:$D$500)="MT QJ")*(MATRICE!$F$5:$F$500="30 à 34 ans")*(MATRICE!$G$5:$G$500="S")*(MATRICE!$I$5:$I$500="O"))</f>
        <v>0</v>
      </c>
      <c r="M42" s="92">
        <f>SUMPRODUCT(--(TRIM(MATRICE!$D$5:$D$500)="MT QJ")*(MATRICE!$F$5:$F$500="35 à 39 ans")*(MATRICE!$G$5:$G$500="S")*(MATRICE!$I$5:$I$500="O"))</f>
        <v>1</v>
      </c>
      <c r="N42" s="92">
        <f>SUMPRODUCT(--(TRIM(MATRICE!$D$5:$D$500)="MT QJ")*(MATRICE!$F$5:$F$500="40 à 44 ans")*(MATRICE!$G$5:$G$500="S")*(MATRICE!$I$5:$I$500="O"))</f>
        <v>2</v>
      </c>
      <c r="O42" s="92">
        <f>SUMPRODUCT(--(TRIM(MATRICE!$D$5:$D$500)="MT QJ")*(MATRICE!$F$5:$F$500="Moins de 20 ans")*(MATRICE!$G$5:$G$500="S")*(MATRICE!$I$5:$I$500="O"))</f>
        <v>0</v>
      </c>
      <c r="P42" s="92">
        <f>SUMPRODUCT(--(TRIM(MATRICE!$D$5:$D$500)="MT QJ")*(MATRICE!$F$5:$F$500="Moins de 20 ans")*(MATRICE!$G$5:$G$500="S")*(MATRICE!$I$5:$I$500="O"))</f>
        <v>0</v>
      </c>
      <c r="Q42" s="92">
        <f>SUMPRODUCT(--(TRIM(MATRICE!$D$5:$D$500)="MT QJ")*(MATRICE!$F$5:$F$500="Moins de 20 ans")*(MATRICE!$G$5:$G$500="S")*(MATRICE!$I$5:$I$500="O"))</f>
        <v>0</v>
      </c>
      <c r="R42" s="92">
        <f>SUMPRODUCT(--(TRIM(MATRICE!$D$5:$D$500)="MT QJ")*(MATRICE!$F$5:$F$500="Moins de 20 ans")*(MATRICE!$G$5:$G$500="S")*(MATRICE!$I$5:$I$500="O"))</f>
        <v>0</v>
      </c>
      <c r="S42" s="11"/>
    </row>
    <row r="43" spans="1:19" ht="15.75" x14ac:dyDescent="0.25">
      <c r="A43" s="47"/>
      <c r="B43" s="48"/>
      <c r="C43" s="49"/>
      <c r="D43" s="49"/>
      <c r="E43" s="49"/>
      <c r="F43" s="52"/>
      <c r="G43" s="50"/>
      <c r="H43" s="11"/>
      <c r="I43" s="92"/>
      <c r="J43" s="92"/>
      <c r="K43" s="92"/>
      <c r="L43" s="92"/>
      <c r="M43" s="92"/>
      <c r="N43" s="92"/>
      <c r="O43" s="92"/>
      <c r="P43" s="92"/>
      <c r="Q43" s="92"/>
      <c r="R43" s="92"/>
      <c r="S43" s="11"/>
    </row>
    <row r="44" spans="1:19" ht="15.75" x14ac:dyDescent="0.25">
      <c r="A44" s="12" t="s">
        <v>1578</v>
      </c>
      <c r="B44" s="37">
        <f>SUM(B45:B53)</f>
        <v>0</v>
      </c>
      <c r="C44" s="38">
        <f>SUM(C45:C53)</f>
        <v>0</v>
      </c>
      <c r="D44" s="39">
        <f>SUM(D45:D53)</f>
        <v>45</v>
      </c>
      <c r="E44" s="40">
        <f>SUM(E45:E53)</f>
        <v>36</v>
      </c>
      <c r="F44" s="40"/>
      <c r="G44" s="36"/>
      <c r="H44" s="11"/>
      <c r="I44" s="92"/>
      <c r="J44" s="92"/>
      <c r="K44" s="92"/>
      <c r="L44" s="92"/>
      <c r="M44" s="92"/>
      <c r="N44" s="92"/>
      <c r="O44" s="92"/>
      <c r="P44" s="92"/>
      <c r="Q44" s="92"/>
      <c r="R44" s="92"/>
      <c r="S44" s="11"/>
    </row>
    <row r="45" spans="1:19" ht="15.75" x14ac:dyDescent="0.25">
      <c r="A45" s="14" t="s">
        <v>533</v>
      </c>
      <c r="B45" s="41"/>
      <c r="C45" s="42"/>
      <c r="D45" s="43">
        <f>SUMPRODUCT(--(TRIM('EXTRACTION AT GLOBAL DEA'!$I$3:$I$1500)="MT CA PR")*('EXTRACTION AT GLOBAL DEA'!$M$3:$M$1500="O"))</f>
        <v>5</v>
      </c>
      <c r="E45" s="44">
        <f>SUMPRODUCT(--(TRIM('EXTRACTION AT GLOBAL DEA'!$I$3:$I$1500)="MT CA PR")*('EXTRACTION AT GLOBAL DEA'!$K$3:$K$1500="T"))</f>
        <v>4</v>
      </c>
      <c r="F45" s="44"/>
      <c r="G45" s="46"/>
      <c r="H45" s="11"/>
      <c r="I45" s="92">
        <f>SUMPRODUCT(--(TRIM(MATRICE!$D$5:$D$500)="BLDPVDOR")*(MATRICE!$F$5:$F$500="Moins de 20 ans")*(MATRICE!$G$5:$G$500="S")*(MATRICE!$I$5:$I$500="O"))</f>
        <v>1</v>
      </c>
      <c r="J45" s="92">
        <f>SUMPRODUCT(--(TRIM(MATRICE!$D$5:$D$500)="BLDPVDOR")*(MATRICE!$F$5:$F$500="Moins de 20 ans")*(MATRICE!$G$5:$G$500="S")*(MATRICE!$I$5:$I$500="O"))</f>
        <v>1</v>
      </c>
      <c r="K45" s="92">
        <f>SUMPRODUCT(--(TRIM(MATRICE!$D$5:$D$500)="BLDPVDOR")*(MATRICE!$F$5:$F$500="Moins de 20 ans")*(MATRICE!$G$5:$G$500="S")*(MATRICE!$I$5:$I$500="O"))</f>
        <v>1</v>
      </c>
      <c r="L45" s="92">
        <f>SUMPRODUCT(--(TRIM(MATRICE!$D$5:$D$500)="BLDPVDOR")*(MATRICE!$F$5:$F$500="Moins de 20 ans")*(MATRICE!$G$5:$G$500="S")*(MATRICE!$I$5:$I$500="O"))</f>
        <v>1</v>
      </c>
      <c r="M45" s="92">
        <f>SUMPRODUCT(--(TRIM(MATRICE!$D$5:$D$500)="BLDPVDOR")*(MATRICE!$F$5:$F$500="Moins de 20 ans")*(MATRICE!$G$5:$G$500="S")*(MATRICE!$I$5:$I$500="O"))</f>
        <v>1</v>
      </c>
      <c r="N45" s="92">
        <f>SUMPRODUCT(--(TRIM(MATRICE!$D$5:$D$500)="BLDPVDOR")*(MATRICE!$F$5:$F$500="Moins de 20 ans")*(MATRICE!$G$5:$G$500="S")*(MATRICE!$I$5:$I$500="O"))</f>
        <v>1</v>
      </c>
      <c r="O45" s="92">
        <f>SUMPRODUCT(--(TRIM(MATRICE!$D$5:$D$500)="BLDPVDOR")*(MATRICE!$F$5:$F$500="Moins de 20 ans")*(MATRICE!$G$5:$G$500="S")*(MATRICE!$I$5:$I$500="O"))</f>
        <v>1</v>
      </c>
      <c r="P45" s="92">
        <f>SUMPRODUCT(--(TRIM(MATRICE!$D$5:$D$500)="BLDPVDOR")*(MATRICE!$F$5:$F$500="Moins de 20 ans")*(MATRICE!$G$5:$G$500="S")*(MATRICE!$I$5:$I$500="O"))</f>
        <v>1</v>
      </c>
      <c r="Q45" s="92">
        <f>SUMPRODUCT(--(TRIM(MATRICE!$D$5:$D$500)="BLDPVDOR")*(MATRICE!$F$5:$F$500="Moins de 20 ans")*(MATRICE!$G$5:$G$500="S")*(MATRICE!$I$5:$I$500="O"))</f>
        <v>1</v>
      </c>
      <c r="R45" s="92">
        <f>SUMPRODUCT(--(TRIM(MATRICE!$D$5:$D$500)="BLDPVDOR")*(MATRICE!$F$5:$F$500="Moins de 20 ans")*(MATRICE!$G$5:$G$500="S")*(MATRICE!$I$5:$I$500="O"))</f>
        <v>1</v>
      </c>
      <c r="S45" s="11"/>
    </row>
    <row r="46" spans="1:19" ht="15.75" x14ac:dyDescent="0.25">
      <c r="A46" s="14" t="s">
        <v>656</v>
      </c>
      <c r="B46" s="41"/>
      <c r="C46" s="42"/>
      <c r="D46" s="43">
        <f>SUMPRODUCT(--(TRIM('EXTRACTION AT GLOBAL DEA'!$I$3:$I$1500)="MT CA PR")*('EXTRACTION AT GLOBAL DEA'!$M$3:$M$1500="O"))</f>
        <v>5</v>
      </c>
      <c r="E46" s="44">
        <f>SUMPRODUCT(--(TRIM('EXTRACTION AT GLOBAL DEA'!$I$3:$I$1500)="MT CA PR")*('EXTRACTION AT GLOBAL DEA'!$K$3:$K$1500="T"))</f>
        <v>4</v>
      </c>
      <c r="F46" s="44"/>
      <c r="G46" s="46"/>
      <c r="H46" s="11"/>
      <c r="I46" s="92">
        <f>SUMPRODUCT(--(TRIM(MATRICE!$D$5:$D$500)="BLDPVDOR")*(MATRICE!$F$5:$F$500="Moins de 20 ans")*(MATRICE!$G$5:$G$500="S")*(MATRICE!$I$5:$I$500="O"))</f>
        <v>1</v>
      </c>
      <c r="J46" s="92">
        <f>SUMPRODUCT(--(TRIM(MATRICE!$D$5:$D$500)="BLDPVDOR")*(MATRICE!$F$5:$F$500="Moins de 20 ans")*(MATRICE!$G$5:$G$500="S")*(MATRICE!$I$5:$I$500="O"))</f>
        <v>1</v>
      </c>
      <c r="K46" s="92">
        <f>SUMPRODUCT(--(TRIM(MATRICE!$D$5:$D$500)="BLDPVDOR")*(MATRICE!$F$5:$F$500="Moins de 20 ans")*(MATRICE!$G$5:$G$500="S")*(MATRICE!$I$5:$I$500="O"))</f>
        <v>1</v>
      </c>
      <c r="L46" s="92">
        <f>SUMPRODUCT(--(TRIM(MATRICE!$D$5:$D$500)="BLDPVDOR")*(MATRICE!$F$5:$F$500="Moins de 20 ans")*(MATRICE!$G$5:$G$500="S")*(MATRICE!$I$5:$I$500="O"))</f>
        <v>1</v>
      </c>
      <c r="M46" s="92">
        <f>SUMPRODUCT(--(TRIM(MATRICE!$D$5:$D$500)="BLDPVDOR")*(MATRICE!$F$5:$F$500="Moins de 20 ans")*(MATRICE!$G$5:$G$500="S")*(MATRICE!$I$5:$I$500="O"))</f>
        <v>1</v>
      </c>
      <c r="N46" s="92">
        <f>SUMPRODUCT(--(TRIM(MATRICE!$D$5:$D$500)="BLDPVDOR")*(MATRICE!$F$5:$F$500="Moins de 20 ans")*(MATRICE!$G$5:$G$500="S")*(MATRICE!$I$5:$I$500="O"))</f>
        <v>1</v>
      </c>
      <c r="O46" s="92">
        <f>SUMPRODUCT(--(TRIM(MATRICE!$D$5:$D$500)="BLDPVDOR")*(MATRICE!$F$5:$F$500="Moins de 20 ans")*(MATRICE!$G$5:$G$500="S")*(MATRICE!$I$5:$I$500="O"))</f>
        <v>1</v>
      </c>
      <c r="P46" s="92">
        <f>SUMPRODUCT(--(TRIM(MATRICE!$D$5:$D$500)="BLDPVDOR")*(MATRICE!$F$5:$F$500="Moins de 20 ans")*(MATRICE!$G$5:$G$500="S")*(MATRICE!$I$5:$I$500="O"))</f>
        <v>1</v>
      </c>
      <c r="Q46" s="92">
        <f>SUMPRODUCT(--(TRIM(MATRICE!$D$5:$D$500)="BLDPVDOR")*(MATRICE!$F$5:$F$500="Moins de 20 ans")*(MATRICE!$G$5:$G$500="S")*(MATRICE!$I$5:$I$500="O"))</f>
        <v>1</v>
      </c>
      <c r="R46" s="92">
        <f>SUMPRODUCT(--(TRIM(MATRICE!$D$5:$D$500)="BLDPVDOR")*(MATRICE!$F$5:$F$500="Moins de 20 ans")*(MATRICE!$G$5:$G$500="S")*(MATRICE!$I$5:$I$500="O"))</f>
        <v>1</v>
      </c>
      <c r="S46" s="11"/>
    </row>
    <row r="47" spans="1:19" ht="15.75" x14ac:dyDescent="0.25">
      <c r="A47" s="14" t="s">
        <v>891</v>
      </c>
      <c r="B47" s="41"/>
      <c r="C47" s="42"/>
      <c r="D47" s="43">
        <f>SUMPRODUCT(--(TRIM('EXTRACTION AT GLOBAL DEA'!$I$3:$I$1500)="MT CA PR")*('EXTRACTION AT GLOBAL DEA'!$M$3:$M$1500="O"))</f>
        <v>5</v>
      </c>
      <c r="E47" s="44">
        <f>SUMPRODUCT(--(TRIM('EXTRACTION AT GLOBAL DEA'!$I$3:$I$1500)="MT CA PR")*('EXTRACTION AT GLOBAL DEA'!$K$3:$K$1500="T"))</f>
        <v>4</v>
      </c>
      <c r="F47" s="44"/>
      <c r="G47" s="46"/>
      <c r="H47" s="11"/>
      <c r="I47" s="92">
        <f>SUMPRODUCT(--(TRIM(MATRICE!$D$5:$D$500)="BLDPVDOR")*(MATRICE!$F$5:$F$500="Moins de 20 ans")*(MATRICE!$G$5:$G$500="S")*(MATRICE!$I$5:$I$500="O"))</f>
        <v>1</v>
      </c>
      <c r="J47" s="92">
        <f>SUMPRODUCT(--(TRIM(MATRICE!$D$5:$D$500)="BLDPVDOR")*(MATRICE!$F$5:$F$500="Moins de 20 ans")*(MATRICE!$G$5:$G$500="S")*(MATRICE!$I$5:$I$500="O"))</f>
        <v>1</v>
      </c>
      <c r="K47" s="92">
        <f>SUMPRODUCT(--(TRIM(MATRICE!$D$5:$D$500)="BLDPVDOR")*(MATRICE!$F$5:$F$500="Moins de 20 ans")*(MATRICE!$G$5:$G$500="S")*(MATRICE!$I$5:$I$500="O"))</f>
        <v>1</v>
      </c>
      <c r="L47" s="92">
        <f>SUMPRODUCT(--(TRIM(MATRICE!$D$5:$D$500)="BLDPVDOR")*(MATRICE!$F$5:$F$500="Moins de 20 ans")*(MATRICE!$G$5:$G$500="S")*(MATRICE!$I$5:$I$500="O"))</f>
        <v>1</v>
      </c>
      <c r="M47" s="92">
        <f>SUMPRODUCT(--(TRIM(MATRICE!$D$5:$D$500)="BLDPVDOR")*(MATRICE!$F$5:$F$500="Moins de 20 ans")*(MATRICE!$G$5:$G$500="S")*(MATRICE!$I$5:$I$500="O"))</f>
        <v>1</v>
      </c>
      <c r="N47" s="92">
        <f>SUMPRODUCT(--(TRIM(MATRICE!$D$5:$D$500)="BLDPVDOR")*(MATRICE!$F$5:$F$500="Moins de 20 ans")*(MATRICE!$G$5:$G$500="S")*(MATRICE!$I$5:$I$500="O"))</f>
        <v>1</v>
      </c>
      <c r="O47" s="92">
        <f>SUMPRODUCT(--(TRIM(MATRICE!$D$5:$D$500)="BLDPVDOR")*(MATRICE!$F$5:$F$500="Moins de 20 ans")*(MATRICE!$G$5:$G$500="S")*(MATRICE!$I$5:$I$500="O"))</f>
        <v>1</v>
      </c>
      <c r="P47" s="92">
        <f>SUMPRODUCT(--(TRIM(MATRICE!$D$5:$D$500)="BLDPVDOR")*(MATRICE!$F$5:$F$500="Moins de 20 ans")*(MATRICE!$G$5:$G$500="S")*(MATRICE!$I$5:$I$500="O"))</f>
        <v>1</v>
      </c>
      <c r="Q47" s="92">
        <f>SUMPRODUCT(--(TRIM(MATRICE!$D$5:$D$500)="BLDPVDOR")*(MATRICE!$F$5:$F$500="Moins de 20 ans")*(MATRICE!$G$5:$G$500="S")*(MATRICE!$I$5:$I$500="O"))</f>
        <v>1</v>
      </c>
      <c r="R47" s="92">
        <f>SUMPRODUCT(--(TRIM(MATRICE!$D$5:$D$500)="BLDPVDOR")*(MATRICE!$F$5:$F$500="Moins de 20 ans")*(MATRICE!$G$5:$G$500="S")*(MATRICE!$I$5:$I$500="O"))</f>
        <v>1</v>
      </c>
      <c r="S47" s="11"/>
    </row>
    <row r="48" spans="1:19" ht="15.75" x14ac:dyDescent="0.25">
      <c r="A48" s="14" t="s">
        <v>1127</v>
      </c>
      <c r="B48" s="41"/>
      <c r="C48" s="42"/>
      <c r="D48" s="43">
        <f>SUMPRODUCT(--(TRIM('EXTRACTION AT GLOBAL DEA'!$I$3:$I$1500)="MT CA PR")*('EXTRACTION AT GLOBAL DEA'!$M$3:$M$1500="O"))</f>
        <v>5</v>
      </c>
      <c r="E48" s="44">
        <f>SUMPRODUCT(--(TRIM('EXTRACTION AT GLOBAL DEA'!$I$3:$I$1500)="MT CA PR")*('EXTRACTION AT GLOBAL DEA'!$K$3:$K$1500="T"))</f>
        <v>4</v>
      </c>
      <c r="F48" s="44"/>
      <c r="G48" s="46"/>
      <c r="H48" s="11"/>
      <c r="I48" s="92">
        <f>SUMPRODUCT(--(TRIM(MATRICE!$D$5:$D$500)="BLDPVDOR")*(MATRICE!$F$5:$F$500="Moins de 20 ans")*(MATRICE!$G$5:$G$500="S")*(MATRICE!$I$5:$I$500="O"))</f>
        <v>1</v>
      </c>
      <c r="J48" s="92">
        <f>SUMPRODUCT(--(TRIM(MATRICE!$D$5:$D$500)="BLDPVDOR")*(MATRICE!$F$5:$F$500="Moins de 20 ans")*(MATRICE!$G$5:$G$500="S")*(MATRICE!$I$5:$I$500="O"))</f>
        <v>1</v>
      </c>
      <c r="K48" s="92">
        <f>SUMPRODUCT(--(TRIM(MATRICE!$D$5:$D$500)="BLDPVDOR")*(MATRICE!$F$5:$F$500="Moins de 20 ans")*(MATRICE!$G$5:$G$500="S")*(MATRICE!$I$5:$I$500="O"))</f>
        <v>1</v>
      </c>
      <c r="L48" s="92">
        <f>SUMPRODUCT(--(TRIM(MATRICE!$D$5:$D$500)="BLDPVDOR")*(MATRICE!$F$5:$F$500="Moins de 20 ans")*(MATRICE!$G$5:$G$500="S")*(MATRICE!$I$5:$I$500="O"))</f>
        <v>1</v>
      </c>
      <c r="M48" s="92">
        <f>SUMPRODUCT(--(TRIM(MATRICE!$D$5:$D$500)="BLDPVDOR")*(MATRICE!$F$5:$F$500="Moins de 20 ans")*(MATRICE!$G$5:$G$500="S")*(MATRICE!$I$5:$I$500="O"))</f>
        <v>1</v>
      </c>
      <c r="N48" s="92">
        <f>SUMPRODUCT(--(TRIM(MATRICE!$D$5:$D$500)="BLDPVDOR")*(MATRICE!$F$5:$F$500="Moins de 20 ans")*(MATRICE!$G$5:$G$500="S")*(MATRICE!$I$5:$I$500="O"))</f>
        <v>1</v>
      </c>
      <c r="O48" s="92">
        <f>SUMPRODUCT(--(TRIM(MATRICE!$D$5:$D$500)="BLDPVDOR")*(MATRICE!$F$5:$F$500="Moins de 20 ans")*(MATRICE!$G$5:$G$500="S")*(MATRICE!$I$5:$I$500="O"))</f>
        <v>1</v>
      </c>
      <c r="P48" s="92">
        <f>SUMPRODUCT(--(TRIM(MATRICE!$D$5:$D$500)="BLDPVDOR")*(MATRICE!$F$5:$F$500="Moins de 20 ans")*(MATRICE!$G$5:$G$500="S")*(MATRICE!$I$5:$I$500="O"))</f>
        <v>1</v>
      </c>
      <c r="Q48" s="92">
        <f>SUMPRODUCT(--(TRIM(MATRICE!$D$5:$D$500)="BLDPVDOR")*(MATRICE!$F$5:$F$500="Moins de 20 ans")*(MATRICE!$G$5:$G$500="S")*(MATRICE!$I$5:$I$500="O"))</f>
        <v>1</v>
      </c>
      <c r="R48" s="92">
        <f>SUMPRODUCT(--(TRIM(MATRICE!$D$5:$D$500)="BLDPVDOR")*(MATRICE!$F$5:$F$500="Moins de 20 ans")*(MATRICE!$G$5:$G$500="S")*(MATRICE!$I$5:$I$500="O"))</f>
        <v>1</v>
      </c>
      <c r="S48" s="11"/>
    </row>
    <row r="49" spans="1:19" ht="15.75" x14ac:dyDescent="0.25">
      <c r="A49" s="14" t="s">
        <v>283</v>
      </c>
      <c r="B49" s="41"/>
      <c r="C49" s="42"/>
      <c r="D49" s="43">
        <f>SUMPRODUCT(--(TRIM('EXTRACTION AT GLOBAL DEA'!$I$3:$I$1500)="MT CA PR")*('EXTRACTION AT GLOBAL DEA'!$M$3:$M$1500="O"))</f>
        <v>5</v>
      </c>
      <c r="E49" s="44">
        <f>SUMPRODUCT(--(TRIM('EXTRACTION AT GLOBAL DEA'!$I$3:$I$1500)="MT CA PR")*('EXTRACTION AT GLOBAL DEA'!$K$3:$K$1500="T"))</f>
        <v>4</v>
      </c>
      <c r="F49" s="44"/>
      <c r="G49" s="46"/>
      <c r="H49" s="11"/>
      <c r="I49" s="92">
        <f>SUMPRODUCT(--(TRIM(MATRICE!$D$5:$D$500)="BLDPVDOR")*(MATRICE!$F$5:$F$500="Moins de 20 ans")*(MATRICE!$G$5:$G$500="S")*(MATRICE!$I$5:$I$500="O"))</f>
        <v>1</v>
      </c>
      <c r="J49" s="92">
        <f>SUMPRODUCT(--(TRIM(MATRICE!$D$5:$D$500)="BLDPVDOR")*(MATRICE!$F$5:$F$500="Moins de 20 ans")*(MATRICE!$G$5:$G$500="S")*(MATRICE!$I$5:$I$500="O"))</f>
        <v>1</v>
      </c>
      <c r="K49" s="92">
        <f>SUMPRODUCT(--(TRIM(MATRICE!$D$5:$D$500)="BLDPVDOR")*(MATRICE!$F$5:$F$500="Moins de 20 ans")*(MATRICE!$G$5:$G$500="S")*(MATRICE!$I$5:$I$500="O"))</f>
        <v>1</v>
      </c>
      <c r="L49" s="92">
        <f>SUMPRODUCT(--(TRIM(MATRICE!$D$5:$D$500)="BLDPVDOR")*(MATRICE!$F$5:$F$500="Moins de 20 ans")*(MATRICE!$G$5:$G$500="S")*(MATRICE!$I$5:$I$500="O"))</f>
        <v>1</v>
      </c>
      <c r="M49" s="92">
        <f>SUMPRODUCT(--(TRIM(MATRICE!$D$5:$D$500)="BLDPVDOR")*(MATRICE!$F$5:$F$500="Moins de 20 ans")*(MATRICE!$G$5:$G$500="S")*(MATRICE!$I$5:$I$500="O"))</f>
        <v>1</v>
      </c>
      <c r="N49" s="92">
        <f>SUMPRODUCT(--(TRIM(MATRICE!$D$5:$D$500)="BLDPVDOR")*(MATRICE!$F$5:$F$500="Moins de 20 ans")*(MATRICE!$G$5:$G$500="S")*(MATRICE!$I$5:$I$500="O"))</f>
        <v>1</v>
      </c>
      <c r="O49" s="92">
        <f>SUMPRODUCT(--(TRIM(MATRICE!$D$5:$D$500)="BLDPVDOR")*(MATRICE!$F$5:$F$500="Moins de 20 ans")*(MATRICE!$G$5:$G$500="S")*(MATRICE!$I$5:$I$500="O"))</f>
        <v>1</v>
      </c>
      <c r="P49" s="92">
        <f>SUMPRODUCT(--(TRIM(MATRICE!$D$5:$D$500)="BLDPVDOR")*(MATRICE!$F$5:$F$500="Moins de 20 ans")*(MATRICE!$G$5:$G$500="S")*(MATRICE!$I$5:$I$500="O"))</f>
        <v>1</v>
      </c>
      <c r="Q49" s="92">
        <f>SUMPRODUCT(--(TRIM(MATRICE!$D$5:$D$500)="BLDPVDOR")*(MATRICE!$F$5:$F$500="Moins de 20 ans")*(MATRICE!$G$5:$G$500="S")*(MATRICE!$I$5:$I$500="O"))</f>
        <v>1</v>
      </c>
      <c r="R49" s="92">
        <f>SUMPRODUCT(--(TRIM(MATRICE!$D$5:$D$500)="BLDPVDOR")*(MATRICE!$F$5:$F$500="Moins de 20 ans")*(MATRICE!$G$5:$G$500="S")*(MATRICE!$I$5:$I$500="O"))</f>
        <v>1</v>
      </c>
      <c r="S49" s="11"/>
    </row>
    <row r="50" spans="1:19" ht="15.75" x14ac:dyDescent="0.25">
      <c r="A50" s="15" t="s">
        <v>548</v>
      </c>
      <c r="B50" s="41"/>
      <c r="C50" s="42"/>
      <c r="D50" s="43">
        <f>SUMPRODUCT(--(TRIM('EXTRACTION AT GLOBAL DEA'!$I$3:$I$1500)="MT CA PR")*('EXTRACTION AT GLOBAL DEA'!$M$3:$M$1500="O"))</f>
        <v>5</v>
      </c>
      <c r="E50" s="44">
        <f>SUMPRODUCT(--(TRIM('EXTRACTION AT GLOBAL DEA'!$I$3:$I$1500)="MT CA PR")*('EXTRACTION AT GLOBAL DEA'!$K$3:$K$1500="T"))</f>
        <v>4</v>
      </c>
      <c r="F50" s="44"/>
      <c r="G50" s="46"/>
      <c r="H50" s="11"/>
      <c r="I50" s="92">
        <f>SUMPRODUCT(--(TRIM(MATRICE!$D$5:$D$500)="BLDPVDOR")*(MATRICE!$F$5:$F$500="Moins de 20 ans")*(MATRICE!$G$5:$G$500="S")*(MATRICE!$I$5:$I$500="O"))</f>
        <v>1</v>
      </c>
      <c r="J50" s="92">
        <f>SUMPRODUCT(--(TRIM(MATRICE!$D$5:$D$500)="BLDPVDOR")*(MATRICE!$F$5:$F$500="Moins de 20 ans")*(MATRICE!$G$5:$G$500="S")*(MATRICE!$I$5:$I$500="O"))</f>
        <v>1</v>
      </c>
      <c r="K50" s="92">
        <f>SUMPRODUCT(--(TRIM(MATRICE!$D$5:$D$500)="BLDPVDOR")*(MATRICE!$F$5:$F$500="Moins de 20 ans")*(MATRICE!$G$5:$G$500="S")*(MATRICE!$I$5:$I$500="O"))</f>
        <v>1</v>
      </c>
      <c r="L50" s="92">
        <f>SUMPRODUCT(--(TRIM(MATRICE!$D$5:$D$500)="BLDPVDOR")*(MATRICE!$F$5:$F$500="Moins de 20 ans")*(MATRICE!$G$5:$G$500="S")*(MATRICE!$I$5:$I$500="O"))</f>
        <v>1</v>
      </c>
      <c r="M50" s="92">
        <f>SUMPRODUCT(--(TRIM(MATRICE!$D$5:$D$500)="BLDPVDOR")*(MATRICE!$F$5:$F$500="Moins de 20 ans")*(MATRICE!$G$5:$G$500="S")*(MATRICE!$I$5:$I$500="O"))</f>
        <v>1</v>
      </c>
      <c r="N50" s="92">
        <f>SUMPRODUCT(--(TRIM(MATRICE!$D$5:$D$500)="BLDPVDOR")*(MATRICE!$F$5:$F$500="Moins de 20 ans")*(MATRICE!$G$5:$G$500="S")*(MATRICE!$I$5:$I$500="O"))</f>
        <v>1</v>
      </c>
      <c r="O50" s="92">
        <f>SUMPRODUCT(--(TRIM(MATRICE!$D$5:$D$500)="BLDPVDOR")*(MATRICE!$F$5:$F$500="Moins de 20 ans")*(MATRICE!$G$5:$G$500="S")*(MATRICE!$I$5:$I$500="O"))</f>
        <v>1</v>
      </c>
      <c r="P50" s="92">
        <f>SUMPRODUCT(--(TRIM(MATRICE!$D$5:$D$500)="BLDPVDOR")*(MATRICE!$F$5:$F$500="Moins de 20 ans")*(MATRICE!$G$5:$G$500="S")*(MATRICE!$I$5:$I$500="O"))</f>
        <v>1</v>
      </c>
      <c r="Q50" s="92">
        <f>SUMPRODUCT(--(TRIM(MATRICE!$D$5:$D$500)="BLDPVDOR")*(MATRICE!$F$5:$F$500="Moins de 20 ans")*(MATRICE!$G$5:$G$500="S")*(MATRICE!$I$5:$I$500="O"))</f>
        <v>1</v>
      </c>
      <c r="R50" s="92">
        <f>SUMPRODUCT(--(TRIM(MATRICE!$D$5:$D$500)="BLDPVDOR")*(MATRICE!$F$5:$F$500="Moins de 20 ans")*(MATRICE!$G$5:$G$500="S")*(MATRICE!$I$5:$I$500="O"))</f>
        <v>1</v>
      </c>
      <c r="S50" s="11"/>
    </row>
    <row r="51" spans="1:19" ht="15.75" x14ac:dyDescent="0.25">
      <c r="A51" s="15" t="s">
        <v>712</v>
      </c>
      <c r="B51" s="41"/>
      <c r="C51" s="42"/>
      <c r="D51" s="43">
        <f>SUMPRODUCT(--(TRIM('EXTRACTION AT GLOBAL DEA'!$I$3:$I$1500)="MT CA PR")*('EXTRACTION AT GLOBAL DEA'!$M$3:$M$1500="O"))</f>
        <v>5</v>
      </c>
      <c r="E51" s="44">
        <f>SUMPRODUCT(--(TRIM('EXTRACTION AT GLOBAL DEA'!$I$3:$I$1500)="MT CA PR")*('EXTRACTION AT GLOBAL DEA'!$K$3:$K$1500="T"))</f>
        <v>4</v>
      </c>
      <c r="F51" s="44"/>
      <c r="G51" s="46"/>
      <c r="H51" s="11"/>
      <c r="I51" s="92">
        <f>SUMPRODUCT(--(TRIM(MATRICE!$D$5:$D$500)="BLDPVDOR")*(MATRICE!$F$5:$F$500="Moins de 20 ans")*(MATRICE!$G$5:$G$500="S")*(MATRICE!$I$5:$I$500="O"))</f>
        <v>1</v>
      </c>
      <c r="J51" s="92">
        <f>SUMPRODUCT(--(TRIM(MATRICE!$D$5:$D$500)="BLDPVDOR")*(MATRICE!$F$5:$F$500="Moins de 20 ans")*(MATRICE!$G$5:$G$500="S")*(MATRICE!$I$5:$I$500="O"))</f>
        <v>1</v>
      </c>
      <c r="K51" s="92">
        <f>SUMPRODUCT(--(TRIM(MATRICE!$D$5:$D$500)="BLDPVDOR")*(MATRICE!$F$5:$F$500="Moins de 20 ans")*(MATRICE!$G$5:$G$500="S")*(MATRICE!$I$5:$I$500="O"))</f>
        <v>1</v>
      </c>
      <c r="L51" s="92">
        <f>SUMPRODUCT(--(TRIM(MATRICE!$D$5:$D$500)="BLDPVDOR")*(MATRICE!$F$5:$F$500="Moins de 20 ans")*(MATRICE!$G$5:$G$500="S")*(MATRICE!$I$5:$I$500="O"))</f>
        <v>1</v>
      </c>
      <c r="M51" s="92">
        <f>SUMPRODUCT(--(TRIM(MATRICE!$D$5:$D$500)="BLDPVDOR")*(MATRICE!$F$5:$F$500="Moins de 20 ans")*(MATRICE!$G$5:$G$500="S")*(MATRICE!$I$5:$I$500="O"))</f>
        <v>1</v>
      </c>
      <c r="N51" s="92">
        <f>SUMPRODUCT(--(TRIM(MATRICE!$D$5:$D$500)="BLDPVDOR")*(MATRICE!$F$5:$F$500="Moins de 20 ans")*(MATRICE!$G$5:$G$500="S")*(MATRICE!$I$5:$I$500="O"))</f>
        <v>1</v>
      </c>
      <c r="O51" s="92">
        <f>SUMPRODUCT(--(TRIM(MATRICE!$D$5:$D$500)="BLDPVDOR")*(MATRICE!$F$5:$F$500="Moins de 20 ans")*(MATRICE!$G$5:$G$500="S")*(MATRICE!$I$5:$I$500="O"))</f>
        <v>1</v>
      </c>
      <c r="P51" s="92">
        <f>SUMPRODUCT(--(TRIM(MATRICE!$D$5:$D$500)="BLDPVDOR")*(MATRICE!$F$5:$F$500="Moins de 20 ans")*(MATRICE!$G$5:$G$500="S")*(MATRICE!$I$5:$I$500="O"))</f>
        <v>1</v>
      </c>
      <c r="Q51" s="92">
        <f>SUMPRODUCT(--(TRIM(MATRICE!$D$5:$D$500)="BLDPVDOR")*(MATRICE!$F$5:$F$500="Moins de 20 ans")*(MATRICE!$G$5:$G$500="S")*(MATRICE!$I$5:$I$500="O"))</f>
        <v>1</v>
      </c>
      <c r="R51" s="92">
        <f>SUMPRODUCT(--(TRIM(MATRICE!$D$5:$D$500)="BLDPVDOR")*(MATRICE!$F$5:$F$500="Moins de 20 ans")*(MATRICE!$G$5:$G$500="S")*(MATRICE!$I$5:$I$500="O"))</f>
        <v>1</v>
      </c>
      <c r="S51" s="11"/>
    </row>
    <row r="52" spans="1:19" ht="15.75" x14ac:dyDescent="0.25">
      <c r="A52" s="15" t="s">
        <v>673</v>
      </c>
      <c r="B52" s="41"/>
      <c r="C52" s="42"/>
      <c r="D52" s="43">
        <f>SUMPRODUCT(--(TRIM('EXTRACTION AT GLOBAL DEA'!$I$3:$I$1500)="MT CA PR")*('EXTRACTION AT GLOBAL DEA'!$M$3:$M$1500="O"))</f>
        <v>5</v>
      </c>
      <c r="E52" s="44">
        <f>SUMPRODUCT(--(TRIM('EXTRACTION AT GLOBAL DEA'!$I$3:$I$1500)="MT CA PR")*('EXTRACTION AT GLOBAL DEA'!$K$3:$K$1500="T"))</f>
        <v>4</v>
      </c>
      <c r="F52" s="44"/>
      <c r="G52" s="46"/>
      <c r="H52" s="11"/>
      <c r="I52" s="92">
        <f>SUMPRODUCT(--(TRIM(MATRICE!$D$5:$D$500)="BLDPVDOR")*(MATRICE!$F$5:$F$500="Moins de 20 ans")*(MATRICE!$G$5:$G$500="S")*(MATRICE!$I$5:$I$500="O"))</f>
        <v>1</v>
      </c>
      <c r="J52" s="92">
        <f>SUMPRODUCT(--(TRIM(MATRICE!$D$5:$D$500)="BLDPVDOR")*(MATRICE!$F$5:$F$500="Moins de 20 ans")*(MATRICE!$G$5:$G$500="S")*(MATRICE!$I$5:$I$500="O"))</f>
        <v>1</v>
      </c>
      <c r="K52" s="92">
        <f>SUMPRODUCT(--(TRIM(MATRICE!$D$5:$D$500)="BLDPVDOR")*(MATRICE!$F$5:$F$500="Moins de 20 ans")*(MATRICE!$G$5:$G$500="S")*(MATRICE!$I$5:$I$500="O"))</f>
        <v>1</v>
      </c>
      <c r="L52" s="92">
        <f>SUMPRODUCT(--(TRIM(MATRICE!$D$5:$D$500)="BLDPVDOR")*(MATRICE!$F$5:$F$500="Moins de 20 ans")*(MATRICE!$G$5:$G$500="S")*(MATRICE!$I$5:$I$500="O"))</f>
        <v>1</v>
      </c>
      <c r="M52" s="92">
        <f>SUMPRODUCT(--(TRIM(MATRICE!$D$5:$D$500)="BLDPVDOR")*(MATRICE!$F$5:$F$500="Moins de 20 ans")*(MATRICE!$G$5:$G$500="S")*(MATRICE!$I$5:$I$500="O"))</f>
        <v>1</v>
      </c>
      <c r="N52" s="92">
        <f>SUMPRODUCT(--(TRIM(MATRICE!$D$5:$D$500)="BLDPVDOR")*(MATRICE!$F$5:$F$500="Moins de 20 ans")*(MATRICE!$G$5:$G$500="S")*(MATRICE!$I$5:$I$500="O"))</f>
        <v>1</v>
      </c>
      <c r="O52" s="92">
        <f>SUMPRODUCT(--(TRIM(MATRICE!$D$5:$D$500)="BLDPVDOR")*(MATRICE!$F$5:$F$500="Moins de 20 ans")*(MATRICE!$G$5:$G$500="S")*(MATRICE!$I$5:$I$500="O"))</f>
        <v>1</v>
      </c>
      <c r="P52" s="92">
        <f>SUMPRODUCT(--(TRIM(MATRICE!$D$5:$D$500)="BLDPVDOR")*(MATRICE!$F$5:$F$500="Moins de 20 ans")*(MATRICE!$G$5:$G$500="S")*(MATRICE!$I$5:$I$500="O"))</f>
        <v>1</v>
      </c>
      <c r="Q52" s="92">
        <f>SUMPRODUCT(--(TRIM(MATRICE!$D$5:$D$500)="BLDPVDOR")*(MATRICE!$F$5:$F$500="Moins de 20 ans")*(MATRICE!$G$5:$G$500="S")*(MATRICE!$I$5:$I$500="O"))</f>
        <v>1</v>
      </c>
      <c r="R52" s="92">
        <f>SUMPRODUCT(--(TRIM(MATRICE!$D$5:$D$500)="BLDPVDOR")*(MATRICE!$F$5:$F$500="Moins de 20 ans")*(MATRICE!$G$5:$G$500="S")*(MATRICE!$I$5:$I$500="O"))</f>
        <v>1</v>
      </c>
      <c r="S52" s="11"/>
    </row>
    <row r="53" spans="1:19" ht="15.75" x14ac:dyDescent="0.25">
      <c r="A53" s="14" t="s">
        <v>582</v>
      </c>
      <c r="B53" s="41"/>
      <c r="C53" s="42"/>
      <c r="D53" s="43">
        <f>SUMPRODUCT(--(TRIM('EXTRACTION AT GLOBAL DEA'!$I$3:$I$1500)="MT CA PR")*('EXTRACTION AT GLOBAL DEA'!$M$3:$M$1500="O"))</f>
        <v>5</v>
      </c>
      <c r="E53" s="44">
        <f>SUMPRODUCT(--(TRIM('EXTRACTION AT GLOBAL DEA'!$I$3:$I$1500)="MT CA PR")*('EXTRACTION AT GLOBAL DEA'!$K$3:$K$1500="T"))</f>
        <v>4</v>
      </c>
      <c r="F53" s="44"/>
      <c r="G53" s="46"/>
      <c r="H53" s="11"/>
      <c r="I53" s="92">
        <f>SUMPRODUCT(--(TRIM(MATRICE!$D$5:$D$500)="BLDPVDOR")*(MATRICE!$F$5:$F$500="Moins de 20 ans")*(MATRICE!$G$5:$G$500="S")*(MATRICE!$I$5:$I$500="O"))</f>
        <v>1</v>
      </c>
      <c r="J53" s="92">
        <f>SUMPRODUCT(--(TRIM(MATRICE!$D$5:$D$500)="BLDPVDOR")*(MATRICE!$F$5:$F$500="Moins de 20 ans")*(MATRICE!$G$5:$G$500="S")*(MATRICE!$I$5:$I$500="O"))</f>
        <v>1</v>
      </c>
      <c r="K53" s="92">
        <f>SUMPRODUCT(--(TRIM(MATRICE!$D$5:$D$500)="BLDPVDOR")*(MATRICE!$F$5:$F$500="Moins de 20 ans")*(MATRICE!$G$5:$G$500="S")*(MATRICE!$I$5:$I$500="O"))</f>
        <v>1</v>
      </c>
      <c r="L53" s="92">
        <f>SUMPRODUCT(--(TRIM(MATRICE!$D$5:$D$500)="BLDPVDOR")*(MATRICE!$F$5:$F$500="Moins de 20 ans")*(MATRICE!$G$5:$G$500="S")*(MATRICE!$I$5:$I$500="O"))</f>
        <v>1</v>
      </c>
      <c r="M53" s="92">
        <f>SUMPRODUCT(--(TRIM(MATRICE!$D$5:$D$500)="BLDPVDOR")*(MATRICE!$F$5:$F$500="Moins de 20 ans")*(MATRICE!$G$5:$G$500="S")*(MATRICE!$I$5:$I$500="O"))</f>
        <v>1</v>
      </c>
      <c r="N53" s="92">
        <f>SUMPRODUCT(--(TRIM(MATRICE!$D$5:$D$500)="BLDPVDOR")*(MATRICE!$F$5:$F$500="Moins de 20 ans")*(MATRICE!$G$5:$G$500="S")*(MATRICE!$I$5:$I$500="O"))</f>
        <v>1</v>
      </c>
      <c r="O53" s="92">
        <f>SUMPRODUCT(--(TRIM(MATRICE!$D$5:$D$500)="BLDPVDOR")*(MATRICE!$F$5:$F$500="Moins de 20 ans")*(MATRICE!$G$5:$G$500="S")*(MATRICE!$I$5:$I$500="O"))</f>
        <v>1</v>
      </c>
      <c r="P53" s="92">
        <f>SUMPRODUCT(--(TRIM(MATRICE!$D$5:$D$500)="BLDPVDOR")*(MATRICE!$F$5:$F$500="Moins de 20 ans")*(MATRICE!$G$5:$G$500="S")*(MATRICE!$I$5:$I$500="O"))</f>
        <v>1</v>
      </c>
      <c r="Q53" s="92">
        <f>SUMPRODUCT(--(TRIM(MATRICE!$D$5:$D$500)="BLDPVDOR")*(MATRICE!$F$5:$F$500="Moins de 20 ans")*(MATRICE!$G$5:$G$500="S")*(MATRICE!$I$5:$I$500="O"))</f>
        <v>1</v>
      </c>
      <c r="R53" s="92">
        <f>SUMPRODUCT(--(TRIM(MATRICE!$D$5:$D$500)="BLDPVDOR")*(MATRICE!$F$5:$F$500="Moins de 20 ans")*(MATRICE!$G$5:$G$500="S")*(MATRICE!$I$5:$I$500="O"))</f>
        <v>1</v>
      </c>
      <c r="S53" s="11"/>
    </row>
    <row r="54" spans="1:19" ht="15.75" x14ac:dyDescent="0.25">
      <c r="A54" s="47"/>
      <c r="B54" s="48"/>
      <c r="C54" s="49"/>
      <c r="D54" s="49"/>
      <c r="E54" s="49"/>
      <c r="F54" s="49"/>
      <c r="G54" s="45"/>
      <c r="H54" s="11"/>
      <c r="I54" s="92"/>
      <c r="J54" s="92"/>
      <c r="K54" s="92"/>
      <c r="L54" s="92"/>
      <c r="M54" s="92"/>
      <c r="N54" s="92"/>
      <c r="O54" s="92"/>
      <c r="P54" s="92"/>
      <c r="Q54" s="92"/>
      <c r="R54" s="92"/>
      <c r="S54" s="11"/>
    </row>
    <row r="55" spans="1:19" ht="15.75" x14ac:dyDescent="0.25">
      <c r="A55" s="12" t="s">
        <v>1579</v>
      </c>
      <c r="B55" s="37">
        <f>SUM(B56:B64)</f>
        <v>0</v>
      </c>
      <c r="C55" s="38">
        <f>SUM(C56:C64)</f>
        <v>0</v>
      </c>
      <c r="D55" s="39">
        <f>SUM(D56:D64)</f>
        <v>45</v>
      </c>
      <c r="E55" s="40">
        <f>SUM(E56:E64)</f>
        <v>36</v>
      </c>
      <c r="F55" s="40"/>
      <c r="G55" s="36"/>
      <c r="H55" s="11"/>
      <c r="I55" s="92"/>
      <c r="J55" s="92"/>
      <c r="K55" s="92"/>
      <c r="L55" s="92"/>
      <c r="M55" s="92"/>
      <c r="N55" s="92"/>
      <c r="O55" s="92"/>
      <c r="P55" s="92"/>
      <c r="Q55" s="92"/>
      <c r="R55" s="92"/>
      <c r="S55" s="11"/>
    </row>
    <row r="56" spans="1:19" ht="15.75" x14ac:dyDescent="0.25">
      <c r="A56" s="15" t="s">
        <v>243</v>
      </c>
      <c r="B56" s="41"/>
      <c r="C56" s="42"/>
      <c r="D56" s="43">
        <f>SUMPRODUCT(--(TRIM('EXTRACTION AT GLOBAL DEA'!$I$3:$I$1500)="MT CA PR")*('EXTRACTION AT GLOBAL DEA'!$M$3:$M$1500="O"))</f>
        <v>5</v>
      </c>
      <c r="E56" s="44">
        <f>SUMPRODUCT(--(TRIM('EXTRACTION AT GLOBAL DEA'!$I$3:$I$1500)="MT CA PR")*('EXTRACTION AT GLOBAL DEA'!$K$3:$K$1500="T"))</f>
        <v>4</v>
      </c>
      <c r="F56" s="44"/>
      <c r="G56" s="46"/>
      <c r="H56" s="11"/>
      <c r="I56" s="92">
        <f>SUMPRODUCT(--(TRIM(MATRICE!$D$5:$D$500)="BLDPVDOR")*(MATRICE!$F$5:$F$500="Moins de 20 ans")*(MATRICE!$G$5:$G$500="S")*(MATRICE!$I$5:$I$500="O"))</f>
        <v>1</v>
      </c>
      <c r="J56" s="92">
        <f>SUMPRODUCT(--(TRIM(MATRICE!$D$5:$D$500)="BLDPVDOR")*(MATRICE!$F$5:$F$500="Moins de 20 ans")*(MATRICE!$G$5:$G$500="S")*(MATRICE!$I$5:$I$500="O"))</f>
        <v>1</v>
      </c>
      <c r="K56" s="92">
        <f>SUMPRODUCT(--(TRIM(MATRICE!$D$5:$D$500)="BLDPVDOR")*(MATRICE!$F$5:$F$500="Moins de 20 ans")*(MATRICE!$G$5:$G$500="S")*(MATRICE!$I$5:$I$500="O"))</f>
        <v>1</v>
      </c>
      <c r="L56" s="92">
        <f>SUMPRODUCT(--(TRIM(MATRICE!$D$5:$D$500)="BLDPVDOR")*(MATRICE!$F$5:$F$500="Moins de 20 ans")*(MATRICE!$G$5:$G$500="S")*(MATRICE!$I$5:$I$500="O"))</f>
        <v>1</v>
      </c>
      <c r="M56" s="92">
        <f>SUMPRODUCT(--(TRIM(MATRICE!$D$5:$D$500)="BLDPVDOR")*(MATRICE!$F$5:$F$500="Moins de 20 ans")*(MATRICE!$G$5:$G$500="S")*(MATRICE!$I$5:$I$500="O"))</f>
        <v>1</v>
      </c>
      <c r="N56" s="92">
        <f>SUMPRODUCT(--(TRIM(MATRICE!$D$5:$D$500)="BLDPVDOR")*(MATRICE!$F$5:$F$500="Moins de 20 ans")*(MATRICE!$G$5:$G$500="S")*(MATRICE!$I$5:$I$500="O"))</f>
        <v>1</v>
      </c>
      <c r="O56" s="92">
        <f>SUMPRODUCT(--(TRIM(MATRICE!$D$5:$D$500)="BLDPVDOR")*(MATRICE!$F$5:$F$500="Moins de 20 ans")*(MATRICE!$G$5:$G$500="S")*(MATRICE!$I$5:$I$500="O"))</f>
        <v>1</v>
      </c>
      <c r="P56" s="92">
        <f>SUMPRODUCT(--(TRIM(MATRICE!$D$5:$D$500)="BLDPVDOR")*(MATRICE!$F$5:$F$500="Moins de 20 ans")*(MATRICE!$G$5:$G$500="S")*(MATRICE!$I$5:$I$500="O"))</f>
        <v>1</v>
      </c>
      <c r="Q56" s="92"/>
      <c r="R56" s="92">
        <f>SUMPRODUCT(--(TRIM(MATRICE!$D$5:$D$500)="BLDPVDOR")*(MATRICE!$F$5:$F$500="Moins de 20 ans")*(MATRICE!$G$5:$G$500="S")*(MATRICE!$I$5:$I$500="O"))</f>
        <v>1</v>
      </c>
      <c r="S56" s="11"/>
    </row>
    <row r="57" spans="1:19" ht="15.75" x14ac:dyDescent="0.25">
      <c r="A57" s="14" t="s">
        <v>249</v>
      </c>
      <c r="B57" s="41"/>
      <c r="C57" s="42"/>
      <c r="D57" s="43">
        <f>SUMPRODUCT(--(TRIM('EXTRACTION AT GLOBAL DEA'!$I$3:$I$1500)="MT CA PR")*('EXTRACTION AT GLOBAL DEA'!$M$3:$M$1500="O"))</f>
        <v>5</v>
      </c>
      <c r="E57" s="44">
        <f>SUMPRODUCT(--(TRIM('EXTRACTION AT GLOBAL DEA'!$I$3:$I$1500)="MT CA PR")*('EXTRACTION AT GLOBAL DEA'!$K$3:$K$1500="T"))</f>
        <v>4</v>
      </c>
      <c r="F57" s="44"/>
      <c r="G57" s="46"/>
      <c r="H57" s="11"/>
      <c r="I57" s="92">
        <f>SUMPRODUCT(--(TRIM(MATRICE!$D$5:$D$500)="BLDPVDOR")*(MATRICE!$F$5:$F$500="Moins de 20 ans")*(MATRICE!$G$5:$G$500="S")*(MATRICE!$I$5:$I$500="O"))</f>
        <v>1</v>
      </c>
      <c r="J57" s="92">
        <f>SUMPRODUCT(--(TRIM(MATRICE!$D$5:$D$500)="BLDPVDOR")*(MATRICE!$F$5:$F$500="Moins de 20 ans")*(MATRICE!$G$5:$G$500="S")*(MATRICE!$I$5:$I$500="O"))</f>
        <v>1</v>
      </c>
      <c r="K57" s="92">
        <f>SUMPRODUCT(--(TRIM(MATRICE!$D$5:$D$500)="BLDPVDOR")*(MATRICE!$F$5:$F$500="Moins de 20 ans")*(MATRICE!$G$5:$G$500="S")*(MATRICE!$I$5:$I$500="O"))</f>
        <v>1</v>
      </c>
      <c r="L57" s="92">
        <f>SUMPRODUCT(--(TRIM(MATRICE!$D$5:$D$500)="BLDPVDOR")*(MATRICE!$F$5:$F$500="Moins de 20 ans")*(MATRICE!$G$5:$G$500="S")*(MATRICE!$I$5:$I$500="O"))</f>
        <v>1</v>
      </c>
      <c r="M57" s="92">
        <f>SUMPRODUCT(--(TRIM(MATRICE!$D$5:$D$500)="BLDPVDOR")*(MATRICE!$F$5:$F$500="Moins de 20 ans")*(MATRICE!$G$5:$G$500="S")*(MATRICE!$I$5:$I$500="O"))</f>
        <v>1</v>
      </c>
      <c r="N57" s="92">
        <f>SUMPRODUCT(--(TRIM(MATRICE!$D$5:$D$500)="BLDPVDOR")*(MATRICE!$F$5:$F$500="Moins de 20 ans")*(MATRICE!$G$5:$G$500="S")*(MATRICE!$I$5:$I$500="O"))</f>
        <v>1</v>
      </c>
      <c r="O57" s="92">
        <f>SUMPRODUCT(--(TRIM(MATRICE!$D$5:$D$500)="BLDPVDOR")*(MATRICE!$F$5:$F$500="Moins de 20 ans")*(MATRICE!$G$5:$G$500="S")*(MATRICE!$I$5:$I$500="O"))</f>
        <v>1</v>
      </c>
      <c r="P57" s="92">
        <f>SUMPRODUCT(--(TRIM(MATRICE!$D$5:$D$500)="BLDPVDOR")*(MATRICE!$F$5:$F$500="Moins de 20 ans")*(MATRICE!$G$5:$G$500="S")*(MATRICE!$I$5:$I$500="O"))</f>
        <v>1</v>
      </c>
      <c r="Q57" s="92"/>
      <c r="R57" s="92">
        <f>SUMPRODUCT(--(TRIM(MATRICE!$D$5:$D$500)="BLDPVDOR")*(MATRICE!$F$5:$F$500="Moins de 20 ans")*(MATRICE!$G$5:$G$500="S")*(MATRICE!$I$5:$I$500="O"))</f>
        <v>1</v>
      </c>
      <c r="S57" s="11"/>
    </row>
    <row r="58" spans="1:19" ht="15.75" x14ac:dyDescent="0.25">
      <c r="A58" s="14" t="s">
        <v>1247</v>
      </c>
      <c r="B58" s="41"/>
      <c r="C58" s="42"/>
      <c r="D58" s="43">
        <f>SUMPRODUCT(--(TRIM('EXTRACTION AT GLOBAL DEA'!$I$3:$I$1500)="MT CA PR")*('EXTRACTION AT GLOBAL DEA'!$M$3:$M$1500="O"))</f>
        <v>5</v>
      </c>
      <c r="E58" s="44">
        <f>SUMPRODUCT(--(TRIM('EXTRACTION AT GLOBAL DEA'!$I$3:$I$1500)="MT CA PR")*('EXTRACTION AT GLOBAL DEA'!$K$3:$K$1500="T"))</f>
        <v>4</v>
      </c>
      <c r="F58" s="44"/>
      <c r="G58" s="46"/>
      <c r="H58" s="11"/>
      <c r="I58" s="92">
        <f>SUMPRODUCT(--(TRIM(MATRICE!$D$5:$D$500)="BLDPVDOR")*(MATRICE!$F$5:$F$500="Moins de 20 ans")*(MATRICE!$G$5:$G$500="S")*(MATRICE!$I$5:$I$500="O"))</f>
        <v>1</v>
      </c>
      <c r="J58" s="92">
        <f>SUMPRODUCT(--(TRIM(MATRICE!$D$5:$D$500)="BLDPVDOR")*(MATRICE!$F$5:$F$500="Moins de 20 ans")*(MATRICE!$G$5:$G$500="S")*(MATRICE!$I$5:$I$500="O"))</f>
        <v>1</v>
      </c>
      <c r="K58" s="92">
        <f>SUMPRODUCT(--(TRIM(MATRICE!$D$5:$D$500)="BLDPVDOR")*(MATRICE!$F$5:$F$500="Moins de 20 ans")*(MATRICE!$G$5:$G$500="S")*(MATRICE!$I$5:$I$500="O"))</f>
        <v>1</v>
      </c>
      <c r="L58" s="92">
        <f>SUMPRODUCT(--(TRIM(MATRICE!$D$5:$D$500)="BLDPVDOR")*(MATRICE!$F$5:$F$500="Moins de 20 ans")*(MATRICE!$G$5:$G$500="S")*(MATRICE!$I$5:$I$500="O"))</f>
        <v>1</v>
      </c>
      <c r="M58" s="92">
        <f>SUMPRODUCT(--(TRIM(MATRICE!$D$5:$D$500)="BLDPVDOR")*(MATRICE!$F$5:$F$500="Moins de 20 ans")*(MATRICE!$G$5:$G$500="S")*(MATRICE!$I$5:$I$500="O"))</f>
        <v>1</v>
      </c>
      <c r="N58" s="92">
        <f>SUMPRODUCT(--(TRIM(MATRICE!$D$5:$D$500)="BLDPVDOR")*(MATRICE!$F$5:$F$500="Moins de 20 ans")*(MATRICE!$G$5:$G$500="S")*(MATRICE!$I$5:$I$500="O"))</f>
        <v>1</v>
      </c>
      <c r="O58" s="92">
        <f>SUMPRODUCT(--(TRIM(MATRICE!$D$5:$D$500)="BLDPVDOR")*(MATRICE!$F$5:$F$500="Moins de 20 ans")*(MATRICE!$G$5:$G$500="S")*(MATRICE!$I$5:$I$500="O"))</f>
        <v>1</v>
      </c>
      <c r="P58" s="92">
        <f>SUMPRODUCT(--(TRIM(MATRICE!$D$5:$D$500)="BLDPVDOR")*(MATRICE!$F$5:$F$500="Moins de 20 ans")*(MATRICE!$G$5:$G$500="S")*(MATRICE!$I$5:$I$500="O"))</f>
        <v>1</v>
      </c>
      <c r="Q58" s="92"/>
      <c r="R58" s="92">
        <f>SUMPRODUCT(--(TRIM(MATRICE!$D$5:$D$500)="BLDPVDOR")*(MATRICE!$F$5:$F$500="Moins de 20 ans")*(MATRICE!$G$5:$G$500="S")*(MATRICE!$I$5:$I$500="O"))</f>
        <v>1</v>
      </c>
      <c r="S58" s="11"/>
    </row>
    <row r="59" spans="1:19" ht="15.75" x14ac:dyDescent="0.25">
      <c r="A59" s="15" t="s">
        <v>777</v>
      </c>
      <c r="B59" s="41"/>
      <c r="C59" s="42"/>
      <c r="D59" s="43">
        <f>SUMPRODUCT(--(TRIM('EXTRACTION AT GLOBAL DEA'!$I$3:$I$1500)="MT CA PR")*('EXTRACTION AT GLOBAL DEA'!$M$3:$M$1500="O"))</f>
        <v>5</v>
      </c>
      <c r="E59" s="44">
        <f>SUMPRODUCT(--(TRIM('EXTRACTION AT GLOBAL DEA'!$I$3:$I$1500)="MT CA PR")*('EXTRACTION AT GLOBAL DEA'!$K$3:$K$1500="T"))</f>
        <v>4</v>
      </c>
      <c r="F59" s="44"/>
      <c r="G59" s="46"/>
      <c r="H59" s="11"/>
      <c r="I59" s="92">
        <f>SUMPRODUCT(--(TRIM(MATRICE!$D$5:$D$500)="BLDPVDOR")*(MATRICE!$F$5:$F$500="Moins de 20 ans")*(MATRICE!$G$5:$G$500="S")*(MATRICE!$I$5:$I$500="O"))</f>
        <v>1</v>
      </c>
      <c r="J59" s="92">
        <f>SUMPRODUCT(--(TRIM(MATRICE!$D$5:$D$500)="BLDPVDOR")*(MATRICE!$F$5:$F$500="Moins de 20 ans")*(MATRICE!$G$5:$G$500="S")*(MATRICE!$I$5:$I$500="O"))</f>
        <v>1</v>
      </c>
      <c r="K59" s="92">
        <f>SUMPRODUCT(--(TRIM(MATRICE!$D$5:$D$500)="BLDPVDOR")*(MATRICE!$F$5:$F$500="Moins de 20 ans")*(MATRICE!$G$5:$G$500="S")*(MATRICE!$I$5:$I$500="O"))</f>
        <v>1</v>
      </c>
      <c r="L59" s="92">
        <f>SUMPRODUCT(--(TRIM(MATRICE!$D$5:$D$500)="BLDPVDOR")*(MATRICE!$F$5:$F$500="Moins de 20 ans")*(MATRICE!$G$5:$G$500="S")*(MATRICE!$I$5:$I$500="O"))</f>
        <v>1</v>
      </c>
      <c r="M59" s="92">
        <f>SUMPRODUCT(--(TRIM(MATRICE!$D$5:$D$500)="BLDPVDOR")*(MATRICE!$F$5:$F$500="Moins de 20 ans")*(MATRICE!$G$5:$G$500="S")*(MATRICE!$I$5:$I$500="O"))</f>
        <v>1</v>
      </c>
      <c r="N59" s="92">
        <f>SUMPRODUCT(--(TRIM(MATRICE!$D$5:$D$500)="BLDPVDOR")*(MATRICE!$F$5:$F$500="Moins de 20 ans")*(MATRICE!$G$5:$G$500="S")*(MATRICE!$I$5:$I$500="O"))</f>
        <v>1</v>
      </c>
      <c r="O59" s="92">
        <f>SUMPRODUCT(--(TRIM(MATRICE!$D$5:$D$500)="BLDPVDOR")*(MATRICE!$F$5:$F$500="Moins de 20 ans")*(MATRICE!$G$5:$G$500="S")*(MATRICE!$I$5:$I$500="O"))</f>
        <v>1</v>
      </c>
      <c r="P59" s="92">
        <f>SUMPRODUCT(--(TRIM(MATRICE!$D$5:$D$500)="BLDPVDOR")*(MATRICE!$F$5:$F$500="Moins de 20 ans")*(MATRICE!$G$5:$G$500="S")*(MATRICE!$I$5:$I$500="O"))</f>
        <v>1</v>
      </c>
      <c r="Q59" s="92"/>
      <c r="R59" s="92">
        <f>SUMPRODUCT(--(TRIM(MATRICE!$D$5:$D$500)="BLDPVDOR")*(MATRICE!$F$5:$F$500="Moins de 20 ans")*(MATRICE!$G$5:$G$500="S")*(MATRICE!$I$5:$I$500="O"))</f>
        <v>1</v>
      </c>
      <c r="S59" s="11"/>
    </row>
    <row r="60" spans="1:19" ht="15.75" x14ac:dyDescent="0.25">
      <c r="A60" s="14" t="s">
        <v>422</v>
      </c>
      <c r="B60" s="41"/>
      <c r="C60" s="42"/>
      <c r="D60" s="43">
        <f>SUMPRODUCT(--(TRIM('EXTRACTION AT GLOBAL DEA'!$I$3:$I$1500)="MT CA PR")*('EXTRACTION AT GLOBAL DEA'!$M$3:$M$1500="O"))</f>
        <v>5</v>
      </c>
      <c r="E60" s="44">
        <f>SUMPRODUCT(--(TRIM('EXTRACTION AT GLOBAL DEA'!$I$3:$I$1500)="MT CA PR")*('EXTRACTION AT GLOBAL DEA'!$K$3:$K$1500="T"))</f>
        <v>4</v>
      </c>
      <c r="F60" s="44"/>
      <c r="G60" s="46"/>
      <c r="H60" s="11"/>
      <c r="I60" s="92">
        <f>SUMPRODUCT(--(TRIM(MATRICE!$D$5:$D$500)="BLDPVDOR")*(MATRICE!$F$5:$F$500="Moins de 20 ans")*(MATRICE!$G$5:$G$500="S")*(MATRICE!$I$5:$I$500="O"))</f>
        <v>1</v>
      </c>
      <c r="J60" s="92">
        <f>SUMPRODUCT(--(TRIM(MATRICE!$D$5:$D$500)="BLDPVDOR")*(MATRICE!$F$5:$F$500="Moins de 20 ans")*(MATRICE!$G$5:$G$500="S")*(MATRICE!$I$5:$I$500="O"))</f>
        <v>1</v>
      </c>
      <c r="K60" s="92">
        <f>SUMPRODUCT(--(TRIM(MATRICE!$D$5:$D$500)="BLDPVDOR")*(MATRICE!$F$5:$F$500="Moins de 20 ans")*(MATRICE!$G$5:$G$500="S")*(MATRICE!$I$5:$I$500="O"))</f>
        <v>1</v>
      </c>
      <c r="L60" s="92">
        <f>SUMPRODUCT(--(TRIM(MATRICE!$D$5:$D$500)="BLDPVDOR")*(MATRICE!$F$5:$F$500="Moins de 20 ans")*(MATRICE!$G$5:$G$500="S")*(MATRICE!$I$5:$I$500="O"))</f>
        <v>1</v>
      </c>
      <c r="M60" s="92">
        <f>SUMPRODUCT(--(TRIM(MATRICE!$D$5:$D$500)="BLDPVDOR")*(MATRICE!$F$5:$F$500="Moins de 20 ans")*(MATRICE!$G$5:$G$500="S")*(MATRICE!$I$5:$I$500="O"))</f>
        <v>1</v>
      </c>
      <c r="N60" s="92">
        <f>SUMPRODUCT(--(TRIM(MATRICE!$D$5:$D$500)="BLDPVDOR")*(MATRICE!$F$5:$F$500="Moins de 20 ans")*(MATRICE!$G$5:$G$500="S")*(MATRICE!$I$5:$I$500="O"))</f>
        <v>1</v>
      </c>
      <c r="O60" s="92">
        <f>SUMPRODUCT(--(TRIM(MATRICE!$D$5:$D$500)="BLDPVDOR")*(MATRICE!$F$5:$F$500="Moins de 20 ans")*(MATRICE!$G$5:$G$500="S")*(MATRICE!$I$5:$I$500="O"))</f>
        <v>1</v>
      </c>
      <c r="P60" s="92">
        <f>SUMPRODUCT(--(TRIM(MATRICE!$D$5:$D$500)="BLDPVDOR")*(MATRICE!$F$5:$F$500="Moins de 20 ans")*(MATRICE!$G$5:$G$500="S")*(MATRICE!$I$5:$I$500="O"))</f>
        <v>1</v>
      </c>
      <c r="Q60" s="92"/>
      <c r="R60" s="92">
        <f>SUMPRODUCT(--(TRIM(MATRICE!$D$5:$D$500)="BLDPVDOR")*(MATRICE!$F$5:$F$500="Moins de 20 ans")*(MATRICE!$G$5:$G$500="S")*(MATRICE!$I$5:$I$500="O"))</f>
        <v>1</v>
      </c>
      <c r="S60" s="11"/>
    </row>
    <row r="61" spans="1:19" ht="15.75" x14ac:dyDescent="0.25">
      <c r="A61" s="15" t="s">
        <v>930</v>
      </c>
      <c r="B61" s="41"/>
      <c r="C61" s="42"/>
      <c r="D61" s="43">
        <f>SUMPRODUCT(--(TRIM('EXTRACTION AT GLOBAL DEA'!$I$3:$I$1500)="MT CA PR")*('EXTRACTION AT GLOBAL DEA'!$M$3:$M$1500="O"))</f>
        <v>5</v>
      </c>
      <c r="E61" s="44">
        <f>SUMPRODUCT(--(TRIM('EXTRACTION AT GLOBAL DEA'!$I$3:$I$1500)="MT CA PR")*('EXTRACTION AT GLOBAL DEA'!$K$3:$K$1500="T"))</f>
        <v>4</v>
      </c>
      <c r="F61" s="44"/>
      <c r="G61" s="46"/>
      <c r="H61" s="11"/>
      <c r="I61" s="92">
        <f>SUMPRODUCT(--(TRIM(MATRICE!$D$5:$D$500)="BLDPVDOR")*(MATRICE!$F$5:$F$500="Moins de 20 ans")*(MATRICE!$G$5:$G$500="S")*(MATRICE!$I$5:$I$500="O"))</f>
        <v>1</v>
      </c>
      <c r="J61" s="92">
        <f>SUMPRODUCT(--(TRIM(MATRICE!$D$5:$D$500)="BLDPVDOR")*(MATRICE!$F$5:$F$500="Moins de 20 ans")*(MATRICE!$G$5:$G$500="S")*(MATRICE!$I$5:$I$500="O"))</f>
        <v>1</v>
      </c>
      <c r="K61" s="92">
        <f>SUMPRODUCT(--(TRIM(MATRICE!$D$5:$D$500)="BLDPVDOR")*(MATRICE!$F$5:$F$500="Moins de 20 ans")*(MATRICE!$G$5:$G$500="S")*(MATRICE!$I$5:$I$500="O"))</f>
        <v>1</v>
      </c>
      <c r="L61" s="92">
        <f>SUMPRODUCT(--(TRIM(MATRICE!$D$5:$D$500)="BLDPVDOR")*(MATRICE!$F$5:$F$500="Moins de 20 ans")*(MATRICE!$G$5:$G$500="S")*(MATRICE!$I$5:$I$500="O"))</f>
        <v>1</v>
      </c>
      <c r="M61" s="92">
        <f>SUMPRODUCT(--(TRIM(MATRICE!$D$5:$D$500)="BLDPVDOR")*(MATRICE!$F$5:$F$500="Moins de 20 ans")*(MATRICE!$G$5:$G$500="S")*(MATRICE!$I$5:$I$500="O"))</f>
        <v>1</v>
      </c>
      <c r="N61" s="92">
        <f>SUMPRODUCT(--(TRIM(MATRICE!$D$5:$D$500)="BLDPVDOR")*(MATRICE!$F$5:$F$500="Moins de 20 ans")*(MATRICE!$G$5:$G$500="S")*(MATRICE!$I$5:$I$500="O"))</f>
        <v>1</v>
      </c>
      <c r="O61" s="92">
        <f>SUMPRODUCT(--(TRIM(MATRICE!$D$5:$D$500)="BLDPVDOR")*(MATRICE!$F$5:$F$500="Moins de 20 ans")*(MATRICE!$G$5:$G$500="S")*(MATRICE!$I$5:$I$500="O"))</f>
        <v>1</v>
      </c>
      <c r="P61" s="92">
        <f>SUMPRODUCT(--(TRIM(MATRICE!$D$5:$D$500)="BLDPVDOR")*(MATRICE!$F$5:$F$500="Moins de 20 ans")*(MATRICE!$G$5:$G$500="S")*(MATRICE!$I$5:$I$500="O"))</f>
        <v>1</v>
      </c>
      <c r="Q61" s="92"/>
      <c r="R61" s="92">
        <f>SUMPRODUCT(--(TRIM(MATRICE!$D$5:$D$500)="BLDPVDOR")*(MATRICE!$F$5:$F$500="Moins de 20 ans")*(MATRICE!$G$5:$G$500="S")*(MATRICE!$I$5:$I$500="O"))</f>
        <v>1</v>
      </c>
      <c r="S61" s="11"/>
    </row>
    <row r="62" spans="1:19" ht="15.75" x14ac:dyDescent="0.25">
      <c r="A62" s="14" t="s">
        <v>1006</v>
      </c>
      <c r="B62" s="41"/>
      <c r="C62" s="42"/>
      <c r="D62" s="43">
        <f>SUMPRODUCT(--(TRIM('EXTRACTION AT GLOBAL DEA'!$I$3:$I$1500)="MT CA PR")*('EXTRACTION AT GLOBAL DEA'!$M$3:$M$1500="O"))</f>
        <v>5</v>
      </c>
      <c r="E62" s="44">
        <f>SUMPRODUCT(--(TRIM('EXTRACTION AT GLOBAL DEA'!$I$3:$I$1500)="MT CA PR")*('EXTRACTION AT GLOBAL DEA'!$K$3:$K$1500="T"))</f>
        <v>4</v>
      </c>
      <c r="F62" s="44"/>
      <c r="G62" s="46"/>
      <c r="H62" s="11"/>
      <c r="I62" s="92">
        <f>SUMPRODUCT(--(TRIM(MATRICE!$D$5:$D$500)="BLDPVDOR")*(MATRICE!$F$5:$F$500="Moins de 20 ans")*(MATRICE!$G$5:$G$500="S")*(MATRICE!$I$5:$I$500="O"))</f>
        <v>1</v>
      </c>
      <c r="J62" s="92">
        <f>SUMPRODUCT(--(TRIM(MATRICE!$D$5:$D$500)="BLDPVDOR")*(MATRICE!$F$5:$F$500="Moins de 20 ans")*(MATRICE!$G$5:$G$500="S")*(MATRICE!$I$5:$I$500="O"))</f>
        <v>1</v>
      </c>
      <c r="K62" s="92">
        <f>SUMPRODUCT(--(TRIM(MATRICE!$D$5:$D$500)="BLDPVDOR")*(MATRICE!$F$5:$F$500="Moins de 20 ans")*(MATRICE!$G$5:$G$500="S")*(MATRICE!$I$5:$I$500="O"))</f>
        <v>1</v>
      </c>
      <c r="L62" s="92">
        <f>SUMPRODUCT(--(TRIM(MATRICE!$D$5:$D$500)="BLDPVDOR")*(MATRICE!$F$5:$F$500="Moins de 20 ans")*(MATRICE!$G$5:$G$500="S")*(MATRICE!$I$5:$I$500="O"))</f>
        <v>1</v>
      </c>
      <c r="M62" s="92">
        <f>SUMPRODUCT(--(TRIM(MATRICE!$D$5:$D$500)="BLDPVDOR")*(MATRICE!$F$5:$F$500="Moins de 20 ans")*(MATRICE!$G$5:$G$500="S")*(MATRICE!$I$5:$I$500="O"))</f>
        <v>1</v>
      </c>
      <c r="N62" s="92">
        <f>SUMPRODUCT(--(TRIM(MATRICE!$D$5:$D$500)="BLDPVDOR")*(MATRICE!$F$5:$F$500="Moins de 20 ans")*(MATRICE!$G$5:$G$500="S")*(MATRICE!$I$5:$I$500="O"))</f>
        <v>1</v>
      </c>
      <c r="O62" s="92">
        <f>SUMPRODUCT(--(TRIM(MATRICE!$D$5:$D$500)="BLDPVDOR")*(MATRICE!$F$5:$F$500="Moins de 20 ans")*(MATRICE!$G$5:$G$500="S")*(MATRICE!$I$5:$I$500="O"))</f>
        <v>1</v>
      </c>
      <c r="P62" s="92">
        <f>SUMPRODUCT(--(TRIM(MATRICE!$D$5:$D$500)="BLDPVDOR")*(MATRICE!$F$5:$F$500="Moins de 20 ans")*(MATRICE!$G$5:$G$500="S")*(MATRICE!$I$5:$I$500="O"))</f>
        <v>1</v>
      </c>
      <c r="Q62" s="92"/>
      <c r="R62" s="92">
        <f>SUMPRODUCT(--(TRIM(MATRICE!$D$5:$D$500)="BLDPVDOR")*(MATRICE!$F$5:$F$500="Moins de 20 ans")*(MATRICE!$G$5:$G$500="S")*(MATRICE!$I$5:$I$500="O"))</f>
        <v>1</v>
      </c>
      <c r="S62" s="11"/>
    </row>
    <row r="63" spans="1:19" ht="15.75" x14ac:dyDescent="0.25">
      <c r="A63" s="15" t="s">
        <v>805</v>
      </c>
      <c r="B63" s="41"/>
      <c r="C63" s="42"/>
      <c r="D63" s="43">
        <f>SUMPRODUCT(--(TRIM('EXTRACTION AT GLOBAL DEA'!$I$3:$I$1500)="MT CA PR")*('EXTRACTION AT GLOBAL DEA'!$M$3:$M$1500="O"))</f>
        <v>5</v>
      </c>
      <c r="E63" s="44">
        <f>SUMPRODUCT(--(TRIM('EXTRACTION AT GLOBAL DEA'!$I$3:$I$1500)="MT CA PR")*('EXTRACTION AT GLOBAL DEA'!$K$3:$K$1500="T"))</f>
        <v>4</v>
      </c>
      <c r="F63" s="44"/>
      <c r="G63" s="46"/>
      <c r="H63" s="11"/>
      <c r="I63" s="92">
        <f>SUMPRODUCT(--(TRIM(MATRICE!$D$5:$D$500)="BLDPVDOR")*(MATRICE!$F$5:$F$500="Moins de 20 ans")*(MATRICE!$G$5:$G$500="S")*(MATRICE!$I$5:$I$500="O"))</f>
        <v>1</v>
      </c>
      <c r="J63" s="92">
        <f>SUMPRODUCT(--(TRIM(MATRICE!$D$5:$D$500)="BLDPVDOR")*(MATRICE!$F$5:$F$500="Moins de 20 ans")*(MATRICE!$G$5:$G$500="S")*(MATRICE!$I$5:$I$500="O"))</f>
        <v>1</v>
      </c>
      <c r="K63" s="92">
        <f>SUMPRODUCT(--(TRIM(MATRICE!$D$5:$D$500)="BLDPVDOR")*(MATRICE!$F$5:$F$500="Moins de 20 ans")*(MATRICE!$G$5:$G$500="S")*(MATRICE!$I$5:$I$500="O"))</f>
        <v>1</v>
      </c>
      <c r="L63" s="92">
        <f>SUMPRODUCT(--(TRIM(MATRICE!$D$5:$D$500)="BLDPVDOR")*(MATRICE!$F$5:$F$500="Moins de 20 ans")*(MATRICE!$G$5:$G$500="S")*(MATRICE!$I$5:$I$500="O"))</f>
        <v>1</v>
      </c>
      <c r="M63" s="92">
        <f>SUMPRODUCT(--(TRIM(MATRICE!$D$5:$D$500)="BLDPVDOR")*(MATRICE!$F$5:$F$500="Moins de 20 ans")*(MATRICE!$G$5:$G$500="S")*(MATRICE!$I$5:$I$500="O"))</f>
        <v>1</v>
      </c>
      <c r="N63" s="92">
        <f>SUMPRODUCT(--(TRIM(MATRICE!$D$5:$D$500)="BLDPVDOR")*(MATRICE!$F$5:$F$500="Moins de 20 ans")*(MATRICE!$G$5:$G$500="S")*(MATRICE!$I$5:$I$500="O"))</f>
        <v>1</v>
      </c>
      <c r="O63" s="92">
        <f>SUMPRODUCT(--(TRIM(MATRICE!$D$5:$D$500)="BLDPVDOR")*(MATRICE!$F$5:$F$500="Moins de 20 ans")*(MATRICE!$G$5:$G$500="S")*(MATRICE!$I$5:$I$500="O"))</f>
        <v>1</v>
      </c>
      <c r="P63" s="92">
        <f>SUMPRODUCT(--(TRIM(MATRICE!$D$5:$D$500)="BLDPVDOR")*(MATRICE!$F$5:$F$500="Moins de 20 ans")*(MATRICE!$G$5:$G$500="S")*(MATRICE!$I$5:$I$500="O"))</f>
        <v>1</v>
      </c>
      <c r="Q63" s="92"/>
      <c r="R63" s="92">
        <f>SUMPRODUCT(--(TRIM(MATRICE!$D$5:$D$500)="BLDPVDOR")*(MATRICE!$F$5:$F$500="Moins de 20 ans")*(MATRICE!$G$5:$G$500="S")*(MATRICE!$I$5:$I$500="O"))</f>
        <v>1</v>
      </c>
      <c r="S63" s="11"/>
    </row>
    <row r="64" spans="1:19" ht="15.75" x14ac:dyDescent="0.25">
      <c r="A64" s="14" t="s">
        <v>230</v>
      </c>
      <c r="B64" s="41"/>
      <c r="C64" s="42"/>
      <c r="D64" s="43">
        <f>SUMPRODUCT(--(TRIM('EXTRACTION AT GLOBAL DEA'!$I$3:$I$1500)="MT CA PR")*('EXTRACTION AT GLOBAL DEA'!$M$3:$M$1500="O"))</f>
        <v>5</v>
      </c>
      <c r="E64" s="44">
        <f>SUMPRODUCT(--(TRIM('EXTRACTION AT GLOBAL DEA'!$I$3:$I$1500)="MT CA PR")*('EXTRACTION AT GLOBAL DEA'!$K$3:$K$1500="T"))</f>
        <v>4</v>
      </c>
      <c r="F64" s="44"/>
      <c r="G64" s="46"/>
      <c r="H64" s="11"/>
      <c r="I64" s="92">
        <f>SUMPRODUCT(--(TRIM(MATRICE!$D$5:$D$500)="BLDPVDOR")*(MATRICE!$F$5:$F$500="Moins de 20 ans")*(MATRICE!$G$5:$G$500="S")*(MATRICE!$I$5:$I$500="O"))</f>
        <v>1</v>
      </c>
      <c r="J64" s="92">
        <f>SUMPRODUCT(--(TRIM(MATRICE!$D$5:$D$500)="BLDPVDOR")*(MATRICE!$F$5:$F$500="Moins de 20 ans")*(MATRICE!$G$5:$G$500="S")*(MATRICE!$I$5:$I$500="O"))</f>
        <v>1</v>
      </c>
      <c r="K64" s="92">
        <f>SUMPRODUCT(--(TRIM(MATRICE!$D$5:$D$500)="BLDPVDOR")*(MATRICE!$F$5:$F$500="Moins de 20 ans")*(MATRICE!$G$5:$G$500="S")*(MATRICE!$I$5:$I$500="O"))</f>
        <v>1</v>
      </c>
      <c r="L64" s="92">
        <f>SUMPRODUCT(--(TRIM(MATRICE!$D$5:$D$500)="BLDPVDOR")*(MATRICE!$F$5:$F$500="Moins de 20 ans")*(MATRICE!$G$5:$G$500="S")*(MATRICE!$I$5:$I$500="O"))</f>
        <v>1</v>
      </c>
      <c r="M64" s="92">
        <f>SUMPRODUCT(--(TRIM(MATRICE!$D$5:$D$500)="BLDPVDOR")*(MATRICE!$F$5:$F$500="Moins de 20 ans")*(MATRICE!$G$5:$G$500="S")*(MATRICE!$I$5:$I$500="O"))</f>
        <v>1</v>
      </c>
      <c r="N64" s="92">
        <f>SUMPRODUCT(--(TRIM(MATRICE!$D$5:$D$500)="BLDPVDOR")*(MATRICE!$F$5:$F$500="Moins de 20 ans")*(MATRICE!$G$5:$G$500="S")*(MATRICE!$I$5:$I$500="O"))</f>
        <v>1</v>
      </c>
      <c r="O64" s="92">
        <f>SUMPRODUCT(--(TRIM(MATRICE!$D$5:$D$500)="BLDPVDOR")*(MATRICE!$F$5:$F$500="Moins de 20 ans")*(MATRICE!$G$5:$G$500="S")*(MATRICE!$I$5:$I$500="O"))</f>
        <v>1</v>
      </c>
      <c r="P64" s="92">
        <f>SUMPRODUCT(--(TRIM(MATRICE!$D$5:$D$500)="BLDPVDOR")*(MATRICE!$F$5:$F$500="Moins de 20 ans")*(MATRICE!$G$5:$G$500="S")*(MATRICE!$I$5:$I$500="O"))</f>
        <v>1</v>
      </c>
      <c r="Q64" s="92"/>
      <c r="R64" s="92">
        <f>SUMPRODUCT(--(TRIM(MATRICE!$D$5:$D$500)="BLDPVDOR")*(MATRICE!$F$5:$F$500="Moins de 20 ans")*(MATRICE!$G$5:$G$500="S")*(MATRICE!$I$5:$I$500="O"))</f>
        <v>1</v>
      </c>
      <c r="S64" s="11"/>
    </row>
  </sheetData>
  <mergeCells count="2">
    <mergeCell ref="A1:G1"/>
    <mergeCell ref="I1:R1"/>
  </mergeCells>
  <pageMargins left="0.70866141732283472" right="0.70866141732283472" top="0.74803149606299213" bottom="0.74803149606299213" header="0.31496062992125984" footer="0.31496062992125984"/>
  <pageSetup paperSize="9" scale="75" orientation="landscape" r:id="rId1"/>
  <headerFooter>
    <oddHeader>&amp;CTABLEAUX ISSUS DU FICHIER D'ENREGISTREMENT DES ACCIDENTS</oddHeader>
    <oddFooter>&amp;C&amp;P / &amp;N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filterMode="1">
    <tabColor rgb="FFFFFF00"/>
  </sheetPr>
  <dimension ref="A1:AB507"/>
  <sheetViews>
    <sheetView topLeftCell="A4" workbookViewId="0">
      <selection activeCell="A4" sqref="A4:AB4"/>
    </sheetView>
  </sheetViews>
  <sheetFormatPr baseColWidth="10" defaultRowHeight="15" x14ac:dyDescent="0.25"/>
  <cols>
    <col min="2" max="2" width="13.85546875" customWidth="1"/>
    <col min="3" max="4" width="16.28515625" customWidth="1"/>
    <col min="5" max="5" width="11.42578125" customWidth="1"/>
    <col min="6" max="6" width="17.85546875" customWidth="1"/>
    <col min="8" max="12" width="11.42578125" customWidth="1"/>
    <col min="13" max="13" width="14.28515625" customWidth="1"/>
    <col min="14" max="14" width="15.140625" customWidth="1"/>
    <col min="15" max="15" width="18.28515625" customWidth="1"/>
    <col min="16" max="27" width="5.7109375" customWidth="1"/>
    <col min="28" max="28" width="20" customWidth="1"/>
  </cols>
  <sheetData>
    <row r="1" spans="1:28" x14ac:dyDescent="0.25">
      <c r="O1" s="73" t="s">
        <v>1487</v>
      </c>
      <c r="P1" s="74">
        <f>SUMPRODUCT(--(TRIM(MATRICE!$N$5:$N$503)="janvier")*(MATRICE!$H$5:$H$503)*(MATRICE!$G$5:$G$503="S"))</f>
        <v>469</v>
      </c>
      <c r="Q1" s="74">
        <f>SUMPRODUCT(--(TRIM(MATRICE!$N$5:$N$503)="février")*(MATRICE!$H$5:$H$503)*(MATRICE!$G$5:$G$503="S"))</f>
        <v>300</v>
      </c>
      <c r="R1" s="74">
        <f>SUMPRODUCT(--(TRIM(MATRICE!$N$5:$N$503)="mars")*(MATRICE!$H$5:$H$503)*(MATRICE!$G$5:$G$503="S"))</f>
        <v>326</v>
      </c>
      <c r="S1" s="74">
        <f>SUMPRODUCT(--(TRIM(MATRICE!$N$5:$N$503)="avril")*(MATRICE!$H$5:$H$503)*(MATRICE!$G$5:$G$503="S"))</f>
        <v>259</v>
      </c>
      <c r="T1" s="74">
        <f>SUMPRODUCT(--(TRIM(MATRICE!$N$5:$N$503)="mai")*(MATRICE!$H$5:$H$503)*(MATRICE!$G$5:$G$503="S"))</f>
        <v>588</v>
      </c>
      <c r="U1" s="74">
        <f>SUMPRODUCT(--(TRIM(MATRICE!$N$5:$N$503)="juin")*(MATRICE!$H$5:$H$503)*(MATRICE!$G$5:$G$503="S"))</f>
        <v>306</v>
      </c>
      <c r="V1" s="74">
        <f>SUMPRODUCT(--(TRIM(MATRICE!$N$5:$N$503)="juillet")*(MATRICE!$H$5:$H$503)*(MATRICE!$G$5:$G$503="S"))</f>
        <v>270</v>
      </c>
      <c r="W1" s="74">
        <f>SUMPRODUCT(--(TRIM(MATRICE!$N$5:$N$503)="août")*(MATRICE!$H$5:$H$503)*(MATRICE!$G$5:$G$503="S"))</f>
        <v>190</v>
      </c>
      <c r="X1" s="74">
        <f>SUMPRODUCT(--(TRIM(MATRICE!$N$5:$N$503)="septembre")*(MATRICE!$H$5:$H$503)*(MATRICE!$G$5:$G$503="S"))</f>
        <v>216</v>
      </c>
      <c r="Y1" s="74">
        <f>SUMPRODUCT(--(TRIM(MATRICE!$N$5:$N$503)="octobre")*(MATRICE!$H$5:$H$503)*(MATRICE!$G$5:$G$503="S"))</f>
        <v>226</v>
      </c>
      <c r="Z1" s="74">
        <f>SUMPRODUCT(--(TRIM(MATRICE!$N$5:$N$503)="novembre")*(MATRICE!$H$5:$H$503)*(MATRICE!$G$5:$G$503="S"))</f>
        <v>0</v>
      </c>
      <c r="AA1" s="74"/>
      <c r="AB1" s="74">
        <f t="shared" ref="AB1:AB2" si="0">SUM(P1:AA1)</f>
        <v>3150</v>
      </c>
    </row>
    <row r="2" spans="1:28" x14ac:dyDescent="0.25">
      <c r="O2" s="75" t="s">
        <v>1488</v>
      </c>
      <c r="P2" s="76">
        <f>SUMPRODUCT(--(TRIM(MATRICE!$N$5:$N$503)="JANVIER")*(MATRICE!$H$5:$H$503)*(MATRICE!$G$5:$G$503="T"))</f>
        <v>78</v>
      </c>
      <c r="Q2" s="76">
        <f>SUMPRODUCT(--(TRIM(MATRICE!$N$5:$N$503)="février")*(MATRICE!$H$5:$H$503)*(MATRICE!$G$5:$G$503="t"))</f>
        <v>139</v>
      </c>
      <c r="R2" s="76">
        <f>SUMPRODUCT(--(TRIM(MATRICE!$N$5:$N$503)="mars")*(MATRICE!$H$5:$H$503)*(MATRICE!$G$5:$G$503="t"))</f>
        <v>209</v>
      </c>
      <c r="S2" s="76">
        <f>SUMPRODUCT(--(TRIM(MATRICE!$N$5:$N$503)="avril")*(MATRICE!$H$5:$H$503)*(MATRICE!$G$5:$G$503="t"))</f>
        <v>36</v>
      </c>
      <c r="T2" s="76">
        <f>SUMPRODUCT(--(TRIM(MATRICE!$N$5:$N$503)="mai")*(MATRICE!$H$5:$H$503)*(MATRICE!$G$5:$G$503="t"))</f>
        <v>18</v>
      </c>
      <c r="U2" s="76">
        <f>SUMPRODUCT(--(TRIM(MATRICE!$N$5:$N$503)="juin")*(MATRICE!$H$5:$H$503)*(MATRICE!$G$5:$G$503="t"))</f>
        <v>231</v>
      </c>
      <c r="V2" s="76">
        <f>SUMPRODUCT(--(TRIM(MATRICE!$N$5:$N$503)="juillet")*(MATRICE!$H$5:$H$503)*(MATRICE!$G$5:$G$503="t"))</f>
        <v>0</v>
      </c>
      <c r="W2" s="76">
        <f>SUMPRODUCT(--(TRIM(MATRICE!$N$5:$N$503)="août")*(MATRICE!$H$5:$H$503)*(MATRICE!$G$5:$G$503="t"))</f>
        <v>0</v>
      </c>
      <c r="X2" s="76">
        <f>SUMPRODUCT(--(TRIM(MATRICE!$N$5:$N$503)="septembre")*(MATRICE!$H$5:$H$503)*(MATRICE!$G$5:$G$503="t"))</f>
        <v>18</v>
      </c>
      <c r="Y2" s="76">
        <f>SUMPRODUCT(--(TRIM(MATRICE!$N$5:$N$503)="octobre")*(MATRICE!$H$5:$H$503)*(MATRICE!$G$5:$G$503="t"))</f>
        <v>73</v>
      </c>
      <c r="Z2" s="76">
        <f>SUMPRODUCT(--(TRIM(MATRICE!$N$5:$N$503)="novembre")*(MATRICE!$H$5:$H$503)*(MATRICE!$G$5:$G$503="t"))</f>
        <v>0</v>
      </c>
      <c r="AA2" s="76">
        <f>SUMPRODUCT(--(TRIM(MATRICE!$N$5:$N$503)="décembre")*(MATRICE!$H$5:$H$503)*(MATRICE!$G$5:$G$503="t"))</f>
        <v>0</v>
      </c>
      <c r="AB2" s="76">
        <f t="shared" si="0"/>
        <v>802</v>
      </c>
    </row>
    <row r="3" spans="1:28" x14ac:dyDescent="0.25">
      <c r="O3" s="73" t="s">
        <v>1486</v>
      </c>
      <c r="P3" s="74">
        <f>SUMPRODUCT(--(TRIM(MATRICE!$N$5:$N$503)="JANVIER")*(MATRICE!$H$5:$H$503))</f>
        <v>547</v>
      </c>
      <c r="Q3" s="74">
        <f>SUMPRODUCT(--(TRIM(MATRICE!$N$5:$N$503)="février")*(MATRICE!$H$5:$H$503))</f>
        <v>439</v>
      </c>
      <c r="R3" s="74">
        <f>SUMPRODUCT(--(TRIM(MATRICE!$N$5:$N$503)="mars")*(MATRICE!$H$5:$H$503))</f>
        <v>535</v>
      </c>
      <c r="S3" s="74">
        <f>SUMPRODUCT(--(TRIM(MATRICE!$N$5:$N$503)="avril")*(MATRICE!$H$5:$H$503))</f>
        <v>295</v>
      </c>
      <c r="T3" s="74">
        <f>SUMPRODUCT(--(TRIM(MATRICE!$N$5:$N$503)="mai")*(MATRICE!$H$5:$H$503))</f>
        <v>606</v>
      </c>
      <c r="U3" s="74">
        <f>SUMPRODUCT(--(TRIM(MATRICE!$N$5:$N$503)="juin")*(MATRICE!$H$5:$H$503))</f>
        <v>537</v>
      </c>
      <c r="V3" s="74">
        <f>SUMPRODUCT(--(TRIM(MATRICE!$N$5:$N$503)="juillet")*(MATRICE!$H$5:$H$503))</f>
        <v>270</v>
      </c>
      <c r="W3" s="74">
        <f>SUMPRODUCT(--(TRIM(MATRICE!$N$5:$N$503)="août")*(MATRICE!$H$5:$H$503))</f>
        <v>190</v>
      </c>
      <c r="X3" s="74">
        <f>SUMPRODUCT(--(TRIM(MATRICE!$N$5:$N$503)="septembre")*(MATRICE!$H$5:$H$503))</f>
        <v>234</v>
      </c>
      <c r="Y3" s="74">
        <f>SUMPRODUCT(--(TRIM(MATRICE!$N$5:$N$503)="octobre")*(MATRICE!$H$5:$H$503))</f>
        <v>299</v>
      </c>
      <c r="Z3" s="74">
        <f>SUMPRODUCT(--(TRIM(MATRICE!$N$5:$N$503)="novembre")*(MATRICE!$H$5:$H$503))</f>
        <v>0</v>
      </c>
      <c r="AA3" s="74">
        <f>SUMPRODUCT(--(TRIM(MATRICE!$N$5:$N$503)="décembre")*(MATRICE!$H$5:$H$503))</f>
        <v>0</v>
      </c>
      <c r="AB3" s="74">
        <f>SUM(P3:AA3)</f>
        <v>3952</v>
      </c>
    </row>
    <row r="4" spans="1:28" ht="33.950000000000003" customHeight="1" x14ac:dyDescent="0.25">
      <c r="A4" s="79" t="str">
        <f>'EXTRACTION AT GLOBAL DEA'!D2</f>
        <v>Entrée</v>
      </c>
      <c r="B4" s="79" t="str">
        <f>'EXTRACTION AT GLOBAL DEA'!E2</f>
        <v>Nom</v>
      </c>
      <c r="C4" s="79" t="str">
        <f>'EXTRACTION AT GLOBAL DEA'!F2</f>
        <v>Prénom</v>
      </c>
      <c r="D4" s="79"/>
      <c r="E4" s="80" t="str">
        <f>'EXTRACTION AT GLOBAL DEA'!G2</f>
        <v>Age</v>
      </c>
      <c r="F4" s="81" t="s">
        <v>1484</v>
      </c>
      <c r="G4" s="79" t="str">
        <f>'EXTRACTION AT GLOBAL DEA'!K2</f>
        <v>Type</v>
      </c>
      <c r="H4" s="82" t="str">
        <f>'EXTRACTION AT GLOBAL DEA'!N2</f>
        <v>Nb Jours perdus total</v>
      </c>
      <c r="I4" s="82" t="s">
        <v>1494</v>
      </c>
      <c r="J4" s="82" t="s">
        <v>1493</v>
      </c>
      <c r="K4" s="82"/>
      <c r="L4" s="82"/>
      <c r="M4" s="80" t="str">
        <f>'EXTRACTION AT GLOBAL DEA'!B2</f>
        <v>Date</v>
      </c>
      <c r="N4" s="80" t="s">
        <v>1485</v>
      </c>
      <c r="O4" s="80"/>
      <c r="P4" s="81" t="s">
        <v>10</v>
      </c>
      <c r="Q4" s="81" t="s">
        <v>11</v>
      </c>
      <c r="R4" s="81" t="s">
        <v>12</v>
      </c>
      <c r="S4" s="81" t="s">
        <v>13</v>
      </c>
      <c r="T4" s="81" t="s">
        <v>9</v>
      </c>
      <c r="U4" s="81" t="s">
        <v>14</v>
      </c>
      <c r="V4" s="81" t="s">
        <v>15</v>
      </c>
      <c r="W4" s="81" t="s">
        <v>16</v>
      </c>
      <c r="X4" s="81" t="s">
        <v>17</v>
      </c>
      <c r="Y4" s="81" t="s">
        <v>18</v>
      </c>
      <c r="Z4" s="81" t="s">
        <v>19</v>
      </c>
      <c r="AA4" s="81" t="s">
        <v>20</v>
      </c>
      <c r="AB4" s="83" t="s">
        <v>21</v>
      </c>
    </row>
    <row r="5" spans="1:28" hidden="1" x14ac:dyDescent="0.25">
      <c r="A5" s="77" t="str">
        <f>'EXTRACTION AT GLOBAL DEA'!D3</f>
        <v>104722</v>
      </c>
      <c r="B5" s="77" t="str">
        <f>'EXTRACTION AT GLOBAL DEA'!E3</f>
        <v>LENGLART</v>
      </c>
      <c r="C5" s="77" t="str">
        <f>'EXTRACTION AT GLOBAL DEA'!F3</f>
        <v>OLIVIER</v>
      </c>
      <c r="D5" s="77" t="str">
        <f>'EXTRACTION AT GLOBAL DEA'!I3</f>
        <v>MT CG PR</v>
      </c>
      <c r="E5" s="66">
        <f>'EXTRACTION AT GLOBAL DEA'!G3</f>
        <v>46</v>
      </c>
      <c r="F5" s="84" t="str">
        <f>IF(E5&lt;1,"",IF(E5&lt;20,"Moins de 20 ans",IF(E5&lt;25,"20 à 24 ans",IF(E5&lt;30,"25 à 29 ans",IF(E5&lt;35,"30 à 34 ans",IF(E5&lt;40,"35 à 39 ans",IF(E5&lt;45,"40 à 44 ans",IF(E5&lt;50,"45 à 49 ans",IF(E5&lt;55,"50 à 54 ans",IF(E4&lt;60,"55 à 59 ans",IF(E5&gt;59,"60 ans et plus","")))))))))))</f>
        <v>45 à 49 ans</v>
      </c>
      <c r="G5" s="77" t="str">
        <f>'EXTRACTION AT GLOBAL DEA'!K3</f>
        <v>T</v>
      </c>
      <c r="H5" s="77">
        <f>'EXTRACTION AT GLOBAL DEA'!N3</f>
        <v>0</v>
      </c>
      <c r="I5" s="77" t="str">
        <f>'EXTRACTION AT GLOBAL DEA'!L3</f>
        <v>N</v>
      </c>
      <c r="J5" s="77" t="str">
        <f>'EXTRACTION AT GLOBAL DEA'!M3</f>
        <v>N</v>
      </c>
      <c r="K5" s="77"/>
      <c r="L5" s="77"/>
      <c r="M5" s="78">
        <f>'EXTRACTION AT GLOBAL DEA'!B3</f>
        <v>42736</v>
      </c>
      <c r="N5" s="77" t="str">
        <f>TEXT(M5,"mmmm")</f>
        <v>janvier</v>
      </c>
      <c r="O5" s="65"/>
      <c r="P5" s="67"/>
      <c r="Q5" s="67"/>
      <c r="R5" s="67"/>
      <c r="S5" s="67"/>
      <c r="T5" s="67"/>
      <c r="U5" s="67"/>
      <c r="V5" s="67"/>
      <c r="W5" s="67"/>
      <c r="X5" s="67"/>
      <c r="Y5" s="67"/>
      <c r="Z5" s="67"/>
      <c r="AA5" s="67"/>
      <c r="AB5" s="68"/>
    </row>
    <row r="6" spans="1:28" x14ac:dyDescent="0.25">
      <c r="A6" s="77" t="str">
        <f>'EXTRACTION AT GLOBAL DEA'!D4</f>
        <v>104797</v>
      </c>
      <c r="B6" s="77" t="str">
        <f>'EXTRACTION AT GLOBAL DEA'!E4</f>
        <v>EMEVILLE</v>
      </c>
      <c r="C6" s="77" t="str">
        <f>'EXTRACTION AT GLOBAL DEA'!F4</f>
        <v>CHRISTOPHE</v>
      </c>
      <c r="D6" s="77" t="str">
        <f>'EXTRACTION AT GLOBAL DEA'!I4</f>
        <v>MT HB PR</v>
      </c>
      <c r="E6" s="66">
        <f>'EXTRACTION AT GLOBAL DEA'!G4</f>
        <v>39</v>
      </c>
      <c r="F6" s="84" t="str">
        <f t="shared" ref="F6:F69" si="1">IF(E6&lt;1,"",IF(E6&lt;20,"Moins de 20 ans",IF(E6&lt;25,"20 à 24 ans",IF(E6&lt;30,"25 à 29 ans",IF(E6&lt;35,"30 à 34 ans",IF(E6&lt;40,"35 à 39 ans",IF(E6&lt;45,"40 à 44 ans",IF(E6&lt;50,"45 à 49 ans",IF(E6&lt;55,"50 à 54 ans",IF(E5&lt;60,"55 à 59 ans",IF(E6&gt;59,"60 ans et plus","")))))))))))</f>
        <v>35 à 39 ans</v>
      </c>
      <c r="G6" s="77" t="str">
        <f>'EXTRACTION AT GLOBAL DEA'!K4</f>
        <v>S</v>
      </c>
      <c r="H6" s="77">
        <f>'EXTRACTION AT GLOBAL DEA'!N4</f>
        <v>0</v>
      </c>
      <c r="I6" s="77" t="str">
        <f>'EXTRACTION AT GLOBAL DEA'!L4</f>
        <v>N</v>
      </c>
      <c r="J6" s="77" t="str">
        <f>'EXTRACTION AT GLOBAL DEA'!M4</f>
        <v>N</v>
      </c>
      <c r="K6" s="77"/>
      <c r="L6" s="77"/>
      <c r="M6" s="78">
        <f>'EXTRACTION AT GLOBAL DEA'!B4</f>
        <v>42737</v>
      </c>
      <c r="N6" s="77" t="str">
        <f t="shared" ref="N6:N69" si="2">TEXT(M6,"mmmm")</f>
        <v>janvier</v>
      </c>
      <c r="O6" s="65"/>
      <c r="P6" s="67"/>
      <c r="Q6" s="67"/>
      <c r="R6" s="67"/>
      <c r="S6" s="67"/>
      <c r="T6" s="67"/>
      <c r="U6" s="67"/>
      <c r="V6" s="67"/>
      <c r="W6" s="67"/>
      <c r="X6" s="67"/>
      <c r="Y6" s="67"/>
      <c r="Z6" s="67"/>
      <c r="AA6" s="67"/>
      <c r="AB6" s="68">
        <f t="shared" ref="AB6:AB147" si="3">SUM(P6:AA6)</f>
        <v>0</v>
      </c>
    </row>
    <row r="7" spans="1:28" x14ac:dyDescent="0.25">
      <c r="A7" s="77" t="str">
        <f>'EXTRACTION AT GLOBAL DEA'!D5</f>
        <v>104782</v>
      </c>
      <c r="B7" s="77" t="str">
        <f>'EXTRACTION AT GLOBAL DEA'!E5</f>
        <v>COPPRY</v>
      </c>
      <c r="C7" s="77" t="str">
        <f>'EXTRACTION AT GLOBAL DEA'!F5</f>
        <v>CHRISTIAN</v>
      </c>
      <c r="D7" s="77" t="str">
        <f>'EXTRACTION AT GLOBAL DEA'!I5</f>
        <v>MT HB PR</v>
      </c>
      <c r="E7" s="66">
        <f>'EXTRACTION AT GLOBAL DEA'!G5</f>
        <v>49</v>
      </c>
      <c r="F7" s="84" t="str">
        <f t="shared" si="1"/>
        <v>45 à 49 ans</v>
      </c>
      <c r="G7" s="77" t="str">
        <f>'EXTRACTION AT GLOBAL DEA'!K5</f>
        <v>S</v>
      </c>
      <c r="H7" s="77">
        <f>'EXTRACTION AT GLOBAL DEA'!N5</f>
        <v>27</v>
      </c>
      <c r="I7" s="77" t="str">
        <f>'EXTRACTION AT GLOBAL DEA'!L5</f>
        <v>O</v>
      </c>
      <c r="J7" s="77" t="str">
        <f>'EXTRACTION AT GLOBAL DEA'!M5</f>
        <v>N</v>
      </c>
      <c r="K7" s="77"/>
      <c r="L7" s="77"/>
      <c r="M7" s="78">
        <f>'EXTRACTION AT GLOBAL DEA'!B5</f>
        <v>42737</v>
      </c>
      <c r="N7" s="77" t="str">
        <f t="shared" si="2"/>
        <v>janvier</v>
      </c>
      <c r="O7" s="87"/>
      <c r="P7" s="88"/>
      <c r="Q7" s="88"/>
      <c r="R7" s="88"/>
      <c r="S7" s="88"/>
      <c r="T7" s="88"/>
      <c r="U7" s="88"/>
      <c r="V7" s="88"/>
      <c r="W7" s="88"/>
      <c r="X7" s="88"/>
      <c r="Y7" s="88"/>
      <c r="Z7" s="88"/>
      <c r="AA7" s="88"/>
      <c r="AB7" s="88"/>
    </row>
    <row r="8" spans="1:28" x14ac:dyDescent="0.25">
      <c r="A8" s="77" t="str">
        <f>'EXTRACTION AT GLOBAL DEA'!D6</f>
        <v>104795</v>
      </c>
      <c r="B8" s="77" t="str">
        <f>'EXTRACTION AT GLOBAL DEA'!E6</f>
        <v>WANG</v>
      </c>
      <c r="C8" s="77" t="str">
        <f>'EXTRACTION AT GLOBAL DEA'!F6</f>
        <v>LEI</v>
      </c>
      <c r="D8" s="77" t="str">
        <f>'EXTRACTION AT GLOBAL DEA'!I6</f>
        <v>BLDPMSVL</v>
      </c>
      <c r="E8" s="66">
        <f>'EXTRACTION AT GLOBAL DEA'!G6</f>
        <v>18</v>
      </c>
      <c r="F8" s="84" t="str">
        <f>IF(E8&lt;1,"",IF(E8&lt;20,"Moins de 20 ans",IF(E8&lt;25,"20 à 24 ans",IF(E8&lt;30,"25 à 29 ans",IF(E8&lt;35,"30 à 34 ans",IF(E8&lt;40,"35 à 39 ans",IF(E8&lt;45,"40 à 44 ans",IF(E8&lt;50,"45 à 49 ans",IF(E8&lt;55,"50 à 54 ans",IF(E7&lt;60,"55 à 59 ans",IF(E8&gt;59,"60 ans et plus","")))))))))))</f>
        <v>Moins de 20 ans</v>
      </c>
      <c r="G8" s="77" t="str">
        <f>'EXTRACTION AT GLOBAL DEA'!K6</f>
        <v>S</v>
      </c>
      <c r="H8" s="77">
        <f>'EXTRACTION AT GLOBAL DEA'!N6</f>
        <v>0</v>
      </c>
      <c r="I8" s="77" t="str">
        <f>'EXTRACTION AT GLOBAL DEA'!L6</f>
        <v>N</v>
      </c>
      <c r="J8" s="77" t="str">
        <f>'EXTRACTION AT GLOBAL DEA'!M6</f>
        <v>N</v>
      </c>
      <c r="K8" s="77"/>
      <c r="L8" s="77"/>
      <c r="M8" s="78">
        <f>'EXTRACTION AT GLOBAL DEA'!B6</f>
        <v>42738</v>
      </c>
      <c r="N8" s="77" t="str">
        <f t="shared" si="2"/>
        <v>janvier</v>
      </c>
      <c r="O8" s="89"/>
      <c r="P8" s="69"/>
      <c r="Q8" s="69"/>
      <c r="R8" s="69"/>
      <c r="S8" s="69"/>
      <c r="T8" s="69"/>
      <c r="U8" s="69"/>
      <c r="V8" s="69"/>
      <c r="W8" s="69"/>
      <c r="X8" s="69"/>
      <c r="Y8" s="69"/>
      <c r="Z8" s="69"/>
      <c r="AA8" s="69"/>
      <c r="AB8" s="69"/>
    </row>
    <row r="9" spans="1:28" x14ac:dyDescent="0.25">
      <c r="A9" s="77" t="str">
        <f>'EXTRACTION AT GLOBAL DEA'!D7</f>
        <v>104805</v>
      </c>
      <c r="B9" s="77" t="str">
        <f>'EXTRACTION AT GLOBAL DEA'!E7</f>
        <v>WANG</v>
      </c>
      <c r="C9" s="77" t="str">
        <f>'EXTRACTION AT GLOBAL DEA'!F7</f>
        <v>LEI</v>
      </c>
      <c r="D9" s="77" t="str">
        <f>'EXTRACTION AT GLOBAL DEA'!I7</f>
        <v>BLDPMSVL</v>
      </c>
      <c r="E9" s="66">
        <f>'EXTRACTION AT GLOBAL DEA'!G7</f>
        <v>18</v>
      </c>
      <c r="F9" s="84" t="str">
        <f t="shared" si="1"/>
        <v>Moins de 20 ans</v>
      </c>
      <c r="G9" s="77" t="str">
        <f>'EXTRACTION AT GLOBAL DEA'!K7</f>
        <v>S</v>
      </c>
      <c r="H9" s="77">
        <f>'EXTRACTION AT GLOBAL DEA'!N7</f>
        <v>0</v>
      </c>
      <c r="I9" s="77" t="str">
        <f>'EXTRACTION AT GLOBAL DEA'!L7</f>
        <v>N</v>
      </c>
      <c r="J9" s="77" t="str">
        <f>'EXTRACTION AT GLOBAL DEA'!M7</f>
        <v>N</v>
      </c>
      <c r="K9" s="77"/>
      <c r="L9" s="77"/>
      <c r="M9" s="78">
        <f>'EXTRACTION AT GLOBAL DEA'!B7</f>
        <v>42738</v>
      </c>
      <c r="N9" s="77" t="str">
        <f t="shared" si="2"/>
        <v>janvier</v>
      </c>
      <c r="O9" s="90"/>
      <c r="P9" s="91"/>
      <c r="Q9" s="91"/>
      <c r="R9" s="91"/>
      <c r="S9" s="91"/>
      <c r="T9" s="91"/>
      <c r="U9" s="91"/>
      <c r="V9" s="91"/>
      <c r="W9" s="91"/>
      <c r="X9" s="91"/>
      <c r="Y9" s="91"/>
      <c r="Z9" s="91"/>
      <c r="AA9" s="91"/>
      <c r="AB9" s="91"/>
    </row>
    <row r="10" spans="1:28" hidden="1" x14ac:dyDescent="0.25">
      <c r="A10" s="77" t="str">
        <f>'EXTRACTION AT GLOBAL DEA'!D8</f>
        <v>104836</v>
      </c>
      <c r="B10" s="77" t="str">
        <f>'EXTRACTION AT GLOBAL DEA'!E8</f>
        <v>CALBET</v>
      </c>
      <c r="C10" s="77" t="str">
        <f>'EXTRACTION AT GLOBAL DEA'!F8</f>
        <v>JEAN-MARIE</v>
      </c>
      <c r="D10" s="77" t="str">
        <f>'EXTRACTION AT GLOBAL DEA'!I8</f>
        <v>MT YH TA</v>
      </c>
      <c r="E10" s="66">
        <f>'EXTRACTION AT GLOBAL DEA'!G8</f>
        <v>48</v>
      </c>
      <c r="F10" s="84" t="str">
        <f t="shared" si="1"/>
        <v>45 à 49 ans</v>
      </c>
      <c r="G10" s="77" t="str">
        <f>'EXTRACTION AT GLOBAL DEA'!K8</f>
        <v>T</v>
      </c>
      <c r="H10" s="77">
        <f>'EXTRACTION AT GLOBAL DEA'!N8</f>
        <v>0</v>
      </c>
      <c r="I10" s="77" t="str">
        <f>'EXTRACTION AT GLOBAL DEA'!L8</f>
        <v>N</v>
      </c>
      <c r="J10" s="77" t="str">
        <f>'EXTRACTION AT GLOBAL DEA'!M8</f>
        <v>N</v>
      </c>
      <c r="K10" s="77"/>
      <c r="L10" s="77"/>
      <c r="M10" s="78">
        <f>'EXTRACTION AT GLOBAL DEA'!B8</f>
        <v>42738</v>
      </c>
      <c r="N10" s="77" t="str">
        <f t="shared" si="2"/>
        <v>janvier</v>
      </c>
      <c r="O10" s="89"/>
      <c r="P10" s="69"/>
      <c r="Q10" s="69"/>
      <c r="R10" s="69"/>
      <c r="S10" s="69"/>
      <c r="T10" s="69"/>
      <c r="U10" s="69"/>
      <c r="V10" s="69"/>
      <c r="W10" s="69"/>
      <c r="X10" s="69"/>
      <c r="Y10" s="69"/>
      <c r="Z10" s="69"/>
      <c r="AA10" s="69"/>
      <c r="AB10" s="69"/>
    </row>
    <row r="11" spans="1:28" x14ac:dyDescent="0.25">
      <c r="A11" s="77" t="str">
        <f>'EXTRACTION AT GLOBAL DEA'!D9</f>
        <v>104819</v>
      </c>
      <c r="B11" s="77" t="str">
        <f>'EXTRACTION AT GLOBAL DEA'!E9</f>
        <v>LE GRASSE</v>
      </c>
      <c r="C11" s="77" t="str">
        <f>'EXTRACTION AT GLOBAL DEA'!F9</f>
        <v>JEAN PIERRE</v>
      </c>
      <c r="D11" s="77" t="str">
        <f>'EXTRACTION AT GLOBAL DEA'!I9</f>
        <v>MT CG PR</v>
      </c>
      <c r="E11" s="66">
        <f>'EXTRACTION AT GLOBAL DEA'!G9</f>
        <v>52</v>
      </c>
      <c r="F11" s="84" t="str">
        <f t="shared" si="1"/>
        <v>50 à 54 ans</v>
      </c>
      <c r="G11" s="77" t="str">
        <f>'EXTRACTION AT GLOBAL DEA'!K9</f>
        <v>S</v>
      </c>
      <c r="H11" s="77">
        <f>'EXTRACTION AT GLOBAL DEA'!N9</f>
        <v>82</v>
      </c>
      <c r="I11" s="77" t="str">
        <f>'EXTRACTION AT GLOBAL DEA'!L9</f>
        <v>O</v>
      </c>
      <c r="J11" s="77" t="str">
        <f>'EXTRACTION AT GLOBAL DEA'!M9</f>
        <v>N</v>
      </c>
      <c r="K11" s="77"/>
      <c r="L11" s="77"/>
      <c r="M11" s="78">
        <f>'EXTRACTION AT GLOBAL DEA'!B9</f>
        <v>42739</v>
      </c>
      <c r="N11" s="77" t="str">
        <f t="shared" si="2"/>
        <v>janvier</v>
      </c>
      <c r="O11" s="89"/>
      <c r="P11" s="69"/>
      <c r="Q11" s="69"/>
      <c r="R11" s="69"/>
      <c r="S11" s="69"/>
      <c r="T11" s="69"/>
      <c r="U11" s="69"/>
      <c r="V11" s="69"/>
      <c r="W11" s="69"/>
      <c r="X11" s="69"/>
      <c r="Y11" s="69"/>
      <c r="Z11" s="69"/>
      <c r="AA11" s="69"/>
      <c r="AB11" s="69"/>
    </row>
    <row r="12" spans="1:28" x14ac:dyDescent="0.25">
      <c r="A12" s="77" t="str">
        <f>'EXTRACTION AT GLOBAL DEA'!D10</f>
        <v>104884</v>
      </c>
      <c r="B12" s="77" t="str">
        <f>'EXTRACTION AT GLOBAL DEA'!E10</f>
        <v>CHAUDE</v>
      </c>
      <c r="C12" s="77" t="str">
        <f>'EXTRACTION AT GLOBAL DEA'!F10</f>
        <v>LAURENT</v>
      </c>
      <c r="D12" s="77" t="str">
        <f>'EXTRACTION AT GLOBAL DEA'!I10</f>
        <v>MT HB PR</v>
      </c>
      <c r="E12" s="66">
        <f>'EXTRACTION AT GLOBAL DEA'!G10</f>
        <v>35</v>
      </c>
      <c r="F12" s="84" t="str">
        <f t="shared" si="1"/>
        <v>35 à 39 ans</v>
      </c>
      <c r="G12" s="77" t="str">
        <f>'EXTRACTION AT GLOBAL DEA'!K10</f>
        <v>S</v>
      </c>
      <c r="H12" s="77">
        <f>'EXTRACTION AT GLOBAL DEA'!N10</f>
        <v>24</v>
      </c>
      <c r="I12" s="77" t="str">
        <f>'EXTRACTION AT GLOBAL DEA'!L10</f>
        <v>O</v>
      </c>
      <c r="J12" s="77" t="str">
        <f>'EXTRACTION AT GLOBAL DEA'!M10</f>
        <v>N</v>
      </c>
      <c r="K12" s="77"/>
      <c r="L12" s="77"/>
      <c r="M12" s="78">
        <f>'EXTRACTION AT GLOBAL DEA'!B10</f>
        <v>42740</v>
      </c>
      <c r="N12" s="77" t="str">
        <f t="shared" si="2"/>
        <v>janvier</v>
      </c>
      <c r="O12" s="87"/>
      <c r="P12" s="88"/>
      <c r="Q12" s="88"/>
      <c r="R12" s="88"/>
      <c r="S12" s="88"/>
      <c r="T12" s="88"/>
      <c r="U12" s="88"/>
      <c r="V12" s="88"/>
      <c r="W12" s="88"/>
      <c r="X12" s="88"/>
      <c r="Y12" s="88"/>
      <c r="Z12" s="88"/>
      <c r="AA12" s="88"/>
      <c r="AB12" s="88"/>
    </row>
    <row r="13" spans="1:28" x14ac:dyDescent="0.25">
      <c r="A13" s="77" t="str">
        <f>'EXTRACTION AT GLOBAL DEA'!D11</f>
        <v>104933</v>
      </c>
      <c r="B13" s="77" t="str">
        <f>'EXTRACTION AT GLOBAL DEA'!E11</f>
        <v>TARDITI</v>
      </c>
      <c r="C13" s="77" t="str">
        <f>'EXTRACTION AT GLOBAL DEA'!F11</f>
        <v>YVAN</v>
      </c>
      <c r="D13" s="77" t="str">
        <f>'EXTRACTION AT GLOBAL DEA'!I11</f>
        <v>MT UD TE</v>
      </c>
      <c r="E13" s="66">
        <f>'EXTRACTION AT GLOBAL DEA'!G11</f>
        <v>56</v>
      </c>
      <c r="F13" s="84" t="str">
        <f t="shared" si="1"/>
        <v>55 à 59 ans</v>
      </c>
      <c r="G13" s="77" t="str">
        <f>'EXTRACTION AT GLOBAL DEA'!K11</f>
        <v>S</v>
      </c>
      <c r="H13" s="77">
        <f>'EXTRACTION AT GLOBAL DEA'!N11</f>
        <v>0</v>
      </c>
      <c r="I13" s="77" t="str">
        <f>'EXTRACTION AT GLOBAL DEA'!L11</f>
        <v>N</v>
      </c>
      <c r="J13" s="77" t="str">
        <f>'EXTRACTION AT GLOBAL DEA'!M11</f>
        <v>O</v>
      </c>
      <c r="K13" s="77"/>
      <c r="L13" s="77"/>
      <c r="M13" s="78">
        <f>'EXTRACTION AT GLOBAL DEA'!B11</f>
        <v>42741</v>
      </c>
      <c r="N13" s="77" t="str">
        <f t="shared" si="2"/>
        <v>janvier</v>
      </c>
      <c r="O13" s="65"/>
      <c r="P13" s="67"/>
      <c r="Q13" s="67"/>
      <c r="R13" s="67"/>
      <c r="S13" s="67"/>
      <c r="T13" s="67"/>
      <c r="U13" s="67"/>
      <c r="V13" s="67"/>
      <c r="W13" s="67"/>
      <c r="X13" s="67"/>
      <c r="Y13" s="67"/>
      <c r="Z13" s="67"/>
      <c r="AA13" s="67"/>
      <c r="AB13" s="68">
        <f t="shared" si="3"/>
        <v>0</v>
      </c>
    </row>
    <row r="14" spans="1:28" x14ac:dyDescent="0.25">
      <c r="A14" s="77" t="str">
        <f>'EXTRACTION AT GLOBAL DEA'!D12</f>
        <v>104961</v>
      </c>
      <c r="B14" s="77" t="str">
        <f>'EXTRACTION AT GLOBAL DEA'!E12</f>
        <v>DAVOUST</v>
      </c>
      <c r="C14" s="77" t="str">
        <f>'EXTRACTION AT GLOBAL DEA'!F12</f>
        <v>ROMAIN</v>
      </c>
      <c r="D14" s="77" t="str">
        <f>'EXTRACTION AT GLOBAL DEA'!I12</f>
        <v>MT HB PR</v>
      </c>
      <c r="E14" s="66">
        <f>'EXTRACTION AT GLOBAL DEA'!G12</f>
        <v>31</v>
      </c>
      <c r="F14" s="84" t="str">
        <f t="shared" si="1"/>
        <v>30 à 34 ans</v>
      </c>
      <c r="G14" s="77" t="str">
        <f>'EXTRACTION AT GLOBAL DEA'!K12</f>
        <v>S</v>
      </c>
      <c r="H14" s="77">
        <f>'EXTRACTION AT GLOBAL DEA'!N12</f>
        <v>0</v>
      </c>
      <c r="I14" s="77" t="str">
        <f>'EXTRACTION AT GLOBAL DEA'!L12</f>
        <v>N</v>
      </c>
      <c r="J14" s="77" t="str">
        <f>'EXTRACTION AT GLOBAL DEA'!M12</f>
        <v>N</v>
      </c>
      <c r="K14" s="77"/>
      <c r="L14" s="77"/>
      <c r="M14" s="78">
        <f>'EXTRACTION AT GLOBAL DEA'!B12</f>
        <v>42741</v>
      </c>
      <c r="N14" s="77" t="str">
        <f t="shared" si="2"/>
        <v>janvier</v>
      </c>
      <c r="O14" s="65"/>
      <c r="P14" s="67"/>
      <c r="Q14" s="67"/>
      <c r="R14" s="67"/>
      <c r="S14" s="67"/>
      <c r="T14" s="67"/>
      <c r="U14" s="67"/>
      <c r="V14" s="67"/>
      <c r="W14" s="67"/>
      <c r="X14" s="67"/>
      <c r="Y14" s="67"/>
      <c r="Z14" s="67"/>
      <c r="AA14" s="67"/>
      <c r="AB14" s="68">
        <f t="shared" si="3"/>
        <v>0</v>
      </c>
    </row>
    <row r="15" spans="1:28" hidden="1" x14ac:dyDescent="0.25">
      <c r="A15" s="77" t="str">
        <f>'EXTRACTION AT GLOBAL DEA'!D13</f>
        <v>105015</v>
      </c>
      <c r="B15" s="77" t="str">
        <f>'EXTRACTION AT GLOBAL DEA'!E13</f>
        <v>QERQEB</v>
      </c>
      <c r="C15" s="77" t="str">
        <f>'EXTRACTION AT GLOBAL DEA'!F13</f>
        <v>MUSTAPHA</v>
      </c>
      <c r="D15" s="77" t="str">
        <f>'EXTRACTION AT GLOBAL DEA'!I13</f>
        <v>MT HB PR</v>
      </c>
      <c r="E15" s="66">
        <f>'EXTRACTION AT GLOBAL DEA'!G13</f>
        <v>46</v>
      </c>
      <c r="F15" s="84" t="str">
        <f t="shared" si="1"/>
        <v>45 à 49 ans</v>
      </c>
      <c r="G15" s="77" t="str">
        <f>'EXTRACTION AT GLOBAL DEA'!K13</f>
        <v>T</v>
      </c>
      <c r="H15" s="77">
        <f>'EXTRACTION AT GLOBAL DEA'!N13</f>
        <v>78</v>
      </c>
      <c r="I15" s="77" t="str">
        <f>'EXTRACTION AT GLOBAL DEA'!L13</f>
        <v>O</v>
      </c>
      <c r="J15" s="77" t="str">
        <f>'EXTRACTION AT GLOBAL DEA'!M13</f>
        <v>N</v>
      </c>
      <c r="K15" s="77"/>
      <c r="L15" s="77"/>
      <c r="M15" s="78">
        <f>'EXTRACTION AT GLOBAL DEA'!B13</f>
        <v>42742</v>
      </c>
      <c r="N15" s="77" t="str">
        <f t="shared" si="2"/>
        <v>janvier</v>
      </c>
      <c r="O15" s="65"/>
      <c r="P15" s="67"/>
      <c r="Q15" s="67"/>
      <c r="R15" s="67"/>
      <c r="S15" s="67"/>
      <c r="T15" s="67"/>
      <c r="U15" s="67"/>
      <c r="V15" s="67"/>
      <c r="W15" s="67"/>
      <c r="X15" s="67"/>
      <c r="Y15" s="67"/>
      <c r="Z15" s="67"/>
      <c r="AA15" s="67"/>
      <c r="AB15" s="68">
        <f t="shared" si="3"/>
        <v>0</v>
      </c>
    </row>
    <row r="16" spans="1:28" x14ac:dyDescent="0.25">
      <c r="A16" s="77" t="str">
        <f>'EXTRACTION AT GLOBAL DEA'!D14</f>
        <v>105100</v>
      </c>
      <c r="B16" s="77" t="str">
        <f>'EXTRACTION AT GLOBAL DEA'!E14</f>
        <v>BARRAL</v>
      </c>
      <c r="C16" s="77" t="str">
        <f>'EXTRACTION AT GLOBAL DEA'!F14</f>
        <v>PATRICK</v>
      </c>
      <c r="D16" s="77" t="str">
        <f>'EXTRACTION AT GLOBAL DEA'!I14</f>
        <v>MT HB QO</v>
      </c>
      <c r="E16" s="66">
        <f>'EXTRACTION AT GLOBAL DEA'!G14</f>
        <v>53</v>
      </c>
      <c r="F16" s="84" t="str">
        <f t="shared" si="1"/>
        <v>50 à 54 ans</v>
      </c>
      <c r="G16" s="77" t="str">
        <f>'EXTRACTION AT GLOBAL DEA'!K14</f>
        <v>S</v>
      </c>
      <c r="H16" s="77">
        <f>'EXTRACTION AT GLOBAL DEA'!N14</f>
        <v>104</v>
      </c>
      <c r="I16" s="77" t="str">
        <f>'EXTRACTION AT GLOBAL DEA'!L14</f>
        <v>O</v>
      </c>
      <c r="J16" s="77" t="str">
        <f>'EXTRACTION AT GLOBAL DEA'!M14</f>
        <v>N</v>
      </c>
      <c r="K16" s="77"/>
      <c r="L16" s="77"/>
      <c r="M16" s="78">
        <f>'EXTRACTION AT GLOBAL DEA'!B14</f>
        <v>42743</v>
      </c>
      <c r="N16" s="77" t="str">
        <f t="shared" si="2"/>
        <v>janvier</v>
      </c>
      <c r="O16" s="65"/>
      <c r="P16" s="67"/>
      <c r="Q16" s="67"/>
      <c r="R16" s="67"/>
      <c r="S16" s="67"/>
      <c r="T16" s="67"/>
      <c r="U16" s="67"/>
      <c r="V16" s="67"/>
      <c r="W16" s="67"/>
      <c r="X16" s="67"/>
      <c r="Y16" s="67"/>
      <c r="Z16" s="67"/>
      <c r="AA16" s="67"/>
      <c r="AB16" s="68">
        <f t="shared" si="3"/>
        <v>0</v>
      </c>
    </row>
    <row r="17" spans="1:28" x14ac:dyDescent="0.25">
      <c r="A17" s="77" t="str">
        <f>'EXTRACTION AT GLOBAL DEA'!D15</f>
        <v>104988</v>
      </c>
      <c r="B17" s="77" t="str">
        <f>'EXTRACTION AT GLOBAL DEA'!E15</f>
        <v>GIRARD</v>
      </c>
      <c r="C17" s="77" t="str">
        <f>'EXTRACTION AT GLOBAL DEA'!F15</f>
        <v>XAVIER</v>
      </c>
      <c r="D17" s="77" t="str">
        <f>'EXTRACTION AT GLOBAL DEA'!I15</f>
        <v>MT HB PR</v>
      </c>
      <c r="E17" s="66">
        <f>'EXTRACTION AT GLOBAL DEA'!G15</f>
        <v>44</v>
      </c>
      <c r="F17" s="84" t="str">
        <f t="shared" si="1"/>
        <v>40 à 44 ans</v>
      </c>
      <c r="G17" s="77" t="str">
        <f>'EXTRACTION AT GLOBAL DEA'!K15</f>
        <v>S</v>
      </c>
      <c r="H17" s="77">
        <f>'EXTRACTION AT GLOBAL DEA'!N15</f>
        <v>3</v>
      </c>
      <c r="I17" s="77" t="str">
        <f>'EXTRACTION AT GLOBAL DEA'!L15</f>
        <v>O</v>
      </c>
      <c r="J17" s="77" t="str">
        <f>'EXTRACTION AT GLOBAL DEA'!M15</f>
        <v>N</v>
      </c>
      <c r="K17" s="77"/>
      <c r="L17" s="77"/>
      <c r="M17" s="78">
        <f>'EXTRACTION AT GLOBAL DEA'!B15</f>
        <v>42744</v>
      </c>
      <c r="N17" s="77" t="str">
        <f t="shared" si="2"/>
        <v>janvier</v>
      </c>
      <c r="O17" s="65"/>
      <c r="P17" s="67"/>
      <c r="Q17" s="67"/>
      <c r="R17" s="67"/>
      <c r="S17" s="67"/>
      <c r="T17" s="67"/>
      <c r="U17" s="67"/>
      <c r="V17" s="67"/>
      <c r="W17" s="67"/>
      <c r="X17" s="67"/>
      <c r="Y17" s="67"/>
      <c r="Z17" s="67"/>
      <c r="AA17" s="67"/>
      <c r="AB17" s="68">
        <f t="shared" si="3"/>
        <v>0</v>
      </c>
    </row>
    <row r="18" spans="1:28" x14ac:dyDescent="0.25">
      <c r="A18" s="77" t="str">
        <f>'EXTRACTION AT GLOBAL DEA'!D16</f>
        <v>105175</v>
      </c>
      <c r="B18" s="77" t="str">
        <f>'EXTRACTION AT GLOBAL DEA'!E16</f>
        <v>BUFFET</v>
      </c>
      <c r="C18" s="77" t="str">
        <f>'EXTRACTION AT GLOBAL DEA'!F16</f>
        <v>VINCENT</v>
      </c>
      <c r="D18" s="77" t="str">
        <f>'EXTRACTION AT GLOBAL DEA'!I16</f>
        <v>MT HB PR</v>
      </c>
      <c r="E18" s="66">
        <f>'EXTRACTION AT GLOBAL DEA'!G16</f>
        <v>33</v>
      </c>
      <c r="F18" s="84" t="str">
        <f t="shared" si="1"/>
        <v>30 à 34 ans</v>
      </c>
      <c r="G18" s="77" t="str">
        <f>'EXTRACTION AT GLOBAL DEA'!K16</f>
        <v>S</v>
      </c>
      <c r="H18" s="77">
        <f>'EXTRACTION AT GLOBAL DEA'!N16</f>
        <v>0</v>
      </c>
      <c r="I18" s="77" t="str">
        <f>'EXTRACTION AT GLOBAL DEA'!L16</f>
        <v>N</v>
      </c>
      <c r="J18" s="77" t="str">
        <f>'EXTRACTION AT GLOBAL DEA'!M16</f>
        <v>N</v>
      </c>
      <c r="K18" s="77"/>
      <c r="L18" s="77"/>
      <c r="M18" s="78">
        <f>'EXTRACTION AT GLOBAL DEA'!B16</f>
        <v>42745</v>
      </c>
      <c r="N18" s="77" t="str">
        <f t="shared" si="2"/>
        <v>janvier</v>
      </c>
      <c r="O18" s="65"/>
      <c r="P18" s="67"/>
      <c r="Q18" s="67"/>
      <c r="R18" s="67"/>
      <c r="S18" s="67"/>
      <c r="T18" s="67"/>
      <c r="U18" s="67"/>
      <c r="V18" s="67"/>
      <c r="W18" s="67"/>
      <c r="X18" s="67"/>
      <c r="Y18" s="67"/>
      <c r="Z18" s="67"/>
      <c r="AA18" s="67"/>
      <c r="AB18" s="68">
        <f t="shared" si="3"/>
        <v>0</v>
      </c>
    </row>
    <row r="19" spans="1:28" x14ac:dyDescent="0.25">
      <c r="A19" s="77" t="str">
        <f>'EXTRACTION AT GLOBAL DEA'!D17</f>
        <v>105156</v>
      </c>
      <c r="B19" s="77" t="str">
        <f>'EXTRACTION AT GLOBAL DEA'!E17</f>
        <v>RAPIN</v>
      </c>
      <c r="C19" s="77" t="str">
        <f>'EXTRACTION AT GLOBAL DEA'!F17</f>
        <v>CLAUDE</v>
      </c>
      <c r="D19" s="77" t="str">
        <f>'EXTRACTION AT GLOBAL DEA'!I17</f>
        <v>MT YC PR</v>
      </c>
      <c r="E19" s="66">
        <f>'EXTRACTION AT GLOBAL DEA'!G17</f>
        <v>52</v>
      </c>
      <c r="F19" s="84" t="str">
        <f t="shared" si="1"/>
        <v>50 à 54 ans</v>
      </c>
      <c r="G19" s="77" t="str">
        <f>'EXTRACTION AT GLOBAL DEA'!K17</f>
        <v>S</v>
      </c>
      <c r="H19" s="77">
        <f>'EXTRACTION AT GLOBAL DEA'!N17</f>
        <v>0</v>
      </c>
      <c r="I19" s="77" t="str">
        <f>'EXTRACTION AT GLOBAL DEA'!L17</f>
        <v>N</v>
      </c>
      <c r="J19" s="77" t="str">
        <f>'EXTRACTION AT GLOBAL DEA'!M17</f>
        <v>N</v>
      </c>
      <c r="K19" s="77"/>
      <c r="L19" s="77"/>
      <c r="M19" s="78">
        <f>'EXTRACTION AT GLOBAL DEA'!B17</f>
        <v>42745</v>
      </c>
      <c r="N19" s="77" t="str">
        <f t="shared" si="2"/>
        <v>janvier</v>
      </c>
      <c r="O19" s="65"/>
      <c r="P19" s="67"/>
      <c r="Q19" s="67"/>
      <c r="R19" s="67"/>
      <c r="S19" s="67"/>
      <c r="T19" s="67"/>
      <c r="U19" s="67"/>
      <c r="V19" s="67"/>
      <c r="W19" s="67"/>
      <c r="X19" s="67"/>
      <c r="Y19" s="67"/>
      <c r="Z19" s="67"/>
      <c r="AA19" s="67"/>
      <c r="AB19" s="68">
        <f t="shared" si="3"/>
        <v>0</v>
      </c>
    </row>
    <row r="20" spans="1:28" x14ac:dyDescent="0.25">
      <c r="A20" s="77" t="str">
        <f>'EXTRACTION AT GLOBAL DEA'!D18</f>
        <v>105130</v>
      </c>
      <c r="B20" s="77" t="str">
        <f>'EXTRACTION AT GLOBAL DEA'!E18</f>
        <v>DABRIOU</v>
      </c>
      <c r="C20" s="77" t="str">
        <f>'EXTRACTION AT GLOBAL DEA'!F18</f>
        <v>PHILIPPE</v>
      </c>
      <c r="D20" s="77" t="str">
        <f>'EXTRACTION AT GLOBAL DEA'!I18</f>
        <v>MT CG PR</v>
      </c>
      <c r="E20" s="66">
        <f>'EXTRACTION AT GLOBAL DEA'!G18</f>
        <v>49</v>
      </c>
      <c r="F20" s="84" t="str">
        <f t="shared" si="1"/>
        <v>45 à 49 ans</v>
      </c>
      <c r="G20" s="77" t="str">
        <f>'EXTRACTION AT GLOBAL DEA'!K18</f>
        <v>S</v>
      </c>
      <c r="H20" s="77">
        <f>'EXTRACTION AT GLOBAL DEA'!N18</f>
        <v>5</v>
      </c>
      <c r="I20" s="77" t="str">
        <f>'EXTRACTION AT GLOBAL DEA'!L18</f>
        <v>O</v>
      </c>
      <c r="J20" s="77" t="str">
        <f>'EXTRACTION AT GLOBAL DEA'!M18</f>
        <v>N</v>
      </c>
      <c r="K20" s="77"/>
      <c r="L20" s="77"/>
      <c r="M20" s="78">
        <f>'EXTRACTION AT GLOBAL DEA'!B18</f>
        <v>42745</v>
      </c>
      <c r="N20" s="77" t="str">
        <f t="shared" si="2"/>
        <v>janvier</v>
      </c>
      <c r="O20" s="65"/>
      <c r="P20" s="67"/>
      <c r="Q20" s="67"/>
      <c r="R20" s="67"/>
      <c r="S20" s="67"/>
      <c r="T20" s="67"/>
      <c r="U20" s="67"/>
      <c r="V20" s="67"/>
      <c r="W20" s="67"/>
      <c r="X20" s="67"/>
      <c r="Y20" s="67"/>
      <c r="Z20" s="67"/>
      <c r="AA20" s="67"/>
      <c r="AB20" s="68">
        <f t="shared" si="3"/>
        <v>0</v>
      </c>
    </row>
    <row r="21" spans="1:28" x14ac:dyDescent="0.25">
      <c r="A21" s="77" t="str">
        <f>'EXTRACTION AT GLOBAL DEA'!D19</f>
        <v>105312</v>
      </c>
      <c r="B21" s="77" t="str">
        <f>'EXTRACTION AT GLOBAL DEA'!E19</f>
        <v>JULLIAN</v>
      </c>
      <c r="C21" s="77" t="str">
        <f>'EXTRACTION AT GLOBAL DEA'!F19</f>
        <v>JEROME</v>
      </c>
      <c r="D21" s="77" t="str">
        <f>'EXTRACTION AT GLOBAL DEA'!I19</f>
        <v>MT CG PR</v>
      </c>
      <c r="E21" s="66">
        <f>'EXTRACTION AT GLOBAL DEA'!G19</f>
        <v>41</v>
      </c>
      <c r="F21" s="84" t="str">
        <f t="shared" si="1"/>
        <v>40 à 44 ans</v>
      </c>
      <c r="G21" s="77" t="str">
        <f>'EXTRACTION AT GLOBAL DEA'!K19</f>
        <v>S</v>
      </c>
      <c r="H21" s="77">
        <f>'EXTRACTION AT GLOBAL DEA'!N19</f>
        <v>0</v>
      </c>
      <c r="I21" s="77" t="str">
        <f>'EXTRACTION AT GLOBAL DEA'!L19</f>
        <v>N</v>
      </c>
      <c r="J21" s="77" t="str">
        <f>'EXTRACTION AT GLOBAL DEA'!M19</f>
        <v>N</v>
      </c>
      <c r="K21" s="77"/>
      <c r="L21" s="77"/>
      <c r="M21" s="78">
        <f>'EXTRACTION AT GLOBAL DEA'!B19</f>
        <v>42751</v>
      </c>
      <c r="N21" s="77" t="str">
        <f t="shared" si="2"/>
        <v>janvier</v>
      </c>
      <c r="O21" s="65"/>
      <c r="P21" s="67"/>
      <c r="Q21" s="67"/>
      <c r="R21" s="67"/>
      <c r="S21" s="67"/>
      <c r="T21" s="67"/>
      <c r="U21" s="67"/>
      <c r="V21" s="67"/>
      <c r="W21" s="67"/>
      <c r="X21" s="67"/>
      <c r="Y21" s="67"/>
      <c r="Z21" s="67"/>
      <c r="AA21" s="67"/>
      <c r="AB21" s="68"/>
    </row>
    <row r="22" spans="1:28" hidden="1" x14ac:dyDescent="0.25">
      <c r="A22" s="77" t="str">
        <f>'EXTRACTION AT GLOBAL DEA'!D20</f>
        <v>105290</v>
      </c>
      <c r="B22" s="77" t="str">
        <f>'EXTRACTION AT GLOBAL DEA'!E20</f>
        <v>ROY</v>
      </c>
      <c r="C22" s="77" t="str">
        <f>'EXTRACTION AT GLOBAL DEA'!F20</f>
        <v>CHRISTOPHE</v>
      </c>
      <c r="D22" s="77" t="str">
        <f>'EXTRACTION AT GLOBAL DEA'!I20</f>
        <v>MT CG PR</v>
      </c>
      <c r="E22" s="66">
        <f>'EXTRACTION AT GLOBAL DEA'!G20</f>
        <v>41</v>
      </c>
      <c r="F22" s="84" t="str">
        <f t="shared" si="1"/>
        <v>40 à 44 ans</v>
      </c>
      <c r="G22" s="77" t="str">
        <f>'EXTRACTION AT GLOBAL DEA'!K20</f>
        <v>T</v>
      </c>
      <c r="H22" s="77">
        <f>'EXTRACTION AT GLOBAL DEA'!N20</f>
        <v>0</v>
      </c>
      <c r="I22" s="77" t="str">
        <f>'EXTRACTION AT GLOBAL DEA'!L20</f>
        <v>N</v>
      </c>
      <c r="J22" s="77" t="str">
        <f>'EXTRACTION AT GLOBAL DEA'!M20</f>
        <v>N</v>
      </c>
      <c r="K22" s="77"/>
      <c r="L22" s="77"/>
      <c r="M22" s="78">
        <f>'EXTRACTION AT GLOBAL DEA'!B20</f>
        <v>42751</v>
      </c>
      <c r="N22" s="77" t="str">
        <f t="shared" si="2"/>
        <v>janvier</v>
      </c>
      <c r="O22" s="65"/>
      <c r="P22" s="67"/>
      <c r="Q22" s="67"/>
      <c r="R22" s="67"/>
      <c r="S22" s="67"/>
      <c r="T22" s="67"/>
      <c r="U22" s="67"/>
      <c r="V22" s="67"/>
      <c r="W22" s="67"/>
      <c r="X22" s="67"/>
      <c r="Y22" s="67"/>
      <c r="Z22" s="67"/>
      <c r="AA22" s="67"/>
      <c r="AB22" s="68"/>
    </row>
    <row r="23" spans="1:28" x14ac:dyDescent="0.25">
      <c r="A23" s="77" t="str">
        <f>'EXTRACTION AT GLOBAL DEA'!D21</f>
        <v>105411</v>
      </c>
      <c r="B23" s="77" t="str">
        <f>'EXTRACTION AT GLOBAL DEA'!E21</f>
        <v>DA COSTA</v>
      </c>
      <c r="C23" s="77" t="str">
        <f>'EXTRACTION AT GLOBAL DEA'!F21</f>
        <v>OLIVIER</v>
      </c>
      <c r="D23" s="77" t="str">
        <f>'EXTRACTION AT GLOBAL DEA'!I21</f>
        <v>MT CA SU</v>
      </c>
      <c r="E23" s="66">
        <f>'EXTRACTION AT GLOBAL DEA'!G21</f>
        <v>49</v>
      </c>
      <c r="F23" s="84" t="str">
        <f t="shared" si="1"/>
        <v>45 à 49 ans</v>
      </c>
      <c r="G23" s="77" t="str">
        <f>'EXTRACTION AT GLOBAL DEA'!K21</f>
        <v>S</v>
      </c>
      <c r="H23" s="77">
        <f>'EXTRACTION AT GLOBAL DEA'!N21</f>
        <v>0</v>
      </c>
      <c r="I23" s="77" t="str">
        <f>'EXTRACTION AT GLOBAL DEA'!L21</f>
        <v>N</v>
      </c>
      <c r="J23" s="77" t="str">
        <f>'EXTRACTION AT GLOBAL DEA'!M21</f>
        <v>N</v>
      </c>
      <c r="K23" s="77"/>
      <c r="L23" s="77"/>
      <c r="M23" s="78">
        <f>'EXTRACTION AT GLOBAL DEA'!B21</f>
        <v>42753</v>
      </c>
      <c r="N23" s="77" t="str">
        <f t="shared" si="2"/>
        <v>janvier</v>
      </c>
      <c r="O23" s="65"/>
      <c r="P23" s="67"/>
      <c r="Q23" s="67"/>
      <c r="R23" s="67"/>
      <c r="S23" s="67"/>
      <c r="T23" s="67"/>
      <c r="U23" s="67"/>
      <c r="V23" s="67"/>
      <c r="W23" s="67"/>
      <c r="X23" s="67"/>
      <c r="Y23" s="67"/>
      <c r="Z23" s="67"/>
      <c r="AA23" s="67"/>
      <c r="AB23" s="68"/>
    </row>
    <row r="24" spans="1:28" x14ac:dyDescent="0.25">
      <c r="A24" s="77" t="str">
        <f>'EXTRACTION AT GLOBAL DEA'!D22</f>
        <v>105561</v>
      </c>
      <c r="B24" s="77" t="str">
        <f>'EXTRACTION AT GLOBAL DEA'!E22</f>
        <v>KOITA</v>
      </c>
      <c r="C24" s="77" t="str">
        <f>'EXTRACTION AT GLOBAL DEA'!F22</f>
        <v>DJIBRIL</v>
      </c>
      <c r="D24" s="77" t="str">
        <f>'EXTRACTION AT GLOBAL DEA'!I22</f>
        <v>MT QJ</v>
      </c>
      <c r="E24" s="66">
        <f>'EXTRACTION AT GLOBAL DEA'!G22</f>
        <v>36</v>
      </c>
      <c r="F24" s="84" t="str">
        <f t="shared" si="1"/>
        <v>35 à 39 ans</v>
      </c>
      <c r="G24" s="77" t="str">
        <f>'EXTRACTION AT GLOBAL DEA'!K22</f>
        <v>S</v>
      </c>
      <c r="H24" s="77">
        <f>'EXTRACTION AT GLOBAL DEA'!N22</f>
        <v>0</v>
      </c>
      <c r="I24" s="77" t="str">
        <f>'EXTRACTION AT GLOBAL DEA'!L22</f>
        <v>N</v>
      </c>
      <c r="J24" s="77" t="str">
        <f>'EXTRACTION AT GLOBAL DEA'!M22</f>
        <v>N</v>
      </c>
      <c r="K24" s="77"/>
      <c r="L24" s="77"/>
      <c r="M24" s="78">
        <f>'EXTRACTION AT GLOBAL DEA'!B22</f>
        <v>42755</v>
      </c>
      <c r="N24" s="77" t="str">
        <f t="shared" si="2"/>
        <v>janvier</v>
      </c>
      <c r="O24" s="65"/>
      <c r="P24" s="67"/>
      <c r="Q24" s="67"/>
      <c r="R24" s="67"/>
      <c r="S24" s="67"/>
      <c r="T24" s="67"/>
      <c r="U24" s="67"/>
      <c r="V24" s="67"/>
      <c r="W24" s="67"/>
      <c r="X24" s="67"/>
      <c r="Y24" s="67"/>
      <c r="Z24" s="67"/>
      <c r="AA24" s="67"/>
      <c r="AB24" s="68"/>
    </row>
    <row r="25" spans="1:28" x14ac:dyDescent="0.25">
      <c r="A25" s="77" t="str">
        <f>'EXTRACTION AT GLOBAL DEA'!D23</f>
        <v>105516</v>
      </c>
      <c r="B25" s="77" t="str">
        <f>'EXTRACTION AT GLOBAL DEA'!E23</f>
        <v>JARDINET</v>
      </c>
      <c r="C25" s="77" t="str">
        <f>'EXTRACTION AT GLOBAL DEA'!F23</f>
        <v>JEAN-PAUL</v>
      </c>
      <c r="D25" s="77" t="str">
        <f>'EXTRACTION AT GLOBAL DEA'!I23</f>
        <v>MT YC PR</v>
      </c>
      <c r="E25" s="66">
        <f>'EXTRACTION AT GLOBAL DEA'!G23</f>
        <v>57</v>
      </c>
      <c r="F25" s="84" t="str">
        <f t="shared" si="1"/>
        <v>55 à 59 ans</v>
      </c>
      <c r="G25" s="77" t="str">
        <f>'EXTRACTION AT GLOBAL DEA'!K23</f>
        <v>S</v>
      </c>
      <c r="H25" s="77">
        <f>'EXTRACTION AT GLOBAL DEA'!N23</f>
        <v>0</v>
      </c>
      <c r="I25" s="77" t="str">
        <f>'EXTRACTION AT GLOBAL DEA'!L23</f>
        <v>N</v>
      </c>
      <c r="J25" s="77" t="str">
        <f>'EXTRACTION AT GLOBAL DEA'!M23</f>
        <v>N</v>
      </c>
      <c r="K25" s="77"/>
      <c r="L25" s="77"/>
      <c r="M25" s="78">
        <f>'EXTRACTION AT GLOBAL DEA'!B23</f>
        <v>42756</v>
      </c>
      <c r="N25" s="77" t="str">
        <f t="shared" si="2"/>
        <v>janvier</v>
      </c>
      <c r="O25" s="65"/>
      <c r="P25" s="67"/>
      <c r="Q25" s="67"/>
      <c r="R25" s="67"/>
      <c r="S25" s="67"/>
      <c r="T25" s="67"/>
      <c r="U25" s="67"/>
      <c r="V25" s="67"/>
      <c r="W25" s="67"/>
      <c r="X25" s="67"/>
      <c r="Y25" s="67"/>
      <c r="Z25" s="67"/>
      <c r="AA25" s="67"/>
      <c r="AB25" s="68"/>
    </row>
    <row r="26" spans="1:28" hidden="1" x14ac:dyDescent="0.25">
      <c r="A26" s="77" t="str">
        <f>'EXTRACTION AT GLOBAL DEA'!D24</f>
        <v>105565</v>
      </c>
      <c r="B26" s="77" t="str">
        <f>'EXTRACTION AT GLOBAL DEA'!E24</f>
        <v>VASSEUR</v>
      </c>
      <c r="C26" s="77" t="str">
        <f>'EXTRACTION AT GLOBAL DEA'!F24</f>
        <v>EMELINE</v>
      </c>
      <c r="D26" s="77" t="str">
        <f>'EXTRACTION AT GLOBAL DEA'!I24</f>
        <v>BLDPUDRY</v>
      </c>
      <c r="E26" s="66">
        <f>'EXTRACTION AT GLOBAL DEA'!G24</f>
        <v>25</v>
      </c>
      <c r="F26" s="84" t="str">
        <f t="shared" si="1"/>
        <v>25 à 29 ans</v>
      </c>
      <c r="G26" s="77" t="str">
        <f>'EXTRACTION AT GLOBAL DEA'!K24</f>
        <v>T</v>
      </c>
      <c r="H26" s="77">
        <f>'EXTRACTION AT GLOBAL DEA'!N24</f>
        <v>0</v>
      </c>
      <c r="I26" s="77" t="str">
        <f>'EXTRACTION AT GLOBAL DEA'!L24</f>
        <v>O</v>
      </c>
      <c r="J26" s="77" t="str">
        <f>'EXTRACTION AT GLOBAL DEA'!M24</f>
        <v>N</v>
      </c>
      <c r="K26" s="77"/>
      <c r="L26" s="77"/>
      <c r="M26" s="78">
        <f>'EXTRACTION AT GLOBAL DEA'!B24</f>
        <v>42758</v>
      </c>
      <c r="N26" s="77" t="str">
        <f t="shared" si="2"/>
        <v>janvier</v>
      </c>
      <c r="O26" s="65"/>
      <c r="P26" s="67"/>
      <c r="Q26" s="67"/>
      <c r="R26" s="67"/>
      <c r="S26" s="67"/>
      <c r="T26" s="67"/>
      <c r="U26" s="67"/>
      <c r="V26" s="67"/>
      <c r="W26" s="67"/>
      <c r="X26" s="67"/>
      <c r="Y26" s="67"/>
      <c r="Z26" s="67"/>
      <c r="AA26" s="67"/>
      <c r="AB26" s="68"/>
    </row>
    <row r="27" spans="1:28" x14ac:dyDescent="0.25">
      <c r="A27" s="77" t="str">
        <f>'EXTRACTION AT GLOBAL DEA'!D25</f>
        <v>105564</v>
      </c>
      <c r="B27" s="77" t="str">
        <f>'EXTRACTION AT GLOBAL DEA'!E25</f>
        <v>SERVANT</v>
      </c>
      <c r="C27" s="77" t="str">
        <f>'EXTRACTION AT GLOBAL DEA'!F25</f>
        <v>JEAN PHILIPPE</v>
      </c>
      <c r="D27" s="77" t="str">
        <f>'EXTRACTION AT GLOBAL DEA'!I25</f>
        <v>MT ME CI</v>
      </c>
      <c r="E27" s="66">
        <f>'EXTRACTION AT GLOBAL DEA'!G25</f>
        <v>35</v>
      </c>
      <c r="F27" s="84" t="str">
        <f t="shared" si="1"/>
        <v>35 à 39 ans</v>
      </c>
      <c r="G27" s="77" t="str">
        <f>'EXTRACTION AT GLOBAL DEA'!K25</f>
        <v>S</v>
      </c>
      <c r="H27" s="77">
        <f>'EXTRACTION AT GLOBAL DEA'!N25</f>
        <v>3</v>
      </c>
      <c r="I27" s="77" t="str">
        <f>'EXTRACTION AT GLOBAL DEA'!L25</f>
        <v>O</v>
      </c>
      <c r="J27" s="77" t="str">
        <f>'EXTRACTION AT GLOBAL DEA'!M25</f>
        <v>N</v>
      </c>
      <c r="K27" s="77"/>
      <c r="L27" s="77"/>
      <c r="M27" s="78">
        <f>'EXTRACTION AT GLOBAL DEA'!B25</f>
        <v>42759</v>
      </c>
      <c r="N27" s="77" t="str">
        <f t="shared" si="2"/>
        <v>janvier</v>
      </c>
      <c r="O27" s="65"/>
      <c r="P27" s="67"/>
      <c r="Q27" s="67"/>
      <c r="R27" s="67"/>
      <c r="S27" s="67"/>
      <c r="T27" s="67"/>
      <c r="U27" s="67"/>
      <c r="V27" s="67"/>
      <c r="W27" s="67"/>
      <c r="X27" s="67"/>
      <c r="Y27" s="67"/>
      <c r="Z27" s="67"/>
      <c r="AA27" s="67"/>
      <c r="AB27" s="68"/>
    </row>
    <row r="28" spans="1:28" x14ac:dyDescent="0.25">
      <c r="A28" s="77" t="str">
        <f>'EXTRACTION AT GLOBAL DEA'!D26</f>
        <v>105570</v>
      </c>
      <c r="B28" s="77" t="str">
        <f>'EXTRACTION AT GLOBAL DEA'!E26</f>
        <v>BAZIN</v>
      </c>
      <c r="C28" s="77" t="str">
        <f>'EXTRACTION AT GLOBAL DEA'!F26</f>
        <v>ANTOINE</v>
      </c>
      <c r="D28" s="77" t="str">
        <f>'EXTRACTION AT GLOBAL DEA'!I26</f>
        <v>BLDPMSVL</v>
      </c>
      <c r="E28" s="66">
        <f>'EXTRACTION AT GLOBAL DEA'!G26</f>
        <v>18</v>
      </c>
      <c r="F28" s="84" t="str">
        <f t="shared" si="1"/>
        <v>Moins de 20 ans</v>
      </c>
      <c r="G28" s="77" t="str">
        <f>'EXTRACTION AT GLOBAL DEA'!K26</f>
        <v>S</v>
      </c>
      <c r="H28" s="77">
        <f>'EXTRACTION AT GLOBAL DEA'!N26</f>
        <v>0</v>
      </c>
      <c r="I28" s="77" t="str">
        <f>'EXTRACTION AT GLOBAL DEA'!L26</f>
        <v>N</v>
      </c>
      <c r="J28" s="77" t="str">
        <f>'EXTRACTION AT GLOBAL DEA'!M26</f>
        <v>N</v>
      </c>
      <c r="K28" s="77"/>
      <c r="L28" s="77"/>
      <c r="M28" s="78">
        <f>'EXTRACTION AT GLOBAL DEA'!B26</f>
        <v>42759</v>
      </c>
      <c r="N28" s="77" t="str">
        <f t="shared" si="2"/>
        <v>janvier</v>
      </c>
      <c r="O28" s="65"/>
      <c r="P28" s="67"/>
      <c r="Q28" s="67"/>
      <c r="R28" s="67"/>
      <c r="S28" s="67"/>
      <c r="T28" s="67"/>
      <c r="U28" s="67"/>
      <c r="V28" s="67"/>
      <c r="W28" s="67"/>
      <c r="X28" s="67"/>
      <c r="Y28" s="67"/>
      <c r="Z28" s="67"/>
      <c r="AA28" s="67"/>
      <c r="AB28" s="68"/>
    </row>
    <row r="29" spans="1:28" hidden="1" x14ac:dyDescent="0.25">
      <c r="A29" s="77" t="str">
        <f>'EXTRACTION AT GLOBAL DEA'!D27</f>
        <v>107489</v>
      </c>
      <c r="B29" s="77" t="str">
        <f>'EXTRACTION AT GLOBAL DEA'!E27</f>
        <v>PERRET</v>
      </c>
      <c r="C29" s="77" t="str">
        <f>'EXTRACTION AT GLOBAL DEA'!F27</f>
        <v>PASCAL</v>
      </c>
      <c r="D29" s="77" t="str">
        <f>'EXTRACTION AT GLOBAL DEA'!I27</f>
        <v>MT HB SL</v>
      </c>
      <c r="E29" s="66">
        <f>'EXTRACTION AT GLOBAL DEA'!G27</f>
        <v>38</v>
      </c>
      <c r="F29" s="84" t="str">
        <f t="shared" si="1"/>
        <v>35 à 39 ans</v>
      </c>
      <c r="G29" s="77" t="str">
        <f>'EXTRACTION AT GLOBAL DEA'!K27</f>
        <v>T</v>
      </c>
      <c r="H29" s="77">
        <f>'EXTRACTION AT GLOBAL DEA'!N27</f>
        <v>0</v>
      </c>
      <c r="I29" s="77" t="str">
        <f>'EXTRACTION AT GLOBAL DEA'!L27</f>
        <v>N</v>
      </c>
      <c r="J29" s="77" t="str">
        <f>'EXTRACTION AT GLOBAL DEA'!M27</f>
        <v>N</v>
      </c>
      <c r="K29" s="77"/>
      <c r="L29" s="77"/>
      <c r="M29" s="78">
        <f>'EXTRACTION AT GLOBAL DEA'!B27</f>
        <v>42759</v>
      </c>
      <c r="N29" s="77" t="str">
        <f t="shared" si="2"/>
        <v>janvier</v>
      </c>
      <c r="O29" s="65"/>
      <c r="P29" s="67"/>
      <c r="Q29" s="67"/>
      <c r="R29" s="67"/>
      <c r="S29" s="67"/>
      <c r="T29" s="67"/>
      <c r="U29" s="67"/>
      <c r="V29" s="67"/>
      <c r="W29" s="67"/>
      <c r="X29" s="67"/>
      <c r="Y29" s="67"/>
      <c r="Z29" s="67"/>
      <c r="AA29" s="67"/>
      <c r="AB29" s="68"/>
    </row>
    <row r="30" spans="1:28" x14ac:dyDescent="0.25">
      <c r="A30" s="77" t="str">
        <f>'EXTRACTION AT GLOBAL DEA'!D28</f>
        <v>105667</v>
      </c>
      <c r="B30" s="77" t="str">
        <f>'EXTRACTION AT GLOBAL DEA'!E28</f>
        <v>BOUYAT</v>
      </c>
      <c r="C30" s="77" t="str">
        <f>'EXTRACTION AT GLOBAL DEA'!F28</f>
        <v>FRANCOIS</v>
      </c>
      <c r="D30" s="77" t="str">
        <f>'EXTRACTION AT GLOBAL DEA'!I28</f>
        <v>MT CG PR</v>
      </c>
      <c r="E30" s="66">
        <f>'EXTRACTION AT GLOBAL DEA'!G28</f>
        <v>44</v>
      </c>
      <c r="F30" s="84" t="str">
        <f t="shared" si="1"/>
        <v>40 à 44 ans</v>
      </c>
      <c r="G30" s="77" t="str">
        <f>'EXTRACTION AT GLOBAL DEA'!K28</f>
        <v>S</v>
      </c>
      <c r="H30" s="77">
        <f>'EXTRACTION AT GLOBAL DEA'!N28</f>
        <v>0</v>
      </c>
      <c r="I30" s="77" t="str">
        <f>'EXTRACTION AT GLOBAL DEA'!L28</f>
        <v>N</v>
      </c>
      <c r="J30" s="77" t="str">
        <f>'EXTRACTION AT GLOBAL DEA'!M28</f>
        <v>N</v>
      </c>
      <c r="K30" s="77"/>
      <c r="L30" s="77"/>
      <c r="M30" s="78">
        <f>'EXTRACTION AT GLOBAL DEA'!B28</f>
        <v>42761</v>
      </c>
      <c r="N30" s="77" t="str">
        <f t="shared" si="2"/>
        <v>janvier</v>
      </c>
      <c r="O30" s="65"/>
      <c r="P30" s="67"/>
      <c r="Q30" s="67"/>
      <c r="R30" s="67"/>
      <c r="S30" s="67"/>
      <c r="T30" s="67"/>
      <c r="U30" s="67"/>
      <c r="V30" s="67"/>
      <c r="W30" s="67"/>
      <c r="X30" s="67"/>
      <c r="Y30" s="67"/>
      <c r="Z30" s="67"/>
      <c r="AA30" s="67"/>
      <c r="AB30" s="68"/>
    </row>
    <row r="31" spans="1:28" x14ac:dyDescent="0.25">
      <c r="A31" s="77" t="str">
        <f>'EXTRACTION AT GLOBAL DEA'!D29</f>
        <v>105637</v>
      </c>
      <c r="B31" s="77" t="str">
        <f>'EXTRACTION AT GLOBAL DEA'!E29</f>
        <v>JUY</v>
      </c>
      <c r="C31" s="77" t="str">
        <f>'EXTRACTION AT GLOBAL DEA'!F29</f>
        <v>SEBASTIEN</v>
      </c>
      <c r="D31" s="77" t="str">
        <f>'EXTRACTION AT GLOBAL DEA'!I29</f>
        <v>MT CC PR</v>
      </c>
      <c r="E31" s="66">
        <f>'EXTRACTION AT GLOBAL DEA'!G29</f>
        <v>43</v>
      </c>
      <c r="F31" s="84" t="str">
        <f t="shared" si="1"/>
        <v>40 à 44 ans</v>
      </c>
      <c r="G31" s="77" t="str">
        <f>'EXTRACTION AT GLOBAL DEA'!K29</f>
        <v>S</v>
      </c>
      <c r="H31" s="77">
        <f>'EXTRACTION AT GLOBAL DEA'!N29</f>
        <v>14</v>
      </c>
      <c r="I31" s="77" t="str">
        <f>'EXTRACTION AT GLOBAL DEA'!L29</f>
        <v>O</v>
      </c>
      <c r="J31" s="77" t="str">
        <f>'EXTRACTION AT GLOBAL DEA'!M29</f>
        <v>N</v>
      </c>
      <c r="K31" s="77"/>
      <c r="L31" s="77"/>
      <c r="M31" s="78">
        <f>'EXTRACTION AT GLOBAL DEA'!B29</f>
        <v>42761</v>
      </c>
      <c r="N31" s="77" t="str">
        <f t="shared" si="2"/>
        <v>janvier</v>
      </c>
      <c r="O31" s="65"/>
      <c r="P31" s="67"/>
      <c r="Q31" s="67"/>
      <c r="R31" s="67"/>
      <c r="S31" s="67"/>
      <c r="T31" s="67"/>
      <c r="U31" s="67"/>
      <c r="V31" s="67"/>
      <c r="W31" s="67"/>
      <c r="X31" s="67"/>
      <c r="Y31" s="67"/>
      <c r="Z31" s="67"/>
      <c r="AA31" s="67"/>
      <c r="AB31" s="68"/>
    </row>
    <row r="32" spans="1:28" x14ac:dyDescent="0.25">
      <c r="A32" s="77" t="str">
        <f>'EXTRACTION AT GLOBAL DEA'!D30</f>
        <v>105721</v>
      </c>
      <c r="B32" s="77" t="str">
        <f>'EXTRACTION AT GLOBAL DEA'!E30</f>
        <v>GARCIA</v>
      </c>
      <c r="C32" s="77" t="str">
        <f>'EXTRACTION AT GLOBAL DEA'!F30</f>
        <v>CHRISTOPHE</v>
      </c>
      <c r="D32" s="77" t="str">
        <f>'EXTRACTION AT GLOBAL DEA'!I30</f>
        <v>MT QX PP</v>
      </c>
      <c r="E32" s="66">
        <f>'EXTRACTION AT GLOBAL DEA'!G30</f>
        <v>44</v>
      </c>
      <c r="F32" s="84" t="str">
        <f t="shared" si="1"/>
        <v>40 à 44 ans</v>
      </c>
      <c r="G32" s="77" t="str">
        <f>'EXTRACTION AT GLOBAL DEA'!K30</f>
        <v>S</v>
      </c>
      <c r="H32" s="77">
        <f>'EXTRACTION AT GLOBAL DEA'!N30</f>
        <v>70</v>
      </c>
      <c r="I32" s="77" t="str">
        <f>'EXTRACTION AT GLOBAL DEA'!L30</f>
        <v>O</v>
      </c>
      <c r="J32" s="77" t="str">
        <f>'EXTRACTION AT GLOBAL DEA'!M30</f>
        <v>N</v>
      </c>
      <c r="K32" s="77"/>
      <c r="L32" s="77"/>
      <c r="M32" s="78">
        <f>'EXTRACTION AT GLOBAL DEA'!B30</f>
        <v>42761</v>
      </c>
      <c r="N32" s="77" t="str">
        <f t="shared" si="2"/>
        <v>janvier</v>
      </c>
      <c r="O32" s="65"/>
      <c r="P32" s="67"/>
      <c r="Q32" s="67"/>
      <c r="R32" s="67"/>
      <c r="S32" s="67"/>
      <c r="T32" s="67"/>
      <c r="U32" s="67"/>
      <c r="V32" s="67"/>
      <c r="W32" s="67"/>
      <c r="X32" s="67"/>
      <c r="Y32" s="67"/>
      <c r="Z32" s="67"/>
      <c r="AA32" s="67"/>
      <c r="AB32" s="68"/>
    </row>
    <row r="33" spans="1:28" hidden="1" x14ac:dyDescent="0.25">
      <c r="A33" s="77" t="str">
        <f>'EXTRACTION AT GLOBAL DEA'!D31</f>
        <v>106099</v>
      </c>
      <c r="B33" s="77" t="str">
        <f>'EXTRACTION AT GLOBAL DEA'!E31</f>
        <v>HAMDANI</v>
      </c>
      <c r="C33" s="77" t="str">
        <f>'EXTRACTION AT GLOBAL DEA'!F31</f>
        <v>NABIL</v>
      </c>
      <c r="D33" s="77" t="str">
        <f>'EXTRACTION AT GLOBAL DEA'!I31</f>
        <v>MT QJ</v>
      </c>
      <c r="E33" s="66">
        <f>'EXTRACTION AT GLOBAL DEA'!G31</f>
        <v>32</v>
      </c>
      <c r="F33" s="84" t="str">
        <f t="shared" si="1"/>
        <v>30 à 34 ans</v>
      </c>
      <c r="G33" s="77" t="str">
        <f>'EXTRACTION AT GLOBAL DEA'!K31</f>
        <v>T</v>
      </c>
      <c r="H33" s="77">
        <f>'EXTRACTION AT GLOBAL DEA'!N31</f>
        <v>0</v>
      </c>
      <c r="I33" s="77" t="str">
        <f>'EXTRACTION AT GLOBAL DEA'!L31</f>
        <v>N</v>
      </c>
      <c r="J33" s="77" t="str">
        <f>'EXTRACTION AT GLOBAL DEA'!M31</f>
        <v>N</v>
      </c>
      <c r="K33" s="77"/>
      <c r="L33" s="77"/>
      <c r="M33" s="78">
        <f>'EXTRACTION AT GLOBAL DEA'!B31</f>
        <v>42762</v>
      </c>
      <c r="N33" s="77" t="str">
        <f t="shared" si="2"/>
        <v>janvier</v>
      </c>
      <c r="O33" s="65"/>
      <c r="P33" s="67"/>
      <c r="Q33" s="67"/>
      <c r="R33" s="67"/>
      <c r="S33" s="67"/>
      <c r="T33" s="67"/>
      <c r="U33" s="67"/>
      <c r="V33" s="67"/>
      <c r="W33" s="67"/>
      <c r="X33" s="67"/>
      <c r="Y33" s="67"/>
      <c r="Z33" s="67"/>
      <c r="AA33" s="67"/>
      <c r="AB33" s="68"/>
    </row>
    <row r="34" spans="1:28" hidden="1" x14ac:dyDescent="0.25">
      <c r="A34" s="77" t="str">
        <f>'EXTRACTION AT GLOBAL DEA'!D32</f>
        <v>105675</v>
      </c>
      <c r="B34" s="77" t="str">
        <f>'EXTRACTION AT GLOBAL DEA'!E32</f>
        <v>FOULNY</v>
      </c>
      <c r="C34" s="77" t="str">
        <f>'EXTRACTION AT GLOBAL DEA'!F32</f>
        <v>NORBERT</v>
      </c>
      <c r="D34" s="77" t="str">
        <f>'EXTRACTION AT GLOBAL DEA'!I32</f>
        <v>MT HB QO</v>
      </c>
      <c r="E34" s="66">
        <f>'EXTRACTION AT GLOBAL DEA'!G32</f>
        <v>58</v>
      </c>
      <c r="F34" s="84" t="str">
        <f t="shared" si="1"/>
        <v>55 à 59 ans</v>
      </c>
      <c r="G34" s="77" t="str">
        <f>'EXTRACTION AT GLOBAL DEA'!K32</f>
        <v>T</v>
      </c>
      <c r="H34" s="77">
        <f>'EXTRACTION AT GLOBAL DEA'!N32</f>
        <v>0</v>
      </c>
      <c r="I34" s="77" t="str">
        <f>'EXTRACTION AT GLOBAL DEA'!L32</f>
        <v>N</v>
      </c>
      <c r="J34" s="77" t="str">
        <f>'EXTRACTION AT GLOBAL DEA'!M32</f>
        <v>N</v>
      </c>
      <c r="K34" s="77"/>
      <c r="L34" s="77"/>
      <c r="M34" s="78">
        <f>'EXTRACTION AT GLOBAL DEA'!B32</f>
        <v>42762</v>
      </c>
      <c r="N34" s="77" t="str">
        <f t="shared" si="2"/>
        <v>janvier</v>
      </c>
      <c r="O34" s="65"/>
      <c r="P34" s="67"/>
      <c r="Q34" s="67"/>
      <c r="R34" s="67"/>
      <c r="S34" s="67"/>
      <c r="T34" s="67"/>
      <c r="U34" s="67"/>
      <c r="V34" s="67"/>
      <c r="W34" s="67"/>
      <c r="X34" s="67"/>
      <c r="Y34" s="67"/>
      <c r="Z34" s="67"/>
      <c r="AA34" s="67"/>
      <c r="AB34" s="68"/>
    </row>
    <row r="35" spans="1:28" hidden="1" x14ac:dyDescent="0.25">
      <c r="A35" s="77" t="str">
        <f>'EXTRACTION AT GLOBAL DEA'!D33</f>
        <v>105773</v>
      </c>
      <c r="B35" s="77" t="str">
        <f>'EXTRACTION AT GLOBAL DEA'!E33</f>
        <v>JAULIN</v>
      </c>
      <c r="C35" s="77" t="str">
        <f>'EXTRACTION AT GLOBAL DEA'!F33</f>
        <v>PASCAL</v>
      </c>
      <c r="D35" s="77" t="str">
        <f>'EXTRACTION AT GLOBAL DEA'!I33</f>
        <v>MT IA AV</v>
      </c>
      <c r="E35" s="66">
        <f>'EXTRACTION AT GLOBAL DEA'!G33</f>
        <v>51</v>
      </c>
      <c r="F35" s="84" t="str">
        <f t="shared" si="1"/>
        <v>50 à 54 ans</v>
      </c>
      <c r="G35" s="77" t="str">
        <f>'EXTRACTION AT GLOBAL DEA'!K33</f>
        <v>T</v>
      </c>
      <c r="H35" s="77">
        <f>'EXTRACTION AT GLOBAL DEA'!N33</f>
        <v>0</v>
      </c>
      <c r="I35" s="77" t="str">
        <f>'EXTRACTION AT GLOBAL DEA'!L33</f>
        <v>N</v>
      </c>
      <c r="J35" s="77" t="str">
        <f>'EXTRACTION AT GLOBAL DEA'!M33</f>
        <v>N</v>
      </c>
      <c r="K35" s="77"/>
      <c r="L35" s="77"/>
      <c r="M35" s="78">
        <f>'EXTRACTION AT GLOBAL DEA'!B33</f>
        <v>42762</v>
      </c>
      <c r="N35" s="77" t="str">
        <f t="shared" si="2"/>
        <v>janvier</v>
      </c>
      <c r="O35" s="65"/>
      <c r="P35" s="67"/>
      <c r="Q35" s="67"/>
      <c r="R35" s="67"/>
      <c r="S35" s="67"/>
      <c r="T35" s="67"/>
      <c r="U35" s="67"/>
      <c r="V35" s="67"/>
      <c r="W35" s="67"/>
      <c r="X35" s="67"/>
      <c r="Y35" s="67"/>
      <c r="Z35" s="67"/>
      <c r="AA35" s="67"/>
      <c r="AB35" s="68"/>
    </row>
    <row r="36" spans="1:28" hidden="1" x14ac:dyDescent="0.25">
      <c r="A36" s="77" t="str">
        <f>'EXTRACTION AT GLOBAL DEA'!D34</f>
        <v>105696</v>
      </c>
      <c r="B36" s="77" t="str">
        <f>'EXTRACTION AT GLOBAL DEA'!E34</f>
        <v>RAGON</v>
      </c>
      <c r="C36" s="77" t="str">
        <f>'EXTRACTION AT GLOBAL DEA'!F34</f>
        <v>STEPHANE</v>
      </c>
      <c r="D36" s="77" t="str">
        <f>'EXTRACTION AT GLOBAL DEA'!I34</f>
        <v>MT IA ME</v>
      </c>
      <c r="E36" s="66">
        <f>'EXTRACTION AT GLOBAL DEA'!G34</f>
        <v>48</v>
      </c>
      <c r="F36" s="84" t="str">
        <f t="shared" si="1"/>
        <v>45 à 49 ans</v>
      </c>
      <c r="G36" s="77" t="str">
        <f>'EXTRACTION AT GLOBAL DEA'!K34</f>
        <v>T</v>
      </c>
      <c r="H36" s="77">
        <f>'EXTRACTION AT GLOBAL DEA'!N34</f>
        <v>0</v>
      </c>
      <c r="I36" s="77" t="str">
        <f>'EXTRACTION AT GLOBAL DEA'!L34</f>
        <v>N</v>
      </c>
      <c r="J36" s="77" t="str">
        <f>'EXTRACTION AT GLOBAL DEA'!M34</f>
        <v>N</v>
      </c>
      <c r="K36" s="77"/>
      <c r="L36" s="77"/>
      <c r="M36" s="78">
        <f>'EXTRACTION AT GLOBAL DEA'!B34</f>
        <v>42762</v>
      </c>
      <c r="N36" s="77" t="str">
        <f t="shared" si="2"/>
        <v>janvier</v>
      </c>
      <c r="O36" s="65"/>
      <c r="P36" s="67"/>
      <c r="Q36" s="67"/>
      <c r="R36" s="67"/>
      <c r="S36" s="67"/>
      <c r="T36" s="67"/>
      <c r="U36" s="67"/>
      <c r="V36" s="67"/>
      <c r="W36" s="67"/>
      <c r="X36" s="67"/>
      <c r="Y36" s="67"/>
      <c r="Z36" s="67"/>
      <c r="AA36" s="67"/>
      <c r="AB36" s="68"/>
    </row>
    <row r="37" spans="1:28" x14ac:dyDescent="0.25">
      <c r="A37" s="77" t="str">
        <f>'EXTRACTION AT GLOBAL DEA'!D35</f>
        <v>105759</v>
      </c>
      <c r="B37" s="77" t="str">
        <f>'EXTRACTION AT GLOBAL DEA'!E35</f>
        <v>BABOUDJIAN</v>
      </c>
      <c r="C37" s="77" t="str">
        <f>'EXTRACTION AT GLOBAL DEA'!F35</f>
        <v>KRIKOR</v>
      </c>
      <c r="D37" s="77" t="str">
        <f>'EXTRACTION AT GLOBAL DEA'!I35</f>
        <v>MT HB PR</v>
      </c>
      <c r="E37" s="66">
        <f>'EXTRACTION AT GLOBAL DEA'!G35</f>
        <v>37</v>
      </c>
      <c r="F37" s="84" t="str">
        <f t="shared" si="1"/>
        <v>35 à 39 ans</v>
      </c>
      <c r="G37" s="77" t="str">
        <f>'EXTRACTION AT GLOBAL DEA'!K35</f>
        <v>S</v>
      </c>
      <c r="H37" s="77">
        <f>'EXTRACTION AT GLOBAL DEA'!N35</f>
        <v>120</v>
      </c>
      <c r="I37" s="77" t="str">
        <f>'EXTRACTION AT GLOBAL DEA'!L35</f>
        <v>O</v>
      </c>
      <c r="J37" s="77" t="str">
        <f>'EXTRACTION AT GLOBAL DEA'!M35</f>
        <v>N</v>
      </c>
      <c r="K37" s="77"/>
      <c r="L37" s="77"/>
      <c r="M37" s="78">
        <f>'EXTRACTION AT GLOBAL DEA'!B35</f>
        <v>42763</v>
      </c>
      <c r="N37" s="77" t="str">
        <f t="shared" si="2"/>
        <v>janvier</v>
      </c>
      <c r="O37" s="65"/>
      <c r="P37" s="67"/>
      <c r="Q37" s="67"/>
      <c r="R37" s="67"/>
      <c r="S37" s="67"/>
      <c r="T37" s="67"/>
      <c r="U37" s="67"/>
      <c r="V37" s="67"/>
      <c r="W37" s="67"/>
      <c r="X37" s="67"/>
      <c r="Y37" s="67"/>
      <c r="Z37" s="67"/>
      <c r="AA37" s="67"/>
      <c r="AB37" s="68"/>
    </row>
    <row r="38" spans="1:28" x14ac:dyDescent="0.25">
      <c r="A38" s="77" t="str">
        <f>'EXTRACTION AT GLOBAL DEA'!D36</f>
        <v>105909</v>
      </c>
      <c r="B38" s="77" t="str">
        <f>'EXTRACTION AT GLOBAL DEA'!E36</f>
        <v>MICHEL</v>
      </c>
      <c r="C38" s="77" t="str">
        <f>'EXTRACTION AT GLOBAL DEA'!F36</f>
        <v>JEAN-LUC</v>
      </c>
      <c r="D38" s="77" t="str">
        <f>'EXTRACTION AT GLOBAL DEA'!I36</f>
        <v>MT CA PR</v>
      </c>
      <c r="E38" s="66">
        <f>'EXTRACTION AT GLOBAL DEA'!G36</f>
        <v>51</v>
      </c>
      <c r="F38" s="84" t="str">
        <f t="shared" si="1"/>
        <v>50 à 54 ans</v>
      </c>
      <c r="G38" s="77" t="str">
        <f>'EXTRACTION AT GLOBAL DEA'!K36</f>
        <v>S</v>
      </c>
      <c r="H38" s="77">
        <f>'EXTRACTION AT GLOBAL DEA'!N36</f>
        <v>0</v>
      </c>
      <c r="I38" s="77" t="str">
        <f>'EXTRACTION AT GLOBAL DEA'!L36</f>
        <v>N</v>
      </c>
      <c r="J38" s="77" t="str">
        <f>'EXTRACTION AT GLOBAL DEA'!M36</f>
        <v>N</v>
      </c>
      <c r="K38" s="77"/>
      <c r="L38" s="77"/>
      <c r="M38" s="78">
        <f>'EXTRACTION AT GLOBAL DEA'!B36</f>
        <v>42764</v>
      </c>
      <c r="N38" s="77" t="str">
        <f t="shared" si="2"/>
        <v>janvier</v>
      </c>
      <c r="O38" s="65"/>
      <c r="P38" s="67"/>
      <c r="Q38" s="67"/>
      <c r="R38" s="67"/>
      <c r="S38" s="67"/>
      <c r="T38" s="67"/>
      <c r="U38" s="67"/>
      <c r="V38" s="67"/>
      <c r="W38" s="67"/>
      <c r="X38" s="67"/>
      <c r="Y38" s="67"/>
      <c r="Z38" s="67"/>
      <c r="AA38" s="67"/>
      <c r="AB38" s="68"/>
    </row>
    <row r="39" spans="1:28" x14ac:dyDescent="0.25">
      <c r="A39" s="77" t="str">
        <f>'EXTRACTION AT GLOBAL DEA'!D37</f>
        <v>105922</v>
      </c>
      <c r="B39" s="77" t="str">
        <f>'EXTRACTION AT GLOBAL DEA'!E37</f>
        <v>RAFFANEL</v>
      </c>
      <c r="C39" s="77" t="str">
        <f>'EXTRACTION AT GLOBAL DEA'!F37</f>
        <v>AURELIEN</v>
      </c>
      <c r="D39" s="77" t="str">
        <f>'EXTRACTION AT GLOBAL DEA'!I37</f>
        <v>MT CC PR</v>
      </c>
      <c r="E39" s="66">
        <f>'EXTRACTION AT GLOBAL DEA'!G37</f>
        <v>37</v>
      </c>
      <c r="F39" s="84" t="str">
        <f t="shared" si="1"/>
        <v>35 à 39 ans</v>
      </c>
      <c r="G39" s="77" t="str">
        <f>'EXTRACTION AT GLOBAL DEA'!K37</f>
        <v>S</v>
      </c>
      <c r="H39" s="77">
        <f>'EXTRACTION AT GLOBAL DEA'!N37</f>
        <v>17</v>
      </c>
      <c r="I39" s="77" t="str">
        <f>'EXTRACTION AT GLOBAL DEA'!L37</f>
        <v>O</v>
      </c>
      <c r="J39" s="77" t="str">
        <f>'EXTRACTION AT GLOBAL DEA'!M37</f>
        <v>N</v>
      </c>
      <c r="K39" s="77"/>
      <c r="L39" s="77"/>
      <c r="M39" s="78">
        <f>'EXTRACTION AT GLOBAL DEA'!B37</f>
        <v>42765</v>
      </c>
      <c r="N39" s="77" t="str">
        <f t="shared" si="2"/>
        <v>janvier</v>
      </c>
      <c r="O39" s="65"/>
      <c r="P39" s="67"/>
      <c r="Q39" s="67"/>
      <c r="R39" s="67"/>
      <c r="S39" s="67"/>
      <c r="T39" s="67"/>
      <c r="U39" s="67"/>
      <c r="V39" s="67"/>
      <c r="W39" s="67"/>
      <c r="X39" s="67"/>
      <c r="Y39" s="67"/>
      <c r="Z39" s="67"/>
      <c r="AA39" s="67"/>
      <c r="AB39" s="68"/>
    </row>
    <row r="40" spans="1:28" hidden="1" x14ac:dyDescent="0.25">
      <c r="A40" s="77" t="str">
        <f>'EXTRACTION AT GLOBAL DEA'!D38</f>
        <v>105944</v>
      </c>
      <c r="B40" s="77" t="str">
        <f>'EXTRACTION AT GLOBAL DEA'!E38</f>
        <v>MAYSONNABE</v>
      </c>
      <c r="C40" s="77" t="str">
        <f>'EXTRACTION AT GLOBAL DEA'!F38</f>
        <v>ALAIN</v>
      </c>
      <c r="D40" s="77" t="str">
        <f>'EXTRACTION AT GLOBAL DEA'!I38</f>
        <v>MT YC SU</v>
      </c>
      <c r="E40" s="66">
        <f>'EXTRACTION AT GLOBAL DEA'!G38</f>
        <v>47</v>
      </c>
      <c r="F40" s="84" t="str">
        <f t="shared" si="1"/>
        <v>45 à 49 ans</v>
      </c>
      <c r="G40" s="77" t="str">
        <f>'EXTRACTION AT GLOBAL DEA'!K38</f>
        <v>T</v>
      </c>
      <c r="H40" s="77">
        <f>'EXTRACTION AT GLOBAL DEA'!N38</f>
        <v>0</v>
      </c>
      <c r="I40" s="77" t="str">
        <f>'EXTRACTION AT GLOBAL DEA'!L38</f>
        <v>N</v>
      </c>
      <c r="J40" s="77" t="str">
        <f>'EXTRACTION AT GLOBAL DEA'!M38</f>
        <v>N</v>
      </c>
      <c r="K40" s="77"/>
      <c r="L40" s="77"/>
      <c r="M40" s="78">
        <f>'EXTRACTION AT GLOBAL DEA'!B38</f>
        <v>42767</v>
      </c>
      <c r="N40" s="77" t="str">
        <f t="shared" si="2"/>
        <v>février</v>
      </c>
      <c r="O40" s="65"/>
      <c r="P40" s="67"/>
      <c r="Q40" s="67"/>
      <c r="R40" s="67"/>
      <c r="S40" s="67"/>
      <c r="T40" s="67"/>
      <c r="U40" s="67"/>
      <c r="V40" s="67"/>
      <c r="W40" s="67"/>
      <c r="X40" s="67"/>
      <c r="Y40" s="67"/>
      <c r="Z40" s="67"/>
      <c r="AA40" s="67"/>
      <c r="AB40" s="68"/>
    </row>
    <row r="41" spans="1:28" x14ac:dyDescent="0.25">
      <c r="A41" s="77" t="str">
        <f>'EXTRACTION AT GLOBAL DEA'!D39</f>
        <v>105937</v>
      </c>
      <c r="B41" s="77" t="str">
        <f>'EXTRACTION AT GLOBAL DEA'!E39</f>
        <v>KALMES</v>
      </c>
      <c r="C41" s="77" t="str">
        <f>'EXTRACTION AT GLOBAL DEA'!F39</f>
        <v>ADRIEN</v>
      </c>
      <c r="D41" s="77" t="str">
        <f>'EXTRACTION AT GLOBAL DEA'!I39</f>
        <v>MT CG PW</v>
      </c>
      <c r="E41" s="66">
        <f>'EXTRACTION AT GLOBAL DEA'!G39</f>
        <v>27</v>
      </c>
      <c r="F41" s="84" t="str">
        <f t="shared" si="1"/>
        <v>25 à 29 ans</v>
      </c>
      <c r="G41" s="77" t="str">
        <f>'EXTRACTION AT GLOBAL DEA'!K39</f>
        <v>S</v>
      </c>
      <c r="H41" s="77">
        <f>'EXTRACTION AT GLOBAL DEA'!N39</f>
        <v>0</v>
      </c>
      <c r="I41" s="77" t="str">
        <f>'EXTRACTION AT GLOBAL DEA'!L39</f>
        <v>N</v>
      </c>
      <c r="J41" s="77" t="str">
        <f>'EXTRACTION AT GLOBAL DEA'!M39</f>
        <v>N</v>
      </c>
      <c r="K41" s="77"/>
      <c r="L41" s="77"/>
      <c r="M41" s="78">
        <f>'EXTRACTION AT GLOBAL DEA'!B39</f>
        <v>42767</v>
      </c>
      <c r="N41" s="77" t="str">
        <f t="shared" si="2"/>
        <v>février</v>
      </c>
      <c r="O41" s="65"/>
      <c r="P41" s="67"/>
      <c r="Q41" s="67"/>
      <c r="R41" s="67"/>
      <c r="S41" s="67"/>
      <c r="T41" s="67"/>
      <c r="U41" s="67"/>
      <c r="V41" s="67"/>
      <c r="W41" s="67"/>
      <c r="X41" s="67"/>
      <c r="Y41" s="67"/>
      <c r="Z41" s="67"/>
      <c r="AA41" s="67"/>
      <c r="AB41" s="68"/>
    </row>
    <row r="42" spans="1:28" hidden="1" x14ac:dyDescent="0.25">
      <c r="A42" s="77" t="str">
        <f>'EXTRACTION AT GLOBAL DEA'!D40</f>
        <v>105936</v>
      </c>
      <c r="B42" s="77" t="str">
        <f>'EXTRACTION AT GLOBAL DEA'!E40</f>
        <v>LE MERCIER</v>
      </c>
      <c r="C42" s="77" t="str">
        <f>'EXTRACTION AT GLOBAL DEA'!F40</f>
        <v>CHRISTOPHE</v>
      </c>
      <c r="D42" s="77" t="str">
        <f>'EXTRACTION AT GLOBAL DEA'!I40</f>
        <v>MT JK PR</v>
      </c>
      <c r="E42" s="66">
        <f>'EXTRACTION AT GLOBAL DEA'!G40</f>
        <v>51</v>
      </c>
      <c r="F42" s="84" t="str">
        <f t="shared" si="1"/>
        <v>50 à 54 ans</v>
      </c>
      <c r="G42" s="77" t="str">
        <f>'EXTRACTION AT GLOBAL DEA'!K40</f>
        <v>T</v>
      </c>
      <c r="H42" s="77">
        <f>'EXTRACTION AT GLOBAL DEA'!N40</f>
        <v>0</v>
      </c>
      <c r="I42" s="77" t="str">
        <f>'EXTRACTION AT GLOBAL DEA'!L40</f>
        <v>N</v>
      </c>
      <c r="J42" s="77" t="str">
        <f>'EXTRACTION AT GLOBAL DEA'!M40</f>
        <v>O</v>
      </c>
      <c r="K42" s="77"/>
      <c r="L42" s="77"/>
      <c r="M42" s="78">
        <f>'EXTRACTION AT GLOBAL DEA'!B40</f>
        <v>42768</v>
      </c>
      <c r="N42" s="77" t="str">
        <f t="shared" si="2"/>
        <v>février</v>
      </c>
      <c r="O42" s="65"/>
      <c r="P42" s="67"/>
      <c r="Q42" s="67"/>
      <c r="R42" s="67"/>
      <c r="S42" s="67"/>
      <c r="T42" s="67"/>
      <c r="U42" s="67"/>
      <c r="V42" s="67"/>
      <c r="W42" s="67"/>
      <c r="X42" s="67"/>
      <c r="Y42" s="67"/>
      <c r="Z42" s="67"/>
      <c r="AA42" s="67"/>
      <c r="AB42" s="68"/>
    </row>
    <row r="43" spans="1:28" hidden="1" x14ac:dyDescent="0.25">
      <c r="A43" s="77" t="str">
        <f>'EXTRACTION AT GLOBAL DEA'!D41</f>
        <v>105928</v>
      </c>
      <c r="B43" s="77" t="str">
        <f>'EXTRACTION AT GLOBAL DEA'!E41</f>
        <v>LELONG</v>
      </c>
      <c r="C43" s="77" t="str">
        <f>'EXTRACTION AT GLOBAL DEA'!F41</f>
        <v>ANTHONY</v>
      </c>
      <c r="D43" s="77" t="str">
        <f>'EXTRACTION AT GLOBAL DEA'!I41</f>
        <v>MT CC PR</v>
      </c>
      <c r="E43" s="66">
        <f>'EXTRACTION AT GLOBAL DEA'!G41</f>
        <v>29</v>
      </c>
      <c r="F43" s="84" t="str">
        <f t="shared" si="1"/>
        <v>25 à 29 ans</v>
      </c>
      <c r="G43" s="77" t="str">
        <f>'EXTRACTION AT GLOBAL DEA'!K41</f>
        <v>T</v>
      </c>
      <c r="H43" s="77">
        <f>'EXTRACTION AT GLOBAL DEA'!N41</f>
        <v>1</v>
      </c>
      <c r="I43" s="77" t="str">
        <f>'EXTRACTION AT GLOBAL DEA'!L41</f>
        <v>O</v>
      </c>
      <c r="J43" s="77" t="str">
        <f>'EXTRACTION AT GLOBAL DEA'!M41</f>
        <v>N</v>
      </c>
      <c r="K43" s="77"/>
      <c r="L43" s="77"/>
      <c r="M43" s="78">
        <f>'EXTRACTION AT GLOBAL DEA'!B41</f>
        <v>42768</v>
      </c>
      <c r="N43" s="77" t="str">
        <f t="shared" si="2"/>
        <v>février</v>
      </c>
      <c r="O43" s="65"/>
      <c r="P43" s="67"/>
      <c r="Q43" s="67"/>
      <c r="R43" s="67"/>
      <c r="S43" s="67"/>
      <c r="T43" s="67"/>
      <c r="U43" s="67"/>
      <c r="V43" s="67"/>
      <c r="W43" s="67"/>
      <c r="X43" s="67"/>
      <c r="Y43" s="67"/>
      <c r="Z43" s="67"/>
      <c r="AA43" s="67"/>
      <c r="AB43" s="68"/>
    </row>
    <row r="44" spans="1:28" x14ac:dyDescent="0.25">
      <c r="A44" s="77" t="str">
        <f>'EXTRACTION AT GLOBAL DEA'!D42</f>
        <v>105996</v>
      </c>
      <c r="B44" s="77" t="str">
        <f>'EXTRACTION AT GLOBAL DEA'!E42</f>
        <v>MOREL</v>
      </c>
      <c r="C44" s="77" t="str">
        <f>'EXTRACTION AT GLOBAL DEA'!F42</f>
        <v>STEPHANE</v>
      </c>
      <c r="D44" s="77" t="str">
        <f>'EXTRACTION AT GLOBAL DEA'!I42</f>
        <v>MT HB PR</v>
      </c>
      <c r="E44" s="66">
        <f>'EXTRACTION AT GLOBAL DEA'!G42</f>
        <v>34</v>
      </c>
      <c r="F44" s="84" t="str">
        <f t="shared" si="1"/>
        <v>30 à 34 ans</v>
      </c>
      <c r="G44" s="77" t="str">
        <f>'EXTRACTION AT GLOBAL DEA'!K42</f>
        <v>S</v>
      </c>
      <c r="H44" s="77">
        <f>'EXTRACTION AT GLOBAL DEA'!N42</f>
        <v>19</v>
      </c>
      <c r="I44" s="77" t="str">
        <f>'EXTRACTION AT GLOBAL DEA'!L42</f>
        <v>O</v>
      </c>
      <c r="J44" s="77" t="str">
        <f>'EXTRACTION AT GLOBAL DEA'!M42</f>
        <v>N</v>
      </c>
      <c r="K44" s="77"/>
      <c r="L44" s="77"/>
      <c r="M44" s="78">
        <f>'EXTRACTION AT GLOBAL DEA'!B42</f>
        <v>42768</v>
      </c>
      <c r="N44" s="77" t="str">
        <f t="shared" si="2"/>
        <v>février</v>
      </c>
      <c r="O44" s="65"/>
      <c r="P44" s="67"/>
      <c r="Q44" s="67"/>
      <c r="R44" s="67"/>
      <c r="S44" s="67"/>
      <c r="T44" s="67"/>
      <c r="U44" s="67"/>
      <c r="V44" s="67"/>
      <c r="W44" s="67"/>
      <c r="X44" s="67"/>
      <c r="Y44" s="67"/>
      <c r="Z44" s="67"/>
      <c r="AA44" s="67"/>
      <c r="AB44" s="68"/>
    </row>
    <row r="45" spans="1:28" x14ac:dyDescent="0.25">
      <c r="A45" s="77" t="str">
        <f>'EXTRACTION AT GLOBAL DEA'!D43</f>
        <v>106038</v>
      </c>
      <c r="B45" s="77" t="str">
        <f>'EXTRACTION AT GLOBAL DEA'!E43</f>
        <v>SEMBINELLI</v>
      </c>
      <c r="C45" s="77" t="str">
        <f>'EXTRACTION AT GLOBAL DEA'!F43</f>
        <v>ERIC</v>
      </c>
      <c r="D45" s="77" t="str">
        <f>'EXTRACTION AT GLOBAL DEA'!I43</f>
        <v>MT YC PR</v>
      </c>
      <c r="E45" s="66">
        <f>'EXTRACTION AT GLOBAL DEA'!G43</f>
        <v>56</v>
      </c>
      <c r="F45" s="84" t="str">
        <f t="shared" si="1"/>
        <v>55 à 59 ans</v>
      </c>
      <c r="G45" s="77" t="str">
        <f>'EXTRACTION AT GLOBAL DEA'!K43</f>
        <v>S</v>
      </c>
      <c r="H45" s="77">
        <f>'EXTRACTION AT GLOBAL DEA'!N43</f>
        <v>37</v>
      </c>
      <c r="I45" s="77" t="str">
        <f>'EXTRACTION AT GLOBAL DEA'!L43</f>
        <v>O</v>
      </c>
      <c r="J45" s="77" t="str">
        <f>'EXTRACTION AT GLOBAL DEA'!M43</f>
        <v>N</v>
      </c>
      <c r="K45" s="77"/>
      <c r="L45" s="77"/>
      <c r="M45" s="78">
        <f>'EXTRACTION AT GLOBAL DEA'!B43</f>
        <v>42769</v>
      </c>
      <c r="N45" s="77" t="str">
        <f t="shared" si="2"/>
        <v>février</v>
      </c>
      <c r="O45" s="65"/>
      <c r="P45" s="67"/>
      <c r="Q45" s="67"/>
      <c r="R45" s="67"/>
      <c r="S45" s="67"/>
      <c r="T45" s="67"/>
      <c r="U45" s="67"/>
      <c r="V45" s="67"/>
      <c r="W45" s="67"/>
      <c r="X45" s="67"/>
      <c r="Y45" s="67"/>
      <c r="Z45" s="67"/>
      <c r="AA45" s="67"/>
      <c r="AB45" s="68"/>
    </row>
    <row r="46" spans="1:28" x14ac:dyDescent="0.25">
      <c r="A46" s="77" t="str">
        <f>'EXTRACTION AT GLOBAL DEA'!D44</f>
        <v>106078</v>
      </c>
      <c r="B46" s="77" t="str">
        <f>'EXTRACTION AT GLOBAL DEA'!E44</f>
        <v>ABATE</v>
      </c>
      <c r="C46" s="77" t="str">
        <f>'EXTRACTION AT GLOBAL DEA'!F44</f>
        <v>STEPHANE</v>
      </c>
      <c r="D46" s="77" t="str">
        <f>'EXTRACTION AT GLOBAL DEA'!I44</f>
        <v>MT YC PR</v>
      </c>
      <c r="E46" s="66">
        <f>'EXTRACTION AT GLOBAL DEA'!G44</f>
        <v>44</v>
      </c>
      <c r="F46" s="84" t="str">
        <f t="shared" si="1"/>
        <v>40 à 44 ans</v>
      </c>
      <c r="G46" s="77" t="str">
        <f>'EXTRACTION AT GLOBAL DEA'!K44</f>
        <v>S</v>
      </c>
      <c r="H46" s="77">
        <f>'EXTRACTION AT GLOBAL DEA'!N44</f>
        <v>0</v>
      </c>
      <c r="I46" s="77" t="str">
        <f>'EXTRACTION AT GLOBAL DEA'!L44</f>
        <v>N</v>
      </c>
      <c r="J46" s="77" t="str">
        <f>'EXTRACTION AT GLOBAL DEA'!M44</f>
        <v>N</v>
      </c>
      <c r="K46" s="77"/>
      <c r="L46" s="77"/>
      <c r="M46" s="78">
        <f>'EXTRACTION AT GLOBAL DEA'!B44</f>
        <v>42770</v>
      </c>
      <c r="N46" s="77" t="str">
        <f t="shared" si="2"/>
        <v>février</v>
      </c>
      <c r="O46" s="65"/>
      <c r="P46" s="67"/>
      <c r="Q46" s="67"/>
      <c r="R46" s="67"/>
      <c r="S46" s="67"/>
      <c r="T46" s="67"/>
      <c r="U46" s="67"/>
      <c r="V46" s="67"/>
      <c r="W46" s="67"/>
      <c r="X46" s="67"/>
      <c r="Y46" s="67"/>
      <c r="Z46" s="67"/>
      <c r="AA46" s="67"/>
      <c r="AB46" s="68"/>
    </row>
    <row r="47" spans="1:28" hidden="1" x14ac:dyDescent="0.25">
      <c r="A47" s="77" t="str">
        <f>'EXTRACTION AT GLOBAL DEA'!D45</f>
        <v>106183</v>
      </c>
      <c r="B47" s="77" t="str">
        <f>'EXTRACTION AT GLOBAL DEA'!E45</f>
        <v>GUISSOUS</v>
      </c>
      <c r="C47" s="77" t="str">
        <f>'EXTRACTION AT GLOBAL DEA'!F45</f>
        <v>ABDESSELAM</v>
      </c>
      <c r="D47" s="77" t="str">
        <f>'EXTRACTION AT GLOBAL DEA'!I45</f>
        <v>MT HB PR</v>
      </c>
      <c r="E47" s="66">
        <f>'EXTRACTION AT GLOBAL DEA'!G45</f>
        <v>38</v>
      </c>
      <c r="F47" s="84" t="str">
        <f t="shared" si="1"/>
        <v>35 à 39 ans</v>
      </c>
      <c r="G47" s="77" t="str">
        <f>'EXTRACTION AT GLOBAL DEA'!K45</f>
        <v>T</v>
      </c>
      <c r="H47" s="77">
        <f>'EXTRACTION AT GLOBAL DEA'!N45</f>
        <v>23</v>
      </c>
      <c r="I47" s="77" t="str">
        <f>'EXTRACTION AT GLOBAL DEA'!L45</f>
        <v>O</v>
      </c>
      <c r="J47" s="77" t="str">
        <f>'EXTRACTION AT GLOBAL DEA'!M45</f>
        <v>N</v>
      </c>
      <c r="K47" s="77"/>
      <c r="L47" s="77"/>
      <c r="M47" s="78">
        <f>'EXTRACTION AT GLOBAL DEA'!B45</f>
        <v>42770</v>
      </c>
      <c r="N47" s="77" t="str">
        <f t="shared" si="2"/>
        <v>février</v>
      </c>
      <c r="O47" s="65"/>
      <c r="P47" s="67"/>
      <c r="Q47" s="67"/>
      <c r="R47" s="67"/>
      <c r="S47" s="67"/>
      <c r="T47" s="67"/>
      <c r="U47" s="67"/>
      <c r="V47" s="67"/>
      <c r="W47" s="67"/>
      <c r="X47" s="67"/>
      <c r="Y47" s="67"/>
      <c r="Z47" s="67"/>
      <c r="AA47" s="67"/>
      <c r="AB47" s="68"/>
    </row>
    <row r="48" spans="1:28" x14ac:dyDescent="0.25">
      <c r="A48" s="77" t="str">
        <f>'EXTRACTION AT GLOBAL DEA'!D46</f>
        <v>106019</v>
      </c>
      <c r="B48" s="77" t="str">
        <f>'EXTRACTION AT GLOBAL DEA'!E46</f>
        <v>MARNIER</v>
      </c>
      <c r="C48" s="77" t="str">
        <f>'EXTRACTION AT GLOBAL DEA'!F46</f>
        <v>PATRICE</v>
      </c>
      <c r="D48" s="77" t="str">
        <f>'EXTRACTION AT GLOBAL DEA'!I46</f>
        <v>MT CA PR</v>
      </c>
      <c r="E48" s="66">
        <f>'EXTRACTION AT GLOBAL DEA'!G46</f>
        <v>47</v>
      </c>
      <c r="F48" s="84" t="str">
        <f t="shared" si="1"/>
        <v>45 à 49 ans</v>
      </c>
      <c r="G48" s="77" t="str">
        <f>'EXTRACTION AT GLOBAL DEA'!K46</f>
        <v>S</v>
      </c>
      <c r="H48" s="77">
        <f>'EXTRACTION AT GLOBAL DEA'!N46</f>
        <v>22</v>
      </c>
      <c r="I48" s="77" t="str">
        <f>'EXTRACTION AT GLOBAL DEA'!L46</f>
        <v>O</v>
      </c>
      <c r="J48" s="77" t="str">
        <f>'EXTRACTION AT GLOBAL DEA'!M46</f>
        <v>N</v>
      </c>
      <c r="K48" s="77"/>
      <c r="L48" s="77"/>
      <c r="M48" s="78">
        <f>'EXTRACTION AT GLOBAL DEA'!B46</f>
        <v>42771</v>
      </c>
      <c r="N48" s="77" t="str">
        <f t="shared" si="2"/>
        <v>février</v>
      </c>
      <c r="O48" s="65"/>
      <c r="P48" s="67"/>
      <c r="Q48" s="67"/>
      <c r="R48" s="67"/>
      <c r="S48" s="67"/>
      <c r="T48" s="67"/>
      <c r="U48" s="67"/>
      <c r="V48" s="67"/>
      <c r="W48" s="67"/>
      <c r="X48" s="67"/>
      <c r="Y48" s="67"/>
      <c r="Z48" s="67"/>
      <c r="AA48" s="67"/>
      <c r="AB48" s="68"/>
    </row>
    <row r="49" spans="1:28" x14ac:dyDescent="0.25">
      <c r="A49" s="77" t="str">
        <f>'EXTRACTION AT GLOBAL DEA'!D47</f>
        <v>106049</v>
      </c>
      <c r="B49" s="77" t="str">
        <f>'EXTRACTION AT GLOBAL DEA'!E47</f>
        <v>LAFAYE</v>
      </c>
      <c r="C49" s="77" t="str">
        <f>'EXTRACTION AT GLOBAL DEA'!F47</f>
        <v>GAETAN</v>
      </c>
      <c r="D49" s="77" t="str">
        <f>'EXTRACTION AT GLOBAL DEA'!I47</f>
        <v>MT HB PR</v>
      </c>
      <c r="E49" s="66">
        <f>'EXTRACTION AT GLOBAL DEA'!G47</f>
        <v>33</v>
      </c>
      <c r="F49" s="84" t="str">
        <f t="shared" si="1"/>
        <v>30 à 34 ans</v>
      </c>
      <c r="G49" s="77" t="str">
        <f>'EXTRACTION AT GLOBAL DEA'!K47</f>
        <v>S</v>
      </c>
      <c r="H49" s="77">
        <f>'EXTRACTION AT GLOBAL DEA'!N47</f>
        <v>0</v>
      </c>
      <c r="I49" s="77" t="str">
        <f>'EXTRACTION AT GLOBAL DEA'!L47</f>
        <v>N</v>
      </c>
      <c r="J49" s="77" t="str">
        <f>'EXTRACTION AT GLOBAL DEA'!M47</f>
        <v>N</v>
      </c>
      <c r="K49" s="77"/>
      <c r="L49" s="77"/>
      <c r="M49" s="78">
        <f>'EXTRACTION AT GLOBAL DEA'!B47</f>
        <v>42771</v>
      </c>
      <c r="N49" s="77" t="str">
        <f t="shared" si="2"/>
        <v>février</v>
      </c>
      <c r="O49" s="65"/>
      <c r="P49" s="67"/>
      <c r="Q49" s="67"/>
      <c r="R49" s="67"/>
      <c r="S49" s="67"/>
      <c r="T49" s="67"/>
      <c r="U49" s="67"/>
      <c r="V49" s="67"/>
      <c r="W49" s="67"/>
      <c r="X49" s="67"/>
      <c r="Y49" s="67"/>
      <c r="Z49" s="67"/>
      <c r="AA49" s="67"/>
      <c r="AB49" s="68"/>
    </row>
    <row r="50" spans="1:28" x14ac:dyDescent="0.25">
      <c r="A50" s="77" t="str">
        <f>'EXTRACTION AT GLOBAL DEA'!D48</f>
        <v>106034</v>
      </c>
      <c r="B50" s="77" t="str">
        <f>'EXTRACTION AT GLOBAL DEA'!E48</f>
        <v>FONTANILLE</v>
      </c>
      <c r="C50" s="77" t="str">
        <f>'EXTRACTION AT GLOBAL DEA'!F48</f>
        <v>DAVID</v>
      </c>
      <c r="D50" s="77" t="str">
        <f>'EXTRACTION AT GLOBAL DEA'!I48</f>
        <v>MT HB QU</v>
      </c>
      <c r="E50" s="66">
        <f>'EXTRACTION AT GLOBAL DEA'!G48</f>
        <v>44</v>
      </c>
      <c r="F50" s="84" t="str">
        <f t="shared" si="1"/>
        <v>40 à 44 ans</v>
      </c>
      <c r="G50" s="77" t="str">
        <f>'EXTRACTION AT GLOBAL DEA'!K48</f>
        <v>S</v>
      </c>
      <c r="H50" s="77">
        <f>'EXTRACTION AT GLOBAL DEA'!N48</f>
        <v>0</v>
      </c>
      <c r="I50" s="77" t="str">
        <f>'EXTRACTION AT GLOBAL DEA'!L48</f>
        <v>N</v>
      </c>
      <c r="J50" s="77" t="str">
        <f>'EXTRACTION AT GLOBAL DEA'!M48</f>
        <v>N</v>
      </c>
      <c r="K50" s="77"/>
      <c r="L50" s="77"/>
      <c r="M50" s="78">
        <f>'EXTRACTION AT GLOBAL DEA'!B48</f>
        <v>42772</v>
      </c>
      <c r="N50" s="77" t="str">
        <f t="shared" si="2"/>
        <v>février</v>
      </c>
      <c r="O50" s="65"/>
      <c r="P50" s="67"/>
      <c r="Q50" s="67"/>
      <c r="R50" s="67"/>
      <c r="S50" s="67"/>
      <c r="T50" s="67"/>
      <c r="U50" s="67"/>
      <c r="V50" s="67"/>
      <c r="W50" s="67"/>
      <c r="X50" s="67"/>
      <c r="Y50" s="67"/>
      <c r="Z50" s="67"/>
      <c r="AA50" s="67"/>
      <c r="AB50" s="68"/>
    </row>
    <row r="51" spans="1:28" x14ac:dyDescent="0.25">
      <c r="A51" s="77" t="str">
        <f>'EXTRACTION AT GLOBAL DEA'!D49</f>
        <v>106122</v>
      </c>
      <c r="B51" s="77" t="str">
        <f>'EXTRACTION AT GLOBAL DEA'!E49</f>
        <v>LAUNAY</v>
      </c>
      <c r="C51" s="77" t="str">
        <f>'EXTRACTION AT GLOBAL DEA'!F49</f>
        <v>MARC</v>
      </c>
      <c r="D51" s="77" t="str">
        <f>'EXTRACTION AT GLOBAL DEA'!I49</f>
        <v>MT QJ</v>
      </c>
      <c r="E51" s="66">
        <f>'EXTRACTION AT GLOBAL DEA'!G49</f>
        <v>59</v>
      </c>
      <c r="F51" s="84" t="str">
        <f t="shared" si="1"/>
        <v>55 à 59 ans</v>
      </c>
      <c r="G51" s="77" t="str">
        <f>'EXTRACTION AT GLOBAL DEA'!K49</f>
        <v>S</v>
      </c>
      <c r="H51" s="77">
        <f>'EXTRACTION AT GLOBAL DEA'!N49</f>
        <v>0</v>
      </c>
      <c r="I51" s="77" t="str">
        <f>'EXTRACTION AT GLOBAL DEA'!L49</f>
        <v>N</v>
      </c>
      <c r="J51" s="77" t="str">
        <f>'EXTRACTION AT GLOBAL DEA'!M49</f>
        <v>O</v>
      </c>
      <c r="K51" s="77"/>
      <c r="L51" s="77"/>
      <c r="M51" s="78">
        <f>'EXTRACTION AT GLOBAL DEA'!B49</f>
        <v>42772</v>
      </c>
      <c r="N51" s="77" t="str">
        <f t="shared" si="2"/>
        <v>février</v>
      </c>
      <c r="O51" s="65"/>
      <c r="P51" s="67"/>
      <c r="Q51" s="67"/>
      <c r="R51" s="67"/>
      <c r="S51" s="67"/>
      <c r="T51" s="67"/>
      <c r="U51" s="67"/>
      <c r="V51" s="67"/>
      <c r="W51" s="67"/>
      <c r="X51" s="67"/>
      <c r="Y51" s="67"/>
      <c r="Z51" s="67"/>
      <c r="AA51" s="67"/>
      <c r="AB51" s="68"/>
    </row>
    <row r="52" spans="1:28" x14ac:dyDescent="0.25">
      <c r="A52" s="77" t="str">
        <f>'EXTRACTION AT GLOBAL DEA'!D50</f>
        <v>106194</v>
      </c>
      <c r="B52" s="77" t="str">
        <f>'EXTRACTION AT GLOBAL DEA'!E50</f>
        <v>ANDRE</v>
      </c>
      <c r="C52" s="77" t="str">
        <f>'EXTRACTION AT GLOBAL DEA'!F50</f>
        <v>SEBASTIEN</v>
      </c>
      <c r="D52" s="77" t="str">
        <f>'EXTRACTION AT GLOBAL DEA'!I50</f>
        <v>MT QJ</v>
      </c>
      <c r="E52" s="66">
        <f>'EXTRACTION AT GLOBAL DEA'!G50</f>
        <v>36</v>
      </c>
      <c r="F52" s="84" t="str">
        <f t="shared" si="1"/>
        <v>35 à 39 ans</v>
      </c>
      <c r="G52" s="77" t="str">
        <f>'EXTRACTION AT GLOBAL DEA'!K50</f>
        <v>S</v>
      </c>
      <c r="H52" s="77">
        <f>'EXTRACTION AT GLOBAL DEA'!N50</f>
        <v>36</v>
      </c>
      <c r="I52" s="77" t="str">
        <f>'EXTRACTION AT GLOBAL DEA'!L50</f>
        <v>O</v>
      </c>
      <c r="J52" s="77" t="str">
        <f>'EXTRACTION AT GLOBAL DEA'!M50</f>
        <v>N</v>
      </c>
      <c r="K52" s="77"/>
      <c r="L52" s="77"/>
      <c r="M52" s="78">
        <f>'EXTRACTION AT GLOBAL DEA'!B50</f>
        <v>42774</v>
      </c>
      <c r="N52" s="77" t="str">
        <f t="shared" si="2"/>
        <v>février</v>
      </c>
      <c r="O52" s="65"/>
      <c r="P52" s="67"/>
      <c r="Q52" s="67"/>
      <c r="R52" s="67"/>
      <c r="S52" s="67"/>
      <c r="T52" s="67"/>
      <c r="U52" s="67"/>
      <c r="V52" s="67"/>
      <c r="W52" s="67"/>
      <c r="X52" s="67"/>
      <c r="Y52" s="67"/>
      <c r="Z52" s="67"/>
      <c r="AA52" s="67"/>
      <c r="AB52" s="68"/>
    </row>
    <row r="53" spans="1:28" hidden="1" x14ac:dyDescent="0.25">
      <c r="A53" s="77" t="str">
        <f>'EXTRACTION AT GLOBAL DEA'!D51</f>
        <v>106223</v>
      </c>
      <c r="B53" s="77" t="str">
        <f>'EXTRACTION AT GLOBAL DEA'!E51</f>
        <v>DUFOUR</v>
      </c>
      <c r="C53" s="77" t="str">
        <f>'EXTRACTION AT GLOBAL DEA'!F51</f>
        <v>QUENTIN</v>
      </c>
      <c r="D53" s="77" t="str">
        <f>'EXTRACTION AT GLOBAL DEA'!I51</f>
        <v>BLDPMSLB</v>
      </c>
      <c r="E53" s="66">
        <f>'EXTRACTION AT GLOBAL DEA'!G51</f>
        <v>24</v>
      </c>
      <c r="F53" s="84" t="str">
        <f t="shared" si="1"/>
        <v>20 à 24 ans</v>
      </c>
      <c r="G53" s="77" t="str">
        <f>'EXTRACTION AT GLOBAL DEA'!K51</f>
        <v>T</v>
      </c>
      <c r="H53" s="77">
        <f>'EXTRACTION AT GLOBAL DEA'!N51</f>
        <v>0</v>
      </c>
      <c r="I53" s="77" t="str">
        <f>'EXTRACTION AT GLOBAL DEA'!L51</f>
        <v>N</v>
      </c>
      <c r="J53" s="77" t="str">
        <f>'EXTRACTION AT GLOBAL DEA'!M51</f>
        <v>N</v>
      </c>
      <c r="K53" s="77"/>
      <c r="L53" s="77"/>
      <c r="M53" s="78">
        <f>'EXTRACTION AT GLOBAL DEA'!B51</f>
        <v>42775</v>
      </c>
      <c r="N53" s="77" t="str">
        <f t="shared" si="2"/>
        <v>février</v>
      </c>
      <c r="O53" s="65"/>
      <c r="P53" s="67"/>
      <c r="Q53" s="67"/>
      <c r="R53" s="67"/>
      <c r="S53" s="67"/>
      <c r="T53" s="67"/>
      <c r="U53" s="67"/>
      <c r="V53" s="67"/>
      <c r="W53" s="67"/>
      <c r="X53" s="67"/>
      <c r="Y53" s="67"/>
      <c r="Z53" s="67"/>
      <c r="AA53" s="67"/>
      <c r="AB53" s="68"/>
    </row>
    <row r="54" spans="1:28" x14ac:dyDescent="0.25">
      <c r="A54" s="77" t="str">
        <f>'EXTRACTION AT GLOBAL DEA'!D52</f>
        <v>106176</v>
      </c>
      <c r="B54" s="77" t="str">
        <f>'EXTRACTION AT GLOBAL DEA'!E52</f>
        <v>GARCON</v>
      </c>
      <c r="C54" s="77" t="str">
        <f>'EXTRACTION AT GLOBAL DEA'!F52</f>
        <v>FRANCK</v>
      </c>
      <c r="D54" s="77" t="str">
        <f>'EXTRACTION AT GLOBAL DEA'!I52</f>
        <v>MT YH TA</v>
      </c>
      <c r="E54" s="66">
        <f>'EXTRACTION AT GLOBAL DEA'!G52</f>
        <v>52</v>
      </c>
      <c r="F54" s="84" t="str">
        <f t="shared" si="1"/>
        <v>50 à 54 ans</v>
      </c>
      <c r="G54" s="77" t="str">
        <f>'EXTRACTION AT GLOBAL DEA'!K52</f>
        <v>S</v>
      </c>
      <c r="H54" s="77">
        <f>'EXTRACTION AT GLOBAL DEA'!N52</f>
        <v>94</v>
      </c>
      <c r="I54" s="77" t="str">
        <f>'EXTRACTION AT GLOBAL DEA'!L52</f>
        <v>O</v>
      </c>
      <c r="J54" s="77" t="str">
        <f>'EXTRACTION AT GLOBAL DEA'!M52</f>
        <v>N</v>
      </c>
      <c r="K54" s="77"/>
      <c r="L54" s="77"/>
      <c r="M54" s="78">
        <f>'EXTRACTION AT GLOBAL DEA'!B52</f>
        <v>42775</v>
      </c>
      <c r="N54" s="77" t="str">
        <f t="shared" si="2"/>
        <v>février</v>
      </c>
      <c r="O54" s="65"/>
      <c r="P54" s="67"/>
      <c r="Q54" s="67"/>
      <c r="R54" s="67"/>
      <c r="S54" s="67"/>
      <c r="T54" s="67"/>
      <c r="U54" s="67"/>
      <c r="V54" s="67"/>
      <c r="W54" s="67"/>
      <c r="X54" s="67"/>
      <c r="Y54" s="67"/>
      <c r="Z54" s="67"/>
      <c r="AA54" s="67"/>
      <c r="AB54" s="68"/>
    </row>
    <row r="55" spans="1:28" x14ac:dyDescent="0.25">
      <c r="A55" s="77" t="str">
        <f>'EXTRACTION AT GLOBAL DEA'!D53</f>
        <v>106277</v>
      </c>
      <c r="B55" s="77" t="str">
        <f>'EXTRACTION AT GLOBAL DEA'!E53</f>
        <v>CANARD</v>
      </c>
      <c r="C55" s="77" t="str">
        <f>'EXTRACTION AT GLOBAL DEA'!F53</f>
        <v>DIDIER</v>
      </c>
      <c r="D55" s="77" t="str">
        <f>'EXTRACTION AT GLOBAL DEA'!I53</f>
        <v>MT HB PR</v>
      </c>
      <c r="E55" s="66">
        <f>'EXTRACTION AT GLOBAL DEA'!G53</f>
        <v>56</v>
      </c>
      <c r="F55" s="84" t="str">
        <f t="shared" si="1"/>
        <v>55 à 59 ans</v>
      </c>
      <c r="G55" s="77" t="str">
        <f>'EXTRACTION AT GLOBAL DEA'!K53</f>
        <v>S</v>
      </c>
      <c r="H55" s="77">
        <f>'EXTRACTION AT GLOBAL DEA'!N53</f>
        <v>0</v>
      </c>
      <c r="I55" s="77" t="str">
        <f>'EXTRACTION AT GLOBAL DEA'!L53</f>
        <v>N</v>
      </c>
      <c r="J55" s="77" t="str">
        <f>'EXTRACTION AT GLOBAL DEA'!M53</f>
        <v>N</v>
      </c>
      <c r="K55" s="77"/>
      <c r="L55" s="77"/>
      <c r="M55" s="78">
        <f>'EXTRACTION AT GLOBAL DEA'!B53</f>
        <v>42776</v>
      </c>
      <c r="N55" s="77" t="str">
        <f t="shared" si="2"/>
        <v>février</v>
      </c>
      <c r="O55" s="65"/>
      <c r="P55" s="67"/>
      <c r="Q55" s="67"/>
      <c r="R55" s="67"/>
      <c r="S55" s="67"/>
      <c r="T55" s="67"/>
      <c r="U55" s="67"/>
      <c r="V55" s="67"/>
      <c r="W55" s="67"/>
      <c r="X55" s="67"/>
      <c r="Y55" s="67"/>
      <c r="Z55" s="67"/>
      <c r="AA55" s="67"/>
      <c r="AB55" s="68"/>
    </row>
    <row r="56" spans="1:28" x14ac:dyDescent="0.25">
      <c r="A56" s="77" t="str">
        <f>'EXTRACTION AT GLOBAL DEA'!D54</f>
        <v>106253</v>
      </c>
      <c r="B56" s="77" t="str">
        <f>'EXTRACTION AT GLOBAL DEA'!E54</f>
        <v>MORICEAU</v>
      </c>
      <c r="C56" s="77" t="str">
        <f>'EXTRACTION AT GLOBAL DEA'!F54</f>
        <v>OLIVIER</v>
      </c>
      <c r="D56" s="77" t="str">
        <f>'EXTRACTION AT GLOBAL DEA'!I54</f>
        <v>MT HB PR</v>
      </c>
      <c r="E56" s="66">
        <f>'EXTRACTION AT GLOBAL DEA'!G54</f>
        <v>45</v>
      </c>
      <c r="F56" s="84" t="str">
        <f t="shared" si="1"/>
        <v>45 à 49 ans</v>
      </c>
      <c r="G56" s="77" t="str">
        <f>'EXTRACTION AT GLOBAL DEA'!K54</f>
        <v>S</v>
      </c>
      <c r="H56" s="77">
        <f>'EXTRACTION AT GLOBAL DEA'!N54</f>
        <v>10</v>
      </c>
      <c r="I56" s="77" t="str">
        <f>'EXTRACTION AT GLOBAL DEA'!L54</f>
        <v>O</v>
      </c>
      <c r="J56" s="77" t="str">
        <f>'EXTRACTION AT GLOBAL DEA'!M54</f>
        <v>N</v>
      </c>
      <c r="K56" s="77"/>
      <c r="L56" s="77"/>
      <c r="M56" s="78">
        <f>'EXTRACTION AT GLOBAL DEA'!B54</f>
        <v>42776</v>
      </c>
      <c r="N56" s="77" t="str">
        <f t="shared" si="2"/>
        <v>février</v>
      </c>
      <c r="O56" s="65"/>
      <c r="P56" s="67"/>
      <c r="Q56" s="67"/>
      <c r="R56" s="67"/>
      <c r="S56" s="67"/>
      <c r="T56" s="67"/>
      <c r="U56" s="67"/>
      <c r="V56" s="67"/>
      <c r="W56" s="67"/>
      <c r="X56" s="67"/>
      <c r="Y56" s="67"/>
      <c r="Z56" s="67"/>
      <c r="AA56" s="67"/>
      <c r="AB56" s="68"/>
    </row>
    <row r="57" spans="1:28" x14ac:dyDescent="0.25">
      <c r="A57" s="77" t="str">
        <f>'EXTRACTION AT GLOBAL DEA'!D55</f>
        <v>106318</v>
      </c>
      <c r="B57" s="77" t="str">
        <f>'EXTRACTION AT GLOBAL DEA'!E55</f>
        <v>LANDAS</v>
      </c>
      <c r="C57" s="77" t="str">
        <f>'EXTRACTION AT GLOBAL DEA'!F55</f>
        <v>JEAN-MARC</v>
      </c>
      <c r="D57" s="77" t="str">
        <f>'EXTRACTION AT GLOBAL DEA'!I55</f>
        <v>MT CA PR</v>
      </c>
      <c r="E57" s="66">
        <f>'EXTRACTION AT GLOBAL DEA'!G55</f>
        <v>54</v>
      </c>
      <c r="F57" s="84" t="str">
        <f t="shared" si="1"/>
        <v>50 à 54 ans</v>
      </c>
      <c r="G57" s="77" t="str">
        <f>'EXTRACTION AT GLOBAL DEA'!K55</f>
        <v>S</v>
      </c>
      <c r="H57" s="77">
        <f>'EXTRACTION AT GLOBAL DEA'!N55</f>
        <v>0</v>
      </c>
      <c r="I57" s="77" t="str">
        <f>'EXTRACTION AT GLOBAL DEA'!L55</f>
        <v>N</v>
      </c>
      <c r="J57" s="77" t="str">
        <f>'EXTRACTION AT GLOBAL DEA'!M55</f>
        <v>O</v>
      </c>
      <c r="K57" s="77"/>
      <c r="L57" s="77"/>
      <c r="M57" s="78">
        <f>'EXTRACTION AT GLOBAL DEA'!B55</f>
        <v>42779</v>
      </c>
      <c r="N57" s="77" t="str">
        <f t="shared" si="2"/>
        <v>février</v>
      </c>
      <c r="O57" s="65"/>
      <c r="P57" s="67"/>
      <c r="Q57" s="67"/>
      <c r="R57" s="67"/>
      <c r="S57" s="67"/>
      <c r="T57" s="67"/>
      <c r="U57" s="67"/>
      <c r="V57" s="67"/>
      <c r="W57" s="67"/>
      <c r="X57" s="67"/>
      <c r="Y57" s="67"/>
      <c r="Z57" s="67"/>
      <c r="AA57" s="67"/>
      <c r="AB57" s="68"/>
    </row>
    <row r="58" spans="1:28" x14ac:dyDescent="0.25">
      <c r="A58" s="77" t="str">
        <f>'EXTRACTION AT GLOBAL DEA'!D56</f>
        <v>106403</v>
      </c>
      <c r="B58" s="77" t="str">
        <f>'EXTRACTION AT GLOBAL DEA'!E56</f>
        <v>LANNAUD</v>
      </c>
      <c r="C58" s="77" t="str">
        <f>'EXTRACTION AT GLOBAL DEA'!F56</f>
        <v>MICKAEL</v>
      </c>
      <c r="D58" s="77" t="str">
        <f>'EXTRACTION AT GLOBAL DEA'!I56</f>
        <v>MT HB PR</v>
      </c>
      <c r="E58" s="66">
        <f>'EXTRACTION AT GLOBAL DEA'!G56</f>
        <v>33</v>
      </c>
      <c r="F58" s="84" t="str">
        <f t="shared" si="1"/>
        <v>30 à 34 ans</v>
      </c>
      <c r="G58" s="77" t="str">
        <f>'EXTRACTION AT GLOBAL DEA'!K56</f>
        <v>S</v>
      </c>
      <c r="H58" s="77">
        <f>'EXTRACTION AT GLOBAL DEA'!N56</f>
        <v>0</v>
      </c>
      <c r="I58" s="77" t="str">
        <f>'EXTRACTION AT GLOBAL DEA'!L56</f>
        <v>N</v>
      </c>
      <c r="J58" s="77" t="str">
        <f>'EXTRACTION AT GLOBAL DEA'!M56</f>
        <v>N</v>
      </c>
      <c r="K58" s="77"/>
      <c r="L58" s="77"/>
      <c r="M58" s="78">
        <f>'EXTRACTION AT GLOBAL DEA'!B56</f>
        <v>42780</v>
      </c>
      <c r="N58" s="77" t="str">
        <f t="shared" si="2"/>
        <v>février</v>
      </c>
      <c r="O58" s="65"/>
      <c r="P58" s="67"/>
      <c r="Q58" s="67"/>
      <c r="R58" s="67"/>
      <c r="S58" s="67"/>
      <c r="T58" s="67"/>
      <c r="U58" s="67"/>
      <c r="V58" s="67"/>
      <c r="W58" s="67"/>
      <c r="X58" s="67"/>
      <c r="Y58" s="67"/>
      <c r="Z58" s="67"/>
      <c r="AA58" s="67"/>
      <c r="AB58" s="68"/>
    </row>
    <row r="59" spans="1:28" x14ac:dyDescent="0.25">
      <c r="A59" s="77" t="str">
        <f>'EXTRACTION AT GLOBAL DEA'!D57</f>
        <v>106527</v>
      </c>
      <c r="B59" s="77" t="str">
        <f>'EXTRACTION AT GLOBAL DEA'!E57</f>
        <v>LEFEVRE</v>
      </c>
      <c r="C59" s="77" t="str">
        <f>'EXTRACTION AT GLOBAL DEA'!F57</f>
        <v>LUDOVIC</v>
      </c>
      <c r="D59" s="77" t="str">
        <f>'EXTRACTION AT GLOBAL DEA'!I57</f>
        <v>MT CG PR</v>
      </c>
      <c r="E59" s="66">
        <f>'EXTRACTION AT GLOBAL DEA'!G57</f>
        <v>26</v>
      </c>
      <c r="F59" s="84" t="str">
        <f t="shared" si="1"/>
        <v>25 à 29 ans</v>
      </c>
      <c r="G59" s="77" t="str">
        <f>'EXTRACTION AT GLOBAL DEA'!K57</f>
        <v>S</v>
      </c>
      <c r="H59" s="77">
        <f>'EXTRACTION AT GLOBAL DEA'!N57</f>
        <v>0</v>
      </c>
      <c r="I59" s="77" t="str">
        <f>'EXTRACTION AT GLOBAL DEA'!L57</f>
        <v>N</v>
      </c>
      <c r="J59" s="77" t="str">
        <f>'EXTRACTION AT GLOBAL DEA'!M57</f>
        <v>N</v>
      </c>
      <c r="K59" s="77"/>
      <c r="L59" s="77"/>
      <c r="M59" s="78">
        <f>'EXTRACTION AT GLOBAL DEA'!B57</f>
        <v>42784</v>
      </c>
      <c r="N59" s="77" t="str">
        <f t="shared" si="2"/>
        <v>février</v>
      </c>
      <c r="O59" s="65"/>
      <c r="P59" s="67"/>
      <c r="Q59" s="67"/>
      <c r="R59" s="67"/>
      <c r="S59" s="67"/>
      <c r="T59" s="67"/>
      <c r="U59" s="67"/>
      <c r="V59" s="67"/>
      <c r="W59" s="67"/>
      <c r="X59" s="67"/>
      <c r="Y59" s="67"/>
      <c r="Z59" s="67"/>
      <c r="AA59" s="67"/>
      <c r="AB59" s="68"/>
    </row>
    <row r="60" spans="1:28" x14ac:dyDescent="0.25">
      <c r="A60" s="77" t="str">
        <f>'EXTRACTION AT GLOBAL DEA'!D58</f>
        <v>106562</v>
      </c>
      <c r="B60" s="77" t="str">
        <f>'EXTRACTION AT GLOBAL DEA'!E58</f>
        <v>MANASSE</v>
      </c>
      <c r="C60" s="77" t="str">
        <f>'EXTRACTION AT GLOBAL DEA'!F58</f>
        <v>DJEYENDIRANE</v>
      </c>
      <c r="D60" s="77" t="str">
        <f>'EXTRACTION AT GLOBAL DEA'!I58</f>
        <v>MT HB SL</v>
      </c>
      <c r="E60" s="66">
        <f>'EXTRACTION AT GLOBAL DEA'!G58</f>
        <v>55</v>
      </c>
      <c r="F60" s="84" t="str">
        <f t="shared" si="1"/>
        <v>55 à 59 ans</v>
      </c>
      <c r="G60" s="77" t="str">
        <f>'EXTRACTION AT GLOBAL DEA'!K58</f>
        <v>S</v>
      </c>
      <c r="H60" s="77">
        <f>'EXTRACTION AT GLOBAL DEA'!N58</f>
        <v>0</v>
      </c>
      <c r="I60" s="77" t="str">
        <f>'EXTRACTION AT GLOBAL DEA'!L58</f>
        <v>N</v>
      </c>
      <c r="J60" s="77" t="str">
        <f>'EXTRACTION AT GLOBAL DEA'!M58</f>
        <v>N</v>
      </c>
      <c r="K60" s="77"/>
      <c r="L60" s="77"/>
      <c r="M60" s="78">
        <f>'EXTRACTION AT GLOBAL DEA'!B58</f>
        <v>42786</v>
      </c>
      <c r="N60" s="77" t="str">
        <f t="shared" si="2"/>
        <v>février</v>
      </c>
      <c r="O60" s="65"/>
      <c r="P60" s="67"/>
      <c r="Q60" s="67"/>
      <c r="R60" s="67"/>
      <c r="S60" s="67"/>
      <c r="T60" s="67"/>
      <c r="U60" s="67"/>
      <c r="V60" s="67"/>
      <c r="W60" s="67"/>
      <c r="X60" s="67"/>
      <c r="Y60" s="67"/>
      <c r="Z60" s="67"/>
      <c r="AA60" s="67"/>
      <c r="AB60" s="68"/>
    </row>
    <row r="61" spans="1:28" x14ac:dyDescent="0.25">
      <c r="A61" s="77" t="str">
        <f>'EXTRACTION AT GLOBAL DEA'!D59</f>
        <v>106626</v>
      </c>
      <c r="B61" s="77" t="str">
        <f>'EXTRACTION AT GLOBAL DEA'!E59</f>
        <v>DESMEULES</v>
      </c>
      <c r="C61" s="77" t="str">
        <f>'EXTRACTION AT GLOBAL DEA'!F59</f>
        <v>JEROME</v>
      </c>
      <c r="D61" s="77" t="str">
        <f>'EXTRACTION AT GLOBAL DEA'!I59</f>
        <v>MT CG PR</v>
      </c>
      <c r="E61" s="66">
        <f>'EXTRACTION AT GLOBAL DEA'!G59</f>
        <v>45</v>
      </c>
      <c r="F61" s="84" t="str">
        <f t="shared" si="1"/>
        <v>45 à 49 ans</v>
      </c>
      <c r="G61" s="77" t="str">
        <f>'EXTRACTION AT GLOBAL DEA'!K59</f>
        <v>S</v>
      </c>
      <c r="H61" s="77">
        <f>'EXTRACTION AT GLOBAL DEA'!N59</f>
        <v>0</v>
      </c>
      <c r="I61" s="77" t="str">
        <f>'EXTRACTION AT GLOBAL DEA'!L59</f>
        <v>N</v>
      </c>
      <c r="J61" s="77" t="str">
        <f>'EXTRACTION AT GLOBAL DEA'!M59</f>
        <v>N</v>
      </c>
      <c r="K61" s="77"/>
      <c r="L61" s="77"/>
      <c r="M61" s="78">
        <f>'EXTRACTION AT GLOBAL DEA'!B59</f>
        <v>42788</v>
      </c>
      <c r="N61" s="77" t="str">
        <f t="shared" si="2"/>
        <v>février</v>
      </c>
      <c r="O61" s="65"/>
      <c r="P61" s="67"/>
      <c r="Q61" s="67"/>
      <c r="R61" s="67"/>
      <c r="S61" s="67"/>
      <c r="T61" s="67"/>
      <c r="U61" s="67"/>
      <c r="V61" s="67"/>
      <c r="W61" s="67"/>
      <c r="X61" s="67"/>
      <c r="Y61" s="67"/>
      <c r="Z61" s="67"/>
      <c r="AA61" s="67"/>
      <c r="AB61" s="68"/>
    </row>
    <row r="62" spans="1:28" x14ac:dyDescent="0.25">
      <c r="A62" s="77" t="str">
        <f>'EXTRACTION AT GLOBAL DEA'!D60</f>
        <v>111694</v>
      </c>
      <c r="B62" s="77" t="str">
        <f>'EXTRACTION AT GLOBAL DEA'!E60</f>
        <v>MIENAGATA</v>
      </c>
      <c r="C62" s="77" t="str">
        <f>'EXTRACTION AT GLOBAL DEA'!F60</f>
        <v>AURCHINY</v>
      </c>
      <c r="D62" s="77" t="str">
        <f>'EXTRACTION AT GLOBAL DEA'!I60</f>
        <v>MT HB QO</v>
      </c>
      <c r="E62" s="66">
        <f>'EXTRACTION AT GLOBAL DEA'!G60</f>
        <v>39</v>
      </c>
      <c r="F62" s="84" t="str">
        <f t="shared" si="1"/>
        <v>35 à 39 ans</v>
      </c>
      <c r="G62" s="77" t="str">
        <f>'EXTRACTION AT GLOBAL DEA'!K60</f>
        <v>S</v>
      </c>
      <c r="H62" s="77">
        <f>'EXTRACTION AT GLOBAL DEA'!N60</f>
        <v>0</v>
      </c>
      <c r="I62" s="77" t="str">
        <f>'EXTRACTION AT GLOBAL DEA'!L60</f>
        <v>N</v>
      </c>
      <c r="J62" s="77" t="str">
        <f>'EXTRACTION AT GLOBAL DEA'!M60</f>
        <v>N</v>
      </c>
      <c r="K62" s="77"/>
      <c r="L62" s="77"/>
      <c r="M62" s="78">
        <f>'EXTRACTION AT GLOBAL DEA'!B60</f>
        <v>42789</v>
      </c>
      <c r="N62" s="77" t="str">
        <f t="shared" si="2"/>
        <v>février</v>
      </c>
      <c r="O62" s="65"/>
      <c r="P62" s="67"/>
      <c r="Q62" s="67"/>
      <c r="R62" s="67"/>
      <c r="S62" s="67"/>
      <c r="T62" s="67"/>
      <c r="U62" s="67"/>
      <c r="V62" s="67"/>
      <c r="W62" s="67"/>
      <c r="X62" s="67"/>
      <c r="Y62" s="67"/>
      <c r="Z62" s="67"/>
      <c r="AA62" s="67"/>
      <c r="AB62" s="68"/>
    </row>
    <row r="63" spans="1:28" hidden="1" x14ac:dyDescent="0.25">
      <c r="A63" s="77" t="str">
        <f>'EXTRACTION AT GLOBAL DEA'!D61</f>
        <v>106606</v>
      </c>
      <c r="B63" s="77" t="str">
        <f>'EXTRACTION AT GLOBAL DEA'!E61</f>
        <v>IDER</v>
      </c>
      <c r="C63" s="77" t="str">
        <f>'EXTRACTION AT GLOBAL DEA'!F61</f>
        <v>ABDELAZIZ</v>
      </c>
      <c r="D63" s="77" t="str">
        <f>'EXTRACTION AT GLOBAL DEA'!I61</f>
        <v>MT YH TA</v>
      </c>
      <c r="E63" s="66">
        <f>'EXTRACTION AT GLOBAL DEA'!G61</f>
        <v>50</v>
      </c>
      <c r="F63" s="84" t="str">
        <f t="shared" si="1"/>
        <v>50 à 54 ans</v>
      </c>
      <c r="G63" s="77" t="str">
        <f>'EXTRACTION AT GLOBAL DEA'!K61</f>
        <v>T</v>
      </c>
      <c r="H63" s="77">
        <f>'EXTRACTION AT GLOBAL DEA'!N61</f>
        <v>78</v>
      </c>
      <c r="I63" s="77" t="str">
        <f>'EXTRACTION AT GLOBAL DEA'!L61</f>
        <v>O</v>
      </c>
      <c r="J63" s="77" t="str">
        <f>'EXTRACTION AT GLOBAL DEA'!M61</f>
        <v>N</v>
      </c>
      <c r="K63" s="77"/>
      <c r="L63" s="77"/>
      <c r="M63" s="78">
        <f>'EXTRACTION AT GLOBAL DEA'!B61</f>
        <v>42789</v>
      </c>
      <c r="N63" s="77" t="str">
        <f t="shared" si="2"/>
        <v>février</v>
      </c>
      <c r="O63" s="65"/>
      <c r="P63" s="67"/>
      <c r="Q63" s="67"/>
      <c r="R63" s="67"/>
      <c r="S63" s="67"/>
      <c r="T63" s="67"/>
      <c r="U63" s="67"/>
      <c r="V63" s="67"/>
      <c r="W63" s="67"/>
      <c r="X63" s="67"/>
      <c r="Y63" s="67"/>
      <c r="Z63" s="67"/>
      <c r="AA63" s="67"/>
      <c r="AB63" s="68"/>
    </row>
    <row r="64" spans="1:28" x14ac:dyDescent="0.25">
      <c r="A64" s="77" t="str">
        <f>'EXTRACTION AT GLOBAL DEA'!D62</f>
        <v>106661</v>
      </c>
      <c r="B64" s="77" t="str">
        <f>'EXTRACTION AT GLOBAL DEA'!E62</f>
        <v>STOCLET</v>
      </c>
      <c r="C64" s="77" t="str">
        <f>'EXTRACTION AT GLOBAL DEA'!F62</f>
        <v>JACKY</v>
      </c>
      <c r="D64" s="77" t="str">
        <f>'EXTRACTION AT GLOBAL DEA'!I62</f>
        <v>MT YC PR</v>
      </c>
      <c r="E64" s="66">
        <f>'EXTRACTION AT GLOBAL DEA'!G62</f>
        <v>54</v>
      </c>
      <c r="F64" s="84" t="str">
        <f t="shared" si="1"/>
        <v>50 à 54 ans</v>
      </c>
      <c r="G64" s="77" t="str">
        <f>'EXTRACTION AT GLOBAL DEA'!K62</f>
        <v>S</v>
      </c>
      <c r="H64" s="77">
        <f>'EXTRACTION AT GLOBAL DEA'!N62</f>
        <v>82</v>
      </c>
      <c r="I64" s="77" t="str">
        <f>'EXTRACTION AT GLOBAL DEA'!L62</f>
        <v>O</v>
      </c>
      <c r="J64" s="77" t="str">
        <f>'EXTRACTION AT GLOBAL DEA'!M62</f>
        <v>N</v>
      </c>
      <c r="K64" s="77"/>
      <c r="L64" s="77"/>
      <c r="M64" s="78">
        <f>'EXTRACTION AT GLOBAL DEA'!B62</f>
        <v>42789</v>
      </c>
      <c r="N64" s="77" t="str">
        <f t="shared" si="2"/>
        <v>février</v>
      </c>
      <c r="O64" s="65"/>
      <c r="P64" s="67"/>
      <c r="Q64" s="67"/>
      <c r="R64" s="67"/>
      <c r="S64" s="67"/>
      <c r="T64" s="67"/>
      <c r="U64" s="67"/>
      <c r="V64" s="67"/>
      <c r="W64" s="67"/>
      <c r="X64" s="67"/>
      <c r="Y64" s="67"/>
      <c r="Z64" s="67"/>
      <c r="AA64" s="67"/>
      <c r="AB64" s="68"/>
    </row>
    <row r="65" spans="1:28" x14ac:dyDescent="0.25">
      <c r="A65" s="77" t="str">
        <f>'EXTRACTION AT GLOBAL DEA'!D63</f>
        <v>106727</v>
      </c>
      <c r="B65" s="77" t="str">
        <f>'EXTRACTION AT GLOBAL DEA'!E63</f>
        <v>ESNAULT</v>
      </c>
      <c r="C65" s="77" t="str">
        <f>'EXTRACTION AT GLOBAL DEA'!F63</f>
        <v>MAXIME</v>
      </c>
      <c r="D65" s="77" t="str">
        <f>'EXTRACTION AT GLOBAL DEA'!I63</f>
        <v>BLDPMMOR</v>
      </c>
      <c r="E65" s="66">
        <f>'EXTRACTION AT GLOBAL DEA'!G63</f>
        <v>24</v>
      </c>
      <c r="F65" s="84" t="str">
        <f t="shared" si="1"/>
        <v>20 à 24 ans</v>
      </c>
      <c r="G65" s="77" t="str">
        <f>'EXTRACTION AT GLOBAL DEA'!K63</f>
        <v>S</v>
      </c>
      <c r="H65" s="77">
        <f>'EXTRACTION AT GLOBAL DEA'!N63</f>
        <v>0</v>
      </c>
      <c r="I65" s="77" t="str">
        <f>'EXTRACTION AT GLOBAL DEA'!L63</f>
        <v>N</v>
      </c>
      <c r="J65" s="77" t="str">
        <f>'EXTRACTION AT GLOBAL DEA'!M63</f>
        <v>N</v>
      </c>
      <c r="K65" s="77"/>
      <c r="L65" s="77"/>
      <c r="M65" s="78">
        <f>'EXTRACTION AT GLOBAL DEA'!B63</f>
        <v>42790</v>
      </c>
      <c r="N65" s="77" t="str">
        <f t="shared" si="2"/>
        <v>février</v>
      </c>
      <c r="O65" s="65"/>
      <c r="P65" s="67"/>
      <c r="Q65" s="67"/>
      <c r="R65" s="67"/>
      <c r="S65" s="67"/>
      <c r="T65" s="67"/>
      <c r="U65" s="67"/>
      <c r="V65" s="67"/>
      <c r="W65" s="67"/>
      <c r="X65" s="67"/>
      <c r="Y65" s="67"/>
      <c r="Z65" s="67"/>
      <c r="AA65" s="67"/>
      <c r="AB65" s="68"/>
    </row>
    <row r="66" spans="1:28" x14ac:dyDescent="0.25">
      <c r="A66" s="77" t="str">
        <f>'EXTRACTION AT GLOBAL DEA'!D64</f>
        <v>106718</v>
      </c>
      <c r="B66" s="77" t="str">
        <f>'EXTRACTION AT GLOBAL DEA'!E64</f>
        <v>GROULT</v>
      </c>
      <c r="C66" s="77" t="str">
        <f>'EXTRACTION AT GLOBAL DEA'!F64</f>
        <v>NICOLAS</v>
      </c>
      <c r="D66" s="77" t="str">
        <f>'EXTRACTION AT GLOBAL DEA'!I64</f>
        <v>MT CG PR</v>
      </c>
      <c r="E66" s="66">
        <f>'EXTRACTION AT GLOBAL DEA'!G64</f>
        <v>32</v>
      </c>
      <c r="F66" s="84" t="str">
        <f t="shared" si="1"/>
        <v>30 à 34 ans</v>
      </c>
      <c r="G66" s="77" t="str">
        <f>'EXTRACTION AT GLOBAL DEA'!K64</f>
        <v>S</v>
      </c>
      <c r="H66" s="77">
        <f>'EXTRACTION AT GLOBAL DEA'!N64</f>
        <v>0</v>
      </c>
      <c r="I66" s="77" t="str">
        <f>'EXTRACTION AT GLOBAL DEA'!L64</f>
        <v>N</v>
      </c>
      <c r="J66" s="77" t="str">
        <f>'EXTRACTION AT GLOBAL DEA'!M64</f>
        <v>N</v>
      </c>
      <c r="K66" s="77"/>
      <c r="L66" s="77"/>
      <c r="M66" s="78">
        <f>'EXTRACTION AT GLOBAL DEA'!B64</f>
        <v>42791</v>
      </c>
      <c r="N66" s="77" t="str">
        <f t="shared" si="2"/>
        <v>février</v>
      </c>
      <c r="O66" s="65"/>
      <c r="P66" s="67"/>
      <c r="Q66" s="67"/>
      <c r="R66" s="67"/>
      <c r="S66" s="67"/>
      <c r="T66" s="67"/>
      <c r="U66" s="67"/>
      <c r="V66" s="67"/>
      <c r="W66" s="67"/>
      <c r="X66" s="67"/>
      <c r="Y66" s="67"/>
      <c r="Z66" s="67"/>
      <c r="AA66" s="67"/>
      <c r="AB66" s="68"/>
    </row>
    <row r="67" spans="1:28" hidden="1" x14ac:dyDescent="0.25">
      <c r="A67" s="77" t="str">
        <f>'EXTRACTION AT GLOBAL DEA'!D65</f>
        <v>106721</v>
      </c>
      <c r="B67" s="77" t="str">
        <f>'EXTRACTION AT GLOBAL DEA'!E65</f>
        <v>GRAND</v>
      </c>
      <c r="C67" s="77" t="str">
        <f>'EXTRACTION AT GLOBAL DEA'!F65</f>
        <v>CYRIL</v>
      </c>
      <c r="D67" s="77" t="str">
        <f>'EXTRACTION AT GLOBAL DEA'!I65</f>
        <v>MT HB QO</v>
      </c>
      <c r="E67" s="66">
        <f>'EXTRACTION AT GLOBAL DEA'!G65</f>
        <v>35</v>
      </c>
      <c r="F67" s="84" t="str">
        <f t="shared" si="1"/>
        <v>35 à 39 ans</v>
      </c>
      <c r="G67" s="77" t="str">
        <f>'EXTRACTION AT GLOBAL DEA'!K65</f>
        <v>T</v>
      </c>
      <c r="H67" s="77">
        <f>'EXTRACTION AT GLOBAL DEA'!N65</f>
        <v>37</v>
      </c>
      <c r="I67" s="77" t="str">
        <f>'EXTRACTION AT GLOBAL DEA'!L65</f>
        <v>O</v>
      </c>
      <c r="J67" s="77" t="str">
        <f>'EXTRACTION AT GLOBAL DEA'!M65</f>
        <v>N</v>
      </c>
      <c r="K67" s="77"/>
      <c r="L67" s="77"/>
      <c r="M67" s="78">
        <f>'EXTRACTION AT GLOBAL DEA'!B65</f>
        <v>42791</v>
      </c>
      <c r="N67" s="77" t="str">
        <f t="shared" si="2"/>
        <v>février</v>
      </c>
      <c r="O67" s="65"/>
      <c r="P67" s="67"/>
      <c r="Q67" s="67"/>
      <c r="R67" s="67"/>
      <c r="S67" s="67"/>
      <c r="T67" s="67"/>
      <c r="U67" s="67"/>
      <c r="V67" s="67"/>
      <c r="W67" s="67"/>
      <c r="X67" s="67"/>
      <c r="Y67" s="67"/>
      <c r="Z67" s="67"/>
      <c r="AA67" s="67"/>
      <c r="AB67" s="68"/>
    </row>
    <row r="68" spans="1:28" x14ac:dyDescent="0.25">
      <c r="A68" s="77" t="str">
        <f>'EXTRACTION AT GLOBAL DEA'!D66</f>
        <v>106762</v>
      </c>
      <c r="B68" s="77" t="str">
        <f>'EXTRACTION AT GLOBAL DEA'!E66</f>
        <v>LEBOSSE</v>
      </c>
      <c r="C68" s="77" t="str">
        <f>'EXTRACTION AT GLOBAL DEA'!F66</f>
        <v>AURELIEN</v>
      </c>
      <c r="D68" s="77" t="str">
        <f>'EXTRACTION AT GLOBAL DEA'!I66</f>
        <v>MT CA PR</v>
      </c>
      <c r="E68" s="66">
        <f>'EXTRACTION AT GLOBAL DEA'!G66</f>
        <v>37</v>
      </c>
      <c r="F68" s="84" t="str">
        <f t="shared" si="1"/>
        <v>35 à 39 ans</v>
      </c>
      <c r="G68" s="77" t="str">
        <f>'EXTRACTION AT GLOBAL DEA'!K66</f>
        <v>S</v>
      </c>
      <c r="H68" s="77">
        <f>'EXTRACTION AT GLOBAL DEA'!N66</f>
        <v>0</v>
      </c>
      <c r="I68" s="77" t="str">
        <f>'EXTRACTION AT GLOBAL DEA'!L66</f>
        <v>N</v>
      </c>
      <c r="J68" s="77" t="str">
        <f>'EXTRACTION AT GLOBAL DEA'!M66</f>
        <v>N</v>
      </c>
      <c r="K68" s="77"/>
      <c r="L68" s="77"/>
      <c r="M68" s="78">
        <f>'EXTRACTION AT GLOBAL DEA'!B66</f>
        <v>42793</v>
      </c>
      <c r="N68" s="77" t="str">
        <f t="shared" si="2"/>
        <v>février</v>
      </c>
      <c r="O68" s="65"/>
      <c r="P68" s="67"/>
      <c r="Q68" s="67"/>
      <c r="R68" s="67"/>
      <c r="S68" s="67"/>
      <c r="T68" s="67"/>
      <c r="U68" s="67"/>
      <c r="V68" s="67"/>
      <c r="W68" s="67"/>
      <c r="X68" s="67"/>
      <c r="Y68" s="67"/>
      <c r="Z68" s="67"/>
      <c r="AA68" s="67"/>
      <c r="AB68" s="68"/>
    </row>
    <row r="69" spans="1:28" x14ac:dyDescent="0.25">
      <c r="A69" s="77" t="str">
        <f>'EXTRACTION AT GLOBAL DEA'!D67</f>
        <v>107148</v>
      </c>
      <c r="B69" s="77" t="str">
        <f>'EXTRACTION AT GLOBAL DEA'!E67</f>
        <v>DUPUY</v>
      </c>
      <c r="C69" s="77" t="str">
        <f>'EXTRACTION AT GLOBAL DEA'!F67</f>
        <v>MATHILDE</v>
      </c>
      <c r="D69" s="77" t="str">
        <f>'EXTRACTION AT GLOBAL DEA'!I67</f>
        <v>BLDPMSVL</v>
      </c>
      <c r="E69" s="66">
        <f>'EXTRACTION AT GLOBAL DEA'!G67</f>
        <v>17</v>
      </c>
      <c r="F69" s="84" t="str">
        <f t="shared" si="1"/>
        <v>Moins de 20 ans</v>
      </c>
      <c r="G69" s="77" t="str">
        <f>'EXTRACTION AT GLOBAL DEA'!K67</f>
        <v>S</v>
      </c>
      <c r="H69" s="77">
        <f>'EXTRACTION AT GLOBAL DEA'!N67</f>
        <v>0</v>
      </c>
      <c r="I69" s="77" t="str">
        <f>'EXTRACTION AT GLOBAL DEA'!L67</f>
        <v>N</v>
      </c>
      <c r="J69" s="77" t="str">
        <f>'EXTRACTION AT GLOBAL DEA'!M67</f>
        <v>N</v>
      </c>
      <c r="K69" s="77"/>
      <c r="L69" s="77"/>
      <c r="M69" s="78">
        <f>'EXTRACTION AT GLOBAL DEA'!B67</f>
        <v>42793</v>
      </c>
      <c r="N69" s="77" t="str">
        <f t="shared" si="2"/>
        <v>février</v>
      </c>
      <c r="O69" s="65"/>
      <c r="P69" s="67"/>
      <c r="Q69" s="67"/>
      <c r="R69" s="67"/>
      <c r="S69" s="67"/>
      <c r="T69" s="67"/>
      <c r="U69" s="67"/>
      <c r="V69" s="67"/>
      <c r="W69" s="67"/>
      <c r="X69" s="67"/>
      <c r="Y69" s="67"/>
      <c r="Z69" s="67"/>
      <c r="AA69" s="67"/>
      <c r="AB69" s="68"/>
    </row>
    <row r="70" spans="1:28" x14ac:dyDescent="0.25">
      <c r="A70" s="77" t="str">
        <f>'EXTRACTION AT GLOBAL DEA'!D68</f>
        <v>107096</v>
      </c>
      <c r="B70" s="77" t="str">
        <f>'EXTRACTION AT GLOBAL DEA'!E68</f>
        <v>LEFEBVRE</v>
      </c>
      <c r="C70" s="77" t="str">
        <f>'EXTRACTION AT GLOBAL DEA'!F68</f>
        <v>STEPHANE</v>
      </c>
      <c r="D70" s="77" t="str">
        <f>'EXTRACTION AT GLOBAL DEA'!I68</f>
        <v>MT QP</v>
      </c>
      <c r="E70" s="66">
        <f>'EXTRACTION AT GLOBAL DEA'!G68</f>
        <v>48</v>
      </c>
      <c r="F70" s="84" t="str">
        <f t="shared" ref="F70:F133" si="4">IF(E70&lt;1,"",IF(E70&lt;20,"Moins de 20 ans",IF(E70&lt;25,"20 à 24 ans",IF(E70&lt;30,"25 à 29 ans",IF(E70&lt;35,"30 à 34 ans",IF(E70&lt;40,"35 à 39 ans",IF(E70&lt;45,"40 à 44 ans",IF(E70&lt;50,"45 à 49 ans",IF(E70&lt;55,"50 à 54 ans",IF(E69&lt;60,"55 à 59 ans",IF(E70&gt;59,"60 ans et plus","")))))))))))</f>
        <v>45 à 49 ans</v>
      </c>
      <c r="G70" s="77" t="str">
        <f>'EXTRACTION AT GLOBAL DEA'!K68</f>
        <v>S</v>
      </c>
      <c r="H70" s="77">
        <f>'EXTRACTION AT GLOBAL DEA'!N68</f>
        <v>0</v>
      </c>
      <c r="I70" s="77" t="str">
        <f>'EXTRACTION AT GLOBAL DEA'!L68</f>
        <v>N</v>
      </c>
      <c r="J70" s="77" t="str">
        <f>'EXTRACTION AT GLOBAL DEA'!M68</f>
        <v>N</v>
      </c>
      <c r="K70" s="77"/>
      <c r="L70" s="77"/>
      <c r="M70" s="78">
        <f>'EXTRACTION AT GLOBAL DEA'!B68</f>
        <v>42796</v>
      </c>
      <c r="N70" s="77" t="str">
        <f t="shared" ref="N70:N133" si="5">TEXT(M70,"mmmm")</f>
        <v>mars</v>
      </c>
      <c r="O70" s="65"/>
      <c r="P70" s="67"/>
      <c r="Q70" s="67"/>
      <c r="R70" s="67"/>
      <c r="S70" s="67"/>
      <c r="T70" s="67"/>
      <c r="U70" s="67"/>
      <c r="V70" s="67"/>
      <c r="W70" s="67"/>
      <c r="X70" s="67"/>
      <c r="Y70" s="67"/>
      <c r="Z70" s="67"/>
      <c r="AA70" s="67"/>
      <c r="AB70" s="68"/>
    </row>
    <row r="71" spans="1:28" x14ac:dyDescent="0.25">
      <c r="A71" s="77" t="str">
        <f>'EXTRACTION AT GLOBAL DEA'!D69</f>
        <v>106867</v>
      </c>
      <c r="B71" s="77" t="str">
        <f>'EXTRACTION AT GLOBAL DEA'!E69</f>
        <v>MARTINEZ</v>
      </c>
      <c r="C71" s="77" t="str">
        <f>'EXTRACTION AT GLOBAL DEA'!F69</f>
        <v>PATRICK</v>
      </c>
      <c r="D71" s="77" t="str">
        <f>'EXTRACTION AT GLOBAL DEA'!I69</f>
        <v>MT QJ</v>
      </c>
      <c r="E71" s="66">
        <f>'EXTRACTION AT GLOBAL DEA'!G69</f>
        <v>41</v>
      </c>
      <c r="F71" s="84" t="str">
        <f t="shared" si="4"/>
        <v>40 à 44 ans</v>
      </c>
      <c r="G71" s="77" t="str">
        <f>'EXTRACTION AT GLOBAL DEA'!K69</f>
        <v>S</v>
      </c>
      <c r="H71" s="77">
        <f>'EXTRACTION AT GLOBAL DEA'!N69</f>
        <v>0</v>
      </c>
      <c r="I71" s="77" t="str">
        <f>'EXTRACTION AT GLOBAL DEA'!L69</f>
        <v>N</v>
      </c>
      <c r="J71" s="77" t="str">
        <f>'EXTRACTION AT GLOBAL DEA'!M69</f>
        <v>N</v>
      </c>
      <c r="K71" s="77"/>
      <c r="L71" s="77"/>
      <c r="M71" s="78">
        <f>'EXTRACTION AT GLOBAL DEA'!B69</f>
        <v>42797</v>
      </c>
      <c r="N71" s="77" t="str">
        <f t="shared" si="5"/>
        <v>mars</v>
      </c>
      <c r="O71" s="65"/>
      <c r="P71" s="67"/>
      <c r="Q71" s="67"/>
      <c r="R71" s="67"/>
      <c r="S71" s="67"/>
      <c r="T71" s="67"/>
      <c r="U71" s="67"/>
      <c r="V71" s="67"/>
      <c r="W71" s="67"/>
      <c r="X71" s="67"/>
      <c r="Y71" s="67"/>
      <c r="Z71" s="67"/>
      <c r="AA71" s="67"/>
      <c r="AB71" s="68"/>
    </row>
    <row r="72" spans="1:28" hidden="1" x14ac:dyDescent="0.25">
      <c r="A72" s="77" t="str">
        <f>'EXTRACTION AT GLOBAL DEA'!D70</f>
        <v>106866</v>
      </c>
      <c r="B72" s="77" t="str">
        <f>'EXTRACTION AT GLOBAL DEA'!E70</f>
        <v>GIL</v>
      </c>
      <c r="C72" s="77" t="str">
        <f>'EXTRACTION AT GLOBAL DEA'!F70</f>
        <v>JEAN-MARC</v>
      </c>
      <c r="D72" s="77" t="str">
        <f>'EXTRACTION AT GLOBAL DEA'!I70</f>
        <v>MT CC PR</v>
      </c>
      <c r="E72" s="66">
        <f>'EXTRACTION AT GLOBAL DEA'!G70</f>
        <v>59</v>
      </c>
      <c r="F72" s="84" t="str">
        <f t="shared" si="4"/>
        <v>55 à 59 ans</v>
      </c>
      <c r="G72" s="77" t="str">
        <f>'EXTRACTION AT GLOBAL DEA'!K70</f>
        <v>T</v>
      </c>
      <c r="H72" s="77">
        <f>'EXTRACTION AT GLOBAL DEA'!N70</f>
        <v>155</v>
      </c>
      <c r="I72" s="77" t="str">
        <f>'EXTRACTION AT GLOBAL DEA'!L70</f>
        <v>O</v>
      </c>
      <c r="J72" s="77" t="str">
        <f>'EXTRACTION AT GLOBAL DEA'!M70</f>
        <v>N</v>
      </c>
      <c r="K72" s="77"/>
      <c r="L72" s="77"/>
      <c r="M72" s="78">
        <f>'EXTRACTION AT GLOBAL DEA'!B70</f>
        <v>42797</v>
      </c>
      <c r="N72" s="77" t="str">
        <f t="shared" si="5"/>
        <v>mars</v>
      </c>
      <c r="O72" s="65"/>
      <c r="P72" s="67"/>
      <c r="Q72" s="67"/>
      <c r="R72" s="67"/>
      <c r="S72" s="67"/>
      <c r="T72" s="67"/>
      <c r="U72" s="67"/>
      <c r="V72" s="67"/>
      <c r="W72" s="67"/>
      <c r="X72" s="67"/>
      <c r="Y72" s="67"/>
      <c r="Z72" s="67"/>
      <c r="AA72" s="67"/>
      <c r="AB72" s="68"/>
    </row>
    <row r="73" spans="1:28" x14ac:dyDescent="0.25">
      <c r="A73" s="77" t="str">
        <f>'EXTRACTION AT GLOBAL DEA'!D71</f>
        <v>106894</v>
      </c>
      <c r="B73" s="77" t="str">
        <f>'EXTRACTION AT GLOBAL DEA'!E71</f>
        <v>BILLET</v>
      </c>
      <c r="C73" s="77" t="str">
        <f>'EXTRACTION AT GLOBAL DEA'!F71</f>
        <v>MAXIME</v>
      </c>
      <c r="D73" s="77" t="str">
        <f>'EXTRACTION AT GLOBAL DEA'!I71</f>
        <v>MT CC PR</v>
      </c>
      <c r="E73" s="66">
        <f>'EXTRACTION AT GLOBAL DEA'!G71</f>
        <v>25</v>
      </c>
      <c r="F73" s="84" t="str">
        <f t="shared" si="4"/>
        <v>25 à 29 ans</v>
      </c>
      <c r="G73" s="77" t="str">
        <f>'EXTRACTION AT GLOBAL DEA'!K71</f>
        <v>S</v>
      </c>
      <c r="H73" s="77">
        <f>'EXTRACTION AT GLOBAL DEA'!N71</f>
        <v>21</v>
      </c>
      <c r="I73" s="77" t="str">
        <f>'EXTRACTION AT GLOBAL DEA'!L71</f>
        <v>O</v>
      </c>
      <c r="J73" s="77" t="str">
        <f>'EXTRACTION AT GLOBAL DEA'!M71</f>
        <v>N</v>
      </c>
      <c r="K73" s="77"/>
      <c r="L73" s="77"/>
      <c r="M73" s="78">
        <f>'EXTRACTION AT GLOBAL DEA'!B71</f>
        <v>42797</v>
      </c>
      <c r="N73" s="77" t="str">
        <f t="shared" si="5"/>
        <v>mars</v>
      </c>
      <c r="O73" s="65"/>
      <c r="P73" s="67"/>
      <c r="Q73" s="67"/>
      <c r="R73" s="67"/>
      <c r="S73" s="67"/>
      <c r="T73" s="67"/>
      <c r="U73" s="67"/>
      <c r="V73" s="67"/>
      <c r="W73" s="67"/>
      <c r="X73" s="67"/>
      <c r="Y73" s="67"/>
      <c r="Z73" s="67"/>
      <c r="AA73" s="67"/>
      <c r="AB73" s="68"/>
    </row>
    <row r="74" spans="1:28" x14ac:dyDescent="0.25">
      <c r="A74" s="77" t="str">
        <f>'EXTRACTION AT GLOBAL DEA'!D72</f>
        <v>107021</v>
      </c>
      <c r="B74" s="77" t="str">
        <f>'EXTRACTION AT GLOBAL DEA'!E72</f>
        <v>AVRILA</v>
      </c>
      <c r="C74" s="77" t="str">
        <f>'EXTRACTION AT GLOBAL DEA'!F72</f>
        <v>RODRIGUE</v>
      </c>
      <c r="D74" s="77" t="str">
        <f>'EXTRACTION AT GLOBAL DEA'!I72</f>
        <v>MT QJ</v>
      </c>
      <c r="E74" s="66">
        <f>'EXTRACTION AT GLOBAL DEA'!G72</f>
        <v>42</v>
      </c>
      <c r="F74" s="84" t="str">
        <f t="shared" si="4"/>
        <v>40 à 44 ans</v>
      </c>
      <c r="G74" s="77" t="str">
        <f>'EXTRACTION AT GLOBAL DEA'!K72</f>
        <v>S</v>
      </c>
      <c r="H74" s="77">
        <f>'EXTRACTION AT GLOBAL DEA'!N72</f>
        <v>0</v>
      </c>
      <c r="I74" s="77" t="str">
        <f>'EXTRACTION AT GLOBAL DEA'!L72</f>
        <v>N</v>
      </c>
      <c r="J74" s="77" t="str">
        <f>'EXTRACTION AT GLOBAL DEA'!M72</f>
        <v>N</v>
      </c>
      <c r="K74" s="77"/>
      <c r="L74" s="77"/>
      <c r="M74" s="78">
        <f>'EXTRACTION AT GLOBAL DEA'!B72</f>
        <v>42802</v>
      </c>
      <c r="N74" s="77" t="str">
        <f t="shared" si="5"/>
        <v>mars</v>
      </c>
      <c r="O74" s="65"/>
      <c r="P74" s="67"/>
      <c r="Q74" s="67"/>
      <c r="R74" s="67"/>
      <c r="S74" s="67"/>
      <c r="T74" s="67"/>
      <c r="U74" s="67"/>
      <c r="V74" s="67"/>
      <c r="W74" s="67"/>
      <c r="X74" s="67"/>
      <c r="Y74" s="67"/>
      <c r="Z74" s="67"/>
      <c r="AA74" s="67"/>
      <c r="AB74" s="68"/>
    </row>
    <row r="75" spans="1:28" x14ac:dyDescent="0.25">
      <c r="A75" s="77" t="str">
        <f>'EXTRACTION AT GLOBAL DEA'!D73</f>
        <v>106997</v>
      </c>
      <c r="B75" s="77" t="str">
        <f>'EXTRACTION AT GLOBAL DEA'!E73</f>
        <v>LIOTTIN</v>
      </c>
      <c r="C75" s="77" t="str">
        <f>'EXTRACTION AT GLOBAL DEA'!F73</f>
        <v>MATTHIEU</v>
      </c>
      <c r="D75" s="77" t="str">
        <f>'EXTRACTION AT GLOBAL DEA'!I73</f>
        <v>MT CG PW</v>
      </c>
      <c r="E75" s="66">
        <f>'EXTRACTION AT GLOBAL DEA'!G73</f>
        <v>30</v>
      </c>
      <c r="F75" s="84" t="str">
        <f t="shared" si="4"/>
        <v>30 à 34 ans</v>
      </c>
      <c r="G75" s="77" t="str">
        <f>'EXTRACTION AT GLOBAL DEA'!K73</f>
        <v>S</v>
      </c>
      <c r="H75" s="77">
        <f>'EXTRACTION AT GLOBAL DEA'!N73</f>
        <v>0</v>
      </c>
      <c r="I75" s="77" t="str">
        <f>'EXTRACTION AT GLOBAL DEA'!L73</f>
        <v>N</v>
      </c>
      <c r="J75" s="77" t="str">
        <f>'EXTRACTION AT GLOBAL DEA'!M73</f>
        <v>N</v>
      </c>
      <c r="K75" s="77"/>
      <c r="L75" s="77"/>
      <c r="M75" s="78">
        <f>'EXTRACTION AT GLOBAL DEA'!B73</f>
        <v>42802</v>
      </c>
      <c r="N75" s="77" t="str">
        <f t="shared" si="5"/>
        <v>mars</v>
      </c>
      <c r="O75" s="65"/>
      <c r="P75" s="67"/>
      <c r="Q75" s="67"/>
      <c r="R75" s="67"/>
      <c r="S75" s="67"/>
      <c r="T75" s="67"/>
      <c r="U75" s="67"/>
      <c r="V75" s="67"/>
      <c r="W75" s="67"/>
      <c r="X75" s="67"/>
      <c r="Y75" s="67"/>
      <c r="Z75" s="67"/>
      <c r="AA75" s="67"/>
      <c r="AB75" s="68"/>
    </row>
    <row r="76" spans="1:28" x14ac:dyDescent="0.25">
      <c r="A76" s="77" t="str">
        <f>'EXTRACTION AT GLOBAL DEA'!D74</f>
        <v>107097</v>
      </c>
      <c r="B76" s="77" t="str">
        <f>'EXTRACTION AT GLOBAL DEA'!E74</f>
        <v>FAVRE</v>
      </c>
      <c r="C76" s="77" t="str">
        <f>'EXTRACTION AT GLOBAL DEA'!F74</f>
        <v>GREGORY</v>
      </c>
      <c r="D76" s="77" t="str">
        <f>'EXTRACTION AT GLOBAL DEA'!I74</f>
        <v>MT CA PR</v>
      </c>
      <c r="E76" s="66">
        <f>'EXTRACTION AT GLOBAL DEA'!G74</f>
        <v>32</v>
      </c>
      <c r="F76" s="84" t="str">
        <f t="shared" si="4"/>
        <v>30 à 34 ans</v>
      </c>
      <c r="G76" s="77" t="str">
        <f>'EXTRACTION AT GLOBAL DEA'!K74</f>
        <v>S</v>
      </c>
      <c r="H76" s="77">
        <f>'EXTRACTION AT GLOBAL DEA'!N74</f>
        <v>0</v>
      </c>
      <c r="I76" s="77" t="str">
        <f>'EXTRACTION AT GLOBAL DEA'!L74</f>
        <v>N</v>
      </c>
      <c r="J76" s="77" t="str">
        <f>'EXTRACTION AT GLOBAL DEA'!M74</f>
        <v>N</v>
      </c>
      <c r="K76" s="77"/>
      <c r="L76" s="77"/>
      <c r="M76" s="78">
        <f>'EXTRACTION AT GLOBAL DEA'!B74</f>
        <v>42804</v>
      </c>
      <c r="N76" s="77" t="str">
        <f t="shared" si="5"/>
        <v>mars</v>
      </c>
      <c r="O76" s="65"/>
      <c r="P76" s="67"/>
      <c r="Q76" s="67"/>
      <c r="R76" s="67"/>
      <c r="S76" s="67"/>
      <c r="T76" s="67"/>
      <c r="U76" s="67"/>
      <c r="V76" s="67"/>
      <c r="W76" s="67"/>
      <c r="X76" s="67"/>
      <c r="Y76" s="67"/>
      <c r="Z76" s="67"/>
      <c r="AA76" s="67"/>
      <c r="AB76" s="68"/>
    </row>
    <row r="77" spans="1:28" x14ac:dyDescent="0.25">
      <c r="A77" s="77" t="str">
        <f>'EXTRACTION AT GLOBAL DEA'!D75</f>
        <v>107049</v>
      </c>
      <c r="B77" s="77" t="str">
        <f>'EXTRACTION AT GLOBAL DEA'!E75</f>
        <v>ROQUE</v>
      </c>
      <c r="C77" s="77" t="str">
        <f>'EXTRACTION AT GLOBAL DEA'!F75</f>
        <v>STEPHANE</v>
      </c>
      <c r="D77" s="77" t="str">
        <f>'EXTRACTION AT GLOBAL DEA'!I75</f>
        <v>MT YC PR</v>
      </c>
      <c r="E77" s="66">
        <f>'EXTRACTION AT GLOBAL DEA'!G75</f>
        <v>48</v>
      </c>
      <c r="F77" s="84" t="str">
        <f t="shared" si="4"/>
        <v>45 à 49 ans</v>
      </c>
      <c r="G77" s="77" t="str">
        <f>'EXTRACTION AT GLOBAL DEA'!K75</f>
        <v>S</v>
      </c>
      <c r="H77" s="77">
        <f>'EXTRACTION AT GLOBAL DEA'!N75</f>
        <v>54</v>
      </c>
      <c r="I77" s="77" t="str">
        <f>'EXTRACTION AT GLOBAL DEA'!L75</f>
        <v>O</v>
      </c>
      <c r="J77" s="77" t="str">
        <f>'EXTRACTION AT GLOBAL DEA'!M75</f>
        <v>N</v>
      </c>
      <c r="K77" s="77"/>
      <c r="L77" s="77"/>
      <c r="M77" s="78">
        <f>'EXTRACTION AT GLOBAL DEA'!B75</f>
        <v>42806</v>
      </c>
      <c r="N77" s="77" t="str">
        <f t="shared" si="5"/>
        <v>mars</v>
      </c>
      <c r="O77" s="65"/>
      <c r="P77" s="67"/>
      <c r="Q77" s="67"/>
      <c r="R77" s="67"/>
      <c r="S77" s="67"/>
      <c r="T77" s="67"/>
      <c r="U77" s="67"/>
      <c r="V77" s="67"/>
      <c r="W77" s="67"/>
      <c r="X77" s="67"/>
      <c r="Y77" s="67"/>
      <c r="Z77" s="67"/>
      <c r="AA77" s="67"/>
      <c r="AB77" s="68"/>
    </row>
    <row r="78" spans="1:28" hidden="1" x14ac:dyDescent="0.25">
      <c r="A78" s="77" t="str">
        <f>'EXTRACTION AT GLOBAL DEA'!D76</f>
        <v>107218</v>
      </c>
      <c r="B78" s="77" t="str">
        <f>'EXTRACTION AT GLOBAL DEA'!E76</f>
        <v>COHEN</v>
      </c>
      <c r="C78" s="77" t="str">
        <f>'EXTRACTION AT GLOBAL DEA'!F76</f>
        <v>FRANCK</v>
      </c>
      <c r="D78" s="77" t="str">
        <f>'EXTRACTION AT GLOBAL DEA'!I76</f>
        <v>MT YC AD</v>
      </c>
      <c r="E78" s="66">
        <f>'EXTRACTION AT GLOBAL DEA'!G76</f>
        <v>47</v>
      </c>
      <c r="F78" s="84" t="str">
        <f t="shared" si="4"/>
        <v>45 à 49 ans</v>
      </c>
      <c r="G78" s="77" t="str">
        <f>'EXTRACTION AT GLOBAL DEA'!K76</f>
        <v>T</v>
      </c>
      <c r="H78" s="77">
        <f>'EXTRACTION AT GLOBAL DEA'!N76</f>
        <v>7</v>
      </c>
      <c r="I78" s="77" t="str">
        <f>'EXTRACTION AT GLOBAL DEA'!L76</f>
        <v>O</v>
      </c>
      <c r="J78" s="77" t="str">
        <f>'EXTRACTION AT GLOBAL DEA'!M76</f>
        <v>N</v>
      </c>
      <c r="K78" s="77"/>
      <c r="L78" s="77"/>
      <c r="M78" s="78">
        <f>'EXTRACTION AT GLOBAL DEA'!B76</f>
        <v>42807</v>
      </c>
      <c r="N78" s="77" t="str">
        <f t="shared" si="5"/>
        <v>mars</v>
      </c>
      <c r="O78" s="65"/>
      <c r="P78" s="67"/>
      <c r="Q78" s="67"/>
      <c r="R78" s="67"/>
      <c r="S78" s="67"/>
      <c r="T78" s="67"/>
      <c r="U78" s="67"/>
      <c r="V78" s="67"/>
      <c r="W78" s="67"/>
      <c r="X78" s="67"/>
      <c r="Y78" s="67"/>
      <c r="Z78" s="67"/>
      <c r="AA78" s="67"/>
      <c r="AB78" s="68"/>
    </row>
    <row r="79" spans="1:28" x14ac:dyDescent="0.25">
      <c r="A79" s="77" t="str">
        <f>'EXTRACTION AT GLOBAL DEA'!D77</f>
        <v>107301</v>
      </c>
      <c r="B79" s="77" t="str">
        <f>'EXTRACTION AT GLOBAL DEA'!E77</f>
        <v>WANG</v>
      </c>
      <c r="C79" s="77" t="str">
        <f>'EXTRACTION AT GLOBAL DEA'!F77</f>
        <v>LEI</v>
      </c>
      <c r="D79" s="77" t="str">
        <f>'EXTRACTION AT GLOBAL DEA'!I77</f>
        <v>BLDPMSVL</v>
      </c>
      <c r="E79" s="66">
        <f>'EXTRACTION AT GLOBAL DEA'!G77</f>
        <v>18</v>
      </c>
      <c r="F79" s="84" t="str">
        <f t="shared" si="4"/>
        <v>Moins de 20 ans</v>
      </c>
      <c r="G79" s="77" t="str">
        <f>'EXTRACTION AT GLOBAL DEA'!K77</f>
        <v>S</v>
      </c>
      <c r="H79" s="77">
        <f>'EXTRACTION AT GLOBAL DEA'!N77</f>
        <v>0</v>
      </c>
      <c r="I79" s="77" t="str">
        <f>'EXTRACTION AT GLOBAL DEA'!L77</f>
        <v>N</v>
      </c>
      <c r="J79" s="77" t="str">
        <f>'EXTRACTION AT GLOBAL DEA'!M77</f>
        <v>N</v>
      </c>
      <c r="K79" s="77"/>
      <c r="L79" s="77"/>
      <c r="M79" s="78">
        <f>'EXTRACTION AT GLOBAL DEA'!B77</f>
        <v>42809</v>
      </c>
      <c r="N79" s="77" t="str">
        <f t="shared" si="5"/>
        <v>mars</v>
      </c>
      <c r="O79" s="65"/>
      <c r="P79" s="67"/>
      <c r="Q79" s="67"/>
      <c r="R79" s="67"/>
      <c r="S79" s="67"/>
      <c r="T79" s="67"/>
      <c r="U79" s="67"/>
      <c r="V79" s="67"/>
      <c r="W79" s="67"/>
      <c r="X79" s="67"/>
      <c r="Y79" s="67"/>
      <c r="Z79" s="67"/>
      <c r="AA79" s="67"/>
      <c r="AB79" s="68"/>
    </row>
    <row r="80" spans="1:28" x14ac:dyDescent="0.25">
      <c r="A80" s="77" t="str">
        <f>'EXTRACTION AT GLOBAL DEA'!D78</f>
        <v>107302</v>
      </c>
      <c r="B80" s="77" t="str">
        <f>'EXTRACTION AT GLOBAL DEA'!E78</f>
        <v>BONNEAU</v>
      </c>
      <c r="C80" s="77" t="str">
        <f>'EXTRACTION AT GLOBAL DEA'!F78</f>
        <v>CHRISTIAN</v>
      </c>
      <c r="D80" s="77" t="str">
        <f>'EXTRACTION AT GLOBAL DEA'!I78</f>
        <v>MT QJ</v>
      </c>
      <c r="E80" s="66">
        <f>'EXTRACTION AT GLOBAL DEA'!G78</f>
        <v>57</v>
      </c>
      <c r="F80" s="84" t="str">
        <f t="shared" si="4"/>
        <v>55 à 59 ans</v>
      </c>
      <c r="G80" s="77" t="str">
        <f>'EXTRACTION AT GLOBAL DEA'!K78</f>
        <v>S</v>
      </c>
      <c r="H80" s="77">
        <f>'EXTRACTION AT GLOBAL DEA'!N78</f>
        <v>0</v>
      </c>
      <c r="I80" s="77" t="str">
        <f>'EXTRACTION AT GLOBAL DEA'!L78</f>
        <v>O</v>
      </c>
      <c r="J80" s="77" t="str">
        <f>'EXTRACTION AT GLOBAL DEA'!M78</f>
        <v>N</v>
      </c>
      <c r="K80" s="77"/>
      <c r="L80" s="77"/>
      <c r="M80" s="78">
        <f>'EXTRACTION AT GLOBAL DEA'!B78</f>
        <v>42810</v>
      </c>
      <c r="N80" s="77" t="str">
        <f t="shared" si="5"/>
        <v>mars</v>
      </c>
      <c r="O80" s="65"/>
      <c r="P80" s="67"/>
      <c r="Q80" s="67"/>
      <c r="R80" s="67"/>
      <c r="S80" s="67"/>
      <c r="T80" s="67"/>
      <c r="U80" s="67"/>
      <c r="V80" s="67"/>
      <c r="W80" s="67"/>
      <c r="X80" s="67"/>
      <c r="Y80" s="67"/>
      <c r="Z80" s="67"/>
      <c r="AA80" s="67"/>
      <c r="AB80" s="68"/>
    </row>
    <row r="81" spans="1:28" hidden="1" x14ac:dyDescent="0.25">
      <c r="A81" s="77" t="str">
        <f>'EXTRACTION AT GLOBAL DEA'!D79</f>
        <v>107412</v>
      </c>
      <c r="B81" s="77" t="str">
        <f>'EXTRACTION AT GLOBAL DEA'!E79</f>
        <v>PASQUIER</v>
      </c>
      <c r="C81" s="77" t="str">
        <f>'EXTRACTION AT GLOBAL DEA'!F79</f>
        <v>YVES</v>
      </c>
      <c r="D81" s="77" t="str">
        <f>'EXTRACTION AT GLOBAL DEA'!I79</f>
        <v>MT CA PR</v>
      </c>
      <c r="E81" s="66">
        <f>'EXTRACTION AT GLOBAL DEA'!G79</f>
        <v>45</v>
      </c>
      <c r="F81" s="84" t="str">
        <f t="shared" si="4"/>
        <v>45 à 49 ans</v>
      </c>
      <c r="G81" s="77" t="str">
        <f>'EXTRACTION AT GLOBAL DEA'!K79</f>
        <v>T</v>
      </c>
      <c r="H81" s="77">
        <f>'EXTRACTION AT GLOBAL DEA'!N79</f>
        <v>8</v>
      </c>
      <c r="I81" s="77" t="str">
        <f>'EXTRACTION AT GLOBAL DEA'!L79</f>
        <v>O</v>
      </c>
      <c r="J81" s="77" t="str">
        <f>'EXTRACTION AT GLOBAL DEA'!M79</f>
        <v>N</v>
      </c>
      <c r="K81" s="77"/>
      <c r="L81" s="77"/>
      <c r="M81" s="78">
        <f>'EXTRACTION AT GLOBAL DEA'!B79</f>
        <v>42811</v>
      </c>
      <c r="N81" s="77" t="str">
        <f t="shared" si="5"/>
        <v>mars</v>
      </c>
      <c r="O81" s="65"/>
      <c r="P81" s="67"/>
      <c r="Q81" s="67"/>
      <c r="R81" s="67"/>
      <c r="S81" s="67"/>
      <c r="T81" s="67"/>
      <c r="U81" s="67"/>
      <c r="V81" s="67"/>
      <c r="W81" s="67"/>
      <c r="X81" s="67"/>
      <c r="Y81" s="67"/>
      <c r="Z81" s="67"/>
      <c r="AA81" s="67"/>
      <c r="AB81" s="68"/>
    </row>
    <row r="82" spans="1:28" x14ac:dyDescent="0.25">
      <c r="A82" s="77" t="str">
        <f>'EXTRACTION AT GLOBAL DEA'!D80</f>
        <v>107372</v>
      </c>
      <c r="B82" s="77" t="str">
        <f>'EXTRACTION AT GLOBAL DEA'!E80</f>
        <v>ETORE</v>
      </c>
      <c r="C82" s="77" t="str">
        <f>'EXTRACTION AT GLOBAL DEA'!F80</f>
        <v>STEPHANE</v>
      </c>
      <c r="D82" s="77" t="str">
        <f>'EXTRACTION AT GLOBAL DEA'!I80</f>
        <v>MT HB PR</v>
      </c>
      <c r="E82" s="66">
        <f>'EXTRACTION AT GLOBAL DEA'!G80</f>
        <v>45</v>
      </c>
      <c r="F82" s="84" t="str">
        <f t="shared" si="4"/>
        <v>45 à 49 ans</v>
      </c>
      <c r="G82" s="77" t="str">
        <f>'EXTRACTION AT GLOBAL DEA'!K80</f>
        <v>S</v>
      </c>
      <c r="H82" s="77">
        <f>'EXTRACTION AT GLOBAL DEA'!N80</f>
        <v>0</v>
      </c>
      <c r="I82" s="77" t="str">
        <f>'EXTRACTION AT GLOBAL DEA'!L80</f>
        <v>N</v>
      </c>
      <c r="J82" s="77" t="str">
        <f>'EXTRACTION AT GLOBAL DEA'!M80</f>
        <v>N</v>
      </c>
      <c r="K82" s="77"/>
      <c r="L82" s="77"/>
      <c r="M82" s="78">
        <f>'EXTRACTION AT GLOBAL DEA'!B80</f>
        <v>42812</v>
      </c>
      <c r="N82" s="77" t="str">
        <f t="shared" si="5"/>
        <v>mars</v>
      </c>
      <c r="O82" s="65"/>
      <c r="P82" s="67"/>
      <c r="Q82" s="67"/>
      <c r="R82" s="67"/>
      <c r="S82" s="67"/>
      <c r="T82" s="67"/>
      <c r="U82" s="67"/>
      <c r="V82" s="67"/>
      <c r="W82" s="67"/>
      <c r="X82" s="67"/>
      <c r="Y82" s="67"/>
      <c r="Z82" s="67"/>
      <c r="AA82" s="67"/>
      <c r="AB82" s="68"/>
    </row>
    <row r="83" spans="1:28" x14ac:dyDescent="0.25">
      <c r="A83" s="77" t="str">
        <f>'EXTRACTION AT GLOBAL DEA'!D81</f>
        <v>107374</v>
      </c>
      <c r="B83" s="77" t="str">
        <f>'EXTRACTION AT GLOBAL DEA'!E81</f>
        <v>DANTON</v>
      </c>
      <c r="C83" s="77" t="str">
        <f>'EXTRACTION AT GLOBAL DEA'!F81</f>
        <v>SEBASTIEN</v>
      </c>
      <c r="D83" s="77" t="str">
        <f>'EXTRACTION AT GLOBAL DEA'!I81</f>
        <v>MT HB PR</v>
      </c>
      <c r="E83" s="66">
        <f>'EXTRACTION AT GLOBAL DEA'!G81</f>
        <v>37</v>
      </c>
      <c r="F83" s="84" t="str">
        <f t="shared" si="4"/>
        <v>35 à 39 ans</v>
      </c>
      <c r="G83" s="77" t="str">
        <f>'EXTRACTION AT GLOBAL DEA'!K81</f>
        <v>S</v>
      </c>
      <c r="H83" s="77">
        <f>'EXTRACTION AT GLOBAL DEA'!N81</f>
        <v>0</v>
      </c>
      <c r="I83" s="77" t="str">
        <f>'EXTRACTION AT GLOBAL DEA'!L81</f>
        <v>N</v>
      </c>
      <c r="J83" s="77" t="str">
        <f>'EXTRACTION AT GLOBAL DEA'!M81</f>
        <v>N</v>
      </c>
      <c r="K83" s="77"/>
      <c r="L83" s="77"/>
      <c r="M83" s="78">
        <f>'EXTRACTION AT GLOBAL DEA'!B81</f>
        <v>42813</v>
      </c>
      <c r="N83" s="77" t="str">
        <f t="shared" si="5"/>
        <v>mars</v>
      </c>
      <c r="O83" s="65"/>
      <c r="P83" s="67"/>
      <c r="Q83" s="67"/>
      <c r="R83" s="67"/>
      <c r="S83" s="67"/>
      <c r="T83" s="67"/>
      <c r="U83" s="67"/>
      <c r="V83" s="67"/>
      <c r="W83" s="67"/>
      <c r="X83" s="67"/>
      <c r="Y83" s="67"/>
      <c r="Z83" s="67"/>
      <c r="AA83" s="67"/>
      <c r="AB83" s="68"/>
    </row>
    <row r="84" spans="1:28" x14ac:dyDescent="0.25">
      <c r="A84" s="77" t="str">
        <f>'EXTRACTION AT GLOBAL DEA'!D82</f>
        <v>107392</v>
      </c>
      <c r="B84" s="77" t="str">
        <f>'EXTRACTION AT GLOBAL DEA'!E82</f>
        <v>LEBON</v>
      </c>
      <c r="C84" s="77" t="str">
        <f>'EXTRACTION AT GLOBAL DEA'!F82</f>
        <v>ARNAUD</v>
      </c>
      <c r="D84" s="77" t="str">
        <f>'EXTRACTION AT GLOBAL DEA'!I82</f>
        <v>MT CG PR</v>
      </c>
      <c r="E84" s="66">
        <f>'EXTRACTION AT GLOBAL DEA'!G82</f>
        <v>30</v>
      </c>
      <c r="F84" s="84" t="str">
        <f t="shared" si="4"/>
        <v>30 à 34 ans</v>
      </c>
      <c r="G84" s="77" t="str">
        <f>'EXTRACTION AT GLOBAL DEA'!K82</f>
        <v>S</v>
      </c>
      <c r="H84" s="77">
        <f>'EXTRACTION AT GLOBAL DEA'!N82</f>
        <v>38</v>
      </c>
      <c r="I84" s="77" t="str">
        <f>'EXTRACTION AT GLOBAL DEA'!L82</f>
        <v>O</v>
      </c>
      <c r="J84" s="77" t="str">
        <f>'EXTRACTION AT GLOBAL DEA'!M82</f>
        <v>N</v>
      </c>
      <c r="K84" s="77"/>
      <c r="L84" s="77"/>
      <c r="M84" s="78">
        <f>'EXTRACTION AT GLOBAL DEA'!B82</f>
        <v>42814</v>
      </c>
      <c r="N84" s="77" t="str">
        <f t="shared" si="5"/>
        <v>mars</v>
      </c>
      <c r="O84" s="65"/>
      <c r="P84" s="67"/>
      <c r="Q84" s="67"/>
      <c r="R84" s="67"/>
      <c r="S84" s="67"/>
      <c r="T84" s="67"/>
      <c r="U84" s="67"/>
      <c r="V84" s="67"/>
      <c r="W84" s="67"/>
      <c r="X84" s="67"/>
      <c r="Y84" s="67"/>
      <c r="Z84" s="67"/>
      <c r="AA84" s="67"/>
      <c r="AB84" s="68"/>
    </row>
    <row r="85" spans="1:28" x14ac:dyDescent="0.25">
      <c r="A85" s="77" t="str">
        <f>'EXTRACTION AT GLOBAL DEA'!D83</f>
        <v>107446</v>
      </c>
      <c r="B85" s="77" t="str">
        <f>'EXTRACTION AT GLOBAL DEA'!E83</f>
        <v>LE BEC</v>
      </c>
      <c r="C85" s="77" t="str">
        <f>'EXTRACTION AT GLOBAL DEA'!F83</f>
        <v>ANDRE</v>
      </c>
      <c r="D85" s="77" t="str">
        <f>'EXTRACTION AT GLOBAL DEA'!I83</f>
        <v>MT HB PR</v>
      </c>
      <c r="E85" s="66">
        <f>'EXTRACTION AT GLOBAL DEA'!G83</f>
        <v>53</v>
      </c>
      <c r="F85" s="84" t="str">
        <f t="shared" si="4"/>
        <v>50 à 54 ans</v>
      </c>
      <c r="G85" s="77" t="str">
        <f>'EXTRACTION AT GLOBAL DEA'!K83</f>
        <v>S</v>
      </c>
      <c r="H85" s="77">
        <f>'EXTRACTION AT GLOBAL DEA'!N83</f>
        <v>0</v>
      </c>
      <c r="I85" s="77" t="str">
        <f>'EXTRACTION AT GLOBAL DEA'!L83</f>
        <v>N</v>
      </c>
      <c r="J85" s="77" t="str">
        <f>'EXTRACTION AT GLOBAL DEA'!M83</f>
        <v>N</v>
      </c>
      <c r="K85" s="77"/>
      <c r="L85" s="77"/>
      <c r="M85" s="78">
        <f>'EXTRACTION AT GLOBAL DEA'!B83</f>
        <v>42816</v>
      </c>
      <c r="N85" s="77" t="str">
        <f t="shared" si="5"/>
        <v>mars</v>
      </c>
      <c r="O85" s="65"/>
      <c r="P85" s="67"/>
      <c r="Q85" s="67"/>
      <c r="R85" s="67"/>
      <c r="S85" s="67"/>
      <c r="T85" s="67"/>
      <c r="U85" s="67"/>
      <c r="V85" s="67"/>
      <c r="W85" s="67"/>
      <c r="X85" s="67"/>
      <c r="Y85" s="67"/>
      <c r="Z85" s="67"/>
      <c r="AA85" s="67"/>
      <c r="AB85" s="68"/>
    </row>
    <row r="86" spans="1:28" hidden="1" x14ac:dyDescent="0.25">
      <c r="A86" s="77" t="str">
        <f>'EXTRACTION AT GLOBAL DEA'!D84</f>
        <v>107500</v>
      </c>
      <c r="B86" s="77" t="str">
        <f>'EXTRACTION AT GLOBAL DEA'!E84</f>
        <v>FAUGERE</v>
      </c>
      <c r="C86" s="77" t="str">
        <f>'EXTRACTION AT GLOBAL DEA'!F84</f>
        <v>STEPHANE</v>
      </c>
      <c r="D86" s="77" t="str">
        <f>'EXTRACTION AT GLOBAL DEA'!I84</f>
        <v>MT QJ</v>
      </c>
      <c r="E86" s="66">
        <f>'EXTRACTION AT GLOBAL DEA'!G84</f>
        <v>45</v>
      </c>
      <c r="F86" s="84" t="str">
        <f t="shared" si="4"/>
        <v>45 à 49 ans</v>
      </c>
      <c r="G86" s="77" t="str">
        <f>'EXTRACTION AT GLOBAL DEA'!K84</f>
        <v>T</v>
      </c>
      <c r="H86" s="77">
        <f>'EXTRACTION AT GLOBAL DEA'!N84</f>
        <v>17</v>
      </c>
      <c r="I86" s="77" t="str">
        <f>'EXTRACTION AT GLOBAL DEA'!L84</f>
        <v>O</v>
      </c>
      <c r="J86" s="77" t="str">
        <f>'EXTRACTION AT GLOBAL DEA'!M84</f>
        <v>N</v>
      </c>
      <c r="K86" s="77"/>
      <c r="L86" s="77"/>
      <c r="M86" s="78">
        <f>'EXTRACTION AT GLOBAL DEA'!B84</f>
        <v>42819</v>
      </c>
      <c r="N86" s="77" t="str">
        <f t="shared" si="5"/>
        <v>mars</v>
      </c>
      <c r="O86" s="65"/>
      <c r="P86" s="67"/>
      <c r="Q86" s="67"/>
      <c r="R86" s="67"/>
      <c r="S86" s="67"/>
      <c r="T86" s="67"/>
      <c r="U86" s="67"/>
      <c r="V86" s="67"/>
      <c r="W86" s="67"/>
      <c r="X86" s="67"/>
      <c r="Y86" s="67"/>
      <c r="Z86" s="67"/>
      <c r="AA86" s="67"/>
      <c r="AB86" s="68"/>
    </row>
    <row r="87" spans="1:28" x14ac:dyDescent="0.25">
      <c r="A87" s="77" t="str">
        <f>'EXTRACTION AT GLOBAL DEA'!D85</f>
        <v>107605</v>
      </c>
      <c r="B87" s="77" t="str">
        <f>'EXTRACTION AT GLOBAL DEA'!E85</f>
        <v>BUFFET</v>
      </c>
      <c r="C87" s="77" t="str">
        <f>'EXTRACTION AT GLOBAL DEA'!F85</f>
        <v>VINCENT</v>
      </c>
      <c r="D87" s="77" t="str">
        <f>'EXTRACTION AT GLOBAL DEA'!I85</f>
        <v>MT HB PR</v>
      </c>
      <c r="E87" s="66">
        <f>'EXTRACTION AT GLOBAL DEA'!G85</f>
        <v>33</v>
      </c>
      <c r="F87" s="84" t="str">
        <f t="shared" si="4"/>
        <v>30 à 34 ans</v>
      </c>
      <c r="G87" s="77" t="str">
        <f>'EXTRACTION AT GLOBAL DEA'!K85</f>
        <v>S</v>
      </c>
      <c r="H87" s="77">
        <f>'EXTRACTION AT GLOBAL DEA'!N85</f>
        <v>0</v>
      </c>
      <c r="I87" s="77" t="str">
        <f>'EXTRACTION AT GLOBAL DEA'!L85</f>
        <v>N</v>
      </c>
      <c r="J87" s="77" t="str">
        <f>'EXTRACTION AT GLOBAL DEA'!M85</f>
        <v>N</v>
      </c>
      <c r="K87" s="77"/>
      <c r="L87" s="77"/>
      <c r="M87" s="78">
        <f>'EXTRACTION AT GLOBAL DEA'!B85</f>
        <v>42820</v>
      </c>
      <c r="N87" s="77" t="str">
        <f t="shared" si="5"/>
        <v>mars</v>
      </c>
      <c r="O87" s="65"/>
      <c r="P87" s="67"/>
      <c r="Q87" s="67"/>
      <c r="R87" s="67"/>
      <c r="S87" s="67"/>
      <c r="T87" s="67"/>
      <c r="U87" s="67"/>
      <c r="V87" s="67"/>
      <c r="W87" s="67"/>
      <c r="X87" s="67"/>
      <c r="Y87" s="67"/>
      <c r="Z87" s="67"/>
      <c r="AA87" s="67"/>
      <c r="AB87" s="68"/>
    </row>
    <row r="88" spans="1:28" hidden="1" x14ac:dyDescent="0.25">
      <c r="A88" s="77" t="str">
        <f>'EXTRACTION AT GLOBAL DEA'!D86</f>
        <v>107587</v>
      </c>
      <c r="B88" s="77" t="str">
        <f>'EXTRACTION AT GLOBAL DEA'!E86</f>
        <v>MIDOL MONNET</v>
      </c>
      <c r="C88" s="77" t="str">
        <f>'EXTRACTION AT GLOBAL DEA'!F86</f>
        <v>OLIVIER</v>
      </c>
      <c r="D88" s="77" t="str">
        <f>'EXTRACTION AT GLOBAL DEA'!I86</f>
        <v>MT CA PR</v>
      </c>
      <c r="E88" s="66">
        <f>'EXTRACTION AT GLOBAL DEA'!G86</f>
        <v>42</v>
      </c>
      <c r="F88" s="84" t="str">
        <f t="shared" si="4"/>
        <v>40 à 44 ans</v>
      </c>
      <c r="G88" s="77" t="str">
        <f>'EXTRACTION AT GLOBAL DEA'!K86</f>
        <v>T</v>
      </c>
      <c r="H88" s="77">
        <f>'EXTRACTION AT GLOBAL DEA'!N86</f>
        <v>0</v>
      </c>
      <c r="I88" s="77" t="str">
        <f>'EXTRACTION AT GLOBAL DEA'!L86</f>
        <v>N</v>
      </c>
      <c r="J88" s="77" t="str">
        <f>'EXTRACTION AT GLOBAL DEA'!M86</f>
        <v>N</v>
      </c>
      <c r="K88" s="77"/>
      <c r="L88" s="77"/>
      <c r="M88" s="78">
        <f>'EXTRACTION AT GLOBAL DEA'!B86</f>
        <v>42821</v>
      </c>
      <c r="N88" s="77" t="str">
        <f t="shared" si="5"/>
        <v>mars</v>
      </c>
      <c r="O88" s="65"/>
      <c r="P88" s="67"/>
      <c r="Q88" s="67"/>
      <c r="R88" s="67"/>
      <c r="S88" s="67"/>
      <c r="T88" s="67"/>
      <c r="U88" s="67"/>
      <c r="V88" s="67"/>
      <c r="W88" s="67"/>
      <c r="X88" s="67"/>
      <c r="Y88" s="67"/>
      <c r="Z88" s="67"/>
      <c r="AA88" s="67"/>
      <c r="AB88" s="68"/>
    </row>
    <row r="89" spans="1:28" x14ac:dyDescent="0.25">
      <c r="A89" s="77" t="str">
        <f>'EXTRACTION AT GLOBAL DEA'!D87</f>
        <v>107610</v>
      </c>
      <c r="B89" s="77" t="str">
        <f>'EXTRACTION AT GLOBAL DEA'!E87</f>
        <v>MARTINS</v>
      </c>
      <c r="C89" s="77" t="str">
        <f>'EXTRACTION AT GLOBAL DEA'!F87</f>
        <v>STEPHANE</v>
      </c>
      <c r="D89" s="77" t="str">
        <f>'EXTRACTION AT GLOBAL DEA'!I87</f>
        <v>MT CA PR</v>
      </c>
      <c r="E89" s="66">
        <f>'EXTRACTION AT GLOBAL DEA'!G87</f>
        <v>35</v>
      </c>
      <c r="F89" s="84" t="str">
        <f t="shared" si="4"/>
        <v>35 à 39 ans</v>
      </c>
      <c r="G89" s="77" t="str">
        <f>'EXTRACTION AT GLOBAL DEA'!K87</f>
        <v>S</v>
      </c>
      <c r="H89" s="77">
        <f>'EXTRACTION AT GLOBAL DEA'!N87</f>
        <v>0</v>
      </c>
      <c r="I89" s="77" t="str">
        <f>'EXTRACTION AT GLOBAL DEA'!L87</f>
        <v>N</v>
      </c>
      <c r="J89" s="77" t="str">
        <f>'EXTRACTION AT GLOBAL DEA'!M87</f>
        <v>N</v>
      </c>
      <c r="K89" s="77"/>
      <c r="L89" s="77"/>
      <c r="M89" s="78">
        <f>'EXTRACTION AT GLOBAL DEA'!B87</f>
        <v>42821</v>
      </c>
      <c r="N89" s="77" t="str">
        <f t="shared" si="5"/>
        <v>mars</v>
      </c>
      <c r="O89" s="65"/>
      <c r="P89" s="67"/>
      <c r="Q89" s="67"/>
      <c r="R89" s="67"/>
      <c r="S89" s="67"/>
      <c r="T89" s="67"/>
      <c r="U89" s="67"/>
      <c r="V89" s="67"/>
      <c r="W89" s="67"/>
      <c r="X89" s="67"/>
      <c r="Y89" s="67"/>
      <c r="Z89" s="67"/>
      <c r="AA89" s="67"/>
      <c r="AB89" s="68"/>
    </row>
    <row r="90" spans="1:28" x14ac:dyDescent="0.25">
      <c r="A90" s="77" t="str">
        <f>'EXTRACTION AT GLOBAL DEA'!D88</f>
        <v>107663</v>
      </c>
      <c r="B90" s="77" t="str">
        <f>'EXTRACTION AT GLOBAL DEA'!E88</f>
        <v>HALLIEZ</v>
      </c>
      <c r="C90" s="77" t="str">
        <f>'EXTRACTION AT GLOBAL DEA'!F88</f>
        <v>VINCENT</v>
      </c>
      <c r="D90" s="77" t="str">
        <f>'EXTRACTION AT GLOBAL DEA'!I88</f>
        <v>MT CG PW</v>
      </c>
      <c r="E90" s="66">
        <f>'EXTRACTION AT GLOBAL DEA'!G88</f>
        <v>33</v>
      </c>
      <c r="F90" s="84" t="str">
        <f t="shared" si="4"/>
        <v>30 à 34 ans</v>
      </c>
      <c r="G90" s="77" t="str">
        <f>'EXTRACTION AT GLOBAL DEA'!K88</f>
        <v>S</v>
      </c>
      <c r="H90" s="77">
        <f>'EXTRACTION AT GLOBAL DEA'!N88</f>
        <v>0</v>
      </c>
      <c r="I90" s="77" t="str">
        <f>'EXTRACTION AT GLOBAL DEA'!L88</f>
        <v>N</v>
      </c>
      <c r="J90" s="77" t="str">
        <f>'EXTRACTION AT GLOBAL DEA'!M88</f>
        <v>N</v>
      </c>
      <c r="K90" s="77"/>
      <c r="L90" s="77"/>
      <c r="M90" s="78">
        <f>'EXTRACTION AT GLOBAL DEA'!B88</f>
        <v>42821</v>
      </c>
      <c r="N90" s="77" t="str">
        <f t="shared" si="5"/>
        <v>mars</v>
      </c>
      <c r="O90" s="65"/>
      <c r="P90" s="67"/>
      <c r="Q90" s="67"/>
      <c r="R90" s="67"/>
      <c r="S90" s="67"/>
      <c r="T90" s="67"/>
      <c r="U90" s="67"/>
      <c r="V90" s="67"/>
      <c r="W90" s="67"/>
      <c r="X90" s="67"/>
      <c r="Y90" s="67"/>
      <c r="Z90" s="67"/>
      <c r="AA90" s="67"/>
      <c r="AB90" s="68"/>
    </row>
    <row r="91" spans="1:28" hidden="1" x14ac:dyDescent="0.25">
      <c r="A91" s="77" t="str">
        <f>'EXTRACTION AT GLOBAL DEA'!D89</f>
        <v>107672</v>
      </c>
      <c r="B91" s="77" t="str">
        <f>'EXTRACTION AT GLOBAL DEA'!E89</f>
        <v>BOURGEOIS</v>
      </c>
      <c r="C91" s="77" t="str">
        <f>'EXTRACTION AT GLOBAL DEA'!F89</f>
        <v>PHILIPPE</v>
      </c>
      <c r="D91" s="77" t="str">
        <f>'EXTRACTION AT GLOBAL DEA'!I89</f>
        <v>MT CC PR</v>
      </c>
      <c r="E91" s="66">
        <f>'EXTRACTION AT GLOBAL DEA'!G89</f>
        <v>56</v>
      </c>
      <c r="F91" s="84" t="str">
        <f t="shared" si="4"/>
        <v>55 à 59 ans</v>
      </c>
      <c r="G91" s="77" t="str">
        <f>'EXTRACTION AT GLOBAL DEA'!K89</f>
        <v>T</v>
      </c>
      <c r="H91" s="77">
        <f>'EXTRACTION AT GLOBAL DEA'!N89</f>
        <v>0</v>
      </c>
      <c r="I91" s="77" t="str">
        <f>'EXTRACTION AT GLOBAL DEA'!L89</f>
        <v>N</v>
      </c>
      <c r="J91" s="77" t="str">
        <f>'EXTRACTION AT GLOBAL DEA'!M89</f>
        <v>N</v>
      </c>
      <c r="K91" s="77"/>
      <c r="L91" s="77"/>
      <c r="M91" s="78">
        <f>'EXTRACTION AT GLOBAL DEA'!B89</f>
        <v>42821</v>
      </c>
      <c r="N91" s="77" t="str">
        <f t="shared" si="5"/>
        <v>mars</v>
      </c>
      <c r="O91" s="65"/>
      <c r="P91" s="67"/>
      <c r="Q91" s="67"/>
      <c r="R91" s="67"/>
      <c r="S91" s="67"/>
      <c r="T91" s="67"/>
      <c r="U91" s="67"/>
      <c r="V91" s="67"/>
      <c r="W91" s="67"/>
      <c r="X91" s="67"/>
      <c r="Y91" s="67"/>
      <c r="Z91" s="67"/>
      <c r="AA91" s="67"/>
      <c r="AB91" s="68"/>
    </row>
    <row r="92" spans="1:28" x14ac:dyDescent="0.25">
      <c r="A92" s="77" t="str">
        <f>'EXTRACTION AT GLOBAL DEA'!D90</f>
        <v>107671</v>
      </c>
      <c r="B92" s="77" t="str">
        <f>'EXTRACTION AT GLOBAL DEA'!E90</f>
        <v>ANTHEAUME</v>
      </c>
      <c r="C92" s="77" t="str">
        <f>'EXTRACTION AT GLOBAL DEA'!F90</f>
        <v>RENAUD</v>
      </c>
      <c r="D92" s="77" t="str">
        <f>'EXTRACTION AT GLOBAL DEA'!I90</f>
        <v>MT CA PR</v>
      </c>
      <c r="E92" s="66">
        <f>'EXTRACTION AT GLOBAL DEA'!G90</f>
        <v>30</v>
      </c>
      <c r="F92" s="84" t="str">
        <f t="shared" si="4"/>
        <v>30 à 34 ans</v>
      </c>
      <c r="G92" s="77" t="str">
        <f>'EXTRACTION AT GLOBAL DEA'!K90</f>
        <v>S</v>
      </c>
      <c r="H92" s="77">
        <f>'EXTRACTION AT GLOBAL DEA'!N90</f>
        <v>3</v>
      </c>
      <c r="I92" s="77" t="str">
        <f>'EXTRACTION AT GLOBAL DEA'!L90</f>
        <v>O</v>
      </c>
      <c r="J92" s="77" t="str">
        <f>'EXTRACTION AT GLOBAL DEA'!M90</f>
        <v>N</v>
      </c>
      <c r="K92" s="77"/>
      <c r="L92" s="77"/>
      <c r="M92" s="78">
        <f>'EXTRACTION AT GLOBAL DEA'!B90</f>
        <v>42822</v>
      </c>
      <c r="N92" s="77" t="str">
        <f t="shared" si="5"/>
        <v>mars</v>
      </c>
      <c r="O92" s="65"/>
      <c r="P92" s="67"/>
      <c r="Q92" s="67"/>
      <c r="R92" s="67"/>
      <c r="S92" s="67"/>
      <c r="T92" s="67"/>
      <c r="U92" s="67"/>
      <c r="V92" s="67"/>
      <c r="W92" s="67"/>
      <c r="X92" s="67"/>
      <c r="Y92" s="67"/>
      <c r="Z92" s="67"/>
      <c r="AA92" s="67"/>
      <c r="AB92" s="68"/>
    </row>
    <row r="93" spans="1:28" x14ac:dyDescent="0.25">
      <c r="A93" s="77" t="str">
        <f>'EXTRACTION AT GLOBAL DEA'!D91</f>
        <v>107651</v>
      </c>
      <c r="B93" s="77" t="str">
        <f>'EXTRACTION AT GLOBAL DEA'!E91</f>
        <v>LAUTRU</v>
      </c>
      <c r="C93" s="77" t="str">
        <f>'EXTRACTION AT GLOBAL DEA'!F91</f>
        <v>ALAIN</v>
      </c>
      <c r="D93" s="77" t="str">
        <f>'EXTRACTION AT GLOBAL DEA'!I91</f>
        <v>MT YH TA</v>
      </c>
      <c r="E93" s="66">
        <f>'EXTRACTION AT GLOBAL DEA'!G91</f>
        <v>56</v>
      </c>
      <c r="F93" s="84" t="str">
        <f t="shared" si="4"/>
        <v>55 à 59 ans</v>
      </c>
      <c r="G93" s="77" t="str">
        <f>'EXTRACTION AT GLOBAL DEA'!K91</f>
        <v>S</v>
      </c>
      <c r="H93" s="77">
        <f>'EXTRACTION AT GLOBAL DEA'!N91</f>
        <v>203</v>
      </c>
      <c r="I93" s="77" t="str">
        <f>'EXTRACTION AT GLOBAL DEA'!L91</f>
        <v>O</v>
      </c>
      <c r="J93" s="77" t="str">
        <f>'EXTRACTION AT GLOBAL DEA'!M91</f>
        <v>N</v>
      </c>
      <c r="K93" s="77"/>
      <c r="L93" s="77"/>
      <c r="M93" s="78">
        <f>'EXTRACTION AT GLOBAL DEA'!B91</f>
        <v>42822</v>
      </c>
      <c r="N93" s="77" t="str">
        <f t="shared" si="5"/>
        <v>mars</v>
      </c>
      <c r="O93" s="65"/>
      <c r="P93" s="67"/>
      <c r="Q93" s="67"/>
      <c r="R93" s="67"/>
      <c r="S93" s="67"/>
      <c r="T93" s="67"/>
      <c r="U93" s="67"/>
      <c r="V93" s="67"/>
      <c r="W93" s="67"/>
      <c r="X93" s="67"/>
      <c r="Y93" s="67"/>
      <c r="Z93" s="67"/>
      <c r="AA93" s="67"/>
      <c r="AB93" s="68"/>
    </row>
    <row r="94" spans="1:28" x14ac:dyDescent="0.25">
      <c r="A94" s="77" t="str">
        <f>'EXTRACTION AT GLOBAL DEA'!D92</f>
        <v>107640</v>
      </c>
      <c r="B94" s="77" t="str">
        <f>'EXTRACTION AT GLOBAL DEA'!E92</f>
        <v>DELAMARRE</v>
      </c>
      <c r="C94" s="77" t="str">
        <f>'EXTRACTION AT GLOBAL DEA'!F92</f>
        <v>HERVE</v>
      </c>
      <c r="D94" s="77" t="str">
        <f>'EXTRACTION AT GLOBAL DEA'!I92</f>
        <v>BODKI</v>
      </c>
      <c r="E94" s="66">
        <f>'EXTRACTION AT GLOBAL DEA'!G92</f>
        <v>59</v>
      </c>
      <c r="F94" s="84" t="str">
        <f t="shared" si="4"/>
        <v>55 à 59 ans</v>
      </c>
      <c r="G94" s="77" t="str">
        <f>'EXTRACTION AT GLOBAL DEA'!K92</f>
        <v>S</v>
      </c>
      <c r="H94" s="77">
        <f>'EXTRACTION AT GLOBAL DEA'!N92</f>
        <v>0</v>
      </c>
      <c r="I94" s="77" t="str">
        <f>'EXTRACTION AT GLOBAL DEA'!L92</f>
        <v>N</v>
      </c>
      <c r="J94" s="77" t="str">
        <f>'EXTRACTION AT GLOBAL DEA'!M92</f>
        <v>N</v>
      </c>
      <c r="K94" s="77"/>
      <c r="L94" s="77"/>
      <c r="M94" s="78">
        <f>'EXTRACTION AT GLOBAL DEA'!B92</f>
        <v>42823</v>
      </c>
      <c r="N94" s="77" t="str">
        <f t="shared" si="5"/>
        <v>mars</v>
      </c>
      <c r="O94" s="65"/>
      <c r="P94" s="67"/>
      <c r="Q94" s="67"/>
      <c r="R94" s="67"/>
      <c r="S94" s="67"/>
      <c r="T94" s="67"/>
      <c r="U94" s="67"/>
      <c r="V94" s="67"/>
      <c r="W94" s="67"/>
      <c r="X94" s="67"/>
      <c r="Y94" s="67"/>
      <c r="Z94" s="67"/>
      <c r="AA94" s="67"/>
      <c r="AB94" s="68"/>
    </row>
    <row r="95" spans="1:28" x14ac:dyDescent="0.25">
      <c r="A95" s="77" t="str">
        <f>'EXTRACTION AT GLOBAL DEA'!D93</f>
        <v>107748</v>
      </c>
      <c r="B95" s="77" t="str">
        <f>'EXTRACTION AT GLOBAL DEA'!E93</f>
        <v>BERTRAND</v>
      </c>
      <c r="C95" s="77" t="str">
        <f>'EXTRACTION AT GLOBAL DEA'!F93</f>
        <v>LAURENT</v>
      </c>
      <c r="D95" s="77" t="str">
        <f>'EXTRACTION AT GLOBAL DEA'!I93</f>
        <v>MT YC PR</v>
      </c>
      <c r="E95" s="66">
        <f>'EXTRACTION AT GLOBAL DEA'!G93</f>
        <v>56</v>
      </c>
      <c r="F95" s="84" t="str">
        <f t="shared" si="4"/>
        <v>55 à 59 ans</v>
      </c>
      <c r="G95" s="77" t="str">
        <f>'EXTRACTION AT GLOBAL DEA'!K93</f>
        <v>S</v>
      </c>
      <c r="H95" s="77">
        <f>'EXTRACTION AT GLOBAL DEA'!N93</f>
        <v>0</v>
      </c>
      <c r="I95" s="77" t="str">
        <f>'EXTRACTION AT GLOBAL DEA'!L93</f>
        <v>N</v>
      </c>
      <c r="J95" s="77" t="str">
        <f>'EXTRACTION AT GLOBAL DEA'!M93</f>
        <v>N</v>
      </c>
      <c r="K95" s="77"/>
      <c r="L95" s="77"/>
      <c r="M95" s="78">
        <f>'EXTRACTION AT GLOBAL DEA'!B93</f>
        <v>42823</v>
      </c>
      <c r="N95" s="77" t="str">
        <f t="shared" si="5"/>
        <v>mars</v>
      </c>
      <c r="O95" s="65"/>
      <c r="P95" s="67"/>
      <c r="Q95" s="67"/>
      <c r="R95" s="67"/>
      <c r="S95" s="67"/>
      <c r="T95" s="67"/>
      <c r="U95" s="67"/>
      <c r="V95" s="67"/>
      <c r="W95" s="67"/>
      <c r="X95" s="67"/>
      <c r="Y95" s="67"/>
      <c r="Z95" s="67"/>
      <c r="AA95" s="67"/>
      <c r="AB95" s="68"/>
    </row>
    <row r="96" spans="1:28" hidden="1" x14ac:dyDescent="0.25">
      <c r="A96" s="77" t="str">
        <f>'EXTRACTION AT GLOBAL DEA'!D94</f>
        <v>107679</v>
      </c>
      <c r="B96" s="77" t="str">
        <f>'EXTRACTION AT GLOBAL DEA'!E94</f>
        <v>BENSALEM</v>
      </c>
      <c r="C96" s="77" t="str">
        <f>'EXTRACTION AT GLOBAL DEA'!F94</f>
        <v>NACER</v>
      </c>
      <c r="D96" s="77" t="str">
        <f>'EXTRACTION AT GLOBAL DEA'!I94</f>
        <v>BLDPUDRY</v>
      </c>
      <c r="E96" s="66">
        <f>'EXTRACTION AT GLOBAL DEA'!G94</f>
        <v>19</v>
      </c>
      <c r="F96" s="84" t="str">
        <f t="shared" si="4"/>
        <v>Moins de 20 ans</v>
      </c>
      <c r="G96" s="77" t="str">
        <f>'EXTRACTION AT GLOBAL DEA'!K94</f>
        <v>T</v>
      </c>
      <c r="H96" s="77">
        <f>'EXTRACTION AT GLOBAL DEA'!N94</f>
        <v>22</v>
      </c>
      <c r="I96" s="77" t="str">
        <f>'EXTRACTION AT GLOBAL DEA'!L94</f>
        <v>O</v>
      </c>
      <c r="J96" s="77" t="str">
        <f>'EXTRACTION AT GLOBAL DEA'!M94</f>
        <v>N</v>
      </c>
      <c r="K96" s="77"/>
      <c r="L96" s="77"/>
      <c r="M96" s="78">
        <f>'EXTRACTION AT GLOBAL DEA'!B94</f>
        <v>42824</v>
      </c>
      <c r="N96" s="77" t="str">
        <f t="shared" si="5"/>
        <v>mars</v>
      </c>
      <c r="O96" s="65"/>
      <c r="P96" s="67"/>
      <c r="Q96" s="67"/>
      <c r="R96" s="67"/>
      <c r="S96" s="67"/>
      <c r="T96" s="67"/>
      <c r="U96" s="67"/>
      <c r="V96" s="67"/>
      <c r="W96" s="67"/>
      <c r="X96" s="67"/>
      <c r="Y96" s="67"/>
      <c r="Z96" s="67"/>
      <c r="AA96" s="67"/>
      <c r="AB96" s="68"/>
    </row>
    <row r="97" spans="1:28" x14ac:dyDescent="0.25">
      <c r="A97" s="77" t="str">
        <f>'EXTRACTION AT GLOBAL DEA'!D95</f>
        <v>107879</v>
      </c>
      <c r="B97" s="77" t="str">
        <f>'EXTRACTION AT GLOBAL DEA'!E95</f>
        <v>LE BIDAN</v>
      </c>
      <c r="C97" s="77" t="str">
        <f>'EXTRACTION AT GLOBAL DEA'!F95</f>
        <v>ERICK</v>
      </c>
      <c r="D97" s="77" t="str">
        <f>'EXTRACTION AT GLOBAL DEA'!I95</f>
        <v>MT LK PR</v>
      </c>
      <c r="E97" s="66">
        <f>'EXTRACTION AT GLOBAL DEA'!G95</f>
        <v>50</v>
      </c>
      <c r="F97" s="84" t="str">
        <f t="shared" si="4"/>
        <v>50 à 54 ans</v>
      </c>
      <c r="G97" s="77" t="str">
        <f>'EXTRACTION AT GLOBAL DEA'!K95</f>
        <v>S</v>
      </c>
      <c r="H97" s="77">
        <f>'EXTRACTION AT GLOBAL DEA'!N95</f>
        <v>0</v>
      </c>
      <c r="I97" s="77" t="str">
        <f>'EXTRACTION AT GLOBAL DEA'!L95</f>
        <v>N</v>
      </c>
      <c r="J97" s="77" t="str">
        <f>'EXTRACTION AT GLOBAL DEA'!M95</f>
        <v>N</v>
      </c>
      <c r="K97" s="77"/>
      <c r="L97" s="77"/>
      <c r="M97" s="78">
        <f>'EXTRACTION AT GLOBAL DEA'!B95</f>
        <v>42825</v>
      </c>
      <c r="N97" s="77" t="str">
        <f t="shared" si="5"/>
        <v>mars</v>
      </c>
      <c r="O97" s="65"/>
      <c r="P97" s="67"/>
      <c r="Q97" s="67"/>
      <c r="R97" s="67"/>
      <c r="S97" s="67"/>
      <c r="T97" s="67"/>
      <c r="U97" s="67"/>
      <c r="V97" s="67"/>
      <c r="W97" s="67"/>
      <c r="X97" s="67"/>
      <c r="Y97" s="67"/>
      <c r="Z97" s="67"/>
      <c r="AA97" s="67"/>
      <c r="AB97" s="68"/>
    </row>
    <row r="98" spans="1:28" x14ac:dyDescent="0.25">
      <c r="A98" s="77" t="str">
        <f>'EXTRACTION AT GLOBAL DEA'!D96</f>
        <v>107742</v>
      </c>
      <c r="B98" s="77" t="str">
        <f>'EXTRACTION AT GLOBAL DEA'!E96</f>
        <v>BRIOT</v>
      </c>
      <c r="C98" s="77" t="str">
        <f>'EXTRACTION AT GLOBAL DEA'!F96</f>
        <v>LAURENT</v>
      </c>
      <c r="D98" s="77" t="str">
        <f>'EXTRACTION AT GLOBAL DEA'!I96</f>
        <v>MT HB PR</v>
      </c>
      <c r="E98" s="66">
        <f>'EXTRACTION AT GLOBAL DEA'!G96</f>
        <v>51</v>
      </c>
      <c r="F98" s="84" t="str">
        <f t="shared" si="4"/>
        <v>50 à 54 ans</v>
      </c>
      <c r="G98" s="77" t="str">
        <f>'EXTRACTION AT GLOBAL DEA'!K96</f>
        <v>S</v>
      </c>
      <c r="H98" s="77">
        <f>'EXTRACTION AT GLOBAL DEA'!N96</f>
        <v>7</v>
      </c>
      <c r="I98" s="77" t="str">
        <f>'EXTRACTION AT GLOBAL DEA'!L96</f>
        <v>O</v>
      </c>
      <c r="J98" s="77" t="str">
        <f>'EXTRACTION AT GLOBAL DEA'!M96</f>
        <v>N</v>
      </c>
      <c r="K98" s="77"/>
      <c r="L98" s="77"/>
      <c r="M98" s="78">
        <f>'EXTRACTION AT GLOBAL DEA'!B96</f>
        <v>42825</v>
      </c>
      <c r="N98" s="77" t="str">
        <f t="shared" si="5"/>
        <v>mars</v>
      </c>
      <c r="O98" s="65"/>
      <c r="P98" s="67"/>
      <c r="Q98" s="67"/>
      <c r="R98" s="67"/>
      <c r="S98" s="67"/>
      <c r="T98" s="67"/>
      <c r="U98" s="67"/>
      <c r="V98" s="67"/>
      <c r="W98" s="67"/>
      <c r="X98" s="67"/>
      <c r="Y98" s="67"/>
      <c r="Z98" s="67"/>
      <c r="AA98" s="67"/>
      <c r="AB98" s="68"/>
    </row>
    <row r="99" spans="1:28" x14ac:dyDescent="0.25">
      <c r="A99" s="77" t="str">
        <f>'EXTRACTION AT GLOBAL DEA'!D97</f>
        <v>107804</v>
      </c>
      <c r="B99" s="77" t="str">
        <f>'EXTRACTION AT GLOBAL DEA'!E97</f>
        <v>LAROQUE</v>
      </c>
      <c r="C99" s="77" t="str">
        <f>'EXTRACTION AT GLOBAL DEA'!F97</f>
        <v>GILLES</v>
      </c>
      <c r="D99" s="77" t="str">
        <f>'EXTRACTION AT GLOBAL DEA'!I97</f>
        <v>MT CA PR</v>
      </c>
      <c r="E99" s="66">
        <f>'EXTRACTION AT GLOBAL DEA'!G97</f>
        <v>53</v>
      </c>
      <c r="F99" s="84" t="str">
        <f t="shared" si="4"/>
        <v>50 à 54 ans</v>
      </c>
      <c r="G99" s="77" t="str">
        <f>'EXTRACTION AT GLOBAL DEA'!K97</f>
        <v>S</v>
      </c>
      <c r="H99" s="77">
        <f>'EXTRACTION AT GLOBAL DEA'!N97</f>
        <v>0</v>
      </c>
      <c r="I99" s="77" t="str">
        <f>'EXTRACTION AT GLOBAL DEA'!L97</f>
        <v>N</v>
      </c>
      <c r="J99" s="77" t="str">
        <f>'EXTRACTION AT GLOBAL DEA'!M97</f>
        <v>O</v>
      </c>
      <c r="K99" s="77"/>
      <c r="L99" s="77"/>
      <c r="M99" s="78">
        <f>'EXTRACTION AT GLOBAL DEA'!B97</f>
        <v>42828</v>
      </c>
      <c r="N99" s="77" t="str">
        <f t="shared" si="5"/>
        <v>avril</v>
      </c>
      <c r="O99" s="65"/>
      <c r="P99" s="67"/>
      <c r="Q99" s="67"/>
      <c r="R99" s="67"/>
      <c r="S99" s="67"/>
      <c r="T99" s="67"/>
      <c r="U99" s="67"/>
      <c r="V99" s="67"/>
      <c r="W99" s="67"/>
      <c r="X99" s="67"/>
      <c r="Y99" s="67"/>
      <c r="Z99" s="67"/>
      <c r="AA99" s="67"/>
      <c r="AB99" s="68">
        <f t="shared" si="3"/>
        <v>0</v>
      </c>
    </row>
    <row r="100" spans="1:28" hidden="1" x14ac:dyDescent="0.25">
      <c r="A100" s="77" t="str">
        <f>'EXTRACTION AT GLOBAL DEA'!D98</f>
        <v>107789</v>
      </c>
      <c r="B100" s="77" t="str">
        <f>'EXTRACTION AT GLOBAL DEA'!E98</f>
        <v>ECOLASSE</v>
      </c>
      <c r="C100" s="77" t="str">
        <f>'EXTRACTION AT GLOBAL DEA'!F98</f>
        <v>GEOFFREY</v>
      </c>
      <c r="D100" s="77" t="str">
        <f>'EXTRACTION AT GLOBAL DEA'!I98</f>
        <v>BLDPMSVL</v>
      </c>
      <c r="E100" s="66">
        <f>'EXTRACTION AT GLOBAL DEA'!G98</f>
        <v>26</v>
      </c>
      <c r="F100" s="84" t="str">
        <f t="shared" si="4"/>
        <v>25 à 29 ans</v>
      </c>
      <c r="G100" s="77" t="str">
        <f>'EXTRACTION AT GLOBAL DEA'!K98</f>
        <v>T</v>
      </c>
      <c r="H100" s="77">
        <f>'EXTRACTION AT GLOBAL DEA'!N98</f>
        <v>0</v>
      </c>
      <c r="I100" s="77" t="str">
        <f>'EXTRACTION AT GLOBAL DEA'!L98</f>
        <v>N</v>
      </c>
      <c r="J100" s="77" t="str">
        <f>'EXTRACTION AT GLOBAL DEA'!M98</f>
        <v>N</v>
      </c>
      <c r="K100" s="77"/>
      <c r="L100" s="77"/>
      <c r="M100" s="78">
        <f>'EXTRACTION AT GLOBAL DEA'!B98</f>
        <v>42830</v>
      </c>
      <c r="N100" s="77" t="str">
        <f t="shared" si="5"/>
        <v>avril</v>
      </c>
      <c r="O100" s="65"/>
      <c r="P100" s="67"/>
      <c r="Q100" s="67"/>
      <c r="R100" s="67"/>
      <c r="S100" s="67"/>
      <c r="T100" s="67"/>
      <c r="U100" s="67"/>
      <c r="V100" s="67"/>
      <c r="W100" s="67"/>
      <c r="X100" s="67"/>
      <c r="Y100" s="67"/>
      <c r="Z100" s="67"/>
      <c r="AA100" s="67"/>
      <c r="AB100" s="68">
        <f t="shared" si="3"/>
        <v>0</v>
      </c>
    </row>
    <row r="101" spans="1:28" x14ac:dyDescent="0.25">
      <c r="A101" s="77" t="str">
        <f>'EXTRACTION AT GLOBAL DEA'!D99</f>
        <v>107835</v>
      </c>
      <c r="B101" s="77" t="str">
        <f>'EXTRACTION AT GLOBAL DEA'!E99</f>
        <v>MAZEL</v>
      </c>
      <c r="C101" s="77" t="str">
        <f>'EXTRACTION AT GLOBAL DEA'!F99</f>
        <v>LAURENT</v>
      </c>
      <c r="D101" s="77" t="str">
        <f>'EXTRACTION AT GLOBAL DEA'!I99</f>
        <v>MT HB PR</v>
      </c>
      <c r="E101" s="66">
        <f>'EXTRACTION AT GLOBAL DEA'!G99</f>
        <v>47</v>
      </c>
      <c r="F101" s="84" t="str">
        <f t="shared" si="4"/>
        <v>45 à 49 ans</v>
      </c>
      <c r="G101" s="77" t="str">
        <f>'EXTRACTION AT GLOBAL DEA'!K99</f>
        <v>S</v>
      </c>
      <c r="H101" s="77">
        <f>'EXTRACTION AT GLOBAL DEA'!N99</f>
        <v>0</v>
      </c>
      <c r="I101" s="77" t="str">
        <f>'EXTRACTION AT GLOBAL DEA'!L99</f>
        <v>N</v>
      </c>
      <c r="J101" s="77" t="str">
        <f>'EXTRACTION AT GLOBAL DEA'!M99</f>
        <v>N</v>
      </c>
      <c r="K101" s="77"/>
      <c r="L101" s="77"/>
      <c r="M101" s="78">
        <f>'EXTRACTION AT GLOBAL DEA'!B99</f>
        <v>42831</v>
      </c>
      <c r="N101" s="77" t="str">
        <f t="shared" si="5"/>
        <v>avril</v>
      </c>
      <c r="O101" s="65"/>
      <c r="P101" s="67"/>
      <c r="Q101" s="67"/>
      <c r="R101" s="67"/>
      <c r="S101" s="67"/>
      <c r="T101" s="67"/>
      <c r="U101" s="67"/>
      <c r="V101" s="67"/>
      <c r="W101" s="67"/>
      <c r="X101" s="67"/>
      <c r="Y101" s="67"/>
      <c r="Z101" s="67"/>
      <c r="AA101" s="67"/>
      <c r="AB101" s="68">
        <f t="shared" si="3"/>
        <v>0</v>
      </c>
    </row>
    <row r="102" spans="1:28" x14ac:dyDescent="0.25">
      <c r="A102" s="77" t="str">
        <f>'EXTRACTION AT GLOBAL DEA'!D100</f>
        <v>107895</v>
      </c>
      <c r="B102" s="77" t="str">
        <f>'EXTRACTION AT GLOBAL DEA'!E100</f>
        <v>ZANCANARO</v>
      </c>
      <c r="C102" s="77" t="str">
        <f>'EXTRACTION AT GLOBAL DEA'!F100</f>
        <v>MATHIEU</v>
      </c>
      <c r="D102" s="77" t="str">
        <f>'EXTRACTION AT GLOBAL DEA'!I100</f>
        <v>MT CA PR</v>
      </c>
      <c r="E102" s="66">
        <f>'EXTRACTION AT GLOBAL DEA'!G100</f>
        <v>29</v>
      </c>
      <c r="F102" s="84" t="str">
        <f t="shared" si="4"/>
        <v>25 à 29 ans</v>
      </c>
      <c r="G102" s="77" t="str">
        <f>'EXTRACTION AT GLOBAL DEA'!K100</f>
        <v>S</v>
      </c>
      <c r="H102" s="77">
        <f>'EXTRACTION AT GLOBAL DEA'!N100</f>
        <v>0</v>
      </c>
      <c r="I102" s="77" t="str">
        <f>'EXTRACTION AT GLOBAL DEA'!L100</f>
        <v>N</v>
      </c>
      <c r="J102" s="77" t="str">
        <f>'EXTRACTION AT GLOBAL DEA'!M100</f>
        <v>N</v>
      </c>
      <c r="K102" s="77"/>
      <c r="L102" s="77"/>
      <c r="M102" s="78">
        <f>'EXTRACTION AT GLOBAL DEA'!B100</f>
        <v>42831</v>
      </c>
      <c r="N102" s="77" t="str">
        <f t="shared" si="5"/>
        <v>avril</v>
      </c>
      <c r="O102" s="65"/>
      <c r="P102" s="67"/>
      <c r="Q102" s="67"/>
      <c r="R102" s="67"/>
      <c r="S102" s="67"/>
      <c r="T102" s="67"/>
      <c r="U102" s="67"/>
      <c r="V102" s="67"/>
      <c r="W102" s="67"/>
      <c r="X102" s="67"/>
      <c r="Y102" s="67"/>
      <c r="Z102" s="67"/>
      <c r="AA102" s="67"/>
      <c r="AB102" s="68">
        <f t="shared" si="3"/>
        <v>0</v>
      </c>
    </row>
    <row r="103" spans="1:28" x14ac:dyDescent="0.25">
      <c r="A103" s="77" t="str">
        <f>'EXTRACTION AT GLOBAL DEA'!D101</f>
        <v>107982</v>
      </c>
      <c r="B103" s="77" t="str">
        <f>'EXTRACTION AT GLOBAL DEA'!E101</f>
        <v>SIDER</v>
      </c>
      <c r="C103" s="77" t="str">
        <f>'EXTRACTION AT GLOBAL DEA'!F101</f>
        <v>AKIM</v>
      </c>
      <c r="D103" s="77" t="str">
        <f>'EXTRACTION AT GLOBAL DEA'!I101</f>
        <v>MT YH TA</v>
      </c>
      <c r="E103" s="66">
        <f>'EXTRACTION AT GLOBAL DEA'!G101</f>
        <v>40</v>
      </c>
      <c r="F103" s="84" t="str">
        <f t="shared" si="4"/>
        <v>40 à 44 ans</v>
      </c>
      <c r="G103" s="77" t="str">
        <f>'EXTRACTION AT GLOBAL DEA'!K101</f>
        <v>S</v>
      </c>
      <c r="H103" s="77">
        <f>'EXTRACTION AT GLOBAL DEA'!N101</f>
        <v>211</v>
      </c>
      <c r="I103" s="77" t="str">
        <f>'EXTRACTION AT GLOBAL DEA'!L101</f>
        <v>O</v>
      </c>
      <c r="J103" s="77" t="str">
        <f>'EXTRACTION AT GLOBAL DEA'!M101</f>
        <v>N</v>
      </c>
      <c r="K103" s="77"/>
      <c r="L103" s="77"/>
      <c r="M103" s="78">
        <f>'EXTRACTION AT GLOBAL DEA'!B101</f>
        <v>42833</v>
      </c>
      <c r="N103" s="77" t="str">
        <f t="shared" si="5"/>
        <v>avril</v>
      </c>
      <c r="O103" s="65"/>
      <c r="P103" s="67"/>
      <c r="Q103" s="67"/>
      <c r="R103" s="67"/>
      <c r="S103" s="67"/>
      <c r="T103" s="67"/>
      <c r="U103" s="67"/>
      <c r="V103" s="67"/>
      <c r="W103" s="67"/>
      <c r="X103" s="67"/>
      <c r="Y103" s="67"/>
      <c r="Z103" s="67"/>
      <c r="AA103" s="67"/>
      <c r="AB103" s="68">
        <f t="shared" si="3"/>
        <v>0</v>
      </c>
    </row>
    <row r="104" spans="1:28" x14ac:dyDescent="0.25">
      <c r="A104" s="77" t="str">
        <f>'EXTRACTION AT GLOBAL DEA'!D102</f>
        <v>108091</v>
      </c>
      <c r="B104" s="77" t="str">
        <f>'EXTRACTION AT GLOBAL DEA'!E102</f>
        <v>CHODOROWICZ</v>
      </c>
      <c r="C104" s="77" t="str">
        <f>'EXTRACTION AT GLOBAL DEA'!F102</f>
        <v>FABIEN</v>
      </c>
      <c r="D104" s="77" t="str">
        <f>'EXTRACTION AT GLOBAL DEA'!I102</f>
        <v>TLSKI</v>
      </c>
      <c r="E104" s="66">
        <f>'EXTRACTION AT GLOBAL DEA'!G102</f>
        <v>37</v>
      </c>
      <c r="F104" s="84" t="str">
        <f t="shared" si="4"/>
        <v>35 à 39 ans</v>
      </c>
      <c r="G104" s="77" t="str">
        <f>'EXTRACTION AT GLOBAL DEA'!K102</f>
        <v>S</v>
      </c>
      <c r="H104" s="77">
        <f>'EXTRACTION AT GLOBAL DEA'!N102</f>
        <v>0</v>
      </c>
      <c r="I104" s="77" t="str">
        <f>'EXTRACTION AT GLOBAL DEA'!L102</f>
        <v>N</v>
      </c>
      <c r="J104" s="77" t="str">
        <f>'EXTRACTION AT GLOBAL DEA'!M102</f>
        <v>N</v>
      </c>
      <c r="K104" s="77"/>
      <c r="L104" s="77"/>
      <c r="M104" s="78">
        <f>'EXTRACTION AT GLOBAL DEA'!B102</f>
        <v>42835</v>
      </c>
      <c r="N104" s="77" t="str">
        <f t="shared" si="5"/>
        <v>avril</v>
      </c>
      <c r="O104" s="65"/>
      <c r="P104" s="67"/>
      <c r="Q104" s="67"/>
      <c r="R104" s="67"/>
      <c r="S104" s="67"/>
      <c r="T104" s="67"/>
      <c r="U104" s="67"/>
      <c r="V104" s="67"/>
      <c r="W104" s="67"/>
      <c r="X104" s="67"/>
      <c r="Y104" s="67"/>
      <c r="Z104" s="67"/>
      <c r="AA104" s="67"/>
      <c r="AB104" s="68">
        <f t="shared" si="3"/>
        <v>0</v>
      </c>
    </row>
    <row r="105" spans="1:28" hidden="1" x14ac:dyDescent="0.25">
      <c r="A105" s="77" t="str">
        <f>'EXTRACTION AT GLOBAL DEA'!D103</f>
        <v>108089</v>
      </c>
      <c r="B105" s="77" t="str">
        <f>'EXTRACTION AT GLOBAL DEA'!E103</f>
        <v>PALMA</v>
      </c>
      <c r="C105" s="77" t="str">
        <f>'EXTRACTION AT GLOBAL DEA'!F103</f>
        <v>SERGIO</v>
      </c>
      <c r="D105" s="77" t="str">
        <f>'EXTRACTION AT GLOBAL DEA'!I103</f>
        <v>MT HB PR</v>
      </c>
      <c r="E105" s="66">
        <f>'EXTRACTION AT GLOBAL DEA'!G103</f>
        <v>43</v>
      </c>
      <c r="F105" s="84" t="str">
        <f t="shared" si="4"/>
        <v>40 à 44 ans</v>
      </c>
      <c r="G105" s="77" t="str">
        <f>'EXTRACTION AT GLOBAL DEA'!K103</f>
        <v>T</v>
      </c>
      <c r="H105" s="77">
        <f>'EXTRACTION AT GLOBAL DEA'!N103</f>
        <v>16</v>
      </c>
      <c r="I105" s="77" t="str">
        <f>'EXTRACTION AT GLOBAL DEA'!L103</f>
        <v>O</v>
      </c>
      <c r="J105" s="77" t="str">
        <f>'EXTRACTION AT GLOBAL DEA'!M103</f>
        <v>N</v>
      </c>
      <c r="K105" s="77"/>
      <c r="L105" s="77"/>
      <c r="M105" s="78">
        <f>'EXTRACTION AT GLOBAL DEA'!B103</f>
        <v>42837</v>
      </c>
      <c r="N105" s="77" t="str">
        <f t="shared" si="5"/>
        <v>avril</v>
      </c>
      <c r="O105" s="65"/>
      <c r="P105" s="67"/>
      <c r="Q105" s="67"/>
      <c r="R105" s="67"/>
      <c r="S105" s="67"/>
      <c r="T105" s="67"/>
      <c r="U105" s="67"/>
      <c r="V105" s="67"/>
      <c r="W105" s="67"/>
      <c r="X105" s="67"/>
      <c r="Y105" s="67"/>
      <c r="Z105" s="67"/>
      <c r="AA105" s="67"/>
      <c r="AB105" s="68">
        <f t="shared" si="3"/>
        <v>0</v>
      </c>
    </row>
    <row r="106" spans="1:28" x14ac:dyDescent="0.25">
      <c r="A106" s="77" t="str">
        <f>'EXTRACTION AT GLOBAL DEA'!D104</f>
        <v>108109</v>
      </c>
      <c r="B106" s="77" t="str">
        <f>'EXTRACTION AT GLOBAL DEA'!E104</f>
        <v>ARROJA</v>
      </c>
      <c r="C106" s="77" t="str">
        <f>'EXTRACTION AT GLOBAL DEA'!F104</f>
        <v>JOSE</v>
      </c>
      <c r="D106" s="77" t="str">
        <f>'EXTRACTION AT GLOBAL DEA'!I104</f>
        <v>MT HB PR</v>
      </c>
      <c r="E106" s="66">
        <f>'EXTRACTION AT GLOBAL DEA'!G104</f>
        <v>60</v>
      </c>
      <c r="F106" s="84" t="str">
        <f t="shared" si="4"/>
        <v>55 à 59 ans</v>
      </c>
      <c r="G106" s="77" t="str">
        <f>'EXTRACTION AT GLOBAL DEA'!K104</f>
        <v>S</v>
      </c>
      <c r="H106" s="77">
        <f>'EXTRACTION AT GLOBAL DEA'!N104</f>
        <v>0</v>
      </c>
      <c r="I106" s="77" t="str">
        <f>'EXTRACTION AT GLOBAL DEA'!L104</f>
        <v>N</v>
      </c>
      <c r="J106" s="77" t="str">
        <f>'EXTRACTION AT GLOBAL DEA'!M104</f>
        <v>N</v>
      </c>
      <c r="K106" s="77"/>
      <c r="L106" s="77"/>
      <c r="M106" s="78">
        <f>'EXTRACTION AT GLOBAL DEA'!B104</f>
        <v>42838</v>
      </c>
      <c r="N106" s="77" t="str">
        <f t="shared" si="5"/>
        <v>avril</v>
      </c>
      <c r="O106" s="65"/>
      <c r="P106" s="67"/>
      <c r="Q106" s="67"/>
      <c r="R106" s="67"/>
      <c r="S106" s="67"/>
      <c r="T106" s="67"/>
      <c r="U106" s="67"/>
      <c r="V106" s="67"/>
      <c r="W106" s="67"/>
      <c r="X106" s="67"/>
      <c r="Y106" s="67"/>
      <c r="Z106" s="67"/>
      <c r="AA106" s="67"/>
      <c r="AB106" s="68">
        <f t="shared" si="3"/>
        <v>0</v>
      </c>
    </row>
    <row r="107" spans="1:28" x14ac:dyDescent="0.25">
      <c r="A107" s="77" t="str">
        <f>'EXTRACTION AT GLOBAL DEA'!D105</f>
        <v>108129</v>
      </c>
      <c r="B107" s="77" t="str">
        <f>'EXTRACTION AT GLOBAL DEA'!E105</f>
        <v>BRETECHER</v>
      </c>
      <c r="C107" s="77" t="str">
        <f>'EXTRACTION AT GLOBAL DEA'!F105</f>
        <v>STEPHANE</v>
      </c>
      <c r="D107" s="77" t="str">
        <f>'EXTRACTION AT GLOBAL DEA'!I105</f>
        <v>MT QP</v>
      </c>
      <c r="E107" s="66">
        <f>'EXTRACTION AT GLOBAL DEA'!G105</f>
        <v>49</v>
      </c>
      <c r="F107" s="84" t="str">
        <f t="shared" si="4"/>
        <v>45 à 49 ans</v>
      </c>
      <c r="G107" s="77" t="str">
        <f>'EXTRACTION AT GLOBAL DEA'!K105</f>
        <v>S</v>
      </c>
      <c r="H107" s="77">
        <f>'EXTRACTION AT GLOBAL DEA'!N105</f>
        <v>0</v>
      </c>
      <c r="I107" s="77" t="str">
        <f>'EXTRACTION AT GLOBAL DEA'!L105</f>
        <v>N</v>
      </c>
      <c r="J107" s="77" t="str">
        <f>'EXTRACTION AT GLOBAL DEA'!M105</f>
        <v>N</v>
      </c>
      <c r="K107" s="77"/>
      <c r="L107" s="77"/>
      <c r="M107" s="78">
        <f>'EXTRACTION AT GLOBAL DEA'!B105</f>
        <v>42840</v>
      </c>
      <c r="N107" s="77" t="str">
        <f t="shared" si="5"/>
        <v>avril</v>
      </c>
      <c r="O107" s="65"/>
      <c r="P107" s="67"/>
      <c r="Q107" s="67"/>
      <c r="R107" s="67"/>
      <c r="S107" s="67"/>
      <c r="T107" s="67"/>
      <c r="U107" s="67"/>
      <c r="V107" s="67"/>
      <c r="W107" s="67"/>
      <c r="X107" s="67"/>
      <c r="Y107" s="67"/>
      <c r="Z107" s="67"/>
      <c r="AA107" s="67"/>
      <c r="AB107" s="68">
        <f t="shared" si="3"/>
        <v>0</v>
      </c>
    </row>
    <row r="108" spans="1:28" x14ac:dyDescent="0.25">
      <c r="A108" s="77" t="str">
        <f>'EXTRACTION AT GLOBAL DEA'!D106</f>
        <v>108130</v>
      </c>
      <c r="B108" s="77" t="str">
        <f>'EXTRACTION AT GLOBAL DEA'!E106</f>
        <v>PIQUET</v>
      </c>
      <c r="C108" s="77" t="str">
        <f>'EXTRACTION AT GLOBAL DEA'!F106</f>
        <v>PATRICK</v>
      </c>
      <c r="D108" s="77" t="str">
        <f>'EXTRACTION AT GLOBAL DEA'!I106</f>
        <v>MT CA PR</v>
      </c>
      <c r="E108" s="66">
        <f>'EXTRACTION AT GLOBAL DEA'!G106</f>
        <v>54</v>
      </c>
      <c r="F108" s="84" t="str">
        <f t="shared" si="4"/>
        <v>50 à 54 ans</v>
      </c>
      <c r="G108" s="77" t="str">
        <f>'EXTRACTION AT GLOBAL DEA'!K106</f>
        <v>S</v>
      </c>
      <c r="H108" s="77">
        <f>'EXTRACTION AT GLOBAL DEA'!N106</f>
        <v>0</v>
      </c>
      <c r="I108" s="77" t="str">
        <f>'EXTRACTION AT GLOBAL DEA'!L106</f>
        <v>N</v>
      </c>
      <c r="J108" s="77" t="str">
        <f>'EXTRACTION AT GLOBAL DEA'!M106</f>
        <v>N</v>
      </c>
      <c r="K108" s="77"/>
      <c r="L108" s="77"/>
      <c r="M108" s="78">
        <f>'EXTRACTION AT GLOBAL DEA'!B106</f>
        <v>42840</v>
      </c>
      <c r="N108" s="77" t="str">
        <f t="shared" si="5"/>
        <v>avril</v>
      </c>
      <c r="O108" s="65"/>
      <c r="P108" s="67"/>
      <c r="Q108" s="67"/>
      <c r="R108" s="67"/>
      <c r="S108" s="67"/>
      <c r="T108" s="67"/>
      <c r="U108" s="67"/>
      <c r="V108" s="67"/>
      <c r="W108" s="67"/>
      <c r="X108" s="67"/>
      <c r="Y108" s="67"/>
      <c r="Z108" s="67"/>
      <c r="AA108" s="67"/>
      <c r="AB108" s="68">
        <f t="shared" si="3"/>
        <v>0</v>
      </c>
    </row>
    <row r="109" spans="1:28" x14ac:dyDescent="0.25">
      <c r="A109" s="77" t="str">
        <f>'EXTRACTION AT GLOBAL DEA'!D107</f>
        <v>108139</v>
      </c>
      <c r="B109" s="77" t="str">
        <f>'EXTRACTION AT GLOBAL DEA'!E107</f>
        <v>SERVANT</v>
      </c>
      <c r="C109" s="77" t="str">
        <f>'EXTRACTION AT GLOBAL DEA'!F107</f>
        <v>JONATHAN</v>
      </c>
      <c r="D109" s="77" t="str">
        <f>'EXTRACTION AT GLOBAL DEA'!I107</f>
        <v>MT CA PR</v>
      </c>
      <c r="E109" s="66">
        <f>'EXTRACTION AT GLOBAL DEA'!G107</f>
        <v>34</v>
      </c>
      <c r="F109" s="84" t="str">
        <f t="shared" si="4"/>
        <v>30 à 34 ans</v>
      </c>
      <c r="G109" s="77" t="str">
        <f>'EXTRACTION AT GLOBAL DEA'!K107</f>
        <v>S</v>
      </c>
      <c r="H109" s="77">
        <f>'EXTRACTION AT GLOBAL DEA'!N107</f>
        <v>14</v>
      </c>
      <c r="I109" s="77" t="str">
        <f>'EXTRACTION AT GLOBAL DEA'!L107</f>
        <v>O</v>
      </c>
      <c r="J109" s="77" t="str">
        <f>'EXTRACTION AT GLOBAL DEA'!M107</f>
        <v>N</v>
      </c>
      <c r="K109" s="77"/>
      <c r="L109" s="77"/>
      <c r="M109" s="78">
        <f>'EXTRACTION AT GLOBAL DEA'!B107</f>
        <v>42841</v>
      </c>
      <c r="N109" s="77" t="str">
        <f t="shared" si="5"/>
        <v>avril</v>
      </c>
      <c r="O109" s="65"/>
      <c r="P109" s="67"/>
      <c r="Q109" s="67"/>
      <c r="R109" s="67"/>
      <c r="S109" s="67"/>
      <c r="T109" s="67"/>
      <c r="U109" s="67"/>
      <c r="V109" s="67"/>
      <c r="W109" s="67"/>
      <c r="X109" s="67"/>
      <c r="Y109" s="67"/>
      <c r="Z109" s="67"/>
      <c r="AA109" s="67"/>
      <c r="AB109" s="68">
        <f t="shared" si="3"/>
        <v>0</v>
      </c>
    </row>
    <row r="110" spans="1:28" hidden="1" x14ac:dyDescent="0.25">
      <c r="A110" s="77" t="str">
        <f>'EXTRACTION AT GLOBAL DEA'!D108</f>
        <v>108267</v>
      </c>
      <c r="B110" s="77" t="str">
        <f>'EXTRACTION AT GLOBAL DEA'!E108</f>
        <v>GALANTI</v>
      </c>
      <c r="C110" s="77" t="str">
        <f>'EXTRACTION AT GLOBAL DEA'!F108</f>
        <v>PASCAL</v>
      </c>
      <c r="D110" s="77" t="str">
        <f>'EXTRACTION AT GLOBAL DEA'!I108</f>
        <v>MT CC PR</v>
      </c>
      <c r="E110" s="66">
        <f>'EXTRACTION AT GLOBAL DEA'!G108</f>
        <v>37</v>
      </c>
      <c r="F110" s="84" t="str">
        <f t="shared" si="4"/>
        <v>35 à 39 ans</v>
      </c>
      <c r="G110" s="77" t="str">
        <f>'EXTRACTION AT GLOBAL DEA'!K108</f>
        <v>T</v>
      </c>
      <c r="H110" s="77">
        <f>'EXTRACTION AT GLOBAL DEA'!N108</f>
        <v>20</v>
      </c>
      <c r="I110" s="77" t="str">
        <f>'EXTRACTION AT GLOBAL DEA'!L108</f>
        <v>O</v>
      </c>
      <c r="J110" s="77" t="str">
        <f>'EXTRACTION AT GLOBAL DEA'!M108</f>
        <v>N</v>
      </c>
      <c r="K110" s="77"/>
      <c r="L110" s="77"/>
      <c r="M110" s="78">
        <f>'EXTRACTION AT GLOBAL DEA'!B108</f>
        <v>42843</v>
      </c>
      <c r="N110" s="77" t="str">
        <f t="shared" si="5"/>
        <v>avril</v>
      </c>
      <c r="O110" s="65"/>
      <c r="P110" s="67"/>
      <c r="Q110" s="67"/>
      <c r="R110" s="67"/>
      <c r="S110" s="67"/>
      <c r="T110" s="67"/>
      <c r="U110" s="67"/>
      <c r="V110" s="67"/>
      <c r="W110" s="67"/>
      <c r="X110" s="67"/>
      <c r="Y110" s="67"/>
      <c r="Z110" s="67"/>
      <c r="AA110" s="67"/>
      <c r="AB110" s="68">
        <f t="shared" si="3"/>
        <v>0</v>
      </c>
    </row>
    <row r="111" spans="1:28" x14ac:dyDescent="0.25">
      <c r="A111" s="77" t="str">
        <f>'EXTRACTION AT GLOBAL DEA'!D109</f>
        <v>108402</v>
      </c>
      <c r="B111" s="77" t="str">
        <f>'EXTRACTION AT GLOBAL DEA'!E109</f>
        <v>BOUDOUANI</v>
      </c>
      <c r="C111" s="77" t="str">
        <f>'EXTRACTION AT GLOBAL DEA'!F109</f>
        <v>AHMED</v>
      </c>
      <c r="D111" s="77" t="str">
        <f>'EXTRACTION AT GLOBAL DEA'!I109</f>
        <v>MT HB PR</v>
      </c>
      <c r="E111" s="66">
        <f>'EXTRACTION AT GLOBAL DEA'!G109</f>
        <v>41</v>
      </c>
      <c r="F111" s="84" t="str">
        <f t="shared" si="4"/>
        <v>40 à 44 ans</v>
      </c>
      <c r="G111" s="77" t="str">
        <f>'EXTRACTION AT GLOBAL DEA'!K109</f>
        <v>S</v>
      </c>
      <c r="H111" s="77">
        <f>'EXTRACTION AT GLOBAL DEA'!N109</f>
        <v>0</v>
      </c>
      <c r="I111" s="77" t="str">
        <f>'EXTRACTION AT GLOBAL DEA'!L109</f>
        <v>N</v>
      </c>
      <c r="J111" s="77" t="str">
        <f>'EXTRACTION AT GLOBAL DEA'!M109</f>
        <v>N</v>
      </c>
      <c r="K111" s="77"/>
      <c r="L111" s="77"/>
      <c r="M111" s="78">
        <f>'EXTRACTION AT GLOBAL DEA'!B109</f>
        <v>42846</v>
      </c>
      <c r="N111" s="77" t="str">
        <f t="shared" si="5"/>
        <v>avril</v>
      </c>
      <c r="O111" s="65"/>
      <c r="P111" s="67"/>
      <c r="Q111" s="67"/>
      <c r="R111" s="67"/>
      <c r="S111" s="67"/>
      <c r="T111" s="67"/>
      <c r="U111" s="67"/>
      <c r="V111" s="67"/>
      <c r="W111" s="67"/>
      <c r="X111" s="67"/>
      <c r="Y111" s="67"/>
      <c r="Z111" s="67"/>
      <c r="AA111" s="67"/>
      <c r="AB111" s="68">
        <f t="shared" si="3"/>
        <v>0</v>
      </c>
    </row>
    <row r="112" spans="1:28" x14ac:dyDescent="0.25">
      <c r="A112" s="77" t="str">
        <f>'EXTRACTION AT GLOBAL DEA'!D110</f>
        <v>108412</v>
      </c>
      <c r="B112" s="77" t="str">
        <f>'EXTRACTION AT GLOBAL DEA'!E110</f>
        <v>JEANNIN</v>
      </c>
      <c r="C112" s="77" t="str">
        <f>'EXTRACTION AT GLOBAL DEA'!F110</f>
        <v>LOIC</v>
      </c>
      <c r="D112" s="77" t="str">
        <f>'EXTRACTION AT GLOBAL DEA'!I110</f>
        <v>MT HB PR</v>
      </c>
      <c r="E112" s="66">
        <f>'EXTRACTION AT GLOBAL DEA'!G110</f>
        <v>32</v>
      </c>
      <c r="F112" s="84" t="str">
        <f t="shared" si="4"/>
        <v>30 à 34 ans</v>
      </c>
      <c r="G112" s="77" t="str">
        <f>'EXTRACTION AT GLOBAL DEA'!K110</f>
        <v>S</v>
      </c>
      <c r="H112" s="77">
        <f>'EXTRACTION AT GLOBAL DEA'!N110</f>
        <v>7</v>
      </c>
      <c r="I112" s="77" t="str">
        <f>'EXTRACTION AT GLOBAL DEA'!L110</f>
        <v>O</v>
      </c>
      <c r="J112" s="77" t="str">
        <f>'EXTRACTION AT GLOBAL DEA'!M110</f>
        <v>N</v>
      </c>
      <c r="K112" s="77"/>
      <c r="L112" s="77"/>
      <c r="M112" s="78">
        <f>'EXTRACTION AT GLOBAL DEA'!B110</f>
        <v>42846</v>
      </c>
      <c r="N112" s="77" t="str">
        <f t="shared" si="5"/>
        <v>avril</v>
      </c>
      <c r="O112" s="65"/>
      <c r="P112" s="67"/>
      <c r="Q112" s="67"/>
      <c r="R112" s="67"/>
      <c r="S112" s="67"/>
      <c r="T112" s="67"/>
      <c r="U112" s="67"/>
      <c r="V112" s="67"/>
      <c r="W112" s="67"/>
      <c r="X112" s="67"/>
      <c r="Y112" s="67"/>
      <c r="Z112" s="67"/>
      <c r="AA112" s="67"/>
      <c r="AB112" s="68">
        <f t="shared" si="3"/>
        <v>0</v>
      </c>
    </row>
    <row r="113" spans="1:28" hidden="1" x14ac:dyDescent="0.25">
      <c r="A113" s="77" t="str">
        <f>'EXTRACTION AT GLOBAL DEA'!D111</f>
        <v>108797</v>
      </c>
      <c r="B113" s="77" t="str">
        <f>'EXTRACTION AT GLOBAL DEA'!E111</f>
        <v>JOURNO</v>
      </c>
      <c r="C113" s="77" t="str">
        <f>'EXTRACTION AT GLOBAL DEA'!F111</f>
        <v>DAVID</v>
      </c>
      <c r="D113" s="77" t="str">
        <f>'EXTRACTION AT GLOBAL DEA'!I111</f>
        <v>BLDPMSRY</v>
      </c>
      <c r="E113" s="66">
        <f>'EXTRACTION AT GLOBAL DEA'!G111</f>
        <v>23</v>
      </c>
      <c r="F113" s="84" t="str">
        <f t="shared" si="4"/>
        <v>20 à 24 ans</v>
      </c>
      <c r="G113" s="77" t="str">
        <f>'EXTRACTION AT GLOBAL DEA'!K111</f>
        <v>T</v>
      </c>
      <c r="H113" s="77">
        <f>'EXTRACTION AT GLOBAL DEA'!N111</f>
        <v>0</v>
      </c>
      <c r="I113" s="77" t="str">
        <f>'EXTRACTION AT GLOBAL DEA'!L111</f>
        <v>N</v>
      </c>
      <c r="J113" s="77" t="str">
        <f>'EXTRACTION AT GLOBAL DEA'!M111</f>
        <v>N</v>
      </c>
      <c r="K113" s="77"/>
      <c r="L113" s="77"/>
      <c r="M113" s="78">
        <f>'EXTRACTION AT GLOBAL DEA'!B111</f>
        <v>42850</v>
      </c>
      <c r="N113" s="77" t="str">
        <f t="shared" si="5"/>
        <v>avril</v>
      </c>
      <c r="O113" s="65"/>
      <c r="P113" s="67"/>
      <c r="Q113" s="67"/>
      <c r="R113" s="67"/>
      <c r="S113" s="67"/>
      <c r="T113" s="67"/>
      <c r="U113" s="67"/>
      <c r="V113" s="67"/>
      <c r="W113" s="67"/>
      <c r="X113" s="67"/>
      <c r="Y113" s="67"/>
      <c r="Z113" s="67"/>
      <c r="AA113" s="67"/>
      <c r="AB113" s="68">
        <f t="shared" si="3"/>
        <v>0</v>
      </c>
    </row>
    <row r="114" spans="1:28" x14ac:dyDescent="0.25">
      <c r="A114" s="77" t="str">
        <f>'EXTRACTION AT GLOBAL DEA'!D112</f>
        <v>108613</v>
      </c>
      <c r="B114" s="77" t="str">
        <f>'EXTRACTION AT GLOBAL DEA'!E112</f>
        <v>CHARLET</v>
      </c>
      <c r="C114" s="77" t="str">
        <f>'EXTRACTION AT GLOBAL DEA'!F112</f>
        <v>CHRISTOPHE</v>
      </c>
      <c r="D114" s="77" t="str">
        <f>'EXTRACTION AT GLOBAL DEA'!I112</f>
        <v>MT CA PR</v>
      </c>
      <c r="E114" s="66">
        <f>'EXTRACTION AT GLOBAL DEA'!G112</f>
        <v>47</v>
      </c>
      <c r="F114" s="84" t="str">
        <f t="shared" si="4"/>
        <v>45 à 49 ans</v>
      </c>
      <c r="G114" s="77" t="str">
        <f>'EXTRACTION AT GLOBAL DEA'!K112</f>
        <v>S</v>
      </c>
      <c r="H114" s="77">
        <f>'EXTRACTION AT GLOBAL DEA'!N112</f>
        <v>0</v>
      </c>
      <c r="I114" s="77" t="str">
        <f>'EXTRACTION AT GLOBAL DEA'!L112</f>
        <v>N</v>
      </c>
      <c r="J114" s="77" t="str">
        <f>'EXTRACTION AT GLOBAL DEA'!M112</f>
        <v>N</v>
      </c>
      <c r="K114" s="77"/>
      <c r="L114" s="77"/>
      <c r="M114" s="78">
        <f>'EXTRACTION AT GLOBAL DEA'!B112</f>
        <v>42852</v>
      </c>
      <c r="N114" s="77" t="str">
        <f t="shared" si="5"/>
        <v>avril</v>
      </c>
      <c r="O114" s="65"/>
      <c r="P114" s="67"/>
      <c r="Q114" s="67"/>
      <c r="R114" s="67"/>
      <c r="S114" s="67"/>
      <c r="T114" s="67"/>
      <c r="U114" s="67"/>
      <c r="V114" s="67"/>
      <c r="W114" s="67"/>
      <c r="X114" s="67"/>
      <c r="Y114" s="67"/>
      <c r="Z114" s="67"/>
      <c r="AA114" s="67"/>
      <c r="AB114" s="68">
        <f t="shared" si="3"/>
        <v>0</v>
      </c>
    </row>
    <row r="115" spans="1:28" x14ac:dyDescent="0.25">
      <c r="A115" s="77" t="str">
        <f>'EXTRACTION AT GLOBAL DEA'!D113</f>
        <v>108684</v>
      </c>
      <c r="B115" s="77" t="str">
        <f>'EXTRACTION AT GLOBAL DEA'!E113</f>
        <v>KECHICH</v>
      </c>
      <c r="C115" s="77" t="str">
        <f>'EXTRACTION AT GLOBAL DEA'!F113</f>
        <v>NOR</v>
      </c>
      <c r="D115" s="77" t="str">
        <f>'EXTRACTION AT GLOBAL DEA'!I113</f>
        <v>MT HB PR</v>
      </c>
      <c r="E115" s="66">
        <f>'EXTRACTION AT GLOBAL DEA'!G113</f>
        <v>42</v>
      </c>
      <c r="F115" s="84" t="str">
        <f t="shared" si="4"/>
        <v>40 à 44 ans</v>
      </c>
      <c r="G115" s="77" t="str">
        <f>'EXTRACTION AT GLOBAL DEA'!K113</f>
        <v>S</v>
      </c>
      <c r="H115" s="77">
        <f>'EXTRACTION AT GLOBAL DEA'!N113</f>
        <v>21</v>
      </c>
      <c r="I115" s="77" t="str">
        <f>'EXTRACTION AT GLOBAL DEA'!L113</f>
        <v>O</v>
      </c>
      <c r="J115" s="77" t="str">
        <f>'EXTRACTION AT GLOBAL DEA'!M113</f>
        <v>N</v>
      </c>
      <c r="K115" s="77"/>
      <c r="L115" s="77"/>
      <c r="M115" s="78">
        <f>'EXTRACTION AT GLOBAL DEA'!B113</f>
        <v>42853</v>
      </c>
      <c r="N115" s="77" t="str">
        <f t="shared" si="5"/>
        <v>avril</v>
      </c>
      <c r="O115" s="65"/>
      <c r="P115" s="67"/>
      <c r="Q115" s="67"/>
      <c r="R115" s="67"/>
      <c r="S115" s="67"/>
      <c r="T115" s="67"/>
      <c r="U115" s="67"/>
      <c r="V115" s="67"/>
      <c r="W115" s="67"/>
      <c r="X115" s="67"/>
      <c r="Y115" s="67"/>
      <c r="Z115" s="67"/>
      <c r="AA115" s="67"/>
      <c r="AB115" s="68">
        <f t="shared" si="3"/>
        <v>0</v>
      </c>
    </row>
    <row r="116" spans="1:28" x14ac:dyDescent="0.25">
      <c r="A116" s="77" t="str">
        <f>'EXTRACTION AT GLOBAL DEA'!D114</f>
        <v>108629</v>
      </c>
      <c r="B116" s="77" t="str">
        <f>'EXTRACTION AT GLOBAL DEA'!E114</f>
        <v>MARMOITON</v>
      </c>
      <c r="C116" s="77" t="str">
        <f>'EXTRACTION AT GLOBAL DEA'!F114</f>
        <v>ERIC</v>
      </c>
      <c r="D116" s="77" t="str">
        <f>'EXTRACTION AT GLOBAL DEA'!I114</f>
        <v>MT JK PR</v>
      </c>
      <c r="E116" s="66">
        <f>'EXTRACTION AT GLOBAL DEA'!G114</f>
        <v>39</v>
      </c>
      <c r="F116" s="84" t="str">
        <f t="shared" si="4"/>
        <v>35 à 39 ans</v>
      </c>
      <c r="G116" s="77" t="str">
        <f>'EXTRACTION AT GLOBAL DEA'!K114</f>
        <v>S</v>
      </c>
      <c r="H116" s="77">
        <f>'EXTRACTION AT GLOBAL DEA'!N114</f>
        <v>0</v>
      </c>
      <c r="I116" s="77" t="str">
        <f>'EXTRACTION AT GLOBAL DEA'!L114</f>
        <v>N</v>
      </c>
      <c r="J116" s="77" t="str">
        <f>'EXTRACTION AT GLOBAL DEA'!M114</f>
        <v>N</v>
      </c>
      <c r="K116" s="77"/>
      <c r="L116" s="77"/>
      <c r="M116" s="78">
        <f>'EXTRACTION AT GLOBAL DEA'!B114</f>
        <v>42854</v>
      </c>
      <c r="N116" s="77" t="str">
        <f t="shared" si="5"/>
        <v>avril</v>
      </c>
      <c r="O116" s="65"/>
      <c r="P116" s="67"/>
      <c r="Q116" s="67"/>
      <c r="R116" s="67"/>
      <c r="S116" s="67"/>
      <c r="T116" s="67"/>
      <c r="U116" s="67"/>
      <c r="V116" s="67"/>
      <c r="W116" s="67"/>
      <c r="X116" s="67"/>
      <c r="Y116" s="67"/>
      <c r="Z116" s="67"/>
      <c r="AA116" s="67"/>
      <c r="AB116" s="68">
        <f t="shared" si="3"/>
        <v>0</v>
      </c>
    </row>
    <row r="117" spans="1:28" x14ac:dyDescent="0.25">
      <c r="A117" s="77" t="str">
        <f>'EXTRACTION AT GLOBAL DEA'!D115</f>
        <v>108736</v>
      </c>
      <c r="B117" s="77" t="str">
        <f>'EXTRACTION AT GLOBAL DEA'!E115</f>
        <v>DABOUDET</v>
      </c>
      <c r="C117" s="77" t="str">
        <f>'EXTRACTION AT GLOBAL DEA'!F115</f>
        <v>JEAN-FRANCOIS</v>
      </c>
      <c r="D117" s="77" t="str">
        <f>'EXTRACTION AT GLOBAL DEA'!I115</f>
        <v>MT CG PR</v>
      </c>
      <c r="E117" s="66">
        <f>'EXTRACTION AT GLOBAL DEA'!G115</f>
        <v>31</v>
      </c>
      <c r="F117" s="84" t="str">
        <f t="shared" si="4"/>
        <v>30 à 34 ans</v>
      </c>
      <c r="G117" s="77" t="str">
        <f>'EXTRACTION AT GLOBAL DEA'!K115</f>
        <v>S</v>
      </c>
      <c r="H117" s="77">
        <f>'EXTRACTION AT GLOBAL DEA'!N115</f>
        <v>6</v>
      </c>
      <c r="I117" s="77" t="str">
        <f>'EXTRACTION AT GLOBAL DEA'!L115</f>
        <v>O</v>
      </c>
      <c r="J117" s="77" t="str">
        <f>'EXTRACTION AT GLOBAL DEA'!M115</f>
        <v>N</v>
      </c>
      <c r="K117" s="77"/>
      <c r="L117" s="77"/>
      <c r="M117" s="78">
        <f>'EXTRACTION AT GLOBAL DEA'!B115</f>
        <v>42854</v>
      </c>
      <c r="N117" s="77" t="str">
        <f t="shared" si="5"/>
        <v>avril</v>
      </c>
      <c r="O117" s="65"/>
      <c r="P117" s="67"/>
      <c r="Q117" s="67"/>
      <c r="R117" s="67"/>
      <c r="S117" s="67"/>
      <c r="T117" s="67"/>
      <c r="U117" s="67"/>
      <c r="V117" s="67"/>
      <c r="W117" s="67"/>
      <c r="X117" s="67"/>
      <c r="Y117" s="67"/>
      <c r="Z117" s="67"/>
      <c r="AA117" s="67"/>
      <c r="AB117" s="68">
        <f t="shared" si="3"/>
        <v>0</v>
      </c>
    </row>
    <row r="118" spans="1:28" x14ac:dyDescent="0.25">
      <c r="A118" s="77" t="str">
        <f>'EXTRACTION AT GLOBAL DEA'!D116</f>
        <v>108683</v>
      </c>
      <c r="B118" s="77" t="str">
        <f>'EXTRACTION AT GLOBAL DEA'!E116</f>
        <v>MOREL</v>
      </c>
      <c r="C118" s="77" t="str">
        <f>'EXTRACTION AT GLOBAL DEA'!F116</f>
        <v>JOHAN</v>
      </c>
      <c r="D118" s="77" t="str">
        <f>'EXTRACTION AT GLOBAL DEA'!I116</f>
        <v>MT HB PR</v>
      </c>
      <c r="E118" s="66">
        <f>'EXTRACTION AT GLOBAL DEA'!G116</f>
        <v>48</v>
      </c>
      <c r="F118" s="84" t="str">
        <f t="shared" si="4"/>
        <v>45 à 49 ans</v>
      </c>
      <c r="G118" s="77" t="str">
        <f>'EXTRACTION AT GLOBAL DEA'!K116</f>
        <v>S</v>
      </c>
      <c r="H118" s="77">
        <f>'EXTRACTION AT GLOBAL DEA'!N116</f>
        <v>15</v>
      </c>
      <c r="I118" s="77" t="str">
        <f>'EXTRACTION AT GLOBAL DEA'!L116</f>
        <v>O</v>
      </c>
      <c r="J118" s="77" t="str">
        <f>'EXTRACTION AT GLOBAL DEA'!M116</f>
        <v>N</v>
      </c>
      <c r="K118" s="77"/>
      <c r="L118" s="77"/>
      <c r="M118" s="78">
        <f>'EXTRACTION AT GLOBAL DEA'!B116</f>
        <v>42856</v>
      </c>
      <c r="N118" s="77" t="str">
        <f t="shared" si="5"/>
        <v>mai</v>
      </c>
      <c r="O118" s="65"/>
      <c r="P118" s="67"/>
      <c r="Q118" s="67"/>
      <c r="R118" s="67"/>
      <c r="S118" s="67"/>
      <c r="T118" s="67"/>
      <c r="U118" s="67"/>
      <c r="V118" s="67"/>
      <c r="W118" s="67"/>
      <c r="X118" s="67"/>
      <c r="Y118" s="67"/>
      <c r="Z118" s="67"/>
      <c r="AA118" s="67"/>
      <c r="AB118" s="68">
        <f t="shared" si="3"/>
        <v>0</v>
      </c>
    </row>
    <row r="119" spans="1:28" x14ac:dyDescent="0.25">
      <c r="A119" s="77" t="str">
        <f>'EXTRACTION AT GLOBAL DEA'!D117</f>
        <v>108710</v>
      </c>
      <c r="B119" s="77" t="str">
        <f>'EXTRACTION AT GLOBAL DEA'!E117</f>
        <v>BERTHIER</v>
      </c>
      <c r="C119" s="77" t="str">
        <f>'EXTRACTION AT GLOBAL DEA'!F117</f>
        <v>ERIC</v>
      </c>
      <c r="D119" s="77" t="str">
        <f>'EXTRACTION AT GLOBAL DEA'!I117</f>
        <v>MT CA PR</v>
      </c>
      <c r="E119" s="66">
        <f>'EXTRACTION AT GLOBAL DEA'!G117</f>
        <v>55</v>
      </c>
      <c r="F119" s="84" t="str">
        <f t="shared" si="4"/>
        <v>55 à 59 ans</v>
      </c>
      <c r="G119" s="77" t="str">
        <f>'EXTRACTION AT GLOBAL DEA'!K117</f>
        <v>S</v>
      </c>
      <c r="H119" s="77">
        <f>'EXTRACTION AT GLOBAL DEA'!N117</f>
        <v>0</v>
      </c>
      <c r="I119" s="77" t="str">
        <f>'EXTRACTION AT GLOBAL DEA'!L117</f>
        <v>N</v>
      </c>
      <c r="J119" s="77" t="str">
        <f>'EXTRACTION AT GLOBAL DEA'!M117</f>
        <v>N</v>
      </c>
      <c r="K119" s="77"/>
      <c r="L119" s="77"/>
      <c r="M119" s="78">
        <f>'EXTRACTION AT GLOBAL DEA'!B117</f>
        <v>42857</v>
      </c>
      <c r="N119" s="77" t="str">
        <f t="shared" si="5"/>
        <v>mai</v>
      </c>
      <c r="O119" s="65"/>
      <c r="P119" s="67"/>
      <c r="Q119" s="67"/>
      <c r="R119" s="67"/>
      <c r="S119" s="67"/>
      <c r="T119" s="67"/>
      <c r="U119" s="67"/>
      <c r="V119" s="67"/>
      <c r="W119" s="67"/>
      <c r="X119" s="67"/>
      <c r="Y119" s="67"/>
      <c r="Z119" s="67"/>
      <c r="AA119" s="67"/>
      <c r="AB119" s="68">
        <f t="shared" si="3"/>
        <v>0</v>
      </c>
    </row>
    <row r="120" spans="1:28" x14ac:dyDescent="0.25">
      <c r="A120" s="77" t="str">
        <f>'EXTRACTION AT GLOBAL DEA'!D118</f>
        <v>108732</v>
      </c>
      <c r="B120" s="77" t="str">
        <f>'EXTRACTION AT GLOBAL DEA'!E118</f>
        <v>FLUTEAUX</v>
      </c>
      <c r="C120" s="77" t="str">
        <f>'EXTRACTION AT GLOBAL DEA'!F118</f>
        <v>ALAIN</v>
      </c>
      <c r="D120" s="77" t="str">
        <f>'EXTRACTION AT GLOBAL DEA'!I118</f>
        <v>LYSKI</v>
      </c>
      <c r="E120" s="66">
        <f>'EXTRACTION AT GLOBAL DEA'!G118</f>
        <v>59</v>
      </c>
      <c r="F120" s="84" t="str">
        <f t="shared" si="4"/>
        <v>55 à 59 ans</v>
      </c>
      <c r="G120" s="77" t="str">
        <f>'EXTRACTION AT GLOBAL DEA'!K118</f>
        <v>S</v>
      </c>
      <c r="H120" s="77">
        <f>'EXTRACTION AT GLOBAL DEA'!N118</f>
        <v>0</v>
      </c>
      <c r="I120" s="77" t="str">
        <f>'EXTRACTION AT GLOBAL DEA'!L118</f>
        <v>N</v>
      </c>
      <c r="J120" s="77" t="str">
        <f>'EXTRACTION AT GLOBAL DEA'!M118</f>
        <v>N</v>
      </c>
      <c r="K120" s="77"/>
      <c r="L120" s="77"/>
      <c r="M120" s="78">
        <f>'EXTRACTION AT GLOBAL DEA'!B118</f>
        <v>42857</v>
      </c>
      <c r="N120" s="77" t="str">
        <f t="shared" si="5"/>
        <v>mai</v>
      </c>
      <c r="O120" s="65"/>
      <c r="P120" s="67"/>
      <c r="Q120" s="67"/>
      <c r="R120" s="67"/>
      <c r="S120" s="67"/>
      <c r="T120" s="67"/>
      <c r="U120" s="67"/>
      <c r="V120" s="67"/>
      <c r="W120" s="67"/>
      <c r="X120" s="67"/>
      <c r="Y120" s="67"/>
      <c r="Z120" s="67"/>
      <c r="AA120" s="67"/>
      <c r="AB120" s="68">
        <f t="shared" si="3"/>
        <v>0</v>
      </c>
    </row>
    <row r="121" spans="1:28" x14ac:dyDescent="0.25">
      <c r="A121" s="77" t="str">
        <f>'EXTRACTION AT GLOBAL DEA'!D119</f>
        <v>108725</v>
      </c>
      <c r="B121" s="77" t="str">
        <f>'EXTRACTION AT GLOBAL DEA'!E119</f>
        <v>BROUTIN</v>
      </c>
      <c r="C121" s="77" t="str">
        <f>'EXTRACTION AT GLOBAL DEA'!F119</f>
        <v>FREDERIC</v>
      </c>
      <c r="D121" s="77" t="str">
        <f>'EXTRACTION AT GLOBAL DEA'!I119</f>
        <v>MT CC SM</v>
      </c>
      <c r="E121" s="66">
        <f>'EXTRACTION AT GLOBAL DEA'!G119</f>
        <v>52</v>
      </c>
      <c r="F121" s="84" t="str">
        <f t="shared" si="4"/>
        <v>50 à 54 ans</v>
      </c>
      <c r="G121" s="77" t="str">
        <f>'EXTRACTION AT GLOBAL DEA'!K119</f>
        <v>S</v>
      </c>
      <c r="H121" s="77">
        <f>'EXTRACTION AT GLOBAL DEA'!N119</f>
        <v>0</v>
      </c>
      <c r="I121" s="77" t="str">
        <f>'EXTRACTION AT GLOBAL DEA'!L119</f>
        <v>N</v>
      </c>
      <c r="J121" s="77" t="str">
        <f>'EXTRACTION AT GLOBAL DEA'!M119</f>
        <v>O</v>
      </c>
      <c r="K121" s="77"/>
      <c r="L121" s="77"/>
      <c r="M121" s="78">
        <f>'EXTRACTION AT GLOBAL DEA'!B119</f>
        <v>42857</v>
      </c>
      <c r="N121" s="77" t="str">
        <f t="shared" si="5"/>
        <v>mai</v>
      </c>
      <c r="O121" s="65"/>
      <c r="P121" s="67"/>
      <c r="Q121" s="67"/>
      <c r="R121" s="67"/>
      <c r="S121" s="67"/>
      <c r="T121" s="67"/>
      <c r="U121" s="67"/>
      <c r="V121" s="67"/>
      <c r="W121" s="67"/>
      <c r="X121" s="67"/>
      <c r="Y121" s="67"/>
      <c r="Z121" s="67"/>
      <c r="AA121" s="67"/>
      <c r="AB121" s="68">
        <f t="shared" si="3"/>
        <v>0</v>
      </c>
    </row>
    <row r="122" spans="1:28" x14ac:dyDescent="0.25">
      <c r="A122" s="77" t="str">
        <f>'EXTRACTION AT GLOBAL DEA'!D120</f>
        <v>108749</v>
      </c>
      <c r="B122" s="77" t="str">
        <f>'EXTRACTION AT GLOBAL DEA'!E120</f>
        <v>DENIS</v>
      </c>
      <c r="C122" s="77" t="str">
        <f>'EXTRACTION AT GLOBAL DEA'!F120</f>
        <v>JEAN EMMANUEL</v>
      </c>
      <c r="D122" s="77" t="str">
        <f>'EXTRACTION AT GLOBAL DEA'!I120</f>
        <v>MT CA PR</v>
      </c>
      <c r="E122" s="66">
        <f>'EXTRACTION AT GLOBAL DEA'!G120</f>
        <v>32</v>
      </c>
      <c r="F122" s="84" t="str">
        <f t="shared" si="4"/>
        <v>30 à 34 ans</v>
      </c>
      <c r="G122" s="77" t="str">
        <f>'EXTRACTION AT GLOBAL DEA'!K120</f>
        <v>S</v>
      </c>
      <c r="H122" s="77">
        <f>'EXTRACTION AT GLOBAL DEA'!N120</f>
        <v>9</v>
      </c>
      <c r="I122" s="77" t="str">
        <f>'EXTRACTION AT GLOBAL DEA'!L120</f>
        <v>O</v>
      </c>
      <c r="J122" s="77" t="str">
        <f>'EXTRACTION AT GLOBAL DEA'!M120</f>
        <v>N</v>
      </c>
      <c r="K122" s="77"/>
      <c r="L122" s="77"/>
      <c r="M122" s="78">
        <f>'EXTRACTION AT GLOBAL DEA'!B120</f>
        <v>42858</v>
      </c>
      <c r="N122" s="77" t="str">
        <f t="shared" si="5"/>
        <v>mai</v>
      </c>
      <c r="O122" s="65"/>
      <c r="P122" s="67"/>
      <c r="Q122" s="67"/>
      <c r="R122" s="67"/>
      <c r="S122" s="67"/>
      <c r="T122" s="67"/>
      <c r="U122" s="67"/>
      <c r="V122" s="67"/>
      <c r="W122" s="67"/>
      <c r="X122" s="67"/>
      <c r="Y122" s="67"/>
      <c r="Z122" s="67"/>
      <c r="AA122" s="67"/>
      <c r="AB122" s="68">
        <f t="shared" si="3"/>
        <v>0</v>
      </c>
    </row>
    <row r="123" spans="1:28" hidden="1" x14ac:dyDescent="0.25">
      <c r="A123" s="77" t="str">
        <f>'EXTRACTION AT GLOBAL DEA'!D121</f>
        <v>109164</v>
      </c>
      <c r="B123" s="77" t="str">
        <f>'EXTRACTION AT GLOBAL DEA'!E121</f>
        <v>DUSSEY</v>
      </c>
      <c r="C123" s="77" t="str">
        <f>'EXTRACTION AT GLOBAL DEA'!F121</f>
        <v>NOUNAM</v>
      </c>
      <c r="D123" s="77" t="str">
        <f>'EXTRACTION AT GLOBAL DEA'!I121</f>
        <v>MT LK SU</v>
      </c>
      <c r="E123" s="66">
        <f>'EXTRACTION AT GLOBAL DEA'!G121</f>
        <v>38</v>
      </c>
      <c r="F123" s="84" t="str">
        <f t="shared" si="4"/>
        <v>35 à 39 ans</v>
      </c>
      <c r="G123" s="77" t="str">
        <f>'EXTRACTION AT GLOBAL DEA'!K121</f>
        <v>T</v>
      </c>
      <c r="H123" s="77">
        <f>'EXTRACTION AT GLOBAL DEA'!N121</f>
        <v>0</v>
      </c>
      <c r="I123" s="77" t="str">
        <f>'EXTRACTION AT GLOBAL DEA'!L121</f>
        <v>N</v>
      </c>
      <c r="J123" s="77" t="str">
        <f>'EXTRACTION AT GLOBAL DEA'!M121</f>
        <v>N</v>
      </c>
      <c r="K123" s="77"/>
      <c r="L123" s="77"/>
      <c r="M123" s="78">
        <f>'EXTRACTION AT GLOBAL DEA'!B121</f>
        <v>42859</v>
      </c>
      <c r="N123" s="77" t="str">
        <f t="shared" si="5"/>
        <v>mai</v>
      </c>
      <c r="O123" s="65"/>
      <c r="P123" s="67"/>
      <c r="Q123" s="67"/>
      <c r="R123" s="67"/>
      <c r="S123" s="67"/>
      <c r="T123" s="67"/>
      <c r="U123" s="67"/>
      <c r="V123" s="67"/>
      <c r="W123" s="67"/>
      <c r="X123" s="67"/>
      <c r="Y123" s="67"/>
      <c r="Z123" s="67"/>
      <c r="AA123" s="67"/>
      <c r="AB123" s="68">
        <f t="shared" si="3"/>
        <v>0</v>
      </c>
    </row>
    <row r="124" spans="1:28" hidden="1" x14ac:dyDescent="0.25">
      <c r="A124" s="77" t="str">
        <f>'EXTRACTION AT GLOBAL DEA'!D122</f>
        <v>108900</v>
      </c>
      <c r="B124" s="77" t="str">
        <f>'EXTRACTION AT GLOBAL DEA'!E122</f>
        <v>APATOUT</v>
      </c>
      <c r="C124" s="77" t="str">
        <f>'EXTRACTION AT GLOBAL DEA'!F122</f>
        <v>PHILIPPE</v>
      </c>
      <c r="D124" s="77" t="str">
        <f>'EXTRACTION AT GLOBAL DEA'!I122</f>
        <v>MT CG PR</v>
      </c>
      <c r="E124" s="66">
        <f>'EXTRACTION AT GLOBAL DEA'!G122</f>
        <v>49</v>
      </c>
      <c r="F124" s="84" t="str">
        <f t="shared" si="4"/>
        <v>45 à 49 ans</v>
      </c>
      <c r="G124" s="77" t="str">
        <f>'EXTRACTION AT GLOBAL DEA'!K122</f>
        <v>T</v>
      </c>
      <c r="H124" s="77">
        <f>'EXTRACTION AT GLOBAL DEA'!N122</f>
        <v>4</v>
      </c>
      <c r="I124" s="77" t="str">
        <f>'EXTRACTION AT GLOBAL DEA'!L122</f>
        <v>O</v>
      </c>
      <c r="J124" s="77" t="str">
        <f>'EXTRACTION AT GLOBAL DEA'!M122</f>
        <v>N</v>
      </c>
      <c r="K124" s="77"/>
      <c r="L124" s="77"/>
      <c r="M124" s="78">
        <f>'EXTRACTION AT GLOBAL DEA'!B122</f>
        <v>42863</v>
      </c>
      <c r="N124" s="77" t="str">
        <f t="shared" si="5"/>
        <v>mai</v>
      </c>
      <c r="O124" s="65"/>
      <c r="P124" s="67"/>
      <c r="Q124" s="67"/>
      <c r="R124" s="67"/>
      <c r="S124" s="67"/>
      <c r="T124" s="67"/>
      <c r="U124" s="67"/>
      <c r="V124" s="67"/>
      <c r="W124" s="67"/>
      <c r="X124" s="67"/>
      <c r="Y124" s="67"/>
      <c r="Z124" s="67"/>
      <c r="AA124" s="67"/>
      <c r="AB124" s="68">
        <f t="shared" si="3"/>
        <v>0</v>
      </c>
    </row>
    <row r="125" spans="1:28" hidden="1" x14ac:dyDescent="0.25">
      <c r="A125" s="77" t="str">
        <f>'EXTRACTION AT GLOBAL DEA'!D123</f>
        <v>108936</v>
      </c>
      <c r="B125" s="77" t="str">
        <f>'EXTRACTION AT GLOBAL DEA'!E123</f>
        <v>MOULIN</v>
      </c>
      <c r="C125" s="77" t="str">
        <f>'EXTRACTION AT GLOBAL DEA'!F123</f>
        <v>MICKAEL</v>
      </c>
      <c r="D125" s="77" t="str">
        <f>'EXTRACTION AT GLOBAL DEA'!I123</f>
        <v>BLDPMSVL</v>
      </c>
      <c r="E125" s="66">
        <f>'EXTRACTION AT GLOBAL DEA'!G123</f>
        <v>21</v>
      </c>
      <c r="F125" s="84" t="str">
        <f t="shared" si="4"/>
        <v>20 à 24 ans</v>
      </c>
      <c r="G125" s="77" t="str">
        <f>'EXTRACTION AT GLOBAL DEA'!K123</f>
        <v>T</v>
      </c>
      <c r="H125" s="77">
        <f>'EXTRACTION AT GLOBAL DEA'!N123</f>
        <v>14</v>
      </c>
      <c r="I125" s="77" t="str">
        <f>'EXTRACTION AT GLOBAL DEA'!L123</f>
        <v>O</v>
      </c>
      <c r="J125" s="77" t="str">
        <f>'EXTRACTION AT GLOBAL DEA'!M123</f>
        <v>N</v>
      </c>
      <c r="K125" s="77"/>
      <c r="L125" s="77"/>
      <c r="M125" s="78">
        <f>'EXTRACTION AT GLOBAL DEA'!B123</f>
        <v>42864</v>
      </c>
      <c r="N125" s="77" t="str">
        <f t="shared" si="5"/>
        <v>mai</v>
      </c>
      <c r="O125" s="65"/>
      <c r="P125" s="67"/>
      <c r="Q125" s="67"/>
      <c r="R125" s="67"/>
      <c r="S125" s="67"/>
      <c r="T125" s="67"/>
      <c r="U125" s="67"/>
      <c r="V125" s="67"/>
      <c r="W125" s="67"/>
      <c r="X125" s="67"/>
      <c r="Y125" s="67"/>
      <c r="Z125" s="67"/>
      <c r="AA125" s="67"/>
      <c r="AB125" s="68">
        <f t="shared" si="3"/>
        <v>0</v>
      </c>
    </row>
    <row r="126" spans="1:28" x14ac:dyDescent="0.25">
      <c r="A126" s="77" t="str">
        <f>'EXTRACTION AT GLOBAL DEA'!D124</f>
        <v>109006</v>
      </c>
      <c r="B126" s="77" t="str">
        <f>'EXTRACTION AT GLOBAL DEA'!E124</f>
        <v>SOUDANT</v>
      </c>
      <c r="C126" s="77" t="str">
        <f>'EXTRACTION AT GLOBAL DEA'!F124</f>
        <v>PHILIPPE</v>
      </c>
      <c r="D126" s="77" t="str">
        <f>'EXTRACTION AT GLOBAL DEA'!I124</f>
        <v>MT QJ</v>
      </c>
      <c r="E126" s="66">
        <f>'EXTRACTION AT GLOBAL DEA'!G124</f>
        <v>46</v>
      </c>
      <c r="F126" s="84" t="str">
        <f t="shared" si="4"/>
        <v>45 à 49 ans</v>
      </c>
      <c r="G126" s="77" t="str">
        <f>'EXTRACTION AT GLOBAL DEA'!K124</f>
        <v>S</v>
      </c>
      <c r="H126" s="77">
        <f>'EXTRACTION AT GLOBAL DEA'!N124</f>
        <v>112</v>
      </c>
      <c r="I126" s="77" t="str">
        <f>'EXTRACTION AT GLOBAL DEA'!L124</f>
        <v>O</v>
      </c>
      <c r="J126" s="77" t="str">
        <f>'EXTRACTION AT GLOBAL DEA'!M124</f>
        <v>N</v>
      </c>
      <c r="K126" s="77"/>
      <c r="L126" s="77"/>
      <c r="M126" s="78">
        <f>'EXTRACTION AT GLOBAL DEA'!B124</f>
        <v>42866</v>
      </c>
      <c r="N126" s="77" t="str">
        <f t="shared" si="5"/>
        <v>mai</v>
      </c>
      <c r="O126" s="65"/>
      <c r="P126" s="67"/>
      <c r="Q126" s="67"/>
      <c r="R126" s="67"/>
      <c r="S126" s="67"/>
      <c r="T126" s="67"/>
      <c r="U126" s="67"/>
      <c r="V126" s="67"/>
      <c r="W126" s="67"/>
      <c r="X126" s="67"/>
      <c r="Y126" s="67"/>
      <c r="Z126" s="67"/>
      <c r="AA126" s="67"/>
      <c r="AB126" s="68">
        <f t="shared" si="3"/>
        <v>0</v>
      </c>
    </row>
    <row r="127" spans="1:28" x14ac:dyDescent="0.25">
      <c r="A127" s="77" t="str">
        <f>'EXTRACTION AT GLOBAL DEA'!D125</f>
        <v>108987</v>
      </c>
      <c r="B127" s="77" t="str">
        <f>'EXTRACTION AT GLOBAL DEA'!E125</f>
        <v>ABDEDAIM</v>
      </c>
      <c r="C127" s="77" t="str">
        <f>'EXTRACTION AT GLOBAL DEA'!F125</f>
        <v>NABIL</v>
      </c>
      <c r="D127" s="77" t="str">
        <f>'EXTRACTION AT GLOBAL DEA'!I125</f>
        <v>MT CC PR</v>
      </c>
      <c r="E127" s="66">
        <f>'EXTRACTION AT GLOBAL DEA'!G125</f>
        <v>36</v>
      </c>
      <c r="F127" s="84" t="str">
        <f t="shared" si="4"/>
        <v>35 à 39 ans</v>
      </c>
      <c r="G127" s="77" t="str">
        <f>'EXTRACTION AT GLOBAL DEA'!K125</f>
        <v>S</v>
      </c>
      <c r="H127" s="77">
        <f>'EXTRACTION AT GLOBAL DEA'!N125</f>
        <v>0</v>
      </c>
      <c r="I127" s="77" t="str">
        <f>'EXTRACTION AT GLOBAL DEA'!L125</f>
        <v>N</v>
      </c>
      <c r="J127" s="77" t="str">
        <f>'EXTRACTION AT GLOBAL DEA'!M125</f>
        <v>O</v>
      </c>
      <c r="K127" s="77"/>
      <c r="L127" s="77"/>
      <c r="M127" s="78">
        <f>'EXTRACTION AT GLOBAL DEA'!B125</f>
        <v>42866</v>
      </c>
      <c r="N127" s="77" t="str">
        <f t="shared" si="5"/>
        <v>mai</v>
      </c>
      <c r="O127" s="65"/>
      <c r="P127" s="67"/>
      <c r="Q127" s="67"/>
      <c r="R127" s="67"/>
      <c r="S127" s="67"/>
      <c r="T127" s="67"/>
      <c r="U127" s="67"/>
      <c r="V127" s="67"/>
      <c r="W127" s="67"/>
      <c r="X127" s="67"/>
      <c r="Y127" s="67"/>
      <c r="Z127" s="67"/>
      <c r="AA127" s="67"/>
      <c r="AB127" s="68">
        <f t="shared" si="3"/>
        <v>0</v>
      </c>
    </row>
    <row r="128" spans="1:28" x14ac:dyDescent="0.25">
      <c r="A128" s="77" t="str">
        <f>'EXTRACTION AT GLOBAL DEA'!D126</f>
        <v>108989</v>
      </c>
      <c r="B128" s="77" t="str">
        <f>'EXTRACTION AT GLOBAL DEA'!E126</f>
        <v>FLENNER</v>
      </c>
      <c r="C128" s="77" t="str">
        <f>'EXTRACTION AT GLOBAL DEA'!F126</f>
        <v>STEPHANE</v>
      </c>
      <c r="D128" s="77" t="str">
        <f>'EXTRACTION AT GLOBAL DEA'!I126</f>
        <v>MT CC PR</v>
      </c>
      <c r="E128" s="66">
        <f>'EXTRACTION AT GLOBAL DEA'!G126</f>
        <v>51</v>
      </c>
      <c r="F128" s="84" t="str">
        <f t="shared" si="4"/>
        <v>50 à 54 ans</v>
      </c>
      <c r="G128" s="77" t="str">
        <f>'EXTRACTION AT GLOBAL DEA'!K126</f>
        <v>S</v>
      </c>
      <c r="H128" s="77">
        <f>'EXTRACTION AT GLOBAL DEA'!N126</f>
        <v>0</v>
      </c>
      <c r="I128" s="77" t="str">
        <f>'EXTRACTION AT GLOBAL DEA'!L126</f>
        <v>N</v>
      </c>
      <c r="J128" s="77" t="str">
        <f>'EXTRACTION AT GLOBAL DEA'!M126</f>
        <v>N</v>
      </c>
      <c r="K128" s="77"/>
      <c r="L128" s="77"/>
      <c r="M128" s="78">
        <f>'EXTRACTION AT GLOBAL DEA'!B126</f>
        <v>42866</v>
      </c>
      <c r="N128" s="77" t="str">
        <f t="shared" si="5"/>
        <v>mai</v>
      </c>
      <c r="O128" s="65"/>
      <c r="P128" s="67"/>
      <c r="Q128" s="67"/>
      <c r="R128" s="67"/>
      <c r="S128" s="67"/>
      <c r="T128" s="67"/>
      <c r="U128" s="67"/>
      <c r="V128" s="67"/>
      <c r="W128" s="67"/>
      <c r="X128" s="67"/>
      <c r="Y128" s="67"/>
      <c r="Z128" s="67"/>
      <c r="AA128" s="67"/>
      <c r="AB128" s="68">
        <f t="shared" si="3"/>
        <v>0</v>
      </c>
    </row>
    <row r="129" spans="1:28" hidden="1" x14ac:dyDescent="0.25">
      <c r="A129" s="77" t="str">
        <f>'EXTRACTION AT GLOBAL DEA'!D127</f>
        <v>109015</v>
      </c>
      <c r="B129" s="77" t="str">
        <f>'EXTRACTION AT GLOBAL DEA'!E127</f>
        <v>LECANU</v>
      </c>
      <c r="C129" s="77" t="str">
        <f>'EXTRACTION AT GLOBAL DEA'!F127</f>
        <v>STEPHANE</v>
      </c>
      <c r="D129" s="77" t="str">
        <f>'EXTRACTION AT GLOBAL DEA'!I127</f>
        <v>MT CA PR</v>
      </c>
      <c r="E129" s="66">
        <f>'EXTRACTION AT GLOBAL DEA'!G127</f>
        <v>48</v>
      </c>
      <c r="F129" s="84" t="str">
        <f t="shared" si="4"/>
        <v>45 à 49 ans</v>
      </c>
      <c r="G129" s="77" t="str">
        <f>'EXTRACTION AT GLOBAL DEA'!K127</f>
        <v>T</v>
      </c>
      <c r="H129" s="77">
        <f>'EXTRACTION AT GLOBAL DEA'!N127</f>
        <v>0</v>
      </c>
      <c r="I129" s="77" t="str">
        <f>'EXTRACTION AT GLOBAL DEA'!L127</f>
        <v>N</v>
      </c>
      <c r="J129" s="77" t="str">
        <f>'EXTRACTION AT GLOBAL DEA'!M127</f>
        <v>N</v>
      </c>
      <c r="K129" s="77"/>
      <c r="L129" s="77"/>
      <c r="M129" s="78">
        <f>'EXTRACTION AT GLOBAL DEA'!B127</f>
        <v>42866</v>
      </c>
      <c r="N129" s="77" t="str">
        <f t="shared" si="5"/>
        <v>mai</v>
      </c>
      <c r="O129" s="65"/>
      <c r="P129" s="67"/>
      <c r="Q129" s="67"/>
      <c r="R129" s="67"/>
      <c r="S129" s="67"/>
      <c r="T129" s="67"/>
      <c r="U129" s="67"/>
      <c r="V129" s="67"/>
      <c r="W129" s="67"/>
      <c r="X129" s="67"/>
      <c r="Y129" s="67"/>
      <c r="Z129" s="67"/>
      <c r="AA129" s="67"/>
      <c r="AB129" s="68">
        <f t="shared" si="3"/>
        <v>0</v>
      </c>
    </row>
    <row r="130" spans="1:28" x14ac:dyDescent="0.25">
      <c r="A130" s="77" t="str">
        <f>'EXTRACTION AT GLOBAL DEA'!D128</f>
        <v>109086</v>
      </c>
      <c r="B130" s="77" t="str">
        <f>'EXTRACTION AT GLOBAL DEA'!E128</f>
        <v>SLIMANE</v>
      </c>
      <c r="C130" s="77" t="str">
        <f>'EXTRACTION AT GLOBAL DEA'!F128</f>
        <v>SAID</v>
      </c>
      <c r="D130" s="77" t="str">
        <f>'EXTRACTION AT GLOBAL DEA'!I128</f>
        <v>MT HB QO</v>
      </c>
      <c r="E130" s="66">
        <f>'EXTRACTION AT GLOBAL DEA'!G128</f>
        <v>43</v>
      </c>
      <c r="F130" s="84" t="str">
        <f t="shared" si="4"/>
        <v>40 à 44 ans</v>
      </c>
      <c r="G130" s="77" t="str">
        <f>'EXTRACTION AT GLOBAL DEA'!K128</f>
        <v>S</v>
      </c>
      <c r="H130" s="77">
        <f>'EXTRACTION AT GLOBAL DEA'!N128</f>
        <v>0</v>
      </c>
      <c r="I130" s="77" t="str">
        <f>'EXTRACTION AT GLOBAL DEA'!L128</f>
        <v>N</v>
      </c>
      <c r="J130" s="77" t="str">
        <f>'EXTRACTION AT GLOBAL DEA'!M128</f>
        <v>N</v>
      </c>
      <c r="K130" s="77"/>
      <c r="L130" s="77"/>
      <c r="M130" s="78">
        <f>'EXTRACTION AT GLOBAL DEA'!B128</f>
        <v>42868</v>
      </c>
      <c r="N130" s="77" t="str">
        <f t="shared" si="5"/>
        <v>mai</v>
      </c>
      <c r="O130" s="65"/>
      <c r="P130" s="67"/>
      <c r="Q130" s="67"/>
      <c r="R130" s="67"/>
      <c r="S130" s="67"/>
      <c r="T130" s="67"/>
      <c r="U130" s="67"/>
      <c r="V130" s="67"/>
      <c r="W130" s="67"/>
      <c r="X130" s="67"/>
      <c r="Y130" s="67"/>
      <c r="Z130" s="67"/>
      <c r="AA130" s="67"/>
      <c r="AB130" s="68">
        <f t="shared" si="3"/>
        <v>0</v>
      </c>
    </row>
    <row r="131" spans="1:28" x14ac:dyDescent="0.25">
      <c r="A131" s="77" t="str">
        <f>'EXTRACTION AT GLOBAL DEA'!D129</f>
        <v>109085</v>
      </c>
      <c r="B131" s="77" t="str">
        <f>'EXTRACTION AT GLOBAL DEA'!E129</f>
        <v>PAUVRE</v>
      </c>
      <c r="C131" s="77" t="str">
        <f>'EXTRACTION AT GLOBAL DEA'!F129</f>
        <v>PHILIPPE</v>
      </c>
      <c r="D131" s="77" t="str">
        <f>'EXTRACTION AT GLOBAL DEA'!I129</f>
        <v>MT HB QO</v>
      </c>
      <c r="E131" s="66">
        <f>'EXTRACTION AT GLOBAL DEA'!G129</f>
        <v>51</v>
      </c>
      <c r="F131" s="84" t="str">
        <f t="shared" si="4"/>
        <v>50 à 54 ans</v>
      </c>
      <c r="G131" s="77" t="str">
        <f>'EXTRACTION AT GLOBAL DEA'!K129</f>
        <v>S</v>
      </c>
      <c r="H131" s="77">
        <f>'EXTRACTION AT GLOBAL DEA'!N129</f>
        <v>0</v>
      </c>
      <c r="I131" s="77" t="str">
        <f>'EXTRACTION AT GLOBAL DEA'!L129</f>
        <v>N</v>
      </c>
      <c r="J131" s="77" t="str">
        <f>'EXTRACTION AT GLOBAL DEA'!M129</f>
        <v>N</v>
      </c>
      <c r="K131" s="77"/>
      <c r="L131" s="77"/>
      <c r="M131" s="78">
        <f>'EXTRACTION AT GLOBAL DEA'!B129</f>
        <v>42868</v>
      </c>
      <c r="N131" s="77" t="str">
        <f t="shared" si="5"/>
        <v>mai</v>
      </c>
      <c r="O131" s="65"/>
      <c r="P131" s="67"/>
      <c r="Q131" s="67"/>
      <c r="R131" s="67"/>
      <c r="S131" s="67"/>
      <c r="T131" s="67"/>
      <c r="U131" s="67"/>
      <c r="V131" s="67"/>
      <c r="W131" s="67"/>
      <c r="X131" s="67"/>
      <c r="Y131" s="67"/>
      <c r="Z131" s="67"/>
      <c r="AA131" s="67"/>
      <c r="AB131" s="68">
        <f t="shared" si="3"/>
        <v>0</v>
      </c>
    </row>
    <row r="132" spans="1:28" x14ac:dyDescent="0.25">
      <c r="A132" s="77" t="str">
        <f>'EXTRACTION AT GLOBAL DEA'!D130</f>
        <v>109084</v>
      </c>
      <c r="B132" s="77" t="str">
        <f>'EXTRACTION AT GLOBAL DEA'!E130</f>
        <v>HOARAU</v>
      </c>
      <c r="C132" s="77" t="str">
        <f>'EXTRACTION AT GLOBAL DEA'!F130</f>
        <v>ANDRE</v>
      </c>
      <c r="D132" s="77" t="str">
        <f>'EXTRACTION AT GLOBAL DEA'!I130</f>
        <v>MT YH AR</v>
      </c>
      <c r="E132" s="66">
        <f>'EXTRACTION AT GLOBAL DEA'!G130</f>
        <v>57</v>
      </c>
      <c r="F132" s="84" t="str">
        <f t="shared" si="4"/>
        <v>55 à 59 ans</v>
      </c>
      <c r="G132" s="77" t="str">
        <f>'EXTRACTION AT GLOBAL DEA'!K130</f>
        <v>S</v>
      </c>
      <c r="H132" s="77">
        <f>'EXTRACTION AT GLOBAL DEA'!N130</f>
        <v>0</v>
      </c>
      <c r="I132" s="77" t="str">
        <f>'EXTRACTION AT GLOBAL DEA'!L130</f>
        <v>N</v>
      </c>
      <c r="J132" s="77" t="str">
        <f>'EXTRACTION AT GLOBAL DEA'!M130</f>
        <v>N</v>
      </c>
      <c r="K132" s="77"/>
      <c r="L132" s="77"/>
      <c r="M132" s="78">
        <f>'EXTRACTION AT GLOBAL DEA'!B130</f>
        <v>42869</v>
      </c>
      <c r="N132" s="77" t="str">
        <f t="shared" si="5"/>
        <v>mai</v>
      </c>
      <c r="O132" s="65"/>
      <c r="P132" s="67"/>
      <c r="Q132" s="67"/>
      <c r="R132" s="67"/>
      <c r="S132" s="67"/>
      <c r="T132" s="67"/>
      <c r="U132" s="67"/>
      <c r="V132" s="67"/>
      <c r="W132" s="67"/>
      <c r="X132" s="67"/>
      <c r="Y132" s="67"/>
      <c r="Z132" s="67"/>
      <c r="AA132" s="67"/>
      <c r="AB132" s="68">
        <f t="shared" si="3"/>
        <v>0</v>
      </c>
    </row>
    <row r="133" spans="1:28" hidden="1" x14ac:dyDescent="0.25">
      <c r="A133" s="77" t="str">
        <f>'EXTRACTION AT GLOBAL DEA'!D131</f>
        <v>109154</v>
      </c>
      <c r="B133" s="77" t="str">
        <f>'EXTRACTION AT GLOBAL DEA'!E131</f>
        <v>GAILLARD</v>
      </c>
      <c r="C133" s="77" t="str">
        <f>'EXTRACTION AT GLOBAL DEA'!F131</f>
        <v>JEAN-LUC</v>
      </c>
      <c r="D133" s="77" t="str">
        <f>'EXTRACTION AT GLOBAL DEA'!I131</f>
        <v>MT LK SI</v>
      </c>
      <c r="E133" s="66">
        <f>'EXTRACTION AT GLOBAL DEA'!G131</f>
        <v>56</v>
      </c>
      <c r="F133" s="84" t="str">
        <f t="shared" si="4"/>
        <v>55 à 59 ans</v>
      </c>
      <c r="G133" s="77" t="str">
        <f>'EXTRACTION AT GLOBAL DEA'!K131</f>
        <v>T</v>
      </c>
      <c r="H133" s="77">
        <f>'EXTRACTION AT GLOBAL DEA'!N131</f>
        <v>0</v>
      </c>
      <c r="I133" s="77" t="str">
        <f>'EXTRACTION AT GLOBAL DEA'!L131</f>
        <v>N</v>
      </c>
      <c r="J133" s="77" t="str">
        <f>'EXTRACTION AT GLOBAL DEA'!M131</f>
        <v>N</v>
      </c>
      <c r="K133" s="77"/>
      <c r="L133" s="77"/>
      <c r="M133" s="78">
        <f>'EXTRACTION AT GLOBAL DEA'!B131</f>
        <v>42870</v>
      </c>
      <c r="N133" s="77" t="str">
        <f t="shared" si="5"/>
        <v>mai</v>
      </c>
      <c r="O133" s="65"/>
      <c r="P133" s="67"/>
      <c r="Q133" s="67"/>
      <c r="R133" s="67"/>
      <c r="S133" s="67"/>
      <c r="T133" s="67"/>
      <c r="U133" s="67"/>
      <c r="V133" s="67"/>
      <c r="W133" s="67"/>
      <c r="X133" s="67"/>
      <c r="Y133" s="67"/>
      <c r="Z133" s="67"/>
      <c r="AA133" s="67"/>
      <c r="AB133" s="68">
        <f t="shared" si="3"/>
        <v>0</v>
      </c>
    </row>
    <row r="134" spans="1:28" x14ac:dyDescent="0.25">
      <c r="A134" s="77" t="str">
        <f>'EXTRACTION AT GLOBAL DEA'!D132</f>
        <v>109089</v>
      </c>
      <c r="B134" s="77" t="str">
        <f>'EXTRACTION AT GLOBAL DEA'!E132</f>
        <v>JEANJEAN</v>
      </c>
      <c r="C134" s="77" t="str">
        <f>'EXTRACTION AT GLOBAL DEA'!F132</f>
        <v>THIBAULT</v>
      </c>
      <c r="D134" s="77" t="str">
        <f>'EXTRACTION AT GLOBAL DEA'!I132</f>
        <v>MT CA PR</v>
      </c>
      <c r="E134" s="66">
        <f>'EXTRACTION AT GLOBAL DEA'!G132</f>
        <v>30</v>
      </c>
      <c r="F134" s="84" t="str">
        <f t="shared" ref="F134:F197" si="6">IF(E134&lt;1,"",IF(E134&lt;20,"Moins de 20 ans",IF(E134&lt;25,"20 à 24 ans",IF(E134&lt;30,"25 à 29 ans",IF(E134&lt;35,"30 à 34 ans",IF(E134&lt;40,"35 à 39 ans",IF(E134&lt;45,"40 à 44 ans",IF(E134&lt;50,"45 à 49 ans",IF(E134&lt;55,"50 à 54 ans",IF(E133&lt;60,"55 à 59 ans",IF(E134&gt;59,"60 ans et plus","")))))))))))</f>
        <v>30 à 34 ans</v>
      </c>
      <c r="G134" s="77" t="str">
        <f>'EXTRACTION AT GLOBAL DEA'!K132</f>
        <v>S</v>
      </c>
      <c r="H134" s="77">
        <f>'EXTRACTION AT GLOBAL DEA'!N132</f>
        <v>0</v>
      </c>
      <c r="I134" s="77" t="str">
        <f>'EXTRACTION AT GLOBAL DEA'!L132</f>
        <v>N</v>
      </c>
      <c r="J134" s="77" t="str">
        <f>'EXTRACTION AT GLOBAL DEA'!M132</f>
        <v>N</v>
      </c>
      <c r="K134" s="77"/>
      <c r="L134" s="77"/>
      <c r="M134" s="78">
        <f>'EXTRACTION AT GLOBAL DEA'!B132</f>
        <v>42870</v>
      </c>
      <c r="N134" s="77" t="str">
        <f t="shared" ref="N134:N197" si="7">TEXT(M134,"mmmm")</f>
        <v>mai</v>
      </c>
      <c r="O134" s="65"/>
      <c r="P134" s="67"/>
      <c r="Q134" s="67"/>
      <c r="R134" s="67"/>
      <c r="S134" s="67"/>
      <c r="T134" s="67"/>
      <c r="U134" s="67"/>
      <c r="V134" s="67"/>
      <c r="W134" s="67"/>
      <c r="X134" s="67"/>
      <c r="Y134" s="67"/>
      <c r="Z134" s="67"/>
      <c r="AA134" s="67"/>
      <c r="AB134" s="68">
        <f t="shared" si="3"/>
        <v>0</v>
      </c>
    </row>
    <row r="135" spans="1:28" x14ac:dyDescent="0.25">
      <c r="A135" s="77" t="str">
        <f>'EXTRACTION AT GLOBAL DEA'!D133</f>
        <v>109160</v>
      </c>
      <c r="B135" s="77" t="str">
        <f>'EXTRACTION AT GLOBAL DEA'!E133</f>
        <v>PICQUOT</v>
      </c>
      <c r="C135" s="77" t="str">
        <f>'EXTRACTION AT GLOBAL DEA'!F133</f>
        <v>DOMINIQUE</v>
      </c>
      <c r="D135" s="77" t="str">
        <f>'EXTRACTION AT GLOBAL DEA'!I133</f>
        <v>MT CG PR</v>
      </c>
      <c r="E135" s="66">
        <f>'EXTRACTION AT GLOBAL DEA'!G133</f>
        <v>48</v>
      </c>
      <c r="F135" s="84" t="str">
        <f t="shared" si="6"/>
        <v>45 à 49 ans</v>
      </c>
      <c r="G135" s="77" t="str">
        <f>'EXTRACTION AT GLOBAL DEA'!K133</f>
        <v>S</v>
      </c>
      <c r="H135" s="77">
        <f>'EXTRACTION AT GLOBAL DEA'!N133</f>
        <v>0</v>
      </c>
      <c r="I135" s="77" t="str">
        <f>'EXTRACTION AT GLOBAL DEA'!L133</f>
        <v>N</v>
      </c>
      <c r="J135" s="77" t="str">
        <f>'EXTRACTION AT GLOBAL DEA'!M133</f>
        <v>N</v>
      </c>
      <c r="K135" s="77"/>
      <c r="L135" s="77"/>
      <c r="M135" s="78">
        <f>'EXTRACTION AT GLOBAL DEA'!B133</f>
        <v>42872</v>
      </c>
      <c r="N135" s="77" t="str">
        <f t="shared" si="7"/>
        <v>mai</v>
      </c>
      <c r="O135" s="65"/>
      <c r="P135" s="67"/>
      <c r="Q135" s="67"/>
      <c r="R135" s="67"/>
      <c r="S135" s="67"/>
      <c r="T135" s="67"/>
      <c r="U135" s="67"/>
      <c r="V135" s="67"/>
      <c r="W135" s="67"/>
      <c r="X135" s="67"/>
      <c r="Y135" s="67"/>
      <c r="Z135" s="67"/>
      <c r="AA135" s="67"/>
      <c r="AB135" s="68">
        <f t="shared" si="3"/>
        <v>0</v>
      </c>
    </row>
    <row r="136" spans="1:28" x14ac:dyDescent="0.25">
      <c r="A136" s="77" t="str">
        <f>'EXTRACTION AT GLOBAL DEA'!D134</f>
        <v>109204</v>
      </c>
      <c r="B136" s="77" t="str">
        <f>'EXTRACTION AT GLOBAL DEA'!E134</f>
        <v>LEONARD</v>
      </c>
      <c r="C136" s="77" t="str">
        <f>'EXTRACTION AT GLOBAL DEA'!F134</f>
        <v>STEPHANE</v>
      </c>
      <c r="D136" s="77" t="str">
        <f>'EXTRACTION AT GLOBAL DEA'!I134</f>
        <v>MT QJ</v>
      </c>
      <c r="E136" s="66">
        <f>'EXTRACTION AT GLOBAL DEA'!G134</f>
        <v>46</v>
      </c>
      <c r="F136" s="84" t="str">
        <f t="shared" si="6"/>
        <v>45 à 49 ans</v>
      </c>
      <c r="G136" s="77" t="str">
        <f>'EXTRACTION AT GLOBAL DEA'!K134</f>
        <v>S</v>
      </c>
      <c r="H136" s="77">
        <f>'EXTRACTION AT GLOBAL DEA'!N134</f>
        <v>150</v>
      </c>
      <c r="I136" s="77" t="str">
        <f>'EXTRACTION AT GLOBAL DEA'!L134</f>
        <v>O</v>
      </c>
      <c r="J136" s="77" t="str">
        <f>'EXTRACTION AT GLOBAL DEA'!M134</f>
        <v>N</v>
      </c>
      <c r="K136" s="77"/>
      <c r="L136" s="77"/>
      <c r="M136" s="78">
        <f>'EXTRACTION AT GLOBAL DEA'!B134</f>
        <v>42872</v>
      </c>
      <c r="N136" s="77" t="str">
        <f t="shared" si="7"/>
        <v>mai</v>
      </c>
      <c r="O136" s="65"/>
      <c r="P136" s="67"/>
      <c r="Q136" s="67"/>
      <c r="R136" s="67"/>
      <c r="S136" s="67"/>
      <c r="T136" s="67"/>
      <c r="U136" s="67"/>
      <c r="V136" s="67"/>
      <c r="W136" s="67"/>
      <c r="X136" s="67"/>
      <c r="Y136" s="67"/>
      <c r="Z136" s="67"/>
      <c r="AA136" s="67"/>
      <c r="AB136" s="68">
        <f t="shared" si="3"/>
        <v>0</v>
      </c>
    </row>
    <row r="137" spans="1:28" x14ac:dyDescent="0.25">
      <c r="A137" s="77" t="str">
        <f>'EXTRACTION AT GLOBAL DEA'!D135</f>
        <v>109218</v>
      </c>
      <c r="B137" s="77" t="str">
        <f>'EXTRACTION AT GLOBAL DEA'!E135</f>
        <v>LE HIR</v>
      </c>
      <c r="C137" s="77" t="str">
        <f>'EXTRACTION AT GLOBAL DEA'!F135</f>
        <v>JEROME</v>
      </c>
      <c r="D137" s="77" t="str">
        <f>'EXTRACTION AT GLOBAL DEA'!I135</f>
        <v>MT HB PR</v>
      </c>
      <c r="E137" s="66">
        <f>'EXTRACTION AT GLOBAL DEA'!G135</f>
        <v>48</v>
      </c>
      <c r="F137" s="84" t="str">
        <f t="shared" si="6"/>
        <v>45 à 49 ans</v>
      </c>
      <c r="G137" s="77" t="str">
        <f>'EXTRACTION AT GLOBAL DEA'!K135</f>
        <v>S</v>
      </c>
      <c r="H137" s="77">
        <f>'EXTRACTION AT GLOBAL DEA'!N135</f>
        <v>9</v>
      </c>
      <c r="I137" s="77" t="str">
        <f>'EXTRACTION AT GLOBAL DEA'!L135</f>
        <v>O</v>
      </c>
      <c r="J137" s="77" t="str">
        <f>'EXTRACTION AT GLOBAL DEA'!M135</f>
        <v>N</v>
      </c>
      <c r="K137" s="77"/>
      <c r="L137" s="77"/>
      <c r="M137" s="78">
        <f>'EXTRACTION AT GLOBAL DEA'!B135</f>
        <v>42874</v>
      </c>
      <c r="N137" s="77" t="str">
        <f t="shared" si="7"/>
        <v>mai</v>
      </c>
      <c r="O137" s="65"/>
      <c r="P137" s="67"/>
      <c r="Q137" s="67"/>
      <c r="R137" s="67"/>
      <c r="S137" s="67"/>
      <c r="T137" s="67"/>
      <c r="U137" s="67"/>
      <c r="V137" s="67"/>
      <c r="W137" s="67"/>
      <c r="X137" s="67"/>
      <c r="Y137" s="67"/>
      <c r="Z137" s="67"/>
      <c r="AA137" s="67"/>
      <c r="AB137" s="68">
        <f t="shared" si="3"/>
        <v>0</v>
      </c>
    </row>
    <row r="138" spans="1:28" x14ac:dyDescent="0.25">
      <c r="A138" s="77" t="str">
        <f>'EXTRACTION AT GLOBAL DEA'!D136</f>
        <v>109248</v>
      </c>
      <c r="B138" s="77" t="str">
        <f>'EXTRACTION AT GLOBAL DEA'!E136</f>
        <v>SIMONNEAU</v>
      </c>
      <c r="C138" s="77" t="str">
        <f>'EXTRACTION AT GLOBAL DEA'!F136</f>
        <v>REGIS</v>
      </c>
      <c r="D138" s="77" t="str">
        <f>'EXTRACTION AT GLOBAL DEA'!I136</f>
        <v>MT HB PR</v>
      </c>
      <c r="E138" s="66">
        <f>'EXTRACTION AT GLOBAL DEA'!G136</f>
        <v>34</v>
      </c>
      <c r="F138" s="84" t="str">
        <f t="shared" si="6"/>
        <v>30 à 34 ans</v>
      </c>
      <c r="G138" s="77" t="str">
        <f>'EXTRACTION AT GLOBAL DEA'!K136</f>
        <v>S</v>
      </c>
      <c r="H138" s="77">
        <f>'EXTRACTION AT GLOBAL DEA'!N136</f>
        <v>0</v>
      </c>
      <c r="I138" s="77" t="str">
        <f>'EXTRACTION AT GLOBAL DEA'!L136</f>
        <v>N</v>
      </c>
      <c r="J138" s="77" t="str">
        <f>'EXTRACTION AT GLOBAL DEA'!M136</f>
        <v>N</v>
      </c>
      <c r="K138" s="77"/>
      <c r="L138" s="77"/>
      <c r="M138" s="78">
        <f>'EXTRACTION AT GLOBAL DEA'!B136</f>
        <v>42876</v>
      </c>
      <c r="N138" s="77" t="str">
        <f t="shared" si="7"/>
        <v>mai</v>
      </c>
      <c r="O138" s="65"/>
      <c r="P138" s="67"/>
      <c r="Q138" s="67"/>
      <c r="R138" s="67"/>
      <c r="S138" s="67"/>
      <c r="T138" s="67"/>
      <c r="U138" s="67"/>
      <c r="V138" s="67"/>
      <c r="W138" s="67"/>
      <c r="X138" s="67"/>
      <c r="Y138" s="67"/>
      <c r="Z138" s="67"/>
      <c r="AA138" s="67"/>
      <c r="AB138" s="68">
        <f t="shared" si="3"/>
        <v>0</v>
      </c>
    </row>
    <row r="139" spans="1:28" x14ac:dyDescent="0.25">
      <c r="A139" s="77" t="str">
        <f>'EXTRACTION AT GLOBAL DEA'!D137</f>
        <v>109472</v>
      </c>
      <c r="B139" s="77" t="str">
        <f>'EXTRACTION AT GLOBAL DEA'!E137</f>
        <v>DAVOUST</v>
      </c>
      <c r="C139" s="77" t="str">
        <f>'EXTRACTION AT GLOBAL DEA'!F137</f>
        <v>ROMAIN</v>
      </c>
      <c r="D139" s="77" t="str">
        <f>'EXTRACTION AT GLOBAL DEA'!I137</f>
        <v>MT HB PR</v>
      </c>
      <c r="E139" s="66">
        <f>'EXTRACTION AT GLOBAL DEA'!G137</f>
        <v>31</v>
      </c>
      <c r="F139" s="84" t="str">
        <f t="shared" si="6"/>
        <v>30 à 34 ans</v>
      </c>
      <c r="G139" s="77" t="str">
        <f>'EXTRACTION AT GLOBAL DEA'!K137</f>
        <v>S</v>
      </c>
      <c r="H139" s="77">
        <f>'EXTRACTION AT GLOBAL DEA'!N137</f>
        <v>0</v>
      </c>
      <c r="I139" s="77" t="str">
        <f>'EXTRACTION AT GLOBAL DEA'!L137</f>
        <v>N</v>
      </c>
      <c r="J139" s="77" t="str">
        <f>'EXTRACTION AT GLOBAL DEA'!M137</f>
        <v>N</v>
      </c>
      <c r="K139" s="77"/>
      <c r="L139" s="77"/>
      <c r="M139" s="78">
        <f>'EXTRACTION AT GLOBAL DEA'!B137</f>
        <v>42876</v>
      </c>
      <c r="N139" s="77" t="str">
        <f t="shared" si="7"/>
        <v>mai</v>
      </c>
      <c r="O139" s="65"/>
      <c r="P139" s="67"/>
      <c r="Q139" s="67"/>
      <c r="R139" s="67"/>
      <c r="S139" s="67"/>
      <c r="T139" s="67"/>
      <c r="U139" s="67"/>
      <c r="V139" s="67"/>
      <c r="W139" s="67"/>
      <c r="X139" s="67"/>
      <c r="Y139" s="67"/>
      <c r="Z139" s="67"/>
      <c r="AA139" s="67"/>
      <c r="AB139" s="68">
        <f t="shared" si="3"/>
        <v>0</v>
      </c>
    </row>
    <row r="140" spans="1:28" x14ac:dyDescent="0.25">
      <c r="A140" s="77" t="str">
        <f>'EXTRACTION AT GLOBAL DEA'!D138</f>
        <v>109344</v>
      </c>
      <c r="B140" s="77" t="str">
        <f>'EXTRACTION AT GLOBAL DEA'!E138</f>
        <v>CAUSSIGNAC</v>
      </c>
      <c r="C140" s="77" t="str">
        <f>'EXTRACTION AT GLOBAL DEA'!F138</f>
        <v>LAURENT</v>
      </c>
      <c r="D140" s="77" t="str">
        <f>'EXTRACTION AT GLOBAL DEA'!I138</f>
        <v>MT CC PR</v>
      </c>
      <c r="E140" s="66">
        <f>'EXTRACTION AT GLOBAL DEA'!G138</f>
        <v>51</v>
      </c>
      <c r="F140" s="84" t="str">
        <f t="shared" si="6"/>
        <v>50 à 54 ans</v>
      </c>
      <c r="G140" s="77" t="str">
        <f>'EXTRACTION AT GLOBAL DEA'!K138</f>
        <v>S</v>
      </c>
      <c r="H140" s="77">
        <f>'EXTRACTION AT GLOBAL DEA'!N138</f>
        <v>91</v>
      </c>
      <c r="I140" s="77" t="str">
        <f>'EXTRACTION AT GLOBAL DEA'!L138</f>
        <v>O</v>
      </c>
      <c r="J140" s="77" t="str">
        <f>'EXTRACTION AT GLOBAL DEA'!M138</f>
        <v>N</v>
      </c>
      <c r="K140" s="77"/>
      <c r="L140" s="77"/>
      <c r="M140" s="78">
        <f>'EXTRACTION AT GLOBAL DEA'!B138</f>
        <v>42877</v>
      </c>
      <c r="N140" s="77" t="str">
        <f t="shared" si="7"/>
        <v>mai</v>
      </c>
      <c r="O140" s="65"/>
      <c r="P140" s="67"/>
      <c r="Q140" s="67"/>
      <c r="R140" s="67"/>
      <c r="S140" s="67"/>
      <c r="T140" s="67"/>
      <c r="U140" s="67"/>
      <c r="V140" s="67"/>
      <c r="W140" s="67"/>
      <c r="X140" s="67"/>
      <c r="Y140" s="67"/>
      <c r="Z140" s="67"/>
      <c r="AA140" s="67"/>
      <c r="AB140" s="68">
        <f t="shared" si="3"/>
        <v>0</v>
      </c>
    </row>
    <row r="141" spans="1:28" x14ac:dyDescent="0.25">
      <c r="A141" s="77" t="str">
        <f>'EXTRACTION AT GLOBAL DEA'!D139</f>
        <v>109295</v>
      </c>
      <c r="B141" s="77" t="str">
        <f>'EXTRACTION AT GLOBAL DEA'!E139</f>
        <v>FOURNIER</v>
      </c>
      <c r="C141" s="77" t="str">
        <f>'EXTRACTION AT GLOBAL DEA'!F139</f>
        <v>JEAN LUC</v>
      </c>
      <c r="D141" s="77" t="str">
        <f>'EXTRACTION AT GLOBAL DEA'!I139</f>
        <v>MT HB QO</v>
      </c>
      <c r="E141" s="66">
        <f>'EXTRACTION AT GLOBAL DEA'!G139</f>
        <v>57</v>
      </c>
      <c r="F141" s="84" t="str">
        <f t="shared" si="6"/>
        <v>55 à 59 ans</v>
      </c>
      <c r="G141" s="77" t="str">
        <f>'EXTRACTION AT GLOBAL DEA'!K139</f>
        <v>S</v>
      </c>
      <c r="H141" s="77">
        <f>'EXTRACTION AT GLOBAL DEA'!N139</f>
        <v>14</v>
      </c>
      <c r="I141" s="77" t="str">
        <f>'EXTRACTION AT GLOBAL DEA'!L139</f>
        <v>O</v>
      </c>
      <c r="J141" s="77" t="str">
        <f>'EXTRACTION AT GLOBAL DEA'!M139</f>
        <v>N</v>
      </c>
      <c r="K141" s="77"/>
      <c r="L141" s="77"/>
      <c r="M141" s="78">
        <f>'EXTRACTION AT GLOBAL DEA'!B139</f>
        <v>42877</v>
      </c>
      <c r="N141" s="77" t="str">
        <f t="shared" si="7"/>
        <v>mai</v>
      </c>
      <c r="O141" s="65"/>
      <c r="P141" s="67"/>
      <c r="Q141" s="67"/>
      <c r="R141" s="67"/>
      <c r="S141" s="67"/>
      <c r="T141" s="67"/>
      <c r="U141" s="67"/>
      <c r="V141" s="67"/>
      <c r="W141" s="67"/>
      <c r="X141" s="67"/>
      <c r="Y141" s="67"/>
      <c r="Z141" s="67"/>
      <c r="AA141" s="67"/>
      <c r="AB141" s="68">
        <f t="shared" si="3"/>
        <v>0</v>
      </c>
    </row>
    <row r="142" spans="1:28" x14ac:dyDescent="0.25">
      <c r="A142" s="77" t="str">
        <f>'EXTRACTION AT GLOBAL DEA'!D140</f>
        <v>109296</v>
      </c>
      <c r="B142" s="77" t="str">
        <f>'EXTRACTION AT GLOBAL DEA'!E140</f>
        <v>FOUSSET</v>
      </c>
      <c r="C142" s="77" t="str">
        <f>'EXTRACTION AT GLOBAL DEA'!F140</f>
        <v>ARNAUD</v>
      </c>
      <c r="D142" s="77" t="str">
        <f>'EXTRACTION AT GLOBAL DEA'!I140</f>
        <v>MT HB PR</v>
      </c>
      <c r="E142" s="66">
        <f>'EXTRACTION AT GLOBAL DEA'!G140</f>
        <v>42</v>
      </c>
      <c r="F142" s="84" t="str">
        <f t="shared" si="6"/>
        <v>40 à 44 ans</v>
      </c>
      <c r="G142" s="77" t="str">
        <f>'EXTRACTION AT GLOBAL DEA'!K140</f>
        <v>S</v>
      </c>
      <c r="H142" s="77">
        <f>'EXTRACTION AT GLOBAL DEA'!N140</f>
        <v>0</v>
      </c>
      <c r="I142" s="77" t="str">
        <f>'EXTRACTION AT GLOBAL DEA'!L140</f>
        <v>N</v>
      </c>
      <c r="J142" s="77" t="str">
        <f>'EXTRACTION AT GLOBAL DEA'!M140</f>
        <v>N</v>
      </c>
      <c r="K142" s="77"/>
      <c r="L142" s="77"/>
      <c r="M142" s="78">
        <f>'EXTRACTION AT GLOBAL DEA'!B140</f>
        <v>42878</v>
      </c>
      <c r="N142" s="77" t="str">
        <f t="shared" si="7"/>
        <v>mai</v>
      </c>
      <c r="O142" s="65"/>
      <c r="P142" s="67"/>
      <c r="Q142" s="67"/>
      <c r="R142" s="67"/>
      <c r="S142" s="67"/>
      <c r="T142" s="67"/>
      <c r="U142" s="67"/>
      <c r="V142" s="67"/>
      <c r="W142" s="67"/>
      <c r="X142" s="67"/>
      <c r="Y142" s="67"/>
      <c r="Z142" s="67"/>
      <c r="AA142" s="67"/>
      <c r="AB142" s="68">
        <f t="shared" si="3"/>
        <v>0</v>
      </c>
    </row>
    <row r="143" spans="1:28" x14ac:dyDescent="0.25">
      <c r="A143" s="77" t="str">
        <f>'EXTRACTION AT GLOBAL DEA'!D141</f>
        <v>109395</v>
      </c>
      <c r="B143" s="77" t="str">
        <f>'EXTRACTION AT GLOBAL DEA'!E141</f>
        <v>GAUFFRE</v>
      </c>
      <c r="C143" s="77" t="str">
        <f>'EXTRACTION AT GLOBAL DEA'!F141</f>
        <v>ROMAIN</v>
      </c>
      <c r="D143" s="77" t="str">
        <f>'EXTRACTION AT GLOBAL DEA'!I141</f>
        <v>MT UD TO</v>
      </c>
      <c r="E143" s="66">
        <f>'EXTRACTION AT GLOBAL DEA'!G141</f>
        <v>24</v>
      </c>
      <c r="F143" s="84" t="str">
        <f t="shared" si="6"/>
        <v>20 à 24 ans</v>
      </c>
      <c r="G143" s="77" t="str">
        <f>'EXTRACTION AT GLOBAL DEA'!K141</f>
        <v>S</v>
      </c>
      <c r="H143" s="77">
        <f>'EXTRACTION AT GLOBAL DEA'!N141</f>
        <v>0</v>
      </c>
      <c r="I143" s="77" t="str">
        <f>'EXTRACTION AT GLOBAL DEA'!L141</f>
        <v>N</v>
      </c>
      <c r="J143" s="77" t="str">
        <f>'EXTRACTION AT GLOBAL DEA'!M141</f>
        <v>N</v>
      </c>
      <c r="K143" s="77"/>
      <c r="L143" s="77"/>
      <c r="M143" s="78">
        <f>'EXTRACTION AT GLOBAL DEA'!B141</f>
        <v>42878</v>
      </c>
      <c r="N143" s="77" t="str">
        <f t="shared" si="7"/>
        <v>mai</v>
      </c>
      <c r="O143" s="65"/>
      <c r="P143" s="67"/>
      <c r="Q143" s="67"/>
      <c r="R143" s="67"/>
      <c r="S143" s="67"/>
      <c r="T143" s="67"/>
      <c r="U143" s="67"/>
      <c r="V143" s="67"/>
      <c r="W143" s="67"/>
      <c r="X143" s="67"/>
      <c r="Y143" s="67"/>
      <c r="Z143" s="67"/>
      <c r="AA143" s="67"/>
      <c r="AB143" s="68">
        <f t="shared" si="3"/>
        <v>0</v>
      </c>
    </row>
    <row r="144" spans="1:28" hidden="1" x14ac:dyDescent="0.25">
      <c r="A144" s="77" t="str">
        <f>'EXTRACTION AT GLOBAL DEA'!D142</f>
        <v>109452</v>
      </c>
      <c r="B144" s="77" t="str">
        <f>'EXTRACTION AT GLOBAL DEA'!E142</f>
        <v>MOUTTOU-GOUGEON</v>
      </c>
      <c r="C144" s="77" t="str">
        <f>'EXTRACTION AT GLOBAL DEA'!F142</f>
        <v>DYLAN</v>
      </c>
      <c r="D144" s="77" t="str">
        <f>'EXTRACTION AT GLOBAL DEA'!I142</f>
        <v>BLDPMERY</v>
      </c>
      <c r="E144" s="66">
        <f>'EXTRACTION AT GLOBAL DEA'!G142</f>
        <v>24</v>
      </c>
      <c r="F144" s="84" t="str">
        <f t="shared" si="6"/>
        <v>20 à 24 ans</v>
      </c>
      <c r="G144" s="77" t="str">
        <f>'EXTRACTION AT GLOBAL DEA'!K142</f>
        <v>T</v>
      </c>
      <c r="H144" s="77">
        <f>'EXTRACTION AT GLOBAL DEA'!N142</f>
        <v>0</v>
      </c>
      <c r="I144" s="77" t="str">
        <f>'EXTRACTION AT GLOBAL DEA'!L142</f>
        <v>N</v>
      </c>
      <c r="J144" s="77" t="str">
        <f>'EXTRACTION AT GLOBAL DEA'!M142</f>
        <v>N</v>
      </c>
      <c r="K144" s="77"/>
      <c r="L144" s="77"/>
      <c r="M144" s="78">
        <f>'EXTRACTION AT GLOBAL DEA'!B142</f>
        <v>42879</v>
      </c>
      <c r="N144" s="77" t="str">
        <f t="shared" si="7"/>
        <v>mai</v>
      </c>
      <c r="O144" s="65"/>
      <c r="P144" s="67"/>
      <c r="Q144" s="67"/>
      <c r="R144" s="67"/>
      <c r="S144" s="67"/>
      <c r="T144" s="67"/>
      <c r="U144" s="67"/>
      <c r="V144" s="67"/>
      <c r="W144" s="67"/>
      <c r="X144" s="67"/>
      <c r="Y144" s="67"/>
      <c r="Z144" s="67"/>
      <c r="AA144" s="67"/>
      <c r="AB144" s="68">
        <f t="shared" si="3"/>
        <v>0</v>
      </c>
    </row>
    <row r="145" spans="1:28" x14ac:dyDescent="0.25">
      <c r="A145" s="77" t="str">
        <f>'EXTRACTION AT GLOBAL DEA'!D143</f>
        <v>109445</v>
      </c>
      <c r="B145" s="77" t="str">
        <f>'EXTRACTION AT GLOBAL DEA'!E143</f>
        <v>DESERT</v>
      </c>
      <c r="C145" s="77" t="str">
        <f>'EXTRACTION AT GLOBAL DEA'!F143</f>
        <v>GUILLAUME</v>
      </c>
      <c r="D145" s="77" t="str">
        <f>'EXTRACTION AT GLOBAL DEA'!I143</f>
        <v>MT HB PR</v>
      </c>
      <c r="E145" s="66">
        <f>'EXTRACTION AT GLOBAL DEA'!G143</f>
        <v>42</v>
      </c>
      <c r="F145" s="84" t="str">
        <f t="shared" si="6"/>
        <v>40 à 44 ans</v>
      </c>
      <c r="G145" s="77" t="str">
        <f>'EXTRACTION AT GLOBAL DEA'!K143</f>
        <v>S</v>
      </c>
      <c r="H145" s="77">
        <f>'EXTRACTION AT GLOBAL DEA'!N143</f>
        <v>0</v>
      </c>
      <c r="I145" s="77" t="str">
        <f>'EXTRACTION AT GLOBAL DEA'!L143</f>
        <v>N</v>
      </c>
      <c r="J145" s="77" t="str">
        <f>'EXTRACTION AT GLOBAL DEA'!M143</f>
        <v>N</v>
      </c>
      <c r="K145" s="77"/>
      <c r="L145" s="77"/>
      <c r="M145" s="78">
        <f>'EXTRACTION AT GLOBAL DEA'!B143</f>
        <v>42879</v>
      </c>
      <c r="N145" s="77" t="str">
        <f t="shared" si="7"/>
        <v>mai</v>
      </c>
      <c r="O145" s="65"/>
      <c r="P145" s="67"/>
      <c r="Q145" s="67"/>
      <c r="R145" s="67"/>
      <c r="S145" s="67"/>
      <c r="T145" s="67"/>
      <c r="U145" s="67"/>
      <c r="V145" s="67"/>
      <c r="W145" s="67"/>
      <c r="X145" s="67"/>
      <c r="Y145" s="67"/>
      <c r="Z145" s="67"/>
      <c r="AA145" s="67"/>
      <c r="AB145" s="68">
        <f t="shared" si="3"/>
        <v>0</v>
      </c>
    </row>
    <row r="146" spans="1:28" x14ac:dyDescent="0.25">
      <c r="A146" s="77" t="str">
        <f>'EXTRACTION AT GLOBAL DEA'!D144</f>
        <v>109465</v>
      </c>
      <c r="B146" s="77" t="str">
        <f>'EXTRACTION AT GLOBAL DEA'!E144</f>
        <v>BICHARD</v>
      </c>
      <c r="C146" s="77" t="str">
        <f>'EXTRACTION AT GLOBAL DEA'!F144</f>
        <v>NICOLAS</v>
      </c>
      <c r="D146" s="77" t="str">
        <f>'EXTRACTION AT GLOBAL DEA'!I144</f>
        <v>MT CA PR</v>
      </c>
      <c r="E146" s="66">
        <f>'EXTRACTION AT GLOBAL DEA'!G144</f>
        <v>39</v>
      </c>
      <c r="F146" s="84" t="str">
        <f t="shared" si="6"/>
        <v>35 à 39 ans</v>
      </c>
      <c r="G146" s="77" t="str">
        <f>'EXTRACTION AT GLOBAL DEA'!K144</f>
        <v>S</v>
      </c>
      <c r="H146" s="77">
        <f>'EXTRACTION AT GLOBAL DEA'!N144</f>
        <v>38</v>
      </c>
      <c r="I146" s="77" t="str">
        <f>'EXTRACTION AT GLOBAL DEA'!L144</f>
        <v>O</v>
      </c>
      <c r="J146" s="77" t="str">
        <f>'EXTRACTION AT GLOBAL DEA'!M144</f>
        <v>N</v>
      </c>
      <c r="K146" s="77"/>
      <c r="L146" s="77"/>
      <c r="M146" s="78">
        <f>'EXTRACTION AT GLOBAL DEA'!B144</f>
        <v>42880</v>
      </c>
      <c r="N146" s="77" t="str">
        <f t="shared" si="7"/>
        <v>mai</v>
      </c>
      <c r="O146" s="65"/>
      <c r="P146" s="67"/>
      <c r="Q146" s="67"/>
      <c r="R146" s="67"/>
      <c r="S146" s="67"/>
      <c r="T146" s="67"/>
      <c r="U146" s="67"/>
      <c r="V146" s="67"/>
      <c r="W146" s="67"/>
      <c r="X146" s="67"/>
      <c r="Y146" s="67"/>
      <c r="Z146" s="67"/>
      <c r="AA146" s="67"/>
      <c r="AB146" s="68">
        <f t="shared" si="3"/>
        <v>0</v>
      </c>
    </row>
    <row r="147" spans="1:28" x14ac:dyDescent="0.25">
      <c r="A147" s="77" t="str">
        <f>'EXTRACTION AT GLOBAL DEA'!D145</f>
        <v>109493</v>
      </c>
      <c r="B147" s="77" t="str">
        <f>'EXTRACTION AT GLOBAL DEA'!E145</f>
        <v>BOUCHAOUR RAMASAMY</v>
      </c>
      <c r="C147" s="77" t="str">
        <f>'EXTRACTION AT GLOBAL DEA'!F145</f>
        <v>ANNA</v>
      </c>
      <c r="D147" s="77" t="str">
        <f>'EXTRACTION AT GLOBAL DEA'!I145</f>
        <v>MT QF RG</v>
      </c>
      <c r="E147" s="66">
        <f>'EXTRACTION AT GLOBAL DEA'!G145</f>
        <v>42</v>
      </c>
      <c r="F147" s="84" t="str">
        <f t="shared" si="6"/>
        <v>40 à 44 ans</v>
      </c>
      <c r="G147" s="77" t="str">
        <f>'EXTRACTION AT GLOBAL DEA'!K145</f>
        <v>S</v>
      </c>
      <c r="H147" s="77">
        <f>'EXTRACTION AT GLOBAL DEA'!N145</f>
        <v>100</v>
      </c>
      <c r="I147" s="77" t="str">
        <f>'EXTRACTION AT GLOBAL DEA'!L145</f>
        <v>O</v>
      </c>
      <c r="J147" s="77" t="str">
        <f>'EXTRACTION AT GLOBAL DEA'!M145</f>
        <v>N</v>
      </c>
      <c r="K147" s="77"/>
      <c r="L147" s="77"/>
      <c r="M147" s="78">
        <f>'EXTRACTION AT GLOBAL DEA'!B145</f>
        <v>42880</v>
      </c>
      <c r="N147" s="77" t="str">
        <f t="shared" si="7"/>
        <v>mai</v>
      </c>
      <c r="O147" s="65"/>
      <c r="P147" s="67"/>
      <c r="Q147" s="67"/>
      <c r="R147" s="67"/>
      <c r="S147" s="67"/>
      <c r="T147" s="67"/>
      <c r="U147" s="67"/>
      <c r="V147" s="67"/>
      <c r="W147" s="67"/>
      <c r="X147" s="67"/>
      <c r="Y147" s="67"/>
      <c r="Z147" s="67"/>
      <c r="AA147" s="67"/>
      <c r="AB147" s="68">
        <f t="shared" si="3"/>
        <v>0</v>
      </c>
    </row>
    <row r="148" spans="1:28" x14ac:dyDescent="0.25">
      <c r="A148" s="77" t="str">
        <f>'EXTRACTION AT GLOBAL DEA'!D146</f>
        <v>109516</v>
      </c>
      <c r="B148" s="77" t="str">
        <f>'EXTRACTION AT GLOBAL DEA'!E146</f>
        <v>LECOCQ</v>
      </c>
      <c r="C148" s="77" t="str">
        <f>'EXTRACTION AT GLOBAL DEA'!F146</f>
        <v>BENJAMIN</v>
      </c>
      <c r="D148" s="77" t="str">
        <f>'EXTRACTION AT GLOBAL DEA'!I146</f>
        <v>MT JK PR</v>
      </c>
      <c r="E148" s="66">
        <f>'EXTRACTION AT GLOBAL DEA'!G146</f>
        <v>39</v>
      </c>
      <c r="F148" s="84" t="str">
        <f t="shared" si="6"/>
        <v>35 à 39 ans</v>
      </c>
      <c r="G148" s="77" t="str">
        <f>'EXTRACTION AT GLOBAL DEA'!K146</f>
        <v>S</v>
      </c>
      <c r="H148" s="77">
        <f>'EXTRACTION AT GLOBAL DEA'!N146</f>
        <v>1</v>
      </c>
      <c r="I148" s="77" t="str">
        <f>'EXTRACTION AT GLOBAL DEA'!L146</f>
        <v>O</v>
      </c>
      <c r="J148" s="77" t="str">
        <f>'EXTRACTION AT GLOBAL DEA'!M146</f>
        <v>N</v>
      </c>
      <c r="K148" s="77"/>
      <c r="L148" s="77"/>
      <c r="M148" s="78">
        <f>'EXTRACTION AT GLOBAL DEA'!B146</f>
        <v>42883</v>
      </c>
      <c r="N148" s="77" t="str">
        <f t="shared" si="7"/>
        <v>mai</v>
      </c>
      <c r="O148" s="65"/>
      <c r="P148" s="67"/>
      <c r="Q148" s="67"/>
      <c r="R148" s="67"/>
      <c r="S148" s="67"/>
      <c r="T148" s="67"/>
      <c r="U148" s="67"/>
      <c r="V148" s="67"/>
      <c r="W148" s="67"/>
      <c r="X148" s="67"/>
      <c r="Y148" s="67"/>
      <c r="Z148" s="67"/>
      <c r="AA148" s="67"/>
      <c r="AB148" s="68">
        <f t="shared" ref="AB148:AB211" si="8">SUM(P148:AA148)</f>
        <v>0</v>
      </c>
    </row>
    <row r="149" spans="1:28" x14ac:dyDescent="0.25">
      <c r="A149" s="77" t="str">
        <f>'EXTRACTION AT GLOBAL DEA'!D147</f>
        <v>109530</v>
      </c>
      <c r="B149" s="77" t="str">
        <f>'EXTRACTION AT GLOBAL DEA'!E147</f>
        <v>BASTAREAUD</v>
      </c>
      <c r="C149" s="77" t="str">
        <f>'EXTRACTION AT GLOBAL DEA'!F147</f>
        <v>YOEL</v>
      </c>
      <c r="D149" s="77" t="str">
        <f>'EXTRACTION AT GLOBAL DEA'!I147</f>
        <v>BLDPMSRY</v>
      </c>
      <c r="E149" s="66">
        <f>'EXTRACTION AT GLOBAL DEA'!G147</f>
        <v>22</v>
      </c>
      <c r="F149" s="84" t="str">
        <f t="shared" si="6"/>
        <v>20 à 24 ans</v>
      </c>
      <c r="G149" s="77" t="str">
        <f>'EXTRACTION AT GLOBAL DEA'!K147</f>
        <v>S</v>
      </c>
      <c r="H149" s="77">
        <f>'EXTRACTION AT GLOBAL DEA'!N147</f>
        <v>0</v>
      </c>
      <c r="I149" s="77" t="str">
        <f>'EXTRACTION AT GLOBAL DEA'!L147</f>
        <v>N</v>
      </c>
      <c r="J149" s="77" t="str">
        <f>'EXTRACTION AT GLOBAL DEA'!M147</f>
        <v>N</v>
      </c>
      <c r="K149" s="77"/>
      <c r="L149" s="77"/>
      <c r="M149" s="78">
        <f>'EXTRACTION AT GLOBAL DEA'!B147</f>
        <v>42884</v>
      </c>
      <c r="N149" s="77" t="str">
        <f t="shared" si="7"/>
        <v>mai</v>
      </c>
      <c r="O149" s="65"/>
      <c r="P149" s="67"/>
      <c r="Q149" s="67"/>
      <c r="R149" s="67"/>
      <c r="S149" s="67"/>
      <c r="T149" s="67"/>
      <c r="U149" s="67"/>
      <c r="V149" s="67"/>
      <c r="W149" s="67"/>
      <c r="X149" s="67"/>
      <c r="Y149" s="67"/>
      <c r="Z149" s="67"/>
      <c r="AA149" s="67"/>
      <c r="AB149" s="68">
        <f t="shared" si="8"/>
        <v>0</v>
      </c>
    </row>
    <row r="150" spans="1:28" x14ac:dyDescent="0.25">
      <c r="A150" s="77" t="str">
        <f>'EXTRACTION AT GLOBAL DEA'!D148</f>
        <v>109676</v>
      </c>
      <c r="B150" s="77" t="str">
        <f>'EXTRACTION AT GLOBAL DEA'!E148</f>
        <v>PIVERT</v>
      </c>
      <c r="C150" s="77" t="str">
        <f>'EXTRACTION AT GLOBAL DEA'!F148</f>
        <v>PATRICK</v>
      </c>
      <c r="D150" s="77" t="str">
        <f>'EXTRACTION AT GLOBAL DEA'!I148</f>
        <v>MT CG PR</v>
      </c>
      <c r="E150" s="66">
        <f>'EXTRACTION AT GLOBAL DEA'!G148</f>
        <v>40</v>
      </c>
      <c r="F150" s="84" t="str">
        <f t="shared" si="6"/>
        <v>40 à 44 ans</v>
      </c>
      <c r="G150" s="77" t="str">
        <f>'EXTRACTION AT GLOBAL DEA'!K148</f>
        <v>S</v>
      </c>
      <c r="H150" s="77">
        <f>'EXTRACTION AT GLOBAL DEA'!N148</f>
        <v>0</v>
      </c>
      <c r="I150" s="77" t="str">
        <f>'EXTRACTION AT GLOBAL DEA'!L148</f>
        <v>N</v>
      </c>
      <c r="J150" s="77" t="str">
        <f>'EXTRACTION AT GLOBAL DEA'!M148</f>
        <v>O</v>
      </c>
      <c r="K150" s="77"/>
      <c r="L150" s="77"/>
      <c r="M150" s="78">
        <f>'EXTRACTION AT GLOBAL DEA'!B148</f>
        <v>42885</v>
      </c>
      <c r="N150" s="77" t="str">
        <f t="shared" si="7"/>
        <v>mai</v>
      </c>
      <c r="O150" s="65"/>
      <c r="P150" s="67"/>
      <c r="Q150" s="67"/>
      <c r="R150" s="67"/>
      <c r="S150" s="67"/>
      <c r="T150" s="67"/>
      <c r="U150" s="67"/>
      <c r="V150" s="67"/>
      <c r="W150" s="67"/>
      <c r="X150" s="67"/>
      <c r="Y150" s="67"/>
      <c r="Z150" s="67"/>
      <c r="AA150" s="67"/>
      <c r="AB150" s="68">
        <f t="shared" si="8"/>
        <v>0</v>
      </c>
    </row>
    <row r="151" spans="1:28" x14ac:dyDescent="0.25">
      <c r="A151" s="77" t="str">
        <f>'EXTRACTION AT GLOBAL DEA'!D149</f>
        <v>109566</v>
      </c>
      <c r="B151" s="77" t="str">
        <f>'EXTRACTION AT GLOBAL DEA'!E149</f>
        <v>DASPRES</v>
      </c>
      <c r="C151" s="77" t="str">
        <f>'EXTRACTION AT GLOBAL DEA'!F149</f>
        <v>CEDRIC</v>
      </c>
      <c r="D151" s="77" t="str">
        <f>'EXTRACTION AT GLOBAL DEA'!I149</f>
        <v>MT HB PR</v>
      </c>
      <c r="E151" s="66">
        <f>'EXTRACTION AT GLOBAL DEA'!G149</f>
        <v>38</v>
      </c>
      <c r="F151" s="84" t="str">
        <f t="shared" si="6"/>
        <v>35 à 39 ans</v>
      </c>
      <c r="G151" s="77" t="str">
        <f>'EXTRACTION AT GLOBAL DEA'!K149</f>
        <v>S</v>
      </c>
      <c r="H151" s="77">
        <f>'EXTRACTION AT GLOBAL DEA'!N149</f>
        <v>20</v>
      </c>
      <c r="I151" s="77" t="str">
        <f>'EXTRACTION AT GLOBAL DEA'!L149</f>
        <v>O</v>
      </c>
      <c r="J151" s="77" t="str">
        <f>'EXTRACTION AT GLOBAL DEA'!M149</f>
        <v>N</v>
      </c>
      <c r="K151" s="77"/>
      <c r="L151" s="77"/>
      <c r="M151" s="78">
        <f>'EXTRACTION AT GLOBAL DEA'!B149</f>
        <v>42885</v>
      </c>
      <c r="N151" s="77" t="str">
        <f t="shared" si="7"/>
        <v>mai</v>
      </c>
      <c r="O151" s="65"/>
      <c r="P151" s="67"/>
      <c r="Q151" s="67"/>
      <c r="R151" s="67"/>
      <c r="S151" s="67"/>
      <c r="T151" s="67"/>
      <c r="U151" s="67"/>
      <c r="V151" s="67"/>
      <c r="W151" s="67"/>
      <c r="X151" s="67"/>
      <c r="Y151" s="67"/>
      <c r="Z151" s="67"/>
      <c r="AA151" s="67"/>
      <c r="AB151" s="68">
        <f t="shared" si="8"/>
        <v>0</v>
      </c>
    </row>
    <row r="152" spans="1:28" x14ac:dyDescent="0.25">
      <c r="A152" s="77" t="str">
        <f>'EXTRACTION AT GLOBAL DEA'!D150</f>
        <v>109651</v>
      </c>
      <c r="B152" s="77" t="str">
        <f>'EXTRACTION AT GLOBAL DEA'!E150</f>
        <v>PINSARD</v>
      </c>
      <c r="C152" s="77" t="str">
        <f>'EXTRACTION AT GLOBAL DEA'!F150</f>
        <v>SEBASTIEN</v>
      </c>
      <c r="D152" s="77" t="str">
        <f>'EXTRACTION AT GLOBAL DEA'!I150</f>
        <v>MT HB PR</v>
      </c>
      <c r="E152" s="66">
        <f>'EXTRACTION AT GLOBAL DEA'!G150</f>
        <v>36</v>
      </c>
      <c r="F152" s="84" t="str">
        <f t="shared" si="6"/>
        <v>35 à 39 ans</v>
      </c>
      <c r="G152" s="77" t="str">
        <f>'EXTRACTION AT GLOBAL DEA'!K150</f>
        <v>S</v>
      </c>
      <c r="H152" s="77">
        <f>'EXTRACTION AT GLOBAL DEA'!N150</f>
        <v>21</v>
      </c>
      <c r="I152" s="77" t="str">
        <f>'EXTRACTION AT GLOBAL DEA'!L150</f>
        <v>O</v>
      </c>
      <c r="J152" s="77" t="str">
        <f>'EXTRACTION AT GLOBAL DEA'!M150</f>
        <v>N</v>
      </c>
      <c r="K152" s="77"/>
      <c r="L152" s="77"/>
      <c r="M152" s="78">
        <f>'EXTRACTION AT GLOBAL DEA'!B150</f>
        <v>42885</v>
      </c>
      <c r="N152" s="77" t="str">
        <f t="shared" si="7"/>
        <v>mai</v>
      </c>
      <c r="O152" s="65"/>
      <c r="P152" s="67"/>
      <c r="Q152" s="67"/>
      <c r="R152" s="67"/>
      <c r="S152" s="67"/>
      <c r="T152" s="67"/>
      <c r="U152" s="67"/>
      <c r="V152" s="67"/>
      <c r="W152" s="67"/>
      <c r="X152" s="67"/>
      <c r="Y152" s="67"/>
      <c r="Z152" s="67"/>
      <c r="AA152" s="67"/>
      <c r="AB152" s="68">
        <f t="shared" si="8"/>
        <v>0</v>
      </c>
    </row>
    <row r="153" spans="1:28" x14ac:dyDescent="0.25">
      <c r="A153" s="77" t="str">
        <f>'EXTRACTION AT GLOBAL DEA'!D151</f>
        <v>109645</v>
      </c>
      <c r="B153" s="77" t="str">
        <f>'EXTRACTION AT GLOBAL DEA'!E151</f>
        <v>HERVE</v>
      </c>
      <c r="C153" s="77" t="str">
        <f>'EXTRACTION AT GLOBAL DEA'!F151</f>
        <v>JACQUELINE</v>
      </c>
      <c r="D153" s="77" t="str">
        <f>'EXTRACTION AT GLOBAL DEA'!I151</f>
        <v>MT QS UG</v>
      </c>
      <c r="E153" s="66">
        <f>'EXTRACTION AT GLOBAL DEA'!G151</f>
        <v>53</v>
      </c>
      <c r="F153" s="84" t="str">
        <f t="shared" si="6"/>
        <v>50 à 54 ans</v>
      </c>
      <c r="G153" s="77" t="str">
        <f>'EXTRACTION AT GLOBAL DEA'!K151</f>
        <v>S</v>
      </c>
      <c r="H153" s="77">
        <f>'EXTRACTION AT GLOBAL DEA'!N151</f>
        <v>0</v>
      </c>
      <c r="I153" s="77" t="str">
        <f>'EXTRACTION AT GLOBAL DEA'!L151</f>
        <v>N</v>
      </c>
      <c r="J153" s="77" t="str">
        <f>'EXTRACTION AT GLOBAL DEA'!M151</f>
        <v>N</v>
      </c>
      <c r="K153" s="77"/>
      <c r="L153" s="77"/>
      <c r="M153" s="78">
        <f>'EXTRACTION AT GLOBAL DEA'!B151</f>
        <v>42885</v>
      </c>
      <c r="N153" s="77" t="str">
        <f t="shared" si="7"/>
        <v>mai</v>
      </c>
      <c r="O153" s="65"/>
      <c r="P153" s="67"/>
      <c r="Q153" s="67"/>
      <c r="R153" s="67"/>
      <c r="S153" s="67"/>
      <c r="T153" s="67"/>
      <c r="U153" s="67"/>
      <c r="V153" s="67"/>
      <c r="W153" s="67"/>
      <c r="X153" s="67"/>
      <c r="Y153" s="67"/>
      <c r="Z153" s="67"/>
      <c r="AA153" s="67"/>
      <c r="AB153" s="68">
        <f t="shared" si="8"/>
        <v>0</v>
      </c>
    </row>
    <row r="154" spans="1:28" x14ac:dyDescent="0.25">
      <c r="A154" s="77" t="str">
        <f>'EXTRACTION AT GLOBAL DEA'!D152</f>
        <v>109664</v>
      </c>
      <c r="B154" s="77" t="str">
        <f>'EXTRACTION AT GLOBAL DEA'!E152</f>
        <v>CLICHY</v>
      </c>
      <c r="C154" s="77" t="str">
        <f>'EXTRACTION AT GLOBAL DEA'!F152</f>
        <v>ALEXANDRE</v>
      </c>
      <c r="D154" s="77" t="str">
        <f>'EXTRACTION AT GLOBAL DEA'!I152</f>
        <v>MT UD QU</v>
      </c>
      <c r="E154" s="66">
        <f>'EXTRACTION AT GLOBAL DEA'!G152</f>
        <v>51</v>
      </c>
      <c r="F154" s="84" t="str">
        <f t="shared" si="6"/>
        <v>50 à 54 ans</v>
      </c>
      <c r="G154" s="77" t="str">
        <f>'EXTRACTION AT GLOBAL DEA'!K152</f>
        <v>S</v>
      </c>
      <c r="H154" s="77">
        <f>'EXTRACTION AT GLOBAL DEA'!N152</f>
        <v>0</v>
      </c>
      <c r="I154" s="77" t="str">
        <f>'EXTRACTION AT GLOBAL DEA'!L152</f>
        <v>N</v>
      </c>
      <c r="J154" s="77" t="str">
        <f>'EXTRACTION AT GLOBAL DEA'!M152</f>
        <v>N</v>
      </c>
      <c r="K154" s="77"/>
      <c r="L154" s="77"/>
      <c r="M154" s="78">
        <f>'EXTRACTION AT GLOBAL DEA'!B152</f>
        <v>42886</v>
      </c>
      <c r="N154" s="77" t="str">
        <f t="shared" si="7"/>
        <v>mai</v>
      </c>
      <c r="O154" s="65"/>
      <c r="P154" s="67"/>
      <c r="Q154" s="67"/>
      <c r="R154" s="67"/>
      <c r="S154" s="67"/>
      <c r="T154" s="67"/>
      <c r="U154" s="67"/>
      <c r="V154" s="67"/>
      <c r="W154" s="67"/>
      <c r="X154" s="67"/>
      <c r="Y154" s="67"/>
      <c r="Z154" s="67"/>
      <c r="AA154" s="67"/>
      <c r="AB154" s="68">
        <f t="shared" si="8"/>
        <v>0</v>
      </c>
    </row>
    <row r="155" spans="1:28" x14ac:dyDescent="0.25">
      <c r="A155" s="77" t="str">
        <f>'EXTRACTION AT GLOBAL DEA'!D153</f>
        <v>109638</v>
      </c>
      <c r="B155" s="77" t="str">
        <f>'EXTRACTION AT GLOBAL DEA'!E153</f>
        <v>DEGONDE</v>
      </c>
      <c r="C155" s="77" t="str">
        <f>'EXTRACTION AT GLOBAL DEA'!F153</f>
        <v>OLIVIER</v>
      </c>
      <c r="D155" s="77" t="str">
        <f>'EXTRACTION AT GLOBAL DEA'!I153</f>
        <v>MT HB PR</v>
      </c>
      <c r="E155" s="66">
        <f>'EXTRACTION AT GLOBAL DEA'!G153</f>
        <v>50</v>
      </c>
      <c r="F155" s="84" t="str">
        <f t="shared" si="6"/>
        <v>50 à 54 ans</v>
      </c>
      <c r="G155" s="77" t="str">
        <f>'EXTRACTION AT GLOBAL DEA'!K153</f>
        <v>S</v>
      </c>
      <c r="H155" s="77">
        <f>'EXTRACTION AT GLOBAL DEA'!N153</f>
        <v>8</v>
      </c>
      <c r="I155" s="77" t="str">
        <f>'EXTRACTION AT GLOBAL DEA'!L153</f>
        <v>O</v>
      </c>
      <c r="J155" s="77" t="str">
        <f>'EXTRACTION AT GLOBAL DEA'!M153</f>
        <v>N</v>
      </c>
      <c r="K155" s="77"/>
      <c r="L155" s="77"/>
      <c r="M155" s="78">
        <f>'EXTRACTION AT GLOBAL DEA'!B153</f>
        <v>42886</v>
      </c>
      <c r="N155" s="77" t="str">
        <f t="shared" si="7"/>
        <v>mai</v>
      </c>
      <c r="O155" s="65"/>
      <c r="P155" s="67"/>
      <c r="Q155" s="67"/>
      <c r="R155" s="67"/>
      <c r="S155" s="67"/>
      <c r="T155" s="67"/>
      <c r="U155" s="67"/>
      <c r="V155" s="67"/>
      <c r="W155" s="67"/>
      <c r="X155" s="67"/>
      <c r="Y155" s="67"/>
      <c r="Z155" s="67"/>
      <c r="AA155" s="67"/>
      <c r="AB155" s="68">
        <f t="shared" si="8"/>
        <v>0</v>
      </c>
    </row>
    <row r="156" spans="1:28" x14ac:dyDescent="0.25">
      <c r="A156" s="77" t="str">
        <f>'EXTRACTION AT GLOBAL DEA'!D154</f>
        <v>109650</v>
      </c>
      <c r="B156" s="77" t="str">
        <f>'EXTRACTION AT GLOBAL DEA'!E154</f>
        <v>DARCILLON</v>
      </c>
      <c r="C156" s="77" t="str">
        <f>'EXTRACTION AT GLOBAL DEA'!F154</f>
        <v>BASTIEN</v>
      </c>
      <c r="D156" s="77" t="str">
        <f>'EXTRACTION AT GLOBAL DEA'!I154</f>
        <v>MT HB PR</v>
      </c>
      <c r="E156" s="66">
        <f>'EXTRACTION AT GLOBAL DEA'!G154</f>
        <v>30</v>
      </c>
      <c r="F156" s="84" t="str">
        <f t="shared" si="6"/>
        <v>30 à 34 ans</v>
      </c>
      <c r="G156" s="77" t="str">
        <f>'EXTRACTION AT GLOBAL DEA'!K154</f>
        <v>S</v>
      </c>
      <c r="H156" s="77">
        <f>'EXTRACTION AT GLOBAL DEA'!N154</f>
        <v>0</v>
      </c>
      <c r="I156" s="77" t="str">
        <f>'EXTRACTION AT GLOBAL DEA'!L154</f>
        <v>N</v>
      </c>
      <c r="J156" s="77" t="str">
        <f>'EXTRACTION AT GLOBAL DEA'!M154</f>
        <v>N</v>
      </c>
      <c r="K156" s="77"/>
      <c r="L156" s="77"/>
      <c r="M156" s="78">
        <f>'EXTRACTION AT GLOBAL DEA'!B154</f>
        <v>42886</v>
      </c>
      <c r="N156" s="77" t="str">
        <f t="shared" si="7"/>
        <v>mai</v>
      </c>
      <c r="O156" s="65"/>
      <c r="P156" s="67"/>
      <c r="Q156" s="67"/>
      <c r="R156" s="67"/>
      <c r="S156" s="67"/>
      <c r="T156" s="67"/>
      <c r="U156" s="67"/>
      <c r="V156" s="67"/>
      <c r="W156" s="67"/>
      <c r="X156" s="67"/>
      <c r="Y156" s="67"/>
      <c r="Z156" s="67"/>
      <c r="AA156" s="67"/>
      <c r="AB156" s="68">
        <f t="shared" si="8"/>
        <v>0</v>
      </c>
    </row>
    <row r="157" spans="1:28" x14ac:dyDescent="0.25">
      <c r="A157" s="77" t="str">
        <f>'EXTRACTION AT GLOBAL DEA'!D155</f>
        <v>109677</v>
      </c>
      <c r="B157" s="77" t="str">
        <f>'EXTRACTION AT GLOBAL DEA'!E155</f>
        <v>BINARD</v>
      </c>
      <c r="C157" s="77" t="str">
        <f>'EXTRACTION AT GLOBAL DEA'!F155</f>
        <v>STEPHANE</v>
      </c>
      <c r="D157" s="77" t="str">
        <f>'EXTRACTION AT GLOBAL DEA'!I155</f>
        <v>MT CA PR</v>
      </c>
      <c r="E157" s="66">
        <f>'EXTRACTION AT GLOBAL DEA'!G155</f>
        <v>47</v>
      </c>
      <c r="F157" s="84" t="str">
        <f t="shared" si="6"/>
        <v>45 à 49 ans</v>
      </c>
      <c r="G157" s="77" t="str">
        <f>'EXTRACTION AT GLOBAL DEA'!K155</f>
        <v>S</v>
      </c>
      <c r="H157" s="77">
        <f>'EXTRACTION AT GLOBAL DEA'!N155</f>
        <v>1</v>
      </c>
      <c r="I157" s="77" t="str">
        <f>'EXTRACTION AT GLOBAL DEA'!L155</f>
        <v>O</v>
      </c>
      <c r="J157" s="77" t="str">
        <f>'EXTRACTION AT GLOBAL DEA'!M155</f>
        <v>N</v>
      </c>
      <c r="K157" s="77"/>
      <c r="L157" s="77"/>
      <c r="M157" s="78">
        <f>'EXTRACTION AT GLOBAL DEA'!B155</f>
        <v>42887</v>
      </c>
      <c r="N157" s="77" t="str">
        <f t="shared" si="7"/>
        <v>juin</v>
      </c>
      <c r="O157" s="65"/>
      <c r="P157" s="67"/>
      <c r="Q157" s="67"/>
      <c r="R157" s="67"/>
      <c r="S157" s="67"/>
      <c r="T157" s="67"/>
      <c r="U157" s="67"/>
      <c r="V157" s="67"/>
      <c r="W157" s="67"/>
      <c r="X157" s="67"/>
      <c r="Y157" s="67"/>
      <c r="Z157" s="67"/>
      <c r="AA157" s="67"/>
      <c r="AB157" s="68">
        <f t="shared" si="8"/>
        <v>0</v>
      </c>
    </row>
    <row r="158" spans="1:28" hidden="1" x14ac:dyDescent="0.25">
      <c r="A158" s="77" t="str">
        <f>'EXTRACTION AT GLOBAL DEA'!D156</f>
        <v>109780</v>
      </c>
      <c r="B158" s="77" t="str">
        <f>'EXTRACTION AT GLOBAL DEA'!E156</f>
        <v>BAILLET</v>
      </c>
      <c r="C158" s="77" t="str">
        <f>'EXTRACTION AT GLOBAL DEA'!F156</f>
        <v>LUDOVIC</v>
      </c>
      <c r="D158" s="77" t="str">
        <f>'EXTRACTION AT GLOBAL DEA'!I156</f>
        <v>BLDPMSVL</v>
      </c>
      <c r="E158" s="66">
        <f>'EXTRACTION AT GLOBAL DEA'!G156</f>
        <v>38</v>
      </c>
      <c r="F158" s="84" t="str">
        <f t="shared" si="6"/>
        <v>35 à 39 ans</v>
      </c>
      <c r="G158" s="77" t="str">
        <f>'EXTRACTION AT GLOBAL DEA'!K156</f>
        <v>T</v>
      </c>
      <c r="H158" s="77">
        <f>'EXTRACTION AT GLOBAL DEA'!N156</f>
        <v>0</v>
      </c>
      <c r="I158" s="77" t="str">
        <f>'EXTRACTION AT GLOBAL DEA'!L156</f>
        <v>N</v>
      </c>
      <c r="J158" s="77" t="str">
        <f>'EXTRACTION AT GLOBAL DEA'!M156</f>
        <v>N</v>
      </c>
      <c r="K158" s="77"/>
      <c r="L158" s="77"/>
      <c r="M158" s="78">
        <f>'EXTRACTION AT GLOBAL DEA'!B156</f>
        <v>42888</v>
      </c>
      <c r="N158" s="77" t="str">
        <f t="shared" si="7"/>
        <v>juin</v>
      </c>
      <c r="O158" s="65"/>
      <c r="P158" s="67"/>
      <c r="Q158" s="67"/>
      <c r="R158" s="67"/>
      <c r="S158" s="67"/>
      <c r="T158" s="67"/>
      <c r="U158" s="67"/>
      <c r="V158" s="67"/>
      <c r="W158" s="67"/>
      <c r="X158" s="67"/>
      <c r="Y158" s="67"/>
      <c r="Z158" s="67"/>
      <c r="AA158" s="67"/>
      <c r="AB158" s="68">
        <f t="shared" si="8"/>
        <v>0</v>
      </c>
    </row>
    <row r="159" spans="1:28" x14ac:dyDescent="0.25">
      <c r="A159" s="77" t="str">
        <f>'EXTRACTION AT GLOBAL DEA'!D157</f>
        <v>109718</v>
      </c>
      <c r="B159" s="77" t="str">
        <f>'EXTRACTION AT GLOBAL DEA'!E157</f>
        <v>DEKEE</v>
      </c>
      <c r="C159" s="77" t="str">
        <f>'EXTRACTION AT GLOBAL DEA'!F157</f>
        <v>THIERRY</v>
      </c>
      <c r="D159" s="77" t="str">
        <f>'EXTRACTION AT GLOBAL DEA'!I157</f>
        <v>MT CC PR</v>
      </c>
      <c r="E159" s="66">
        <f>'EXTRACTION AT GLOBAL DEA'!G157</f>
        <v>50</v>
      </c>
      <c r="F159" s="84" t="str">
        <f t="shared" si="6"/>
        <v>50 à 54 ans</v>
      </c>
      <c r="G159" s="77" t="str">
        <f>'EXTRACTION AT GLOBAL DEA'!K157</f>
        <v>S</v>
      </c>
      <c r="H159" s="77">
        <f>'EXTRACTION AT GLOBAL DEA'!N157</f>
        <v>50</v>
      </c>
      <c r="I159" s="77" t="str">
        <f>'EXTRACTION AT GLOBAL DEA'!L157</f>
        <v>O</v>
      </c>
      <c r="J159" s="77" t="str">
        <f>'EXTRACTION AT GLOBAL DEA'!M157</f>
        <v>N</v>
      </c>
      <c r="K159" s="77"/>
      <c r="L159" s="77"/>
      <c r="M159" s="78">
        <f>'EXTRACTION AT GLOBAL DEA'!B157</f>
        <v>42888</v>
      </c>
      <c r="N159" s="77" t="str">
        <f t="shared" si="7"/>
        <v>juin</v>
      </c>
      <c r="O159" s="65"/>
      <c r="P159" s="67"/>
      <c r="Q159" s="67"/>
      <c r="R159" s="67"/>
      <c r="S159" s="67"/>
      <c r="T159" s="67"/>
      <c r="U159" s="67"/>
      <c r="V159" s="67"/>
      <c r="W159" s="67"/>
      <c r="X159" s="67"/>
      <c r="Y159" s="67"/>
      <c r="Z159" s="67"/>
      <c r="AA159" s="67"/>
      <c r="AB159" s="68">
        <f t="shared" si="8"/>
        <v>0</v>
      </c>
    </row>
    <row r="160" spans="1:28" x14ac:dyDescent="0.25">
      <c r="A160" s="77" t="str">
        <f>'EXTRACTION AT GLOBAL DEA'!D158</f>
        <v>109758</v>
      </c>
      <c r="B160" s="77" t="str">
        <f>'EXTRACTION AT GLOBAL DEA'!E158</f>
        <v>LANG</v>
      </c>
      <c r="C160" s="77" t="str">
        <f>'EXTRACTION AT GLOBAL DEA'!F158</f>
        <v>THIERRY</v>
      </c>
      <c r="D160" s="77" t="str">
        <f>'EXTRACTION AT GLOBAL DEA'!I158</f>
        <v>TLSKI</v>
      </c>
      <c r="E160" s="66">
        <f>'EXTRACTION AT GLOBAL DEA'!G158</f>
        <v>57</v>
      </c>
      <c r="F160" s="84" t="str">
        <f t="shared" si="6"/>
        <v>55 à 59 ans</v>
      </c>
      <c r="G160" s="77" t="str">
        <f>'EXTRACTION AT GLOBAL DEA'!K158</f>
        <v>S</v>
      </c>
      <c r="H160" s="77">
        <f>'EXTRACTION AT GLOBAL DEA'!N158</f>
        <v>23</v>
      </c>
      <c r="I160" s="77" t="str">
        <f>'EXTRACTION AT GLOBAL DEA'!L158</f>
        <v>O</v>
      </c>
      <c r="J160" s="77" t="str">
        <f>'EXTRACTION AT GLOBAL DEA'!M158</f>
        <v>N</v>
      </c>
      <c r="K160" s="77"/>
      <c r="L160" s="77"/>
      <c r="M160" s="78">
        <f>'EXTRACTION AT GLOBAL DEA'!B158</f>
        <v>42888</v>
      </c>
      <c r="N160" s="77" t="str">
        <f t="shared" si="7"/>
        <v>juin</v>
      </c>
      <c r="O160" s="65"/>
      <c r="P160" s="67"/>
      <c r="Q160" s="67"/>
      <c r="R160" s="67"/>
      <c r="S160" s="67"/>
      <c r="T160" s="67"/>
      <c r="U160" s="67"/>
      <c r="V160" s="67"/>
      <c r="W160" s="67"/>
      <c r="X160" s="67"/>
      <c r="Y160" s="67"/>
      <c r="Z160" s="67"/>
      <c r="AA160" s="67"/>
      <c r="AB160" s="68">
        <f t="shared" si="8"/>
        <v>0</v>
      </c>
    </row>
    <row r="161" spans="1:28" hidden="1" x14ac:dyDescent="0.25">
      <c r="A161" s="77" t="str">
        <f>'EXTRACTION AT GLOBAL DEA'!D159</f>
        <v>109851</v>
      </c>
      <c r="B161" s="77" t="str">
        <f>'EXTRACTION AT GLOBAL DEA'!E159</f>
        <v>PERRIN</v>
      </c>
      <c r="C161" s="77" t="str">
        <f>'EXTRACTION AT GLOBAL DEA'!F159</f>
        <v>JONATHAN</v>
      </c>
      <c r="D161" s="77" t="str">
        <f>'EXTRACTION AT GLOBAL DEA'!I159</f>
        <v>MT QJ</v>
      </c>
      <c r="E161" s="66">
        <f>'EXTRACTION AT GLOBAL DEA'!G159</f>
        <v>34</v>
      </c>
      <c r="F161" s="84" t="str">
        <f t="shared" si="6"/>
        <v>30 à 34 ans</v>
      </c>
      <c r="G161" s="77" t="str">
        <f>'EXTRACTION AT GLOBAL DEA'!K159</f>
        <v>T</v>
      </c>
      <c r="H161" s="77">
        <f>'EXTRACTION AT GLOBAL DEA'!N159</f>
        <v>176</v>
      </c>
      <c r="I161" s="77" t="str">
        <f>'EXTRACTION AT GLOBAL DEA'!L159</f>
        <v>O</v>
      </c>
      <c r="J161" s="77" t="str">
        <f>'EXTRACTION AT GLOBAL DEA'!M159</f>
        <v>N</v>
      </c>
      <c r="K161" s="77"/>
      <c r="L161" s="77"/>
      <c r="M161" s="78">
        <f>'EXTRACTION AT GLOBAL DEA'!B159</f>
        <v>42891</v>
      </c>
      <c r="N161" s="77" t="str">
        <f t="shared" si="7"/>
        <v>juin</v>
      </c>
      <c r="O161" s="65"/>
      <c r="P161" s="67"/>
      <c r="Q161" s="67"/>
      <c r="R161" s="67"/>
      <c r="S161" s="67"/>
      <c r="T161" s="67"/>
      <c r="U161" s="67"/>
      <c r="V161" s="67"/>
      <c r="W161" s="67"/>
      <c r="X161" s="67"/>
      <c r="Y161" s="67"/>
      <c r="Z161" s="67"/>
      <c r="AA161" s="67"/>
      <c r="AB161" s="68">
        <f t="shared" si="8"/>
        <v>0</v>
      </c>
    </row>
    <row r="162" spans="1:28" hidden="1" x14ac:dyDescent="0.25">
      <c r="A162" s="77" t="str">
        <f>'EXTRACTION AT GLOBAL DEA'!D160</f>
        <v>109852</v>
      </c>
      <c r="B162" s="77" t="str">
        <f>'EXTRACTION AT GLOBAL DEA'!E160</f>
        <v>ERAVILLE</v>
      </c>
      <c r="C162" s="77" t="str">
        <f>'EXTRACTION AT GLOBAL DEA'!F160</f>
        <v>BRICE</v>
      </c>
      <c r="D162" s="77" t="str">
        <f>'EXTRACTION AT GLOBAL DEA'!I160</f>
        <v>MT QJ</v>
      </c>
      <c r="E162" s="66">
        <f>'EXTRACTION AT GLOBAL DEA'!G160</f>
        <v>42</v>
      </c>
      <c r="F162" s="84" t="str">
        <f t="shared" si="6"/>
        <v>40 à 44 ans</v>
      </c>
      <c r="G162" s="77" t="str">
        <f>'EXTRACTION AT GLOBAL DEA'!K160</f>
        <v>T</v>
      </c>
      <c r="H162" s="77">
        <f>'EXTRACTION AT GLOBAL DEA'!N160</f>
        <v>55</v>
      </c>
      <c r="I162" s="77" t="str">
        <f>'EXTRACTION AT GLOBAL DEA'!L160</f>
        <v>O</v>
      </c>
      <c r="J162" s="77" t="str">
        <f>'EXTRACTION AT GLOBAL DEA'!M160</f>
        <v>N</v>
      </c>
      <c r="K162" s="77"/>
      <c r="L162" s="77"/>
      <c r="M162" s="78">
        <f>'EXTRACTION AT GLOBAL DEA'!B160</f>
        <v>42891</v>
      </c>
      <c r="N162" s="77" t="str">
        <f t="shared" si="7"/>
        <v>juin</v>
      </c>
      <c r="O162" s="65"/>
      <c r="P162" s="67"/>
      <c r="Q162" s="67"/>
      <c r="R162" s="67"/>
      <c r="S162" s="67"/>
      <c r="T162" s="67"/>
      <c r="U162" s="67"/>
      <c r="V162" s="67"/>
      <c r="W162" s="67"/>
      <c r="X162" s="67"/>
      <c r="Y162" s="67"/>
      <c r="Z162" s="67"/>
      <c r="AA162" s="67"/>
      <c r="AB162" s="68">
        <f t="shared" si="8"/>
        <v>0</v>
      </c>
    </row>
    <row r="163" spans="1:28" x14ac:dyDescent="0.25">
      <c r="A163" s="77" t="str">
        <f>'EXTRACTION AT GLOBAL DEA'!D161</f>
        <v>109775</v>
      </c>
      <c r="B163" s="77" t="str">
        <f>'EXTRACTION AT GLOBAL DEA'!E161</f>
        <v>MEARD</v>
      </c>
      <c r="C163" s="77" t="str">
        <f>'EXTRACTION AT GLOBAL DEA'!F161</f>
        <v>CEDRIC</v>
      </c>
      <c r="D163" s="77" t="str">
        <f>'EXTRACTION AT GLOBAL DEA'!I161</f>
        <v>MT CC PR</v>
      </c>
      <c r="E163" s="66">
        <f>'EXTRACTION AT GLOBAL DEA'!G161</f>
        <v>36</v>
      </c>
      <c r="F163" s="84" t="str">
        <f t="shared" si="6"/>
        <v>35 à 39 ans</v>
      </c>
      <c r="G163" s="77" t="str">
        <f>'EXTRACTION AT GLOBAL DEA'!K161</f>
        <v>S</v>
      </c>
      <c r="H163" s="77">
        <f>'EXTRACTION AT GLOBAL DEA'!N161</f>
        <v>0</v>
      </c>
      <c r="I163" s="77" t="str">
        <f>'EXTRACTION AT GLOBAL DEA'!L161</f>
        <v>N</v>
      </c>
      <c r="J163" s="77" t="str">
        <f>'EXTRACTION AT GLOBAL DEA'!M161</f>
        <v>N</v>
      </c>
      <c r="K163" s="77"/>
      <c r="L163" s="77"/>
      <c r="M163" s="78">
        <f>'EXTRACTION AT GLOBAL DEA'!B161</f>
        <v>42891</v>
      </c>
      <c r="N163" s="77" t="str">
        <f t="shared" si="7"/>
        <v>juin</v>
      </c>
      <c r="O163" s="65"/>
      <c r="P163" s="67"/>
      <c r="Q163" s="67"/>
      <c r="R163" s="67"/>
      <c r="S163" s="67"/>
      <c r="T163" s="67"/>
      <c r="U163" s="67"/>
      <c r="V163" s="67"/>
      <c r="W163" s="67"/>
      <c r="X163" s="67"/>
      <c r="Y163" s="67"/>
      <c r="Z163" s="67"/>
      <c r="AA163" s="67"/>
      <c r="AB163" s="68">
        <f t="shared" si="8"/>
        <v>0</v>
      </c>
    </row>
    <row r="164" spans="1:28" x14ac:dyDescent="0.25">
      <c r="A164" s="77" t="str">
        <f>'EXTRACTION AT GLOBAL DEA'!D162</f>
        <v>109789</v>
      </c>
      <c r="B164" s="77" t="str">
        <f>'EXTRACTION AT GLOBAL DEA'!E162</f>
        <v>ALEXIA</v>
      </c>
      <c r="C164" s="77" t="str">
        <f>'EXTRACTION AT GLOBAL DEA'!F162</f>
        <v>RAPHAEL</v>
      </c>
      <c r="D164" s="77" t="str">
        <f>'EXTRACTION AT GLOBAL DEA'!I162</f>
        <v>MT CC PR</v>
      </c>
      <c r="E164" s="66">
        <f>'EXTRACTION AT GLOBAL DEA'!G162</f>
        <v>48</v>
      </c>
      <c r="F164" s="84" t="str">
        <f t="shared" si="6"/>
        <v>45 à 49 ans</v>
      </c>
      <c r="G164" s="77" t="str">
        <f>'EXTRACTION AT GLOBAL DEA'!K162</f>
        <v>S</v>
      </c>
      <c r="H164" s="77">
        <f>'EXTRACTION AT GLOBAL DEA'!N162</f>
        <v>0</v>
      </c>
      <c r="I164" s="77" t="str">
        <f>'EXTRACTION AT GLOBAL DEA'!L162</f>
        <v>N</v>
      </c>
      <c r="J164" s="77" t="str">
        <f>'EXTRACTION AT GLOBAL DEA'!M162</f>
        <v>O</v>
      </c>
      <c r="K164" s="77"/>
      <c r="L164" s="77"/>
      <c r="M164" s="78">
        <f>'EXTRACTION AT GLOBAL DEA'!B162</f>
        <v>42893</v>
      </c>
      <c r="N164" s="77" t="str">
        <f t="shared" si="7"/>
        <v>juin</v>
      </c>
      <c r="O164" s="65"/>
      <c r="P164" s="67"/>
      <c r="Q164" s="67"/>
      <c r="R164" s="67"/>
      <c r="S164" s="67"/>
      <c r="T164" s="67"/>
      <c r="U164" s="67"/>
      <c r="V164" s="67"/>
      <c r="W164" s="67"/>
      <c r="X164" s="67"/>
      <c r="Y164" s="67"/>
      <c r="Z164" s="67"/>
      <c r="AA164" s="67"/>
      <c r="AB164" s="68">
        <f t="shared" si="8"/>
        <v>0</v>
      </c>
    </row>
    <row r="165" spans="1:28" x14ac:dyDescent="0.25">
      <c r="A165" s="77" t="str">
        <f>'EXTRACTION AT GLOBAL DEA'!D163</f>
        <v>109902</v>
      </c>
      <c r="B165" s="77" t="str">
        <f>'EXTRACTION AT GLOBAL DEA'!E163</f>
        <v>FLOCHER</v>
      </c>
      <c r="C165" s="77" t="str">
        <f>'EXTRACTION AT GLOBAL DEA'!F163</f>
        <v>FREDERIC</v>
      </c>
      <c r="D165" s="77" t="str">
        <f>'EXTRACTION AT GLOBAL DEA'!I163</f>
        <v>MT HB PR</v>
      </c>
      <c r="E165" s="66">
        <f>'EXTRACTION AT GLOBAL DEA'!G163</f>
        <v>40</v>
      </c>
      <c r="F165" s="84" t="str">
        <f t="shared" si="6"/>
        <v>40 à 44 ans</v>
      </c>
      <c r="G165" s="77" t="str">
        <f>'EXTRACTION AT GLOBAL DEA'!K163</f>
        <v>S</v>
      </c>
      <c r="H165" s="77">
        <f>'EXTRACTION AT GLOBAL DEA'!N163</f>
        <v>2</v>
      </c>
      <c r="I165" s="77" t="str">
        <f>'EXTRACTION AT GLOBAL DEA'!L163</f>
        <v>O</v>
      </c>
      <c r="J165" s="77" t="str">
        <f>'EXTRACTION AT GLOBAL DEA'!M163</f>
        <v>N</v>
      </c>
      <c r="K165" s="77"/>
      <c r="L165" s="77"/>
      <c r="M165" s="78">
        <f>'EXTRACTION AT GLOBAL DEA'!B163</f>
        <v>42894</v>
      </c>
      <c r="N165" s="77" t="str">
        <f t="shared" si="7"/>
        <v>juin</v>
      </c>
      <c r="O165" s="65"/>
      <c r="P165" s="67"/>
      <c r="Q165" s="67"/>
      <c r="R165" s="67"/>
      <c r="S165" s="67"/>
      <c r="T165" s="67"/>
      <c r="U165" s="67"/>
      <c r="V165" s="67"/>
      <c r="W165" s="67"/>
      <c r="X165" s="67"/>
      <c r="Y165" s="67"/>
      <c r="Z165" s="67"/>
      <c r="AA165" s="67"/>
      <c r="AB165" s="68">
        <f t="shared" si="8"/>
        <v>0</v>
      </c>
    </row>
    <row r="166" spans="1:28" x14ac:dyDescent="0.25">
      <c r="A166" s="77" t="str">
        <f>'EXTRACTION AT GLOBAL DEA'!D164</f>
        <v>110028</v>
      </c>
      <c r="B166" s="77" t="str">
        <f>'EXTRACTION AT GLOBAL DEA'!E164</f>
        <v>BLANDIN</v>
      </c>
      <c r="C166" s="77" t="str">
        <f>'EXTRACTION AT GLOBAL DEA'!F164</f>
        <v>GILDAS</v>
      </c>
      <c r="D166" s="77" t="str">
        <f>'EXTRACTION AT GLOBAL DEA'!I164</f>
        <v>MT HB PR</v>
      </c>
      <c r="E166" s="66">
        <f>'EXTRACTION AT GLOBAL DEA'!G164</f>
        <v>50</v>
      </c>
      <c r="F166" s="84" t="str">
        <f t="shared" si="6"/>
        <v>50 à 54 ans</v>
      </c>
      <c r="G166" s="77" t="str">
        <f>'EXTRACTION AT GLOBAL DEA'!K164</f>
        <v>S</v>
      </c>
      <c r="H166" s="77">
        <f>'EXTRACTION AT GLOBAL DEA'!N164</f>
        <v>13</v>
      </c>
      <c r="I166" s="77" t="str">
        <f>'EXTRACTION AT GLOBAL DEA'!L164</f>
        <v>O</v>
      </c>
      <c r="J166" s="77" t="str">
        <f>'EXTRACTION AT GLOBAL DEA'!M164</f>
        <v>N</v>
      </c>
      <c r="K166" s="77"/>
      <c r="L166" s="77"/>
      <c r="M166" s="78">
        <f>'EXTRACTION AT GLOBAL DEA'!B164</f>
        <v>42897</v>
      </c>
      <c r="N166" s="77" t="str">
        <f t="shared" si="7"/>
        <v>juin</v>
      </c>
      <c r="O166" s="65"/>
      <c r="P166" s="67"/>
      <c r="Q166" s="67"/>
      <c r="R166" s="67"/>
      <c r="S166" s="67"/>
      <c r="T166" s="67"/>
      <c r="U166" s="67"/>
      <c r="V166" s="67"/>
      <c r="W166" s="67"/>
      <c r="X166" s="67"/>
      <c r="Y166" s="67"/>
      <c r="Z166" s="67"/>
      <c r="AA166" s="67"/>
      <c r="AB166" s="68">
        <f t="shared" si="8"/>
        <v>0</v>
      </c>
    </row>
    <row r="167" spans="1:28" x14ac:dyDescent="0.25">
      <c r="A167" s="77" t="str">
        <f>'EXTRACTION AT GLOBAL DEA'!D165</f>
        <v>110029</v>
      </c>
      <c r="B167" s="77" t="str">
        <f>'EXTRACTION AT GLOBAL DEA'!E165</f>
        <v>DAVIAUD</v>
      </c>
      <c r="C167" s="77" t="str">
        <f>'EXTRACTION AT GLOBAL DEA'!F165</f>
        <v>MICHEL</v>
      </c>
      <c r="D167" s="77" t="str">
        <f>'EXTRACTION AT GLOBAL DEA'!I165</f>
        <v>MT HB PR</v>
      </c>
      <c r="E167" s="66">
        <f>'EXTRACTION AT GLOBAL DEA'!G165</f>
        <v>54</v>
      </c>
      <c r="F167" s="84" t="str">
        <f t="shared" si="6"/>
        <v>50 à 54 ans</v>
      </c>
      <c r="G167" s="77" t="str">
        <f>'EXTRACTION AT GLOBAL DEA'!K165</f>
        <v>S</v>
      </c>
      <c r="H167" s="77">
        <f>'EXTRACTION AT GLOBAL DEA'!N165</f>
        <v>0</v>
      </c>
      <c r="I167" s="77" t="str">
        <f>'EXTRACTION AT GLOBAL DEA'!L165</f>
        <v>N</v>
      </c>
      <c r="J167" s="77" t="str">
        <f>'EXTRACTION AT GLOBAL DEA'!M165</f>
        <v>N</v>
      </c>
      <c r="K167" s="77"/>
      <c r="L167" s="77"/>
      <c r="M167" s="78">
        <f>'EXTRACTION AT GLOBAL DEA'!B165</f>
        <v>42897</v>
      </c>
      <c r="N167" s="77" t="str">
        <f t="shared" si="7"/>
        <v>juin</v>
      </c>
      <c r="O167" s="65"/>
      <c r="P167" s="67"/>
      <c r="Q167" s="67"/>
      <c r="R167" s="67"/>
      <c r="S167" s="67"/>
      <c r="T167" s="67"/>
      <c r="U167" s="67"/>
      <c r="V167" s="67"/>
      <c r="W167" s="67"/>
      <c r="X167" s="67"/>
      <c r="Y167" s="67"/>
      <c r="Z167" s="67"/>
      <c r="AA167" s="67"/>
      <c r="AB167" s="68">
        <f t="shared" si="8"/>
        <v>0</v>
      </c>
    </row>
    <row r="168" spans="1:28" x14ac:dyDescent="0.25">
      <c r="A168" s="77" t="str">
        <f>'EXTRACTION AT GLOBAL DEA'!D166</f>
        <v>109940</v>
      </c>
      <c r="B168" s="77" t="str">
        <f>'EXTRACTION AT GLOBAL DEA'!E166</f>
        <v>THOMAS</v>
      </c>
      <c r="C168" s="77" t="str">
        <f>'EXTRACTION AT GLOBAL DEA'!F166</f>
        <v>JULIEN</v>
      </c>
      <c r="D168" s="77" t="str">
        <f>'EXTRACTION AT GLOBAL DEA'!I166</f>
        <v>MT HB PR</v>
      </c>
      <c r="E168" s="66">
        <f>'EXTRACTION AT GLOBAL DEA'!G166</f>
        <v>34</v>
      </c>
      <c r="F168" s="84" t="str">
        <f t="shared" si="6"/>
        <v>30 à 34 ans</v>
      </c>
      <c r="G168" s="77" t="str">
        <f>'EXTRACTION AT GLOBAL DEA'!K166</f>
        <v>S</v>
      </c>
      <c r="H168" s="77">
        <f>'EXTRACTION AT GLOBAL DEA'!N166</f>
        <v>0</v>
      </c>
      <c r="I168" s="77" t="str">
        <f>'EXTRACTION AT GLOBAL DEA'!L166</f>
        <v>N</v>
      </c>
      <c r="J168" s="77" t="str">
        <f>'EXTRACTION AT GLOBAL DEA'!M166</f>
        <v>N</v>
      </c>
      <c r="K168" s="77"/>
      <c r="L168" s="77"/>
      <c r="M168" s="78">
        <f>'EXTRACTION AT GLOBAL DEA'!B166</f>
        <v>42897</v>
      </c>
      <c r="N168" s="77" t="str">
        <f t="shared" si="7"/>
        <v>juin</v>
      </c>
      <c r="O168" s="65"/>
      <c r="P168" s="67"/>
      <c r="Q168" s="67"/>
      <c r="R168" s="67"/>
      <c r="S168" s="67"/>
      <c r="T168" s="67"/>
      <c r="U168" s="67"/>
      <c r="V168" s="67"/>
      <c r="W168" s="67"/>
      <c r="X168" s="67"/>
      <c r="Y168" s="67"/>
      <c r="Z168" s="67"/>
      <c r="AA168" s="67"/>
      <c r="AB168" s="68">
        <f t="shared" si="8"/>
        <v>0</v>
      </c>
    </row>
    <row r="169" spans="1:28" x14ac:dyDescent="0.25">
      <c r="A169" s="77" t="str">
        <f>'EXTRACTION AT GLOBAL DEA'!D167</f>
        <v>110099</v>
      </c>
      <c r="B169" s="77" t="str">
        <f>'EXTRACTION AT GLOBAL DEA'!E167</f>
        <v>BRULARD</v>
      </c>
      <c r="C169" s="77" t="str">
        <f>'EXTRACTION AT GLOBAL DEA'!F167</f>
        <v>JEAN CHARLES</v>
      </c>
      <c r="D169" s="77" t="str">
        <f>'EXTRACTION AT GLOBAL DEA'!I167</f>
        <v>MT UD TO</v>
      </c>
      <c r="E169" s="66">
        <f>'EXTRACTION AT GLOBAL DEA'!G167</f>
        <v>32</v>
      </c>
      <c r="F169" s="84" t="str">
        <f t="shared" si="6"/>
        <v>30 à 34 ans</v>
      </c>
      <c r="G169" s="77" t="str">
        <f>'EXTRACTION AT GLOBAL DEA'!K167</f>
        <v>S</v>
      </c>
      <c r="H169" s="77">
        <f>'EXTRACTION AT GLOBAL DEA'!N167</f>
        <v>0</v>
      </c>
      <c r="I169" s="77" t="str">
        <f>'EXTRACTION AT GLOBAL DEA'!L167</f>
        <v>N</v>
      </c>
      <c r="J169" s="77" t="str">
        <f>'EXTRACTION AT GLOBAL DEA'!M167</f>
        <v>N</v>
      </c>
      <c r="K169" s="77"/>
      <c r="L169" s="77"/>
      <c r="M169" s="78">
        <f>'EXTRACTION AT GLOBAL DEA'!B167</f>
        <v>42899</v>
      </c>
      <c r="N169" s="77" t="str">
        <f t="shared" si="7"/>
        <v>juin</v>
      </c>
      <c r="O169" s="65"/>
      <c r="P169" s="67"/>
      <c r="Q169" s="67"/>
      <c r="R169" s="67"/>
      <c r="S169" s="67"/>
      <c r="T169" s="67"/>
      <c r="U169" s="67"/>
      <c r="V169" s="67"/>
      <c r="W169" s="67"/>
      <c r="X169" s="67"/>
      <c r="Y169" s="67"/>
      <c r="Z169" s="67"/>
      <c r="AA169" s="67"/>
      <c r="AB169" s="68">
        <f t="shared" si="8"/>
        <v>0</v>
      </c>
    </row>
    <row r="170" spans="1:28" x14ac:dyDescent="0.25">
      <c r="A170" s="77" t="str">
        <f>'EXTRACTION AT GLOBAL DEA'!D168</f>
        <v>110066</v>
      </c>
      <c r="B170" s="77" t="str">
        <f>'EXTRACTION AT GLOBAL DEA'!E168</f>
        <v>FARLET</v>
      </c>
      <c r="C170" s="77" t="str">
        <f>'EXTRACTION AT GLOBAL DEA'!F168</f>
        <v>ALEXANDRE</v>
      </c>
      <c r="D170" s="77" t="str">
        <f>'EXTRACTION AT GLOBAL DEA'!I168</f>
        <v>MT CA PR</v>
      </c>
      <c r="E170" s="66">
        <f>'EXTRACTION AT GLOBAL DEA'!G168</f>
        <v>30</v>
      </c>
      <c r="F170" s="84" t="str">
        <f t="shared" si="6"/>
        <v>30 à 34 ans</v>
      </c>
      <c r="G170" s="77" t="str">
        <f>'EXTRACTION AT GLOBAL DEA'!K168</f>
        <v>S</v>
      </c>
      <c r="H170" s="77">
        <f>'EXTRACTION AT GLOBAL DEA'!N168</f>
        <v>0</v>
      </c>
      <c r="I170" s="77" t="str">
        <f>'EXTRACTION AT GLOBAL DEA'!L168</f>
        <v>N</v>
      </c>
      <c r="J170" s="77" t="str">
        <f>'EXTRACTION AT GLOBAL DEA'!M168</f>
        <v>N</v>
      </c>
      <c r="K170" s="77"/>
      <c r="L170" s="77"/>
      <c r="M170" s="78">
        <f>'EXTRACTION AT GLOBAL DEA'!B168</f>
        <v>42899</v>
      </c>
      <c r="N170" s="77" t="str">
        <f t="shared" si="7"/>
        <v>juin</v>
      </c>
      <c r="O170" s="65"/>
      <c r="P170" s="67"/>
      <c r="Q170" s="67"/>
      <c r="R170" s="67"/>
      <c r="S170" s="67"/>
      <c r="T170" s="67"/>
      <c r="U170" s="67"/>
      <c r="V170" s="67"/>
      <c r="W170" s="67"/>
      <c r="X170" s="67"/>
      <c r="Y170" s="67"/>
      <c r="Z170" s="67"/>
      <c r="AA170" s="67"/>
      <c r="AB170" s="68">
        <f t="shared" si="8"/>
        <v>0</v>
      </c>
    </row>
    <row r="171" spans="1:28" x14ac:dyDescent="0.25">
      <c r="A171" s="77" t="str">
        <f>'EXTRACTION AT GLOBAL DEA'!D169</f>
        <v>110056</v>
      </c>
      <c r="B171" s="77" t="str">
        <f>'EXTRACTION AT GLOBAL DEA'!E169</f>
        <v>DRAI</v>
      </c>
      <c r="C171" s="77" t="str">
        <f>'EXTRACTION AT GLOBAL DEA'!F169</f>
        <v>ROMAIN</v>
      </c>
      <c r="D171" s="77" t="str">
        <f>'EXTRACTION AT GLOBAL DEA'!I169</f>
        <v>MT HB PR</v>
      </c>
      <c r="E171" s="66">
        <f>'EXTRACTION AT GLOBAL DEA'!G169</f>
        <v>39</v>
      </c>
      <c r="F171" s="84" t="str">
        <f t="shared" si="6"/>
        <v>35 à 39 ans</v>
      </c>
      <c r="G171" s="77" t="str">
        <f>'EXTRACTION AT GLOBAL DEA'!K169</f>
        <v>S</v>
      </c>
      <c r="H171" s="77">
        <f>'EXTRACTION AT GLOBAL DEA'!N169</f>
        <v>0</v>
      </c>
      <c r="I171" s="77" t="str">
        <f>'EXTRACTION AT GLOBAL DEA'!L169</f>
        <v>N</v>
      </c>
      <c r="J171" s="77" t="str">
        <f>'EXTRACTION AT GLOBAL DEA'!M169</f>
        <v>N</v>
      </c>
      <c r="K171" s="77"/>
      <c r="L171" s="77"/>
      <c r="M171" s="78">
        <f>'EXTRACTION AT GLOBAL DEA'!B169</f>
        <v>42899</v>
      </c>
      <c r="N171" s="77" t="str">
        <f t="shared" si="7"/>
        <v>juin</v>
      </c>
      <c r="O171" s="65"/>
      <c r="P171" s="67"/>
      <c r="Q171" s="67"/>
      <c r="R171" s="67"/>
      <c r="S171" s="67"/>
      <c r="T171" s="67"/>
      <c r="U171" s="67"/>
      <c r="V171" s="67"/>
      <c r="W171" s="67"/>
      <c r="X171" s="67"/>
      <c r="Y171" s="67"/>
      <c r="Z171" s="67"/>
      <c r="AA171" s="67"/>
      <c r="AB171" s="68">
        <f t="shared" si="8"/>
        <v>0</v>
      </c>
    </row>
    <row r="172" spans="1:28" x14ac:dyDescent="0.25">
      <c r="A172" s="77" t="str">
        <f>'EXTRACTION AT GLOBAL DEA'!D170</f>
        <v>110145</v>
      </c>
      <c r="B172" s="77" t="str">
        <f>'EXTRACTION AT GLOBAL DEA'!E170</f>
        <v>JULLY</v>
      </c>
      <c r="C172" s="77" t="str">
        <f>'EXTRACTION AT GLOBAL DEA'!F170</f>
        <v>PASCAL</v>
      </c>
      <c r="D172" s="77" t="str">
        <f>'EXTRACTION AT GLOBAL DEA'!I170</f>
        <v>MPLKI</v>
      </c>
      <c r="E172" s="66">
        <f>'EXTRACTION AT GLOBAL DEA'!G170</f>
        <v>55</v>
      </c>
      <c r="F172" s="84" t="str">
        <f t="shared" si="6"/>
        <v>55 à 59 ans</v>
      </c>
      <c r="G172" s="77" t="str">
        <f>'EXTRACTION AT GLOBAL DEA'!K170</f>
        <v>S</v>
      </c>
      <c r="H172" s="77">
        <f>'EXTRACTION AT GLOBAL DEA'!N170</f>
        <v>9</v>
      </c>
      <c r="I172" s="77" t="str">
        <f>'EXTRACTION AT GLOBAL DEA'!L170</f>
        <v>O</v>
      </c>
      <c r="J172" s="77" t="str">
        <f>'EXTRACTION AT GLOBAL DEA'!M170</f>
        <v>N</v>
      </c>
      <c r="K172" s="77"/>
      <c r="L172" s="77"/>
      <c r="M172" s="78">
        <f>'EXTRACTION AT GLOBAL DEA'!B170</f>
        <v>42900</v>
      </c>
      <c r="N172" s="77" t="str">
        <f t="shared" si="7"/>
        <v>juin</v>
      </c>
      <c r="O172" s="65"/>
      <c r="P172" s="67"/>
      <c r="Q172" s="67"/>
      <c r="R172" s="67"/>
      <c r="S172" s="67"/>
      <c r="T172" s="67"/>
      <c r="U172" s="67"/>
      <c r="V172" s="67"/>
      <c r="W172" s="67"/>
      <c r="X172" s="67"/>
      <c r="Y172" s="67"/>
      <c r="Z172" s="67"/>
      <c r="AA172" s="67"/>
      <c r="AB172" s="68">
        <f t="shared" si="8"/>
        <v>0</v>
      </c>
    </row>
    <row r="173" spans="1:28" x14ac:dyDescent="0.25">
      <c r="A173" s="77" t="str">
        <f>'EXTRACTION AT GLOBAL DEA'!D171</f>
        <v>110059</v>
      </c>
      <c r="B173" s="77" t="str">
        <f>'EXTRACTION AT GLOBAL DEA'!E171</f>
        <v>BUORS</v>
      </c>
      <c r="C173" s="77" t="str">
        <f>'EXTRACTION AT GLOBAL DEA'!F171</f>
        <v>MATHIEU</v>
      </c>
      <c r="D173" s="77" t="str">
        <f>'EXTRACTION AT GLOBAL DEA'!I171</f>
        <v>MT CA PR</v>
      </c>
      <c r="E173" s="66">
        <f>'EXTRACTION AT GLOBAL DEA'!G171</f>
        <v>31</v>
      </c>
      <c r="F173" s="84" t="str">
        <f t="shared" si="6"/>
        <v>30 à 34 ans</v>
      </c>
      <c r="G173" s="77" t="str">
        <f>'EXTRACTION AT GLOBAL DEA'!K171</f>
        <v>S</v>
      </c>
      <c r="H173" s="77">
        <f>'EXTRACTION AT GLOBAL DEA'!N171</f>
        <v>3</v>
      </c>
      <c r="I173" s="77" t="str">
        <f>'EXTRACTION AT GLOBAL DEA'!L171</f>
        <v>O</v>
      </c>
      <c r="J173" s="77" t="str">
        <f>'EXTRACTION AT GLOBAL DEA'!M171</f>
        <v>N</v>
      </c>
      <c r="K173" s="77"/>
      <c r="L173" s="77"/>
      <c r="M173" s="78">
        <f>'EXTRACTION AT GLOBAL DEA'!B171</f>
        <v>42900</v>
      </c>
      <c r="N173" s="77" t="str">
        <f t="shared" si="7"/>
        <v>juin</v>
      </c>
      <c r="O173" s="65"/>
      <c r="P173" s="67"/>
      <c r="Q173" s="67"/>
      <c r="R173" s="67"/>
      <c r="S173" s="67"/>
      <c r="T173" s="67"/>
      <c r="U173" s="67"/>
      <c r="V173" s="67"/>
      <c r="W173" s="67"/>
      <c r="X173" s="67"/>
      <c r="Y173" s="67"/>
      <c r="Z173" s="67"/>
      <c r="AA173" s="67"/>
      <c r="AB173" s="68">
        <f t="shared" si="8"/>
        <v>0</v>
      </c>
    </row>
    <row r="174" spans="1:28" x14ac:dyDescent="0.25">
      <c r="A174" s="77" t="str">
        <f>'EXTRACTION AT GLOBAL DEA'!D172</f>
        <v>110153</v>
      </c>
      <c r="B174" s="77" t="str">
        <f>'EXTRACTION AT GLOBAL DEA'!E172</f>
        <v>LORANTI</v>
      </c>
      <c r="C174" s="77" t="str">
        <f>'EXTRACTION AT GLOBAL DEA'!F172</f>
        <v>LAURENT</v>
      </c>
      <c r="D174" s="77" t="str">
        <f>'EXTRACTION AT GLOBAL DEA'!I172</f>
        <v>MT QJ</v>
      </c>
      <c r="E174" s="66">
        <f>'EXTRACTION AT GLOBAL DEA'!G172</f>
        <v>47</v>
      </c>
      <c r="F174" s="84" t="str">
        <f t="shared" si="6"/>
        <v>45 à 49 ans</v>
      </c>
      <c r="G174" s="77" t="str">
        <f>'EXTRACTION AT GLOBAL DEA'!K172</f>
        <v>S</v>
      </c>
      <c r="H174" s="77">
        <f>'EXTRACTION AT GLOBAL DEA'!N172</f>
        <v>106</v>
      </c>
      <c r="I174" s="77" t="str">
        <f>'EXTRACTION AT GLOBAL DEA'!L172</f>
        <v>O</v>
      </c>
      <c r="J174" s="77" t="str">
        <f>'EXTRACTION AT GLOBAL DEA'!M172</f>
        <v>N</v>
      </c>
      <c r="K174" s="77"/>
      <c r="L174" s="77"/>
      <c r="M174" s="78">
        <f>'EXTRACTION AT GLOBAL DEA'!B172</f>
        <v>42901</v>
      </c>
      <c r="N174" s="77" t="str">
        <f t="shared" si="7"/>
        <v>juin</v>
      </c>
      <c r="O174" s="65"/>
      <c r="P174" s="67"/>
      <c r="Q174" s="67"/>
      <c r="R174" s="67"/>
      <c r="S174" s="67"/>
      <c r="T174" s="67"/>
      <c r="U174" s="67"/>
      <c r="V174" s="67"/>
      <c r="W174" s="67"/>
      <c r="X174" s="67"/>
      <c r="Y174" s="67"/>
      <c r="Z174" s="67"/>
      <c r="AA174" s="67"/>
      <c r="AB174" s="68">
        <f t="shared" si="8"/>
        <v>0</v>
      </c>
    </row>
    <row r="175" spans="1:28" x14ac:dyDescent="0.25">
      <c r="A175" s="77" t="str">
        <f>'EXTRACTION AT GLOBAL DEA'!D173</f>
        <v>110336</v>
      </c>
      <c r="B175" s="77" t="str">
        <f>'EXTRACTION AT GLOBAL DEA'!E173</f>
        <v>MELOU</v>
      </c>
      <c r="C175" s="77" t="str">
        <f>'EXTRACTION AT GLOBAL DEA'!F173</f>
        <v>YANNICK</v>
      </c>
      <c r="D175" s="77" t="str">
        <f>'EXTRACTION AT GLOBAL DEA'!I173</f>
        <v>MT YC PR</v>
      </c>
      <c r="E175" s="66">
        <f>'EXTRACTION AT GLOBAL DEA'!G173</f>
        <v>42</v>
      </c>
      <c r="F175" s="84" t="str">
        <f t="shared" si="6"/>
        <v>40 à 44 ans</v>
      </c>
      <c r="G175" s="77" t="str">
        <f>'EXTRACTION AT GLOBAL DEA'!K173</f>
        <v>S</v>
      </c>
      <c r="H175" s="77">
        <f>'EXTRACTION AT GLOBAL DEA'!N173</f>
        <v>33</v>
      </c>
      <c r="I175" s="77" t="str">
        <f>'EXTRACTION AT GLOBAL DEA'!L173</f>
        <v>O</v>
      </c>
      <c r="J175" s="77" t="str">
        <f>'EXTRACTION AT GLOBAL DEA'!M173</f>
        <v>N</v>
      </c>
      <c r="K175" s="77"/>
      <c r="L175" s="77"/>
      <c r="M175" s="78">
        <f>'EXTRACTION AT GLOBAL DEA'!B173</f>
        <v>42906</v>
      </c>
      <c r="N175" s="77" t="str">
        <f t="shared" si="7"/>
        <v>juin</v>
      </c>
      <c r="O175" s="65"/>
      <c r="P175" s="67"/>
      <c r="Q175" s="67"/>
      <c r="R175" s="67"/>
      <c r="S175" s="67"/>
      <c r="T175" s="67"/>
      <c r="U175" s="67"/>
      <c r="V175" s="67"/>
      <c r="W175" s="67"/>
      <c r="X175" s="67"/>
      <c r="Y175" s="67"/>
      <c r="Z175" s="67"/>
      <c r="AA175" s="67"/>
      <c r="AB175" s="68">
        <f t="shared" si="8"/>
        <v>0</v>
      </c>
    </row>
    <row r="176" spans="1:28" hidden="1" x14ac:dyDescent="0.25">
      <c r="A176" s="77" t="str">
        <f>'EXTRACTION AT GLOBAL DEA'!D174</f>
        <v>110398</v>
      </c>
      <c r="B176" s="77" t="str">
        <f>'EXTRACTION AT GLOBAL DEA'!E174</f>
        <v>DABRIOU</v>
      </c>
      <c r="C176" s="77" t="str">
        <f>'EXTRACTION AT GLOBAL DEA'!F174</f>
        <v>PHILIPPE</v>
      </c>
      <c r="D176" s="77" t="str">
        <f>'EXTRACTION AT GLOBAL DEA'!I174</f>
        <v>MT CG PR</v>
      </c>
      <c r="E176" s="66">
        <f>'EXTRACTION AT GLOBAL DEA'!G174</f>
        <v>49</v>
      </c>
      <c r="F176" s="84" t="str">
        <f t="shared" si="6"/>
        <v>45 à 49 ans</v>
      </c>
      <c r="G176" s="77" t="str">
        <f>'EXTRACTION AT GLOBAL DEA'!K174</f>
        <v>T</v>
      </c>
      <c r="H176" s="77">
        <f>'EXTRACTION AT GLOBAL DEA'!N174</f>
        <v>0</v>
      </c>
      <c r="I176" s="77" t="str">
        <f>'EXTRACTION AT GLOBAL DEA'!L174</f>
        <v>N</v>
      </c>
      <c r="J176" s="77" t="str">
        <f>'EXTRACTION AT GLOBAL DEA'!M174</f>
        <v>N</v>
      </c>
      <c r="K176" s="77"/>
      <c r="L176" s="77"/>
      <c r="M176" s="78">
        <f>'EXTRACTION AT GLOBAL DEA'!B174</f>
        <v>42907</v>
      </c>
      <c r="N176" s="77" t="str">
        <f t="shared" si="7"/>
        <v>juin</v>
      </c>
      <c r="O176" s="65"/>
      <c r="P176" s="67"/>
      <c r="Q176" s="67"/>
      <c r="R176" s="67"/>
      <c r="S176" s="67"/>
      <c r="T176" s="67"/>
      <c r="U176" s="67"/>
      <c r="V176" s="67"/>
      <c r="W176" s="67"/>
      <c r="X176" s="67"/>
      <c r="Y176" s="67"/>
      <c r="Z176" s="67"/>
      <c r="AA176" s="67"/>
      <c r="AB176" s="68">
        <f t="shared" si="8"/>
        <v>0</v>
      </c>
    </row>
    <row r="177" spans="1:28" x14ac:dyDescent="0.25">
      <c r="A177" s="77" t="str">
        <f>'EXTRACTION AT GLOBAL DEA'!D175</f>
        <v>110395</v>
      </c>
      <c r="B177" s="77" t="str">
        <f>'EXTRACTION AT GLOBAL DEA'!E175</f>
        <v>AUBERT</v>
      </c>
      <c r="C177" s="77" t="str">
        <f>'EXTRACTION AT GLOBAL DEA'!F175</f>
        <v>REMI</v>
      </c>
      <c r="D177" s="77" t="str">
        <f>'EXTRACTION AT GLOBAL DEA'!I175</f>
        <v>MT HB PR</v>
      </c>
      <c r="E177" s="66">
        <f>'EXTRACTION AT GLOBAL DEA'!G175</f>
        <v>30</v>
      </c>
      <c r="F177" s="84" t="str">
        <f t="shared" si="6"/>
        <v>30 à 34 ans</v>
      </c>
      <c r="G177" s="77" t="str">
        <f>'EXTRACTION AT GLOBAL DEA'!K175</f>
        <v>S</v>
      </c>
      <c r="H177" s="77">
        <f>'EXTRACTION AT GLOBAL DEA'!N175</f>
        <v>0</v>
      </c>
      <c r="I177" s="77" t="str">
        <f>'EXTRACTION AT GLOBAL DEA'!L175</f>
        <v>N</v>
      </c>
      <c r="J177" s="77" t="str">
        <f>'EXTRACTION AT GLOBAL DEA'!M175</f>
        <v>N</v>
      </c>
      <c r="K177" s="77"/>
      <c r="L177" s="77"/>
      <c r="M177" s="78">
        <f>'EXTRACTION AT GLOBAL DEA'!B175</f>
        <v>42908</v>
      </c>
      <c r="N177" s="77" t="str">
        <f t="shared" si="7"/>
        <v>juin</v>
      </c>
      <c r="O177" s="65"/>
      <c r="P177" s="67"/>
      <c r="Q177" s="67"/>
      <c r="R177" s="67"/>
      <c r="S177" s="67"/>
      <c r="T177" s="67"/>
      <c r="U177" s="67"/>
      <c r="V177" s="67"/>
      <c r="W177" s="67"/>
      <c r="X177" s="67"/>
      <c r="Y177" s="67"/>
      <c r="Z177" s="67"/>
      <c r="AA177" s="67"/>
      <c r="AB177" s="68">
        <f t="shared" si="8"/>
        <v>0</v>
      </c>
    </row>
    <row r="178" spans="1:28" hidden="1" x14ac:dyDescent="0.25">
      <c r="A178" s="77" t="str">
        <f>'EXTRACTION AT GLOBAL DEA'!D176</f>
        <v>110583</v>
      </c>
      <c r="B178" s="77" t="str">
        <f>'EXTRACTION AT GLOBAL DEA'!E176</f>
        <v>CHARPENTIER</v>
      </c>
      <c r="C178" s="77" t="str">
        <f>'EXTRACTION AT GLOBAL DEA'!F176</f>
        <v>JEAN-YVES</v>
      </c>
      <c r="D178" s="77" t="str">
        <f>'EXTRACTION AT GLOBAL DEA'!I176</f>
        <v>MT YC PR</v>
      </c>
      <c r="E178" s="66">
        <f>'EXTRACTION AT GLOBAL DEA'!G176</f>
        <v>54</v>
      </c>
      <c r="F178" s="84" t="str">
        <f t="shared" si="6"/>
        <v>50 à 54 ans</v>
      </c>
      <c r="G178" s="77" t="str">
        <f>'EXTRACTION AT GLOBAL DEA'!K176</f>
        <v>T</v>
      </c>
      <c r="H178" s="77">
        <f>'EXTRACTION AT GLOBAL DEA'!N176</f>
        <v>0</v>
      </c>
      <c r="I178" s="77" t="str">
        <f>'EXTRACTION AT GLOBAL DEA'!L176</f>
        <v>N</v>
      </c>
      <c r="J178" s="77" t="str">
        <f>'EXTRACTION AT GLOBAL DEA'!M176</f>
        <v>N</v>
      </c>
      <c r="K178" s="77"/>
      <c r="L178" s="77"/>
      <c r="M178" s="78">
        <f>'EXTRACTION AT GLOBAL DEA'!B176</f>
        <v>42910</v>
      </c>
      <c r="N178" s="77" t="str">
        <f t="shared" si="7"/>
        <v>juin</v>
      </c>
      <c r="O178" s="65"/>
      <c r="P178" s="67"/>
      <c r="Q178" s="67"/>
      <c r="R178" s="67"/>
      <c r="S178" s="67"/>
      <c r="T178" s="67"/>
      <c r="U178" s="67"/>
      <c r="V178" s="67"/>
      <c r="W178" s="67"/>
      <c r="X178" s="67"/>
      <c r="Y178" s="67"/>
      <c r="Z178" s="67"/>
      <c r="AA178" s="67"/>
      <c r="AB178" s="68">
        <f t="shared" si="8"/>
        <v>0</v>
      </c>
    </row>
    <row r="179" spans="1:28" x14ac:dyDescent="0.25">
      <c r="A179" s="77" t="str">
        <f>'EXTRACTION AT GLOBAL DEA'!D177</f>
        <v>110476</v>
      </c>
      <c r="B179" s="77" t="str">
        <f>'EXTRACTION AT GLOBAL DEA'!E177</f>
        <v>BOUARD</v>
      </c>
      <c r="C179" s="77" t="str">
        <f>'EXTRACTION AT GLOBAL DEA'!F177</f>
        <v>ALAIN</v>
      </c>
      <c r="D179" s="77" t="str">
        <f>'EXTRACTION AT GLOBAL DEA'!I177</f>
        <v>MT HB QO</v>
      </c>
      <c r="E179" s="66">
        <f>'EXTRACTION AT GLOBAL DEA'!G177</f>
        <v>58</v>
      </c>
      <c r="F179" s="84" t="str">
        <f t="shared" si="6"/>
        <v>55 à 59 ans</v>
      </c>
      <c r="G179" s="77" t="str">
        <f>'EXTRACTION AT GLOBAL DEA'!K177</f>
        <v>S</v>
      </c>
      <c r="H179" s="77">
        <f>'EXTRACTION AT GLOBAL DEA'!N177</f>
        <v>3</v>
      </c>
      <c r="I179" s="77" t="str">
        <f>'EXTRACTION AT GLOBAL DEA'!L177</f>
        <v>O</v>
      </c>
      <c r="J179" s="77" t="str">
        <f>'EXTRACTION AT GLOBAL DEA'!M177</f>
        <v>N</v>
      </c>
      <c r="K179" s="77"/>
      <c r="L179" s="77"/>
      <c r="M179" s="78">
        <f>'EXTRACTION AT GLOBAL DEA'!B177</f>
        <v>42910</v>
      </c>
      <c r="N179" s="77" t="str">
        <f t="shared" si="7"/>
        <v>juin</v>
      </c>
      <c r="O179" s="65"/>
      <c r="P179" s="67"/>
      <c r="Q179" s="67"/>
      <c r="R179" s="67"/>
      <c r="S179" s="67"/>
      <c r="T179" s="67"/>
      <c r="U179" s="67"/>
      <c r="V179" s="67"/>
      <c r="W179" s="67"/>
      <c r="X179" s="67"/>
      <c r="Y179" s="67"/>
      <c r="Z179" s="67"/>
      <c r="AA179" s="67"/>
      <c r="AB179" s="68">
        <f t="shared" si="8"/>
        <v>0</v>
      </c>
    </row>
    <row r="180" spans="1:28" x14ac:dyDescent="0.25">
      <c r="A180" s="77" t="str">
        <f>'EXTRACTION AT GLOBAL DEA'!D178</f>
        <v>110641</v>
      </c>
      <c r="B180" s="77" t="str">
        <f>'EXTRACTION AT GLOBAL DEA'!E178</f>
        <v>BALCERZAK</v>
      </c>
      <c r="C180" s="77" t="str">
        <f>'EXTRACTION AT GLOBAL DEA'!F178</f>
        <v>PIERRE</v>
      </c>
      <c r="D180" s="77" t="str">
        <f>'EXTRACTION AT GLOBAL DEA'!I178</f>
        <v>MT HB PR</v>
      </c>
      <c r="E180" s="66">
        <f>'EXTRACTION AT GLOBAL DEA'!G178</f>
        <v>31</v>
      </c>
      <c r="F180" s="84" t="str">
        <f t="shared" si="6"/>
        <v>30 à 34 ans</v>
      </c>
      <c r="G180" s="77" t="str">
        <f>'EXTRACTION AT GLOBAL DEA'!K178</f>
        <v>S</v>
      </c>
      <c r="H180" s="77">
        <f>'EXTRACTION AT GLOBAL DEA'!N178</f>
        <v>39</v>
      </c>
      <c r="I180" s="77" t="str">
        <f>'EXTRACTION AT GLOBAL DEA'!L178</f>
        <v>O</v>
      </c>
      <c r="J180" s="77" t="str">
        <f>'EXTRACTION AT GLOBAL DEA'!M178</f>
        <v>N</v>
      </c>
      <c r="K180" s="77"/>
      <c r="L180" s="77"/>
      <c r="M180" s="78">
        <f>'EXTRACTION AT GLOBAL DEA'!B178</f>
        <v>42912</v>
      </c>
      <c r="N180" s="77" t="str">
        <f t="shared" si="7"/>
        <v>juin</v>
      </c>
      <c r="O180" s="65"/>
      <c r="P180" s="67"/>
      <c r="Q180" s="67"/>
      <c r="R180" s="67"/>
      <c r="S180" s="67"/>
      <c r="T180" s="67"/>
      <c r="U180" s="67"/>
      <c r="V180" s="67"/>
      <c r="W180" s="67"/>
      <c r="X180" s="67"/>
      <c r="Y180" s="67"/>
      <c r="Z180" s="67"/>
      <c r="AA180" s="67"/>
      <c r="AB180" s="68">
        <f t="shared" si="8"/>
        <v>0</v>
      </c>
    </row>
    <row r="181" spans="1:28" hidden="1" x14ac:dyDescent="0.25">
      <c r="A181" s="77" t="str">
        <f>'EXTRACTION AT GLOBAL DEA'!D179</f>
        <v>110623</v>
      </c>
      <c r="B181" s="77" t="str">
        <f>'EXTRACTION AT GLOBAL DEA'!E179</f>
        <v>AMAR</v>
      </c>
      <c r="C181" s="77" t="str">
        <f>'EXTRACTION AT GLOBAL DEA'!F179</f>
        <v>THOMAS</v>
      </c>
      <c r="D181" s="77" t="str">
        <f>'EXTRACTION AT GLOBAL DEA'!I179</f>
        <v>MT QS FT</v>
      </c>
      <c r="E181" s="66">
        <f>'EXTRACTION AT GLOBAL DEA'!G179</f>
        <v>36</v>
      </c>
      <c r="F181" s="84" t="str">
        <f t="shared" si="6"/>
        <v>35 à 39 ans</v>
      </c>
      <c r="G181" s="77" t="str">
        <f>'EXTRACTION AT GLOBAL DEA'!K179</f>
        <v>T</v>
      </c>
      <c r="H181" s="77">
        <f>'EXTRACTION AT GLOBAL DEA'!N179</f>
        <v>0</v>
      </c>
      <c r="I181" s="77" t="str">
        <f>'EXTRACTION AT GLOBAL DEA'!L179</f>
        <v>N</v>
      </c>
      <c r="J181" s="77" t="str">
        <f>'EXTRACTION AT GLOBAL DEA'!M179</f>
        <v>N</v>
      </c>
      <c r="K181" s="77"/>
      <c r="L181" s="77"/>
      <c r="M181" s="78">
        <f>'EXTRACTION AT GLOBAL DEA'!B179</f>
        <v>42913</v>
      </c>
      <c r="N181" s="77" t="str">
        <f t="shared" si="7"/>
        <v>juin</v>
      </c>
      <c r="O181" s="65"/>
      <c r="P181" s="67"/>
      <c r="Q181" s="67"/>
      <c r="R181" s="67"/>
      <c r="S181" s="67"/>
      <c r="T181" s="67"/>
      <c r="U181" s="67"/>
      <c r="V181" s="67"/>
      <c r="W181" s="67"/>
      <c r="X181" s="67"/>
      <c r="Y181" s="67"/>
      <c r="Z181" s="67"/>
      <c r="AA181" s="67"/>
      <c r="AB181" s="68">
        <f t="shared" si="8"/>
        <v>0</v>
      </c>
    </row>
    <row r="182" spans="1:28" x14ac:dyDescent="0.25">
      <c r="A182" s="77" t="str">
        <f>'EXTRACTION AT GLOBAL DEA'!D180</f>
        <v>110761</v>
      </c>
      <c r="B182" s="77" t="str">
        <f>'EXTRACTION AT GLOBAL DEA'!E180</f>
        <v>GIRONCEL</v>
      </c>
      <c r="C182" s="77" t="str">
        <f>'EXTRACTION AT GLOBAL DEA'!F180</f>
        <v>FLORIAN</v>
      </c>
      <c r="D182" s="77" t="str">
        <f>'EXTRACTION AT GLOBAL DEA'!I180</f>
        <v>BLDPVDOR</v>
      </c>
      <c r="E182" s="66">
        <f>'EXTRACTION AT GLOBAL DEA'!G180</f>
        <v>19</v>
      </c>
      <c r="F182" s="84" t="str">
        <f t="shared" si="6"/>
        <v>Moins de 20 ans</v>
      </c>
      <c r="G182" s="77" t="str">
        <f>'EXTRACTION AT GLOBAL DEA'!K180</f>
        <v>S</v>
      </c>
      <c r="H182" s="77">
        <f>'EXTRACTION AT GLOBAL DEA'!N180</f>
        <v>11</v>
      </c>
      <c r="I182" s="77" t="str">
        <f>'EXTRACTION AT GLOBAL DEA'!L180</f>
        <v>O</v>
      </c>
      <c r="J182" s="77" t="str">
        <f>'EXTRACTION AT GLOBAL DEA'!M180</f>
        <v>N</v>
      </c>
      <c r="K182" s="77"/>
      <c r="L182" s="77"/>
      <c r="M182" s="78">
        <f>'EXTRACTION AT GLOBAL DEA'!B180</f>
        <v>42916</v>
      </c>
      <c r="N182" s="77" t="str">
        <f t="shared" si="7"/>
        <v>juin</v>
      </c>
      <c r="O182" s="65"/>
      <c r="P182" s="67"/>
      <c r="Q182" s="67"/>
      <c r="R182" s="67"/>
      <c r="S182" s="67"/>
      <c r="T182" s="67"/>
      <c r="U182" s="67"/>
      <c r="V182" s="67"/>
      <c r="W182" s="67"/>
      <c r="X182" s="67"/>
      <c r="Y182" s="67"/>
      <c r="Z182" s="67"/>
      <c r="AA182" s="67"/>
      <c r="AB182" s="68">
        <f t="shared" si="8"/>
        <v>0</v>
      </c>
    </row>
    <row r="183" spans="1:28" x14ac:dyDescent="0.25">
      <c r="A183" s="77" t="str">
        <f>'EXTRACTION AT GLOBAL DEA'!D181</f>
        <v>110782</v>
      </c>
      <c r="B183" s="77" t="str">
        <f>'EXTRACTION AT GLOBAL DEA'!E181</f>
        <v>PIQUEMAL</v>
      </c>
      <c r="C183" s="77" t="str">
        <f>'EXTRACTION AT GLOBAL DEA'!F181</f>
        <v>FABRICE</v>
      </c>
      <c r="D183" s="77" t="str">
        <f>'EXTRACTION AT GLOBAL DEA'!I181</f>
        <v>MT YC PR</v>
      </c>
      <c r="E183" s="66">
        <f>'EXTRACTION AT GLOBAL DEA'!G181</f>
        <v>38</v>
      </c>
      <c r="F183" s="84" t="str">
        <f t="shared" si="6"/>
        <v>35 à 39 ans</v>
      </c>
      <c r="G183" s="77" t="str">
        <f>'EXTRACTION AT GLOBAL DEA'!K181</f>
        <v>S</v>
      </c>
      <c r="H183" s="77">
        <f>'EXTRACTION AT GLOBAL DEA'!N181</f>
        <v>13</v>
      </c>
      <c r="I183" s="77" t="str">
        <f>'EXTRACTION AT GLOBAL DEA'!L181</f>
        <v>O</v>
      </c>
      <c r="J183" s="77" t="str">
        <f>'EXTRACTION AT GLOBAL DEA'!M181</f>
        <v>N</v>
      </c>
      <c r="K183" s="77"/>
      <c r="L183" s="77"/>
      <c r="M183" s="78">
        <f>'EXTRACTION AT GLOBAL DEA'!B181</f>
        <v>42916</v>
      </c>
      <c r="N183" s="77" t="str">
        <f t="shared" si="7"/>
        <v>juin</v>
      </c>
      <c r="O183" s="65"/>
      <c r="P183" s="67"/>
      <c r="Q183" s="67"/>
      <c r="R183" s="67"/>
      <c r="S183" s="67"/>
      <c r="T183" s="67"/>
      <c r="U183" s="67"/>
      <c r="V183" s="67"/>
      <c r="W183" s="67"/>
      <c r="X183" s="67"/>
      <c r="Y183" s="67"/>
      <c r="Z183" s="67"/>
      <c r="AA183" s="67"/>
      <c r="AB183" s="68">
        <f t="shared" si="8"/>
        <v>0</v>
      </c>
    </row>
    <row r="184" spans="1:28" x14ac:dyDescent="0.25">
      <c r="A184" s="77" t="str">
        <f>'EXTRACTION AT GLOBAL DEA'!D182</f>
        <v>110842</v>
      </c>
      <c r="B184" s="77" t="str">
        <f>'EXTRACTION AT GLOBAL DEA'!E182</f>
        <v>SABUCO</v>
      </c>
      <c r="C184" s="77" t="str">
        <f>'EXTRACTION AT GLOBAL DEA'!F182</f>
        <v>MICHEL</v>
      </c>
      <c r="D184" s="77" t="str">
        <f>'EXTRACTION AT GLOBAL DEA'!I182</f>
        <v>MT CA PR</v>
      </c>
      <c r="E184" s="66">
        <f>'EXTRACTION AT GLOBAL DEA'!G182</f>
        <v>55</v>
      </c>
      <c r="F184" s="84" t="str">
        <f t="shared" si="6"/>
        <v>55 à 59 ans</v>
      </c>
      <c r="G184" s="77" t="str">
        <f>'EXTRACTION AT GLOBAL DEA'!K182</f>
        <v>S</v>
      </c>
      <c r="H184" s="77">
        <f>'EXTRACTION AT GLOBAL DEA'!N182</f>
        <v>0</v>
      </c>
      <c r="I184" s="77" t="str">
        <f>'EXTRACTION AT GLOBAL DEA'!L182</f>
        <v>N</v>
      </c>
      <c r="J184" s="77" t="str">
        <f>'EXTRACTION AT GLOBAL DEA'!M182</f>
        <v>N</v>
      </c>
      <c r="K184" s="77"/>
      <c r="L184" s="77"/>
      <c r="M184" s="78">
        <f>'EXTRACTION AT GLOBAL DEA'!B182</f>
        <v>42917</v>
      </c>
      <c r="N184" s="77" t="str">
        <f t="shared" si="7"/>
        <v>juillet</v>
      </c>
      <c r="O184" s="65"/>
      <c r="P184" s="67"/>
      <c r="Q184" s="67"/>
      <c r="R184" s="67"/>
      <c r="S184" s="67"/>
      <c r="T184" s="67"/>
      <c r="U184" s="67"/>
      <c r="V184" s="67"/>
      <c r="W184" s="67"/>
      <c r="X184" s="67"/>
      <c r="Y184" s="67"/>
      <c r="Z184" s="67"/>
      <c r="AA184" s="67"/>
      <c r="AB184" s="68">
        <f t="shared" si="8"/>
        <v>0</v>
      </c>
    </row>
    <row r="185" spans="1:28" x14ac:dyDescent="0.25">
      <c r="A185" s="77" t="str">
        <f>'EXTRACTION AT GLOBAL DEA'!D183</f>
        <v>110966</v>
      </c>
      <c r="B185" s="77" t="str">
        <f>'EXTRACTION AT GLOBAL DEA'!E183</f>
        <v>HELLIN</v>
      </c>
      <c r="C185" s="77" t="str">
        <f>'EXTRACTION AT GLOBAL DEA'!F183</f>
        <v>RAPHAEL</v>
      </c>
      <c r="D185" s="77" t="str">
        <f>'EXTRACTION AT GLOBAL DEA'!I183</f>
        <v>MT CC PR</v>
      </c>
      <c r="E185" s="66">
        <f>'EXTRACTION AT GLOBAL DEA'!G183</f>
        <v>30</v>
      </c>
      <c r="F185" s="84" t="str">
        <f t="shared" si="6"/>
        <v>30 à 34 ans</v>
      </c>
      <c r="G185" s="77" t="str">
        <f>'EXTRACTION AT GLOBAL DEA'!K183</f>
        <v>S</v>
      </c>
      <c r="H185" s="77">
        <f>'EXTRACTION AT GLOBAL DEA'!N183</f>
        <v>4</v>
      </c>
      <c r="I185" s="77" t="str">
        <f>'EXTRACTION AT GLOBAL DEA'!L183</f>
        <v>O</v>
      </c>
      <c r="J185" s="77" t="str">
        <f>'EXTRACTION AT GLOBAL DEA'!M183</f>
        <v>N</v>
      </c>
      <c r="K185" s="77"/>
      <c r="L185" s="77"/>
      <c r="M185" s="78">
        <f>'EXTRACTION AT GLOBAL DEA'!B183</f>
        <v>42920</v>
      </c>
      <c r="N185" s="77" t="str">
        <f t="shared" si="7"/>
        <v>juillet</v>
      </c>
      <c r="O185" s="65"/>
      <c r="P185" s="67"/>
      <c r="Q185" s="67"/>
      <c r="R185" s="67"/>
      <c r="S185" s="67"/>
      <c r="T185" s="67"/>
      <c r="U185" s="67"/>
      <c r="V185" s="67"/>
      <c r="W185" s="67"/>
      <c r="X185" s="67"/>
      <c r="Y185" s="67"/>
      <c r="Z185" s="67"/>
      <c r="AA185" s="67"/>
      <c r="AB185" s="68">
        <f t="shared" si="8"/>
        <v>0</v>
      </c>
    </row>
    <row r="186" spans="1:28" x14ac:dyDescent="0.25">
      <c r="A186" s="77" t="str">
        <f>'EXTRACTION AT GLOBAL DEA'!D184</f>
        <v>110894</v>
      </c>
      <c r="B186" s="77" t="str">
        <f>'EXTRACTION AT GLOBAL DEA'!E184</f>
        <v>MULIER</v>
      </c>
      <c r="C186" s="77" t="str">
        <f>'EXTRACTION AT GLOBAL DEA'!F184</f>
        <v>ARNAUD</v>
      </c>
      <c r="D186" s="77" t="str">
        <f>'EXTRACTION AT GLOBAL DEA'!I184</f>
        <v>MT CG PW</v>
      </c>
      <c r="E186" s="66">
        <f>'EXTRACTION AT GLOBAL DEA'!G184</f>
        <v>31</v>
      </c>
      <c r="F186" s="84" t="str">
        <f t="shared" si="6"/>
        <v>30 à 34 ans</v>
      </c>
      <c r="G186" s="77" t="str">
        <f>'EXTRACTION AT GLOBAL DEA'!K184</f>
        <v>S</v>
      </c>
      <c r="H186" s="77">
        <f>'EXTRACTION AT GLOBAL DEA'!N184</f>
        <v>0</v>
      </c>
      <c r="I186" s="77" t="str">
        <f>'EXTRACTION AT GLOBAL DEA'!L184</f>
        <v>N</v>
      </c>
      <c r="J186" s="77" t="str">
        <f>'EXTRACTION AT GLOBAL DEA'!M184</f>
        <v>N</v>
      </c>
      <c r="K186" s="77"/>
      <c r="L186" s="77"/>
      <c r="M186" s="78">
        <f>'EXTRACTION AT GLOBAL DEA'!B184</f>
        <v>42920</v>
      </c>
      <c r="N186" s="77" t="str">
        <f t="shared" si="7"/>
        <v>juillet</v>
      </c>
      <c r="O186" s="65"/>
      <c r="P186" s="67"/>
      <c r="Q186" s="67"/>
      <c r="R186" s="67"/>
      <c r="S186" s="67"/>
      <c r="T186" s="67"/>
      <c r="U186" s="67"/>
      <c r="V186" s="67"/>
      <c r="W186" s="67"/>
      <c r="X186" s="67"/>
      <c r="Y186" s="67"/>
      <c r="Z186" s="67"/>
      <c r="AA186" s="67"/>
      <c r="AB186" s="68">
        <f t="shared" si="8"/>
        <v>0</v>
      </c>
    </row>
    <row r="187" spans="1:28" x14ac:dyDescent="0.25">
      <c r="A187" s="77" t="str">
        <f>'EXTRACTION AT GLOBAL DEA'!D185</f>
        <v>114057</v>
      </c>
      <c r="B187" s="77" t="str">
        <f>'EXTRACTION AT GLOBAL DEA'!E185</f>
        <v>GUIMARAES</v>
      </c>
      <c r="C187" s="77" t="str">
        <f>'EXTRACTION AT GLOBAL DEA'!F185</f>
        <v>MICHEL</v>
      </c>
      <c r="D187" s="77" t="str">
        <f>'EXTRACTION AT GLOBAL DEA'!I185</f>
        <v>MT QJ</v>
      </c>
      <c r="E187" s="66">
        <f>'EXTRACTION AT GLOBAL DEA'!G185</f>
        <v>47</v>
      </c>
      <c r="F187" s="84" t="str">
        <f t="shared" si="6"/>
        <v>45 à 49 ans</v>
      </c>
      <c r="G187" s="77" t="str">
        <f>'EXTRACTION AT GLOBAL DEA'!K185</f>
        <v>S</v>
      </c>
      <c r="H187" s="77">
        <f>'EXTRACTION AT GLOBAL DEA'!N185</f>
        <v>0</v>
      </c>
      <c r="I187" s="77" t="str">
        <f>'EXTRACTION AT GLOBAL DEA'!L185</f>
        <v>N</v>
      </c>
      <c r="J187" s="77" t="str">
        <f>'EXTRACTION AT GLOBAL DEA'!M185</f>
        <v>N</v>
      </c>
      <c r="K187" s="77"/>
      <c r="L187" s="77"/>
      <c r="M187" s="78">
        <f>'EXTRACTION AT GLOBAL DEA'!B185</f>
        <v>42922</v>
      </c>
      <c r="N187" s="77" t="str">
        <f t="shared" si="7"/>
        <v>juillet</v>
      </c>
      <c r="O187" s="65"/>
      <c r="P187" s="67"/>
      <c r="Q187" s="67"/>
      <c r="R187" s="67"/>
      <c r="S187" s="67"/>
      <c r="T187" s="67"/>
      <c r="U187" s="67"/>
      <c r="V187" s="67"/>
      <c r="W187" s="67"/>
      <c r="X187" s="67"/>
      <c r="Y187" s="67"/>
      <c r="Z187" s="67"/>
      <c r="AA187" s="67"/>
      <c r="AB187" s="68">
        <f t="shared" si="8"/>
        <v>0</v>
      </c>
    </row>
    <row r="188" spans="1:28" x14ac:dyDescent="0.25">
      <c r="A188" s="77" t="str">
        <f>'EXTRACTION AT GLOBAL DEA'!D186</f>
        <v>110977</v>
      </c>
      <c r="B188" s="77" t="str">
        <f>'EXTRACTION AT GLOBAL DEA'!E186</f>
        <v>LEE-BOUSSANT</v>
      </c>
      <c r="C188" s="77" t="str">
        <f>'EXTRACTION AT GLOBAL DEA'!F186</f>
        <v>LYDIA</v>
      </c>
      <c r="D188" s="77" t="str">
        <f>'EXTRACTION AT GLOBAL DEA'!I186</f>
        <v>MT QX PP</v>
      </c>
      <c r="E188" s="66">
        <f>'EXTRACTION AT GLOBAL DEA'!G186</f>
        <v>48</v>
      </c>
      <c r="F188" s="84" t="str">
        <f t="shared" si="6"/>
        <v>45 à 49 ans</v>
      </c>
      <c r="G188" s="77" t="str">
        <f>'EXTRACTION AT GLOBAL DEA'!K186</f>
        <v>S</v>
      </c>
      <c r="H188" s="77">
        <f>'EXTRACTION AT GLOBAL DEA'!N186</f>
        <v>0</v>
      </c>
      <c r="I188" s="77" t="str">
        <f>'EXTRACTION AT GLOBAL DEA'!L186</f>
        <v>N</v>
      </c>
      <c r="J188" s="77" t="str">
        <f>'EXTRACTION AT GLOBAL DEA'!M186</f>
        <v>N</v>
      </c>
      <c r="K188" s="77"/>
      <c r="L188" s="77"/>
      <c r="M188" s="78">
        <f>'EXTRACTION AT GLOBAL DEA'!B186</f>
        <v>42922</v>
      </c>
      <c r="N188" s="77" t="str">
        <f t="shared" si="7"/>
        <v>juillet</v>
      </c>
      <c r="O188" s="65"/>
      <c r="P188" s="67"/>
      <c r="Q188" s="67"/>
      <c r="R188" s="67"/>
      <c r="S188" s="67"/>
      <c r="T188" s="67"/>
      <c r="U188" s="67"/>
      <c r="V188" s="67"/>
      <c r="W188" s="67"/>
      <c r="X188" s="67"/>
      <c r="Y188" s="67"/>
      <c r="Z188" s="67"/>
      <c r="AA188" s="67"/>
      <c r="AB188" s="68">
        <f t="shared" si="8"/>
        <v>0</v>
      </c>
    </row>
    <row r="189" spans="1:28" x14ac:dyDescent="0.25">
      <c r="A189" s="77" t="str">
        <f>'EXTRACTION AT GLOBAL DEA'!D187</f>
        <v>111022</v>
      </c>
      <c r="B189" s="77" t="str">
        <f>'EXTRACTION AT GLOBAL DEA'!E187</f>
        <v>ZEMMAM</v>
      </c>
      <c r="C189" s="77" t="str">
        <f>'EXTRACTION AT GLOBAL DEA'!F187</f>
        <v>WALID</v>
      </c>
      <c r="D189" s="77" t="str">
        <f>'EXTRACTION AT GLOBAL DEA'!I187</f>
        <v>BLDPUDRY</v>
      </c>
      <c r="E189" s="66">
        <f>'EXTRACTION AT GLOBAL DEA'!G187</f>
        <v>26</v>
      </c>
      <c r="F189" s="84" t="str">
        <f t="shared" si="6"/>
        <v>25 à 29 ans</v>
      </c>
      <c r="G189" s="77" t="str">
        <f>'EXTRACTION AT GLOBAL DEA'!K187</f>
        <v>S</v>
      </c>
      <c r="H189" s="77">
        <f>'EXTRACTION AT GLOBAL DEA'!N187</f>
        <v>4</v>
      </c>
      <c r="I189" s="77" t="str">
        <f>'EXTRACTION AT GLOBAL DEA'!L187</f>
        <v>O</v>
      </c>
      <c r="J189" s="77" t="str">
        <f>'EXTRACTION AT GLOBAL DEA'!M187</f>
        <v>N</v>
      </c>
      <c r="K189" s="77"/>
      <c r="L189" s="77"/>
      <c r="M189" s="78">
        <f>'EXTRACTION AT GLOBAL DEA'!B187</f>
        <v>42922</v>
      </c>
      <c r="N189" s="77" t="str">
        <f t="shared" si="7"/>
        <v>juillet</v>
      </c>
      <c r="O189" s="65"/>
      <c r="P189" s="67"/>
      <c r="Q189" s="67"/>
      <c r="R189" s="67"/>
      <c r="S189" s="67"/>
      <c r="T189" s="67"/>
      <c r="U189" s="67"/>
      <c r="V189" s="67"/>
      <c r="W189" s="67"/>
      <c r="X189" s="67"/>
      <c r="Y189" s="67"/>
      <c r="Z189" s="67"/>
      <c r="AA189" s="67"/>
      <c r="AB189" s="68">
        <f t="shared" si="8"/>
        <v>0</v>
      </c>
    </row>
    <row r="190" spans="1:28" x14ac:dyDescent="0.25">
      <c r="A190" s="77" t="str">
        <f>'EXTRACTION AT GLOBAL DEA'!D188</f>
        <v>111065</v>
      </c>
      <c r="B190" s="77" t="str">
        <f>'EXTRACTION AT GLOBAL DEA'!E188</f>
        <v>SCHMITT</v>
      </c>
      <c r="C190" s="77" t="str">
        <f>'EXTRACTION AT GLOBAL DEA'!F188</f>
        <v>LAURENT</v>
      </c>
      <c r="D190" s="77" t="str">
        <f>'EXTRACTION AT GLOBAL DEA'!I188</f>
        <v>MT QJ</v>
      </c>
      <c r="E190" s="66">
        <f>'EXTRACTION AT GLOBAL DEA'!G188</f>
        <v>45</v>
      </c>
      <c r="F190" s="84" t="str">
        <f t="shared" si="6"/>
        <v>45 à 49 ans</v>
      </c>
      <c r="G190" s="77" t="str">
        <f>'EXTRACTION AT GLOBAL DEA'!K188</f>
        <v>S</v>
      </c>
      <c r="H190" s="77">
        <f>'EXTRACTION AT GLOBAL DEA'!N188</f>
        <v>0</v>
      </c>
      <c r="I190" s="77" t="str">
        <f>'EXTRACTION AT GLOBAL DEA'!L188</f>
        <v>N</v>
      </c>
      <c r="J190" s="77" t="str">
        <f>'EXTRACTION AT GLOBAL DEA'!M188</f>
        <v>N</v>
      </c>
      <c r="K190" s="77"/>
      <c r="L190" s="77"/>
      <c r="M190" s="78">
        <f>'EXTRACTION AT GLOBAL DEA'!B188</f>
        <v>42924</v>
      </c>
      <c r="N190" s="77" t="str">
        <f t="shared" si="7"/>
        <v>juillet</v>
      </c>
      <c r="O190" s="65"/>
      <c r="P190" s="67"/>
      <c r="Q190" s="67"/>
      <c r="R190" s="67"/>
      <c r="S190" s="67"/>
      <c r="T190" s="67"/>
      <c r="U190" s="67"/>
      <c r="V190" s="67"/>
      <c r="W190" s="67"/>
      <c r="X190" s="67"/>
      <c r="Y190" s="67"/>
      <c r="Z190" s="67"/>
      <c r="AA190" s="67"/>
      <c r="AB190" s="68">
        <f t="shared" si="8"/>
        <v>0</v>
      </c>
    </row>
    <row r="191" spans="1:28" x14ac:dyDescent="0.25">
      <c r="A191" s="77" t="str">
        <f>'EXTRACTION AT GLOBAL DEA'!D189</f>
        <v>111083</v>
      </c>
      <c r="B191" s="77" t="str">
        <f>'EXTRACTION AT GLOBAL DEA'!E189</f>
        <v>NAUDET</v>
      </c>
      <c r="C191" s="77" t="str">
        <f>'EXTRACTION AT GLOBAL DEA'!F189</f>
        <v>REMI</v>
      </c>
      <c r="D191" s="77" t="str">
        <f>'EXTRACTION AT GLOBAL DEA'!I189</f>
        <v>MT HB QO</v>
      </c>
      <c r="E191" s="66">
        <f>'EXTRACTION AT GLOBAL DEA'!G189</f>
        <v>31</v>
      </c>
      <c r="F191" s="84" t="str">
        <f t="shared" si="6"/>
        <v>30 à 34 ans</v>
      </c>
      <c r="G191" s="77" t="str">
        <f>'EXTRACTION AT GLOBAL DEA'!K189</f>
        <v>S</v>
      </c>
      <c r="H191" s="77">
        <f>'EXTRACTION AT GLOBAL DEA'!N189</f>
        <v>4</v>
      </c>
      <c r="I191" s="77" t="str">
        <f>'EXTRACTION AT GLOBAL DEA'!L189</f>
        <v>O</v>
      </c>
      <c r="J191" s="77" t="str">
        <f>'EXTRACTION AT GLOBAL DEA'!M189</f>
        <v>N</v>
      </c>
      <c r="K191" s="77"/>
      <c r="L191" s="77"/>
      <c r="M191" s="78">
        <f>'EXTRACTION AT GLOBAL DEA'!B189</f>
        <v>42924</v>
      </c>
      <c r="N191" s="77" t="str">
        <f t="shared" si="7"/>
        <v>juillet</v>
      </c>
      <c r="O191" s="65"/>
      <c r="P191" s="67"/>
      <c r="Q191" s="67"/>
      <c r="R191" s="67"/>
      <c r="S191" s="67"/>
      <c r="T191" s="67"/>
      <c r="U191" s="67"/>
      <c r="V191" s="67"/>
      <c r="W191" s="67"/>
      <c r="X191" s="67"/>
      <c r="Y191" s="67"/>
      <c r="Z191" s="67"/>
      <c r="AA191" s="67"/>
      <c r="AB191" s="68">
        <f t="shared" si="8"/>
        <v>0</v>
      </c>
    </row>
    <row r="192" spans="1:28" hidden="1" x14ac:dyDescent="0.25">
      <c r="A192" s="77" t="str">
        <f>'EXTRACTION AT GLOBAL DEA'!D190</f>
        <v>111125</v>
      </c>
      <c r="B192" s="77" t="str">
        <f>'EXTRACTION AT GLOBAL DEA'!E190</f>
        <v>TOUSSAINT</v>
      </c>
      <c r="C192" s="77" t="str">
        <f>'EXTRACTION AT GLOBAL DEA'!F190</f>
        <v>GERARD</v>
      </c>
      <c r="D192" s="77" t="str">
        <f>'EXTRACTION AT GLOBAL DEA'!I190</f>
        <v>MT QJ</v>
      </c>
      <c r="E192" s="66">
        <f>'EXTRACTION AT GLOBAL DEA'!G190</f>
        <v>53</v>
      </c>
      <c r="F192" s="84" t="str">
        <f t="shared" si="6"/>
        <v>50 à 54 ans</v>
      </c>
      <c r="G192" s="77" t="str">
        <f>'EXTRACTION AT GLOBAL DEA'!K190</f>
        <v>T</v>
      </c>
      <c r="H192" s="77">
        <f>'EXTRACTION AT GLOBAL DEA'!N190</f>
        <v>0</v>
      </c>
      <c r="I192" s="77" t="str">
        <f>'EXTRACTION AT GLOBAL DEA'!L190</f>
        <v>N</v>
      </c>
      <c r="J192" s="77" t="str">
        <f>'EXTRACTION AT GLOBAL DEA'!M190</f>
        <v>N</v>
      </c>
      <c r="K192" s="77"/>
      <c r="L192" s="77"/>
      <c r="M192" s="78">
        <f>'EXTRACTION AT GLOBAL DEA'!B190</f>
        <v>42926</v>
      </c>
      <c r="N192" s="77" t="str">
        <f t="shared" si="7"/>
        <v>juillet</v>
      </c>
      <c r="O192" s="65"/>
      <c r="P192" s="67"/>
      <c r="Q192" s="67"/>
      <c r="R192" s="67"/>
      <c r="S192" s="67"/>
      <c r="T192" s="67"/>
      <c r="U192" s="67"/>
      <c r="V192" s="67"/>
      <c r="W192" s="67"/>
      <c r="X192" s="67"/>
      <c r="Y192" s="67"/>
      <c r="Z192" s="67"/>
      <c r="AA192" s="67"/>
      <c r="AB192" s="68">
        <f t="shared" si="8"/>
        <v>0</v>
      </c>
    </row>
    <row r="193" spans="1:28" x14ac:dyDescent="0.25">
      <c r="A193" s="77" t="str">
        <f>'EXTRACTION AT GLOBAL DEA'!D191</f>
        <v>111146</v>
      </c>
      <c r="B193" s="77" t="str">
        <f>'EXTRACTION AT GLOBAL DEA'!E191</f>
        <v>TESSIER</v>
      </c>
      <c r="C193" s="77" t="str">
        <f>'EXTRACTION AT GLOBAL DEA'!F191</f>
        <v>STEPHANE</v>
      </c>
      <c r="D193" s="77" t="str">
        <f>'EXTRACTION AT GLOBAL DEA'!I191</f>
        <v>MT JK PR</v>
      </c>
      <c r="E193" s="66">
        <f>'EXTRACTION AT GLOBAL DEA'!G191</f>
        <v>47</v>
      </c>
      <c r="F193" s="84" t="str">
        <f t="shared" si="6"/>
        <v>45 à 49 ans</v>
      </c>
      <c r="G193" s="77" t="str">
        <f>'EXTRACTION AT GLOBAL DEA'!K191</f>
        <v>S</v>
      </c>
      <c r="H193" s="77">
        <f>'EXTRACTION AT GLOBAL DEA'!N191</f>
        <v>0</v>
      </c>
      <c r="I193" s="77" t="str">
        <f>'EXTRACTION AT GLOBAL DEA'!L191</f>
        <v>N</v>
      </c>
      <c r="J193" s="77" t="str">
        <f>'EXTRACTION AT GLOBAL DEA'!M191</f>
        <v>N</v>
      </c>
      <c r="K193" s="77"/>
      <c r="L193" s="77"/>
      <c r="M193" s="78">
        <f>'EXTRACTION AT GLOBAL DEA'!B191</f>
        <v>42926</v>
      </c>
      <c r="N193" s="77" t="str">
        <f t="shared" si="7"/>
        <v>juillet</v>
      </c>
      <c r="O193" s="65"/>
      <c r="P193" s="67"/>
      <c r="Q193" s="67"/>
      <c r="R193" s="67"/>
      <c r="S193" s="67"/>
      <c r="T193" s="67"/>
      <c r="U193" s="67"/>
      <c r="V193" s="67"/>
      <c r="W193" s="67"/>
      <c r="X193" s="67"/>
      <c r="Y193" s="67"/>
      <c r="Z193" s="67"/>
      <c r="AA193" s="67"/>
      <c r="AB193" s="68">
        <f t="shared" si="8"/>
        <v>0</v>
      </c>
    </row>
    <row r="194" spans="1:28" x14ac:dyDescent="0.25">
      <c r="A194" s="77" t="str">
        <f>'EXTRACTION AT GLOBAL DEA'!D192</f>
        <v>111119</v>
      </c>
      <c r="B194" s="77" t="str">
        <f>'EXTRACTION AT GLOBAL DEA'!E192</f>
        <v>RAJERISON</v>
      </c>
      <c r="C194" s="77" t="str">
        <f>'EXTRACTION AT GLOBAL DEA'!F192</f>
        <v>ZO GABRIEL</v>
      </c>
      <c r="D194" s="77" t="str">
        <f>'EXTRACTION AT GLOBAL DEA'!I192</f>
        <v>MT CG PR</v>
      </c>
      <c r="E194" s="66">
        <f>'EXTRACTION AT GLOBAL DEA'!G192</f>
        <v>39</v>
      </c>
      <c r="F194" s="84" t="str">
        <f t="shared" si="6"/>
        <v>35 à 39 ans</v>
      </c>
      <c r="G194" s="77" t="str">
        <f>'EXTRACTION AT GLOBAL DEA'!K192</f>
        <v>S</v>
      </c>
      <c r="H194" s="77">
        <f>'EXTRACTION AT GLOBAL DEA'!N192</f>
        <v>0</v>
      </c>
      <c r="I194" s="77" t="str">
        <f>'EXTRACTION AT GLOBAL DEA'!L192</f>
        <v>N</v>
      </c>
      <c r="J194" s="77" t="str">
        <f>'EXTRACTION AT GLOBAL DEA'!M192</f>
        <v>O</v>
      </c>
      <c r="K194" s="77"/>
      <c r="L194" s="77"/>
      <c r="M194" s="78">
        <f>'EXTRACTION AT GLOBAL DEA'!B192</f>
        <v>42926</v>
      </c>
      <c r="N194" s="77" t="str">
        <f t="shared" si="7"/>
        <v>juillet</v>
      </c>
      <c r="O194" s="65"/>
      <c r="P194" s="67"/>
      <c r="Q194" s="67"/>
      <c r="R194" s="67"/>
      <c r="S194" s="67"/>
      <c r="T194" s="67"/>
      <c r="U194" s="67"/>
      <c r="V194" s="67"/>
      <c r="W194" s="67"/>
      <c r="X194" s="67"/>
      <c r="Y194" s="67"/>
      <c r="Z194" s="67"/>
      <c r="AA194" s="67"/>
      <c r="AB194" s="68">
        <f t="shared" si="8"/>
        <v>0</v>
      </c>
    </row>
    <row r="195" spans="1:28" x14ac:dyDescent="0.25">
      <c r="A195" s="77" t="str">
        <f>'EXTRACTION AT GLOBAL DEA'!D193</f>
        <v>111205</v>
      </c>
      <c r="B195" s="77" t="str">
        <f>'EXTRACTION AT GLOBAL DEA'!E193</f>
        <v>FUHRER</v>
      </c>
      <c r="C195" s="77" t="str">
        <f>'EXTRACTION AT GLOBAL DEA'!F193</f>
        <v>ERIC</v>
      </c>
      <c r="D195" s="77" t="str">
        <f>'EXTRACTION AT GLOBAL DEA'!I193</f>
        <v>MT CA PR</v>
      </c>
      <c r="E195" s="66">
        <f>'EXTRACTION AT GLOBAL DEA'!G193</f>
        <v>45</v>
      </c>
      <c r="F195" s="84" t="str">
        <f t="shared" si="6"/>
        <v>45 à 49 ans</v>
      </c>
      <c r="G195" s="77" t="str">
        <f>'EXTRACTION AT GLOBAL DEA'!K193</f>
        <v>S</v>
      </c>
      <c r="H195" s="77">
        <f>'EXTRACTION AT GLOBAL DEA'!N193</f>
        <v>0</v>
      </c>
      <c r="I195" s="77" t="str">
        <f>'EXTRACTION AT GLOBAL DEA'!L193</f>
        <v>N</v>
      </c>
      <c r="J195" s="77" t="str">
        <f>'EXTRACTION AT GLOBAL DEA'!M193</f>
        <v>O</v>
      </c>
      <c r="K195" s="77"/>
      <c r="L195" s="77"/>
      <c r="M195" s="78">
        <f>'EXTRACTION AT GLOBAL DEA'!B193</f>
        <v>42927</v>
      </c>
      <c r="N195" s="77" t="str">
        <f t="shared" si="7"/>
        <v>juillet</v>
      </c>
      <c r="O195" s="65"/>
      <c r="P195" s="67"/>
      <c r="Q195" s="67"/>
      <c r="R195" s="67"/>
      <c r="S195" s="67"/>
      <c r="T195" s="67"/>
      <c r="U195" s="67"/>
      <c r="V195" s="67"/>
      <c r="W195" s="67"/>
      <c r="X195" s="67"/>
      <c r="Y195" s="67"/>
      <c r="Z195" s="67"/>
      <c r="AA195" s="67"/>
      <c r="AB195" s="68">
        <f t="shared" si="8"/>
        <v>0</v>
      </c>
    </row>
    <row r="196" spans="1:28" x14ac:dyDescent="0.25">
      <c r="A196" s="77" t="str">
        <f>'EXTRACTION AT GLOBAL DEA'!D194</f>
        <v>111177</v>
      </c>
      <c r="B196" s="77" t="str">
        <f>'EXTRACTION AT GLOBAL DEA'!E194</f>
        <v>LECOQ</v>
      </c>
      <c r="C196" s="77" t="str">
        <f>'EXTRACTION AT GLOBAL DEA'!F194</f>
        <v>LUCIANEAU</v>
      </c>
      <c r="D196" s="77" t="str">
        <f>'EXTRACTION AT GLOBAL DEA'!I194</f>
        <v>MT CC PR</v>
      </c>
      <c r="E196" s="66">
        <f>'EXTRACTION AT GLOBAL DEA'!G194</f>
        <v>37</v>
      </c>
      <c r="F196" s="84" t="str">
        <f t="shared" si="6"/>
        <v>35 à 39 ans</v>
      </c>
      <c r="G196" s="77" t="str">
        <f>'EXTRACTION AT GLOBAL DEA'!K194</f>
        <v>S</v>
      </c>
      <c r="H196" s="77">
        <f>'EXTRACTION AT GLOBAL DEA'!N194</f>
        <v>0</v>
      </c>
      <c r="I196" s="77" t="str">
        <f>'EXTRACTION AT GLOBAL DEA'!L194</f>
        <v>N</v>
      </c>
      <c r="J196" s="77" t="str">
        <f>'EXTRACTION AT GLOBAL DEA'!M194</f>
        <v>O</v>
      </c>
      <c r="K196" s="77"/>
      <c r="L196" s="77"/>
      <c r="M196" s="78">
        <f>'EXTRACTION AT GLOBAL DEA'!B194</f>
        <v>42927</v>
      </c>
      <c r="N196" s="77" t="str">
        <f t="shared" si="7"/>
        <v>juillet</v>
      </c>
      <c r="O196" s="65"/>
      <c r="P196" s="67"/>
      <c r="Q196" s="67"/>
      <c r="R196" s="67"/>
      <c r="S196" s="67"/>
      <c r="T196" s="67"/>
      <c r="U196" s="67"/>
      <c r="V196" s="67"/>
      <c r="W196" s="67"/>
      <c r="X196" s="67"/>
      <c r="Y196" s="67"/>
      <c r="Z196" s="67"/>
      <c r="AA196" s="67"/>
      <c r="AB196" s="68">
        <f t="shared" si="8"/>
        <v>0</v>
      </c>
    </row>
    <row r="197" spans="1:28" x14ac:dyDescent="0.25">
      <c r="A197" s="77" t="str">
        <f>'EXTRACTION AT GLOBAL DEA'!D195</f>
        <v>111193</v>
      </c>
      <c r="B197" s="77" t="str">
        <f>'EXTRACTION AT GLOBAL DEA'!E195</f>
        <v>ZAGO</v>
      </c>
      <c r="C197" s="77" t="str">
        <f>'EXTRACTION AT GLOBAL DEA'!F195</f>
        <v>FABRICE</v>
      </c>
      <c r="D197" s="77" t="str">
        <f>'EXTRACTION AT GLOBAL DEA'!I195</f>
        <v>MT HB QO</v>
      </c>
      <c r="E197" s="66">
        <f>'EXTRACTION AT GLOBAL DEA'!G195</f>
        <v>54</v>
      </c>
      <c r="F197" s="84" t="str">
        <f t="shared" si="6"/>
        <v>50 à 54 ans</v>
      </c>
      <c r="G197" s="77" t="str">
        <f>'EXTRACTION AT GLOBAL DEA'!K195</f>
        <v>S</v>
      </c>
      <c r="H197" s="77">
        <f>'EXTRACTION AT GLOBAL DEA'!N195</f>
        <v>0</v>
      </c>
      <c r="I197" s="77" t="str">
        <f>'EXTRACTION AT GLOBAL DEA'!L195</f>
        <v>N</v>
      </c>
      <c r="J197" s="77" t="str">
        <f>'EXTRACTION AT GLOBAL DEA'!M195</f>
        <v>N</v>
      </c>
      <c r="K197" s="77"/>
      <c r="L197" s="77"/>
      <c r="M197" s="78">
        <f>'EXTRACTION AT GLOBAL DEA'!B195</f>
        <v>42927</v>
      </c>
      <c r="N197" s="77" t="str">
        <f t="shared" si="7"/>
        <v>juillet</v>
      </c>
      <c r="O197" s="65"/>
      <c r="P197" s="67"/>
      <c r="Q197" s="67"/>
      <c r="R197" s="67"/>
      <c r="S197" s="67"/>
      <c r="T197" s="67"/>
      <c r="U197" s="67"/>
      <c r="V197" s="67"/>
      <c r="W197" s="67"/>
      <c r="X197" s="67"/>
      <c r="Y197" s="67"/>
      <c r="Z197" s="67"/>
      <c r="AA197" s="67"/>
      <c r="AB197" s="68">
        <f t="shared" si="8"/>
        <v>0</v>
      </c>
    </row>
    <row r="198" spans="1:28" x14ac:dyDescent="0.25">
      <c r="A198" s="77" t="str">
        <f>'EXTRACTION AT GLOBAL DEA'!D196</f>
        <v>111234</v>
      </c>
      <c r="B198" s="77" t="str">
        <f>'EXTRACTION AT GLOBAL DEA'!E196</f>
        <v>FUSTEC</v>
      </c>
      <c r="C198" s="77" t="str">
        <f>'EXTRACTION AT GLOBAL DEA'!F196</f>
        <v>JEAN-LUC</v>
      </c>
      <c r="D198" s="77" t="str">
        <f>'EXTRACTION AT GLOBAL DEA'!I196</f>
        <v>MT QS OU</v>
      </c>
      <c r="E198" s="66">
        <f>'EXTRACTION AT GLOBAL DEA'!G196</f>
        <v>59</v>
      </c>
      <c r="F198" s="84" t="str">
        <f t="shared" ref="F198:F261" si="9">IF(E198&lt;1,"",IF(E198&lt;20,"Moins de 20 ans",IF(E198&lt;25,"20 à 24 ans",IF(E198&lt;30,"25 à 29 ans",IF(E198&lt;35,"30 à 34 ans",IF(E198&lt;40,"35 à 39 ans",IF(E198&lt;45,"40 à 44 ans",IF(E198&lt;50,"45 à 49 ans",IF(E198&lt;55,"50 à 54 ans",IF(E197&lt;60,"55 à 59 ans",IF(E198&gt;59,"60 ans et plus","")))))))))))</f>
        <v>55 à 59 ans</v>
      </c>
      <c r="G198" s="77" t="str">
        <f>'EXTRACTION AT GLOBAL DEA'!K196</f>
        <v>S</v>
      </c>
      <c r="H198" s="77">
        <f>'EXTRACTION AT GLOBAL DEA'!N196</f>
        <v>2</v>
      </c>
      <c r="I198" s="77" t="str">
        <f>'EXTRACTION AT GLOBAL DEA'!L196</f>
        <v>O</v>
      </c>
      <c r="J198" s="77" t="str">
        <f>'EXTRACTION AT GLOBAL DEA'!M196</f>
        <v>N</v>
      </c>
      <c r="K198" s="77"/>
      <c r="L198" s="77"/>
      <c r="M198" s="78">
        <f>'EXTRACTION AT GLOBAL DEA'!B196</f>
        <v>42928</v>
      </c>
      <c r="N198" s="77" t="str">
        <f t="shared" ref="N198:N261" si="10">TEXT(M198,"mmmm")</f>
        <v>juillet</v>
      </c>
      <c r="O198" s="65"/>
      <c r="P198" s="67"/>
      <c r="Q198" s="67"/>
      <c r="R198" s="67"/>
      <c r="S198" s="67"/>
      <c r="T198" s="67"/>
      <c r="U198" s="67"/>
      <c r="V198" s="67"/>
      <c r="W198" s="67"/>
      <c r="X198" s="67"/>
      <c r="Y198" s="67"/>
      <c r="Z198" s="67"/>
      <c r="AA198" s="67"/>
      <c r="AB198" s="68">
        <f t="shared" si="8"/>
        <v>0</v>
      </c>
    </row>
    <row r="199" spans="1:28" x14ac:dyDescent="0.25">
      <c r="A199" s="77" t="str">
        <f>'EXTRACTION AT GLOBAL DEA'!D197</f>
        <v>111168</v>
      </c>
      <c r="B199" s="77" t="str">
        <f>'EXTRACTION AT GLOBAL DEA'!E197</f>
        <v>HILBRUNNER</v>
      </c>
      <c r="C199" s="77" t="str">
        <f>'EXTRACTION AT GLOBAL DEA'!F197</f>
        <v>XAVIER</v>
      </c>
      <c r="D199" s="77" t="str">
        <f>'EXTRACTION AT GLOBAL DEA'!I197</f>
        <v>MT YC PR</v>
      </c>
      <c r="E199" s="66">
        <f>'EXTRACTION AT GLOBAL DEA'!G197</f>
        <v>43</v>
      </c>
      <c r="F199" s="84" t="str">
        <f t="shared" si="9"/>
        <v>40 à 44 ans</v>
      </c>
      <c r="G199" s="77" t="str">
        <f>'EXTRACTION AT GLOBAL DEA'!K197</f>
        <v>S</v>
      </c>
      <c r="H199" s="77">
        <f>'EXTRACTION AT GLOBAL DEA'!N197</f>
        <v>0</v>
      </c>
      <c r="I199" s="77" t="str">
        <f>'EXTRACTION AT GLOBAL DEA'!L197</f>
        <v>N</v>
      </c>
      <c r="J199" s="77" t="str">
        <f>'EXTRACTION AT GLOBAL DEA'!M197</f>
        <v>O</v>
      </c>
      <c r="K199" s="77"/>
      <c r="L199" s="77"/>
      <c r="M199" s="78">
        <f>'EXTRACTION AT GLOBAL DEA'!B197</f>
        <v>42928</v>
      </c>
      <c r="N199" s="77" t="str">
        <f t="shared" si="10"/>
        <v>juillet</v>
      </c>
      <c r="O199" s="65"/>
      <c r="P199" s="67"/>
      <c r="Q199" s="67"/>
      <c r="R199" s="67"/>
      <c r="S199" s="67"/>
      <c r="T199" s="67"/>
      <c r="U199" s="67"/>
      <c r="V199" s="67"/>
      <c r="W199" s="67"/>
      <c r="X199" s="67"/>
      <c r="Y199" s="67"/>
      <c r="Z199" s="67"/>
      <c r="AA199" s="67"/>
      <c r="AB199" s="68">
        <f t="shared" si="8"/>
        <v>0</v>
      </c>
    </row>
    <row r="200" spans="1:28" x14ac:dyDescent="0.25">
      <c r="A200" s="77" t="str">
        <f>'EXTRACTION AT GLOBAL DEA'!D198</f>
        <v>111271</v>
      </c>
      <c r="B200" s="77" t="str">
        <f>'EXTRACTION AT GLOBAL DEA'!E198</f>
        <v>GAILLARD</v>
      </c>
      <c r="C200" s="77" t="str">
        <f>'EXTRACTION AT GLOBAL DEA'!F198</f>
        <v>LAURENT</v>
      </c>
      <c r="D200" s="77" t="str">
        <f>'EXTRACTION AT GLOBAL DEA'!I198</f>
        <v>MT HB PR</v>
      </c>
      <c r="E200" s="66">
        <f>'EXTRACTION AT GLOBAL DEA'!G198</f>
        <v>46</v>
      </c>
      <c r="F200" s="84" t="str">
        <f t="shared" si="9"/>
        <v>45 à 49 ans</v>
      </c>
      <c r="G200" s="77" t="str">
        <f>'EXTRACTION AT GLOBAL DEA'!K198</f>
        <v>S</v>
      </c>
      <c r="H200" s="77">
        <f>'EXTRACTION AT GLOBAL DEA'!N198</f>
        <v>0</v>
      </c>
      <c r="I200" s="77" t="str">
        <f>'EXTRACTION AT GLOBAL DEA'!L198</f>
        <v>N</v>
      </c>
      <c r="J200" s="77" t="str">
        <f>'EXTRACTION AT GLOBAL DEA'!M198</f>
        <v>N</v>
      </c>
      <c r="K200" s="77"/>
      <c r="L200" s="77"/>
      <c r="M200" s="78">
        <f>'EXTRACTION AT GLOBAL DEA'!B198</f>
        <v>42929</v>
      </c>
      <c r="N200" s="77" t="str">
        <f t="shared" si="10"/>
        <v>juillet</v>
      </c>
      <c r="O200" s="65"/>
      <c r="P200" s="67"/>
      <c r="Q200" s="67"/>
      <c r="R200" s="67"/>
      <c r="S200" s="67"/>
      <c r="T200" s="67"/>
      <c r="U200" s="67"/>
      <c r="V200" s="67"/>
      <c r="W200" s="67"/>
      <c r="X200" s="67"/>
      <c r="Y200" s="67"/>
      <c r="Z200" s="67"/>
      <c r="AA200" s="67"/>
      <c r="AB200" s="68">
        <f t="shared" si="8"/>
        <v>0</v>
      </c>
    </row>
    <row r="201" spans="1:28" x14ac:dyDescent="0.25">
      <c r="A201" s="77" t="str">
        <f>'EXTRACTION AT GLOBAL DEA'!D199</f>
        <v>111272</v>
      </c>
      <c r="B201" s="77" t="str">
        <f>'EXTRACTION AT GLOBAL DEA'!E199</f>
        <v>LANNAUD</v>
      </c>
      <c r="C201" s="77" t="str">
        <f>'EXTRACTION AT GLOBAL DEA'!F199</f>
        <v>MICKAEL</v>
      </c>
      <c r="D201" s="77" t="str">
        <f>'EXTRACTION AT GLOBAL DEA'!I199</f>
        <v>MT HB PR</v>
      </c>
      <c r="E201" s="66">
        <f>'EXTRACTION AT GLOBAL DEA'!G199</f>
        <v>33</v>
      </c>
      <c r="F201" s="84" t="str">
        <f t="shared" si="9"/>
        <v>30 à 34 ans</v>
      </c>
      <c r="G201" s="77" t="str">
        <f>'EXTRACTION AT GLOBAL DEA'!K199</f>
        <v>S</v>
      </c>
      <c r="H201" s="77">
        <f>'EXTRACTION AT GLOBAL DEA'!N199</f>
        <v>0</v>
      </c>
      <c r="I201" s="77" t="str">
        <f>'EXTRACTION AT GLOBAL DEA'!L199</f>
        <v>N</v>
      </c>
      <c r="J201" s="77" t="str">
        <f>'EXTRACTION AT GLOBAL DEA'!M199</f>
        <v>N</v>
      </c>
      <c r="K201" s="77"/>
      <c r="L201" s="77"/>
      <c r="M201" s="78">
        <f>'EXTRACTION AT GLOBAL DEA'!B199</f>
        <v>42929</v>
      </c>
      <c r="N201" s="77" t="str">
        <f t="shared" si="10"/>
        <v>juillet</v>
      </c>
      <c r="O201" s="65"/>
      <c r="P201" s="67"/>
      <c r="Q201" s="67"/>
      <c r="R201" s="67"/>
      <c r="S201" s="67"/>
      <c r="T201" s="67"/>
      <c r="U201" s="67"/>
      <c r="V201" s="67"/>
      <c r="W201" s="67"/>
      <c r="X201" s="67"/>
      <c r="Y201" s="67"/>
      <c r="Z201" s="67"/>
      <c r="AA201" s="67"/>
      <c r="AB201" s="68">
        <f t="shared" si="8"/>
        <v>0</v>
      </c>
    </row>
    <row r="202" spans="1:28" x14ac:dyDescent="0.25">
      <c r="A202" s="77" t="str">
        <f>'EXTRACTION AT GLOBAL DEA'!D200</f>
        <v>111273</v>
      </c>
      <c r="B202" s="77" t="str">
        <f>'EXTRACTION AT GLOBAL DEA'!E200</f>
        <v>LECLERCQ</v>
      </c>
      <c r="C202" s="77" t="str">
        <f>'EXTRACTION AT GLOBAL DEA'!F200</f>
        <v>PATRICK</v>
      </c>
      <c r="D202" s="77" t="str">
        <f>'EXTRACTION AT GLOBAL DEA'!I200</f>
        <v>MT HB PR</v>
      </c>
      <c r="E202" s="66">
        <f>'EXTRACTION AT GLOBAL DEA'!G200</f>
        <v>57</v>
      </c>
      <c r="F202" s="84" t="str">
        <f t="shared" si="9"/>
        <v>55 à 59 ans</v>
      </c>
      <c r="G202" s="77" t="str">
        <f>'EXTRACTION AT GLOBAL DEA'!K200</f>
        <v>S</v>
      </c>
      <c r="H202" s="77">
        <f>'EXTRACTION AT GLOBAL DEA'!N200</f>
        <v>0</v>
      </c>
      <c r="I202" s="77" t="str">
        <f>'EXTRACTION AT GLOBAL DEA'!L200</f>
        <v>N</v>
      </c>
      <c r="J202" s="77" t="str">
        <f>'EXTRACTION AT GLOBAL DEA'!M200</f>
        <v>N</v>
      </c>
      <c r="K202" s="77"/>
      <c r="L202" s="77"/>
      <c r="M202" s="78">
        <f>'EXTRACTION AT GLOBAL DEA'!B200</f>
        <v>42929</v>
      </c>
      <c r="N202" s="77" t="str">
        <f t="shared" si="10"/>
        <v>juillet</v>
      </c>
      <c r="O202" s="65"/>
      <c r="P202" s="67"/>
      <c r="Q202" s="67"/>
      <c r="R202" s="67"/>
      <c r="S202" s="67"/>
      <c r="T202" s="67"/>
      <c r="U202" s="67"/>
      <c r="V202" s="67"/>
      <c r="W202" s="67"/>
      <c r="X202" s="67"/>
      <c r="Y202" s="67"/>
      <c r="Z202" s="67"/>
      <c r="AA202" s="67"/>
      <c r="AB202" s="68">
        <f t="shared" si="8"/>
        <v>0</v>
      </c>
    </row>
    <row r="203" spans="1:28" x14ac:dyDescent="0.25">
      <c r="A203" s="77" t="str">
        <f>'EXTRACTION AT GLOBAL DEA'!D201</f>
        <v>111285</v>
      </c>
      <c r="B203" s="77" t="str">
        <f>'EXTRACTION AT GLOBAL DEA'!E201</f>
        <v>DEDAIN</v>
      </c>
      <c r="C203" s="77" t="str">
        <f>'EXTRACTION AT GLOBAL DEA'!F201</f>
        <v>DOMINIQUE</v>
      </c>
      <c r="D203" s="77" t="str">
        <f>'EXTRACTION AT GLOBAL DEA'!I201</f>
        <v>MT HB PR</v>
      </c>
      <c r="E203" s="66">
        <f>'EXTRACTION AT GLOBAL DEA'!G201</f>
        <v>54</v>
      </c>
      <c r="F203" s="84" t="str">
        <f t="shared" si="9"/>
        <v>50 à 54 ans</v>
      </c>
      <c r="G203" s="77" t="str">
        <f>'EXTRACTION AT GLOBAL DEA'!K201</f>
        <v>S</v>
      </c>
      <c r="H203" s="77">
        <f>'EXTRACTION AT GLOBAL DEA'!N201</f>
        <v>53</v>
      </c>
      <c r="I203" s="77" t="str">
        <f>'EXTRACTION AT GLOBAL DEA'!L201</f>
        <v>O</v>
      </c>
      <c r="J203" s="77" t="str">
        <f>'EXTRACTION AT GLOBAL DEA'!M201</f>
        <v>N</v>
      </c>
      <c r="K203" s="77"/>
      <c r="L203" s="77"/>
      <c r="M203" s="78">
        <f>'EXTRACTION AT GLOBAL DEA'!B201</f>
        <v>42930</v>
      </c>
      <c r="N203" s="77" t="str">
        <f t="shared" si="10"/>
        <v>juillet</v>
      </c>
      <c r="O203" s="65"/>
      <c r="P203" s="67"/>
      <c r="Q203" s="67"/>
      <c r="R203" s="67"/>
      <c r="S203" s="67"/>
      <c r="T203" s="67"/>
      <c r="U203" s="67"/>
      <c r="V203" s="67"/>
      <c r="W203" s="67"/>
      <c r="X203" s="67"/>
      <c r="Y203" s="67"/>
      <c r="Z203" s="67"/>
      <c r="AA203" s="67"/>
      <c r="AB203" s="68">
        <f t="shared" si="8"/>
        <v>0</v>
      </c>
    </row>
    <row r="204" spans="1:28" x14ac:dyDescent="0.25">
      <c r="A204" s="77" t="str">
        <f>'EXTRACTION AT GLOBAL DEA'!D202</f>
        <v>111456</v>
      </c>
      <c r="B204" s="77" t="str">
        <f>'EXTRACTION AT GLOBAL DEA'!E202</f>
        <v>CHEVALLIER</v>
      </c>
      <c r="C204" s="77" t="str">
        <f>'EXTRACTION AT GLOBAL DEA'!F202</f>
        <v>DIDIER</v>
      </c>
      <c r="D204" s="77" t="str">
        <f>'EXTRACTION AT GLOBAL DEA'!I202</f>
        <v>MT HB PR</v>
      </c>
      <c r="E204" s="66">
        <f>'EXTRACTION AT GLOBAL DEA'!G202</f>
        <v>54</v>
      </c>
      <c r="F204" s="84" t="str">
        <f t="shared" si="9"/>
        <v>50 à 54 ans</v>
      </c>
      <c r="G204" s="77" t="str">
        <f>'EXTRACTION AT GLOBAL DEA'!K202</f>
        <v>S</v>
      </c>
      <c r="H204" s="77">
        <f>'EXTRACTION AT GLOBAL DEA'!N202</f>
        <v>0</v>
      </c>
      <c r="I204" s="77" t="str">
        <f>'EXTRACTION AT GLOBAL DEA'!L202</f>
        <v>N</v>
      </c>
      <c r="J204" s="77" t="str">
        <f>'EXTRACTION AT GLOBAL DEA'!M202</f>
        <v>N</v>
      </c>
      <c r="K204" s="77"/>
      <c r="L204" s="77"/>
      <c r="M204" s="78">
        <f>'EXTRACTION AT GLOBAL DEA'!B202</f>
        <v>42934</v>
      </c>
      <c r="N204" s="77" t="str">
        <f t="shared" si="10"/>
        <v>juillet</v>
      </c>
      <c r="O204" s="65"/>
      <c r="P204" s="67"/>
      <c r="Q204" s="67"/>
      <c r="R204" s="67"/>
      <c r="S204" s="67"/>
      <c r="T204" s="67"/>
      <c r="U204" s="67"/>
      <c r="V204" s="67"/>
      <c r="W204" s="67"/>
      <c r="X204" s="67"/>
      <c r="Y204" s="67"/>
      <c r="Z204" s="67"/>
      <c r="AA204" s="67"/>
      <c r="AB204" s="68">
        <f t="shared" si="8"/>
        <v>0</v>
      </c>
    </row>
    <row r="205" spans="1:28" x14ac:dyDescent="0.25">
      <c r="A205" s="77" t="str">
        <f>'EXTRACTION AT GLOBAL DEA'!D203</f>
        <v>111594</v>
      </c>
      <c r="B205" s="77" t="str">
        <f>'EXTRACTION AT GLOBAL DEA'!E203</f>
        <v>PERIOU</v>
      </c>
      <c r="C205" s="77" t="str">
        <f>'EXTRACTION AT GLOBAL DEA'!F203</f>
        <v>PATRICK</v>
      </c>
      <c r="D205" s="77" t="str">
        <f>'EXTRACTION AT GLOBAL DEA'!I203</f>
        <v>MT YH TA</v>
      </c>
      <c r="E205" s="66">
        <f>'EXTRACTION AT GLOBAL DEA'!G203</f>
        <v>56</v>
      </c>
      <c r="F205" s="84" t="str">
        <f t="shared" si="9"/>
        <v>55 à 59 ans</v>
      </c>
      <c r="G205" s="77" t="str">
        <f>'EXTRACTION AT GLOBAL DEA'!K203</f>
        <v>S</v>
      </c>
      <c r="H205" s="77">
        <f>'EXTRACTION AT GLOBAL DEA'!N203</f>
        <v>151</v>
      </c>
      <c r="I205" s="77" t="str">
        <f>'EXTRACTION AT GLOBAL DEA'!L203</f>
        <v>O</v>
      </c>
      <c r="J205" s="77" t="str">
        <f>'EXTRACTION AT GLOBAL DEA'!M203</f>
        <v>N</v>
      </c>
      <c r="K205" s="77"/>
      <c r="L205" s="77"/>
      <c r="M205" s="78">
        <f>'EXTRACTION AT GLOBAL DEA'!B203</f>
        <v>42938</v>
      </c>
      <c r="N205" s="77" t="str">
        <f t="shared" si="10"/>
        <v>juillet</v>
      </c>
      <c r="O205" s="65"/>
      <c r="P205" s="67"/>
      <c r="Q205" s="67"/>
      <c r="R205" s="67"/>
      <c r="S205" s="67"/>
      <c r="T205" s="67"/>
      <c r="U205" s="67"/>
      <c r="V205" s="67"/>
      <c r="W205" s="67"/>
      <c r="X205" s="67"/>
      <c r="Y205" s="67"/>
      <c r="Z205" s="67"/>
      <c r="AA205" s="67"/>
      <c r="AB205" s="68">
        <f t="shared" si="8"/>
        <v>0</v>
      </c>
    </row>
    <row r="206" spans="1:28" x14ac:dyDescent="0.25">
      <c r="A206" s="77" t="str">
        <f>'EXTRACTION AT GLOBAL DEA'!D204</f>
        <v>111626</v>
      </c>
      <c r="B206" s="77" t="str">
        <f>'EXTRACTION AT GLOBAL DEA'!E204</f>
        <v>DELHAYE</v>
      </c>
      <c r="C206" s="77" t="str">
        <f>'EXTRACTION AT GLOBAL DEA'!F204</f>
        <v>NICOLAS</v>
      </c>
      <c r="D206" s="77" t="str">
        <f>'EXTRACTION AT GLOBAL DEA'!I204</f>
        <v>MT CA PR</v>
      </c>
      <c r="E206" s="66">
        <f>'EXTRACTION AT GLOBAL DEA'!G204</f>
        <v>27</v>
      </c>
      <c r="F206" s="84" t="str">
        <f t="shared" si="9"/>
        <v>25 à 29 ans</v>
      </c>
      <c r="G206" s="77" t="str">
        <f>'EXTRACTION AT GLOBAL DEA'!K204</f>
        <v>S</v>
      </c>
      <c r="H206" s="77">
        <f>'EXTRACTION AT GLOBAL DEA'!N204</f>
        <v>5</v>
      </c>
      <c r="I206" s="77" t="str">
        <f>'EXTRACTION AT GLOBAL DEA'!L204</f>
        <v>O</v>
      </c>
      <c r="J206" s="77" t="str">
        <f>'EXTRACTION AT GLOBAL DEA'!M204</f>
        <v>N</v>
      </c>
      <c r="K206" s="77"/>
      <c r="L206" s="77"/>
      <c r="M206" s="78">
        <f>'EXTRACTION AT GLOBAL DEA'!B204</f>
        <v>42939</v>
      </c>
      <c r="N206" s="77" t="str">
        <f t="shared" si="10"/>
        <v>juillet</v>
      </c>
      <c r="O206" s="65"/>
      <c r="P206" s="67"/>
      <c r="Q206" s="67"/>
      <c r="R206" s="67"/>
      <c r="S206" s="67"/>
      <c r="T206" s="67"/>
      <c r="U206" s="67"/>
      <c r="V206" s="67"/>
      <c r="W206" s="67"/>
      <c r="X206" s="67"/>
      <c r="Y206" s="67"/>
      <c r="Z206" s="67"/>
      <c r="AA206" s="67"/>
      <c r="AB206" s="68">
        <f t="shared" si="8"/>
        <v>0</v>
      </c>
    </row>
    <row r="207" spans="1:28" x14ac:dyDescent="0.25">
      <c r="A207" s="77" t="str">
        <f>'EXTRACTION AT GLOBAL DEA'!D205</f>
        <v>111700</v>
      </c>
      <c r="B207" s="77" t="str">
        <f>'EXTRACTION AT GLOBAL DEA'!E205</f>
        <v>COQUENTIN</v>
      </c>
      <c r="C207" s="77" t="str">
        <f>'EXTRACTION AT GLOBAL DEA'!F205</f>
        <v>XAVIER</v>
      </c>
      <c r="D207" s="77" t="str">
        <f>'EXTRACTION AT GLOBAL DEA'!I205</f>
        <v>MT HB PR</v>
      </c>
      <c r="E207" s="66">
        <f>'EXTRACTION AT GLOBAL DEA'!G205</f>
        <v>39</v>
      </c>
      <c r="F207" s="84" t="str">
        <f t="shared" si="9"/>
        <v>35 à 39 ans</v>
      </c>
      <c r="G207" s="77" t="str">
        <f>'EXTRACTION AT GLOBAL DEA'!K205</f>
        <v>S</v>
      </c>
      <c r="H207" s="77">
        <f>'EXTRACTION AT GLOBAL DEA'!N205</f>
        <v>5</v>
      </c>
      <c r="I207" s="77" t="str">
        <f>'EXTRACTION AT GLOBAL DEA'!L205</f>
        <v>O</v>
      </c>
      <c r="J207" s="77" t="str">
        <f>'EXTRACTION AT GLOBAL DEA'!M205</f>
        <v>N</v>
      </c>
      <c r="K207" s="77"/>
      <c r="L207" s="77"/>
      <c r="M207" s="78">
        <f>'EXTRACTION AT GLOBAL DEA'!B205</f>
        <v>42941</v>
      </c>
      <c r="N207" s="77" t="str">
        <f t="shared" si="10"/>
        <v>juillet</v>
      </c>
      <c r="O207" s="65"/>
      <c r="P207" s="67"/>
      <c r="Q207" s="67"/>
      <c r="R207" s="67"/>
      <c r="S207" s="67"/>
      <c r="T207" s="67"/>
      <c r="U207" s="67"/>
      <c r="V207" s="67"/>
      <c r="W207" s="67"/>
      <c r="X207" s="67"/>
      <c r="Y207" s="67"/>
      <c r="Z207" s="67"/>
      <c r="AA207" s="67"/>
      <c r="AB207" s="68">
        <f t="shared" si="8"/>
        <v>0</v>
      </c>
    </row>
    <row r="208" spans="1:28" x14ac:dyDescent="0.25">
      <c r="A208" s="77" t="str">
        <f>'EXTRACTION AT GLOBAL DEA'!D206</f>
        <v>111752</v>
      </c>
      <c r="B208" s="77" t="str">
        <f>'EXTRACTION AT GLOBAL DEA'!E206</f>
        <v>LOGNONE</v>
      </c>
      <c r="C208" s="77" t="str">
        <f>'EXTRACTION AT GLOBAL DEA'!F206</f>
        <v>PATRICK</v>
      </c>
      <c r="D208" s="77" t="str">
        <f>'EXTRACTION AT GLOBAL DEA'!I206</f>
        <v>MT HB QO</v>
      </c>
      <c r="E208" s="66">
        <f>'EXTRACTION AT GLOBAL DEA'!G206</f>
        <v>58</v>
      </c>
      <c r="F208" s="84" t="str">
        <f t="shared" si="9"/>
        <v>55 à 59 ans</v>
      </c>
      <c r="G208" s="77" t="str">
        <f>'EXTRACTION AT GLOBAL DEA'!K206</f>
        <v>S</v>
      </c>
      <c r="H208" s="77">
        <f>'EXTRACTION AT GLOBAL DEA'!N206</f>
        <v>39</v>
      </c>
      <c r="I208" s="77" t="str">
        <f>'EXTRACTION AT GLOBAL DEA'!L206</f>
        <v>O</v>
      </c>
      <c r="J208" s="77" t="str">
        <f>'EXTRACTION AT GLOBAL DEA'!M206</f>
        <v>N</v>
      </c>
      <c r="K208" s="77"/>
      <c r="L208" s="77"/>
      <c r="M208" s="78">
        <f>'EXTRACTION AT GLOBAL DEA'!B206</f>
        <v>42941</v>
      </c>
      <c r="N208" s="77" t="str">
        <f t="shared" si="10"/>
        <v>juillet</v>
      </c>
      <c r="O208" s="65"/>
      <c r="P208" s="67"/>
      <c r="Q208" s="67"/>
      <c r="R208" s="67"/>
      <c r="S208" s="67"/>
      <c r="T208" s="67"/>
      <c r="U208" s="67"/>
      <c r="V208" s="67"/>
      <c r="W208" s="67"/>
      <c r="X208" s="67"/>
      <c r="Y208" s="67"/>
      <c r="Z208" s="67"/>
      <c r="AA208" s="67"/>
      <c r="AB208" s="68">
        <f t="shared" si="8"/>
        <v>0</v>
      </c>
    </row>
    <row r="209" spans="1:28" x14ac:dyDescent="0.25">
      <c r="A209" s="77" t="str">
        <f>'EXTRACTION AT GLOBAL DEA'!D207</f>
        <v>111760</v>
      </c>
      <c r="B209" s="77" t="str">
        <f>'EXTRACTION AT GLOBAL DEA'!E207</f>
        <v>TORKHANI</v>
      </c>
      <c r="C209" s="77" t="str">
        <f>'EXTRACTION AT GLOBAL DEA'!F207</f>
        <v>DALAL</v>
      </c>
      <c r="D209" s="77" t="str">
        <f>'EXTRACTION AT GLOBAL DEA'!I207</f>
        <v>MT HB QU</v>
      </c>
      <c r="E209" s="66">
        <f>'EXTRACTION AT GLOBAL DEA'!G207</f>
        <v>37</v>
      </c>
      <c r="F209" s="84" t="str">
        <f t="shared" si="9"/>
        <v>35 à 39 ans</v>
      </c>
      <c r="G209" s="77" t="str">
        <f>'EXTRACTION AT GLOBAL DEA'!K207</f>
        <v>S</v>
      </c>
      <c r="H209" s="77">
        <f>'EXTRACTION AT GLOBAL DEA'!N207</f>
        <v>3</v>
      </c>
      <c r="I209" s="77" t="str">
        <f>'EXTRACTION AT GLOBAL DEA'!L207</f>
        <v>O</v>
      </c>
      <c r="J209" s="77" t="str">
        <f>'EXTRACTION AT GLOBAL DEA'!M207</f>
        <v>N</v>
      </c>
      <c r="K209" s="77"/>
      <c r="L209" s="77"/>
      <c r="M209" s="78">
        <f>'EXTRACTION AT GLOBAL DEA'!B207</f>
        <v>42944</v>
      </c>
      <c r="N209" s="77" t="str">
        <f t="shared" si="10"/>
        <v>juillet</v>
      </c>
      <c r="O209" s="65"/>
      <c r="P209" s="67"/>
      <c r="Q209" s="67"/>
      <c r="R209" s="67"/>
      <c r="S209" s="67"/>
      <c r="T209" s="67"/>
      <c r="U209" s="67"/>
      <c r="V209" s="67"/>
      <c r="W209" s="67"/>
      <c r="X209" s="67"/>
      <c r="Y209" s="67"/>
      <c r="Z209" s="67"/>
      <c r="AA209" s="67"/>
      <c r="AB209" s="68">
        <f t="shared" si="8"/>
        <v>0</v>
      </c>
    </row>
    <row r="210" spans="1:28" x14ac:dyDescent="0.25">
      <c r="A210" s="77" t="str">
        <f>'EXTRACTION AT GLOBAL DEA'!D208</f>
        <v>111769</v>
      </c>
      <c r="B210" s="77" t="str">
        <f>'EXTRACTION AT GLOBAL DEA'!E208</f>
        <v>LAVERSIN</v>
      </c>
      <c r="C210" s="77" t="str">
        <f>'EXTRACTION AT GLOBAL DEA'!F208</f>
        <v>SEBASTIEN</v>
      </c>
      <c r="D210" s="77" t="str">
        <f>'EXTRACTION AT GLOBAL DEA'!I208</f>
        <v>MT CA PR</v>
      </c>
      <c r="E210" s="66">
        <f>'EXTRACTION AT GLOBAL DEA'!G208</f>
        <v>48</v>
      </c>
      <c r="F210" s="84" t="str">
        <f t="shared" si="9"/>
        <v>45 à 49 ans</v>
      </c>
      <c r="G210" s="77" t="str">
        <f>'EXTRACTION AT GLOBAL DEA'!K208</f>
        <v>S</v>
      </c>
      <c r="H210" s="77">
        <f>'EXTRACTION AT GLOBAL DEA'!N208</f>
        <v>0</v>
      </c>
      <c r="I210" s="77" t="str">
        <f>'EXTRACTION AT GLOBAL DEA'!L208</f>
        <v>N</v>
      </c>
      <c r="J210" s="77" t="str">
        <f>'EXTRACTION AT GLOBAL DEA'!M208</f>
        <v>O</v>
      </c>
      <c r="K210" s="77"/>
      <c r="L210" s="77"/>
      <c r="M210" s="78">
        <f>'EXTRACTION AT GLOBAL DEA'!B208</f>
        <v>42944</v>
      </c>
      <c r="N210" s="77" t="str">
        <f t="shared" si="10"/>
        <v>juillet</v>
      </c>
      <c r="O210" s="65"/>
      <c r="P210" s="67"/>
      <c r="Q210" s="67"/>
      <c r="R210" s="67"/>
      <c r="S210" s="67"/>
      <c r="T210" s="67"/>
      <c r="U210" s="67"/>
      <c r="V210" s="67"/>
      <c r="W210" s="67"/>
      <c r="X210" s="67"/>
      <c r="Y210" s="67"/>
      <c r="Z210" s="67"/>
      <c r="AA210" s="67"/>
      <c r="AB210" s="68">
        <f t="shared" si="8"/>
        <v>0</v>
      </c>
    </row>
    <row r="211" spans="1:28" x14ac:dyDescent="0.25">
      <c r="A211" s="77" t="str">
        <f>'EXTRACTION AT GLOBAL DEA'!D209</f>
        <v>111865</v>
      </c>
      <c r="B211" s="77" t="str">
        <f>'EXTRACTION AT GLOBAL DEA'!E209</f>
        <v>MEIGNIER</v>
      </c>
      <c r="C211" s="77" t="str">
        <f>'EXTRACTION AT GLOBAL DEA'!F209</f>
        <v>MARTIAL</v>
      </c>
      <c r="D211" s="77" t="str">
        <f>'EXTRACTION AT GLOBAL DEA'!I209</f>
        <v>MT HB PR</v>
      </c>
      <c r="E211" s="66">
        <f>'EXTRACTION AT GLOBAL DEA'!G209</f>
        <v>54</v>
      </c>
      <c r="F211" s="84" t="str">
        <f t="shared" si="9"/>
        <v>50 à 54 ans</v>
      </c>
      <c r="G211" s="77" t="str">
        <f>'EXTRACTION AT GLOBAL DEA'!K209</f>
        <v>S</v>
      </c>
      <c r="H211" s="77">
        <f>'EXTRACTION AT GLOBAL DEA'!N209</f>
        <v>0</v>
      </c>
      <c r="I211" s="77" t="str">
        <f>'EXTRACTION AT GLOBAL DEA'!L209</f>
        <v>N</v>
      </c>
      <c r="J211" s="77" t="str">
        <f>'EXTRACTION AT GLOBAL DEA'!M209</f>
        <v>N</v>
      </c>
      <c r="K211" s="77"/>
      <c r="L211" s="77"/>
      <c r="M211" s="78">
        <f>'EXTRACTION AT GLOBAL DEA'!B209</f>
        <v>42945</v>
      </c>
      <c r="N211" s="77" t="str">
        <f t="shared" si="10"/>
        <v>juillet</v>
      </c>
      <c r="O211" s="65"/>
      <c r="P211" s="67"/>
      <c r="Q211" s="67"/>
      <c r="R211" s="67"/>
      <c r="S211" s="67"/>
      <c r="T211" s="67"/>
      <c r="U211" s="67"/>
      <c r="V211" s="67"/>
      <c r="W211" s="67"/>
      <c r="X211" s="67"/>
      <c r="Y211" s="67"/>
      <c r="Z211" s="67"/>
      <c r="AA211" s="67"/>
      <c r="AB211" s="68">
        <f t="shared" si="8"/>
        <v>0</v>
      </c>
    </row>
    <row r="212" spans="1:28" x14ac:dyDescent="0.25">
      <c r="A212" s="77" t="str">
        <f>'EXTRACTION AT GLOBAL DEA'!D210</f>
        <v>111916</v>
      </c>
      <c r="B212" s="77" t="str">
        <f>'EXTRACTION AT GLOBAL DEA'!E210</f>
        <v>LEJAY</v>
      </c>
      <c r="C212" s="77" t="str">
        <f>'EXTRACTION AT GLOBAL DEA'!F210</f>
        <v>LAURENT</v>
      </c>
      <c r="D212" s="77" t="str">
        <f>'EXTRACTION AT GLOBAL DEA'!I210</f>
        <v>MT HB PR</v>
      </c>
      <c r="E212" s="66">
        <f>'EXTRACTION AT GLOBAL DEA'!G210</f>
        <v>40</v>
      </c>
      <c r="F212" s="84" t="str">
        <f t="shared" si="9"/>
        <v>40 à 44 ans</v>
      </c>
      <c r="G212" s="77" t="str">
        <f>'EXTRACTION AT GLOBAL DEA'!K210</f>
        <v>S</v>
      </c>
      <c r="H212" s="77">
        <f>'EXTRACTION AT GLOBAL DEA'!N210</f>
        <v>3</v>
      </c>
      <c r="I212" s="77" t="str">
        <f>'EXTRACTION AT GLOBAL DEA'!L210</f>
        <v>O</v>
      </c>
      <c r="J212" s="77" t="str">
        <f>'EXTRACTION AT GLOBAL DEA'!M210</f>
        <v>N</v>
      </c>
      <c r="K212" s="77"/>
      <c r="L212" s="77"/>
      <c r="M212" s="78">
        <f>'EXTRACTION AT GLOBAL DEA'!B210</f>
        <v>42948</v>
      </c>
      <c r="N212" s="77" t="str">
        <f t="shared" si="10"/>
        <v>août</v>
      </c>
      <c r="O212" s="65"/>
      <c r="P212" s="67"/>
      <c r="Q212" s="67"/>
      <c r="R212" s="67"/>
      <c r="S212" s="67"/>
      <c r="T212" s="67"/>
      <c r="U212" s="67"/>
      <c r="V212" s="67"/>
      <c r="W212" s="67"/>
      <c r="X212" s="67"/>
      <c r="Y212" s="67"/>
      <c r="Z212" s="67"/>
      <c r="AA212" s="67"/>
      <c r="AB212" s="68">
        <f t="shared" ref="AB212:AB491" si="11">SUM(P212:AA212)</f>
        <v>0</v>
      </c>
    </row>
    <row r="213" spans="1:28" x14ac:dyDescent="0.25">
      <c r="A213" s="77" t="str">
        <f>'EXTRACTION AT GLOBAL DEA'!D211</f>
        <v>111943</v>
      </c>
      <c r="B213" s="77" t="str">
        <f>'EXTRACTION AT GLOBAL DEA'!E211</f>
        <v>ROGER</v>
      </c>
      <c r="C213" s="77" t="str">
        <f>'EXTRACTION AT GLOBAL DEA'!F211</f>
        <v>VALENTIN</v>
      </c>
      <c r="D213" s="77" t="str">
        <f>'EXTRACTION AT GLOBAL DEA'!I211</f>
        <v>BLDPTDTL</v>
      </c>
      <c r="E213" s="66">
        <f>'EXTRACTION AT GLOBAL DEA'!G211</f>
        <v>26</v>
      </c>
      <c r="F213" s="84" t="str">
        <f t="shared" si="9"/>
        <v>25 à 29 ans</v>
      </c>
      <c r="G213" s="77" t="str">
        <f>'EXTRACTION AT GLOBAL DEA'!K211</f>
        <v>S</v>
      </c>
      <c r="H213" s="77">
        <f>'EXTRACTION AT GLOBAL DEA'!N211</f>
        <v>0</v>
      </c>
      <c r="I213" s="77" t="str">
        <f>'EXTRACTION AT GLOBAL DEA'!L211</f>
        <v>N</v>
      </c>
      <c r="J213" s="77" t="str">
        <f>'EXTRACTION AT GLOBAL DEA'!M211</f>
        <v>N</v>
      </c>
      <c r="K213" s="77"/>
      <c r="L213" s="77"/>
      <c r="M213" s="78">
        <f>'EXTRACTION AT GLOBAL DEA'!B211</f>
        <v>42948</v>
      </c>
      <c r="N213" s="77" t="str">
        <f t="shared" si="10"/>
        <v>août</v>
      </c>
      <c r="O213" s="65"/>
      <c r="P213" s="67"/>
      <c r="Q213" s="67"/>
      <c r="R213" s="67"/>
      <c r="S213" s="67"/>
      <c r="T213" s="67"/>
      <c r="U213" s="67"/>
      <c r="V213" s="67"/>
      <c r="W213" s="67"/>
      <c r="X213" s="67"/>
      <c r="Y213" s="67"/>
      <c r="Z213" s="67"/>
      <c r="AA213" s="67"/>
      <c r="AB213" s="68">
        <f t="shared" si="11"/>
        <v>0</v>
      </c>
    </row>
    <row r="214" spans="1:28" x14ac:dyDescent="0.25">
      <c r="A214" s="77" t="str">
        <f>'EXTRACTION AT GLOBAL DEA'!D212</f>
        <v>111975</v>
      </c>
      <c r="B214" s="77" t="str">
        <f>'EXTRACTION AT GLOBAL DEA'!E212</f>
        <v>PRIGENT</v>
      </c>
      <c r="C214" s="77" t="str">
        <f>'EXTRACTION AT GLOBAL DEA'!F212</f>
        <v>OLIVIER</v>
      </c>
      <c r="D214" s="77" t="str">
        <f>'EXTRACTION AT GLOBAL DEA'!I212</f>
        <v>MT LK PR</v>
      </c>
      <c r="E214" s="66">
        <f>'EXTRACTION AT GLOBAL DEA'!G212</f>
        <v>54</v>
      </c>
      <c r="F214" s="84" t="str">
        <f t="shared" si="9"/>
        <v>50 à 54 ans</v>
      </c>
      <c r="G214" s="77" t="str">
        <f>'EXTRACTION AT GLOBAL DEA'!K212</f>
        <v>S</v>
      </c>
      <c r="H214" s="77">
        <f>'EXTRACTION AT GLOBAL DEA'!N212</f>
        <v>9</v>
      </c>
      <c r="I214" s="77" t="str">
        <f>'EXTRACTION AT GLOBAL DEA'!L212</f>
        <v>O</v>
      </c>
      <c r="J214" s="77" t="str">
        <f>'EXTRACTION AT GLOBAL DEA'!M212</f>
        <v>N</v>
      </c>
      <c r="K214" s="77"/>
      <c r="L214" s="77"/>
      <c r="M214" s="78">
        <f>'EXTRACTION AT GLOBAL DEA'!B212</f>
        <v>42949</v>
      </c>
      <c r="N214" s="77" t="str">
        <f t="shared" si="10"/>
        <v>août</v>
      </c>
      <c r="O214" s="65"/>
      <c r="P214" s="67"/>
      <c r="Q214" s="67"/>
      <c r="R214" s="67"/>
      <c r="S214" s="67"/>
      <c r="T214" s="67"/>
      <c r="U214" s="67"/>
      <c r="V214" s="67"/>
      <c r="W214" s="67"/>
      <c r="X214" s="67"/>
      <c r="Y214" s="67"/>
      <c r="Z214" s="67"/>
      <c r="AA214" s="67"/>
      <c r="AB214" s="68">
        <f t="shared" si="11"/>
        <v>0</v>
      </c>
    </row>
    <row r="215" spans="1:28" x14ac:dyDescent="0.25">
      <c r="A215" s="77" t="str">
        <f>'EXTRACTION AT GLOBAL DEA'!D213</f>
        <v>111987</v>
      </c>
      <c r="B215" s="77" t="str">
        <f>'EXTRACTION AT GLOBAL DEA'!E213</f>
        <v>KOURI</v>
      </c>
      <c r="C215" s="77" t="str">
        <f>'EXTRACTION AT GLOBAL DEA'!F213</f>
        <v>ABDALLAH</v>
      </c>
      <c r="D215" s="77" t="str">
        <f>'EXTRACTION AT GLOBAL DEA'!I213</f>
        <v>MT HB QU</v>
      </c>
      <c r="E215" s="66">
        <f>'EXTRACTION AT GLOBAL DEA'!G213</f>
        <v>51</v>
      </c>
      <c r="F215" s="84" t="str">
        <f t="shared" si="9"/>
        <v>50 à 54 ans</v>
      </c>
      <c r="G215" s="77" t="str">
        <f>'EXTRACTION AT GLOBAL DEA'!K213</f>
        <v>S</v>
      </c>
      <c r="H215" s="77">
        <f>'EXTRACTION AT GLOBAL DEA'!N213</f>
        <v>1</v>
      </c>
      <c r="I215" s="77" t="str">
        <f>'EXTRACTION AT GLOBAL DEA'!L213</f>
        <v>O</v>
      </c>
      <c r="J215" s="77" t="str">
        <f>'EXTRACTION AT GLOBAL DEA'!M213</f>
        <v>N</v>
      </c>
      <c r="K215" s="77"/>
      <c r="L215" s="77"/>
      <c r="M215" s="78">
        <f>'EXTRACTION AT GLOBAL DEA'!B213</f>
        <v>42950</v>
      </c>
      <c r="N215" s="77" t="str">
        <f t="shared" si="10"/>
        <v>août</v>
      </c>
      <c r="O215" s="65"/>
      <c r="P215" s="67"/>
      <c r="Q215" s="67"/>
      <c r="R215" s="67"/>
      <c r="S215" s="67"/>
      <c r="T215" s="67"/>
      <c r="U215" s="67"/>
      <c r="V215" s="67"/>
      <c r="W215" s="67"/>
      <c r="X215" s="67"/>
      <c r="Y215" s="67"/>
      <c r="Z215" s="67"/>
      <c r="AA215" s="67"/>
      <c r="AB215" s="68">
        <f t="shared" si="11"/>
        <v>0</v>
      </c>
    </row>
    <row r="216" spans="1:28" x14ac:dyDescent="0.25">
      <c r="A216" s="77" t="str">
        <f>'EXTRACTION AT GLOBAL DEA'!D214</f>
        <v>112086</v>
      </c>
      <c r="B216" s="77" t="str">
        <f>'EXTRACTION AT GLOBAL DEA'!E214</f>
        <v>KUYPERS</v>
      </c>
      <c r="C216" s="77" t="str">
        <f>'EXTRACTION AT GLOBAL DEA'!F214</f>
        <v>ANTOINE</v>
      </c>
      <c r="D216" s="77" t="str">
        <f>'EXTRACTION AT GLOBAL DEA'!I214</f>
        <v>MT CA PR</v>
      </c>
      <c r="E216" s="66">
        <f>'EXTRACTION AT GLOBAL DEA'!G214</f>
        <v>46</v>
      </c>
      <c r="F216" s="84" t="str">
        <f t="shared" si="9"/>
        <v>45 à 49 ans</v>
      </c>
      <c r="G216" s="77" t="str">
        <f>'EXTRACTION AT GLOBAL DEA'!K214</f>
        <v>S</v>
      </c>
      <c r="H216" s="77">
        <f>'EXTRACTION AT GLOBAL DEA'!N214</f>
        <v>0</v>
      </c>
      <c r="I216" s="77" t="str">
        <f>'EXTRACTION AT GLOBAL DEA'!L214</f>
        <v>N</v>
      </c>
      <c r="J216" s="77" t="str">
        <f>'EXTRACTION AT GLOBAL DEA'!M214</f>
        <v>N</v>
      </c>
      <c r="K216" s="77"/>
      <c r="L216" s="77"/>
      <c r="M216" s="78">
        <f>'EXTRACTION AT GLOBAL DEA'!B214</f>
        <v>42951</v>
      </c>
      <c r="N216" s="77" t="str">
        <f t="shared" si="10"/>
        <v>août</v>
      </c>
      <c r="O216" s="65"/>
      <c r="P216" s="67"/>
      <c r="Q216" s="67"/>
      <c r="R216" s="67"/>
      <c r="S216" s="67"/>
      <c r="T216" s="67"/>
      <c r="U216" s="67"/>
      <c r="V216" s="67"/>
      <c r="W216" s="67"/>
      <c r="X216" s="67"/>
      <c r="Y216" s="67"/>
      <c r="Z216" s="67"/>
      <c r="AA216" s="67"/>
      <c r="AB216" s="68">
        <f t="shared" si="11"/>
        <v>0</v>
      </c>
    </row>
    <row r="217" spans="1:28" x14ac:dyDescent="0.25">
      <c r="A217" s="77" t="str">
        <f>'EXTRACTION AT GLOBAL DEA'!D215</f>
        <v>112113</v>
      </c>
      <c r="B217" s="77" t="str">
        <f>'EXTRACTION AT GLOBAL DEA'!E215</f>
        <v>LEROUX</v>
      </c>
      <c r="C217" s="77" t="str">
        <f>'EXTRACTION AT GLOBAL DEA'!F215</f>
        <v>J-LOUIS</v>
      </c>
      <c r="D217" s="77" t="str">
        <f>'EXTRACTION AT GLOBAL DEA'!I215</f>
        <v>MT CA PR</v>
      </c>
      <c r="E217" s="66">
        <f>'EXTRACTION AT GLOBAL DEA'!G215</f>
        <v>57</v>
      </c>
      <c r="F217" s="84" t="str">
        <f t="shared" si="9"/>
        <v>55 à 59 ans</v>
      </c>
      <c r="G217" s="77" t="str">
        <f>'EXTRACTION AT GLOBAL DEA'!K215</f>
        <v>S</v>
      </c>
      <c r="H217" s="77">
        <f>'EXTRACTION AT GLOBAL DEA'!N215</f>
        <v>0</v>
      </c>
      <c r="I217" s="77" t="str">
        <f>'EXTRACTION AT GLOBAL DEA'!L215</f>
        <v>N</v>
      </c>
      <c r="J217" s="77" t="str">
        <f>'EXTRACTION AT GLOBAL DEA'!M215</f>
        <v>N</v>
      </c>
      <c r="K217" s="77"/>
      <c r="L217" s="77"/>
      <c r="M217" s="78">
        <f>'EXTRACTION AT GLOBAL DEA'!B215</f>
        <v>42952</v>
      </c>
      <c r="N217" s="77" t="str">
        <f t="shared" si="10"/>
        <v>août</v>
      </c>
      <c r="O217" s="65"/>
      <c r="P217" s="67"/>
      <c r="Q217" s="67"/>
      <c r="R217" s="67"/>
      <c r="S217" s="67"/>
      <c r="T217" s="67"/>
      <c r="U217" s="67"/>
      <c r="V217" s="67"/>
      <c r="W217" s="67"/>
      <c r="X217" s="67"/>
      <c r="Y217" s="67"/>
      <c r="Z217" s="67"/>
      <c r="AA217" s="67"/>
      <c r="AB217" s="68">
        <f t="shared" si="11"/>
        <v>0</v>
      </c>
    </row>
    <row r="218" spans="1:28" x14ac:dyDescent="0.25">
      <c r="A218" s="77" t="str">
        <f>'EXTRACTION AT GLOBAL DEA'!D216</f>
        <v>112151</v>
      </c>
      <c r="B218" s="77" t="str">
        <f>'EXTRACTION AT GLOBAL DEA'!E216</f>
        <v>CANGE</v>
      </c>
      <c r="C218" s="77" t="str">
        <f>'EXTRACTION AT GLOBAL DEA'!F216</f>
        <v>MATTHIEU</v>
      </c>
      <c r="D218" s="77" t="str">
        <f>'EXTRACTION AT GLOBAL DEA'!I216</f>
        <v>MT HB PR</v>
      </c>
      <c r="E218" s="66">
        <f>'EXTRACTION AT GLOBAL DEA'!G216</f>
        <v>37</v>
      </c>
      <c r="F218" s="84" t="str">
        <f t="shared" si="9"/>
        <v>35 à 39 ans</v>
      </c>
      <c r="G218" s="77" t="str">
        <f>'EXTRACTION AT GLOBAL DEA'!K216</f>
        <v>S</v>
      </c>
      <c r="H218" s="77">
        <f>'EXTRACTION AT GLOBAL DEA'!N216</f>
        <v>93</v>
      </c>
      <c r="I218" s="77" t="str">
        <f>'EXTRACTION AT GLOBAL DEA'!L216</f>
        <v>O</v>
      </c>
      <c r="J218" s="77" t="str">
        <f>'EXTRACTION AT GLOBAL DEA'!M216</f>
        <v>N</v>
      </c>
      <c r="K218" s="77"/>
      <c r="L218" s="77"/>
      <c r="M218" s="78">
        <f>'EXTRACTION AT GLOBAL DEA'!B216</f>
        <v>42953</v>
      </c>
      <c r="N218" s="77" t="str">
        <f t="shared" si="10"/>
        <v>août</v>
      </c>
      <c r="O218" s="65"/>
      <c r="P218" s="67"/>
      <c r="Q218" s="67"/>
      <c r="R218" s="67"/>
      <c r="S218" s="67"/>
      <c r="T218" s="67"/>
      <c r="U218" s="67"/>
      <c r="V218" s="67"/>
      <c r="W218" s="67"/>
      <c r="X218" s="67"/>
      <c r="Y218" s="67"/>
      <c r="Z218" s="67"/>
      <c r="AA218" s="67"/>
      <c r="AB218" s="68">
        <f t="shared" si="11"/>
        <v>0</v>
      </c>
    </row>
    <row r="219" spans="1:28" x14ac:dyDescent="0.25">
      <c r="A219" s="77" t="str">
        <f>'EXTRACTION AT GLOBAL DEA'!D217</f>
        <v>112030</v>
      </c>
      <c r="B219" s="77" t="str">
        <f>'EXTRACTION AT GLOBAL DEA'!E217</f>
        <v>MARTINEZ</v>
      </c>
      <c r="C219" s="77" t="str">
        <f>'EXTRACTION AT GLOBAL DEA'!F217</f>
        <v>PATRICK</v>
      </c>
      <c r="D219" s="77" t="str">
        <f>'EXTRACTION AT GLOBAL DEA'!I217</f>
        <v>MT QJ</v>
      </c>
      <c r="E219" s="66">
        <f>'EXTRACTION AT GLOBAL DEA'!G217</f>
        <v>41</v>
      </c>
      <c r="F219" s="84" t="str">
        <f t="shared" si="9"/>
        <v>40 à 44 ans</v>
      </c>
      <c r="G219" s="77" t="str">
        <f>'EXTRACTION AT GLOBAL DEA'!K217</f>
        <v>S</v>
      </c>
      <c r="H219" s="77">
        <f>'EXTRACTION AT GLOBAL DEA'!N217</f>
        <v>40</v>
      </c>
      <c r="I219" s="77" t="str">
        <f>'EXTRACTION AT GLOBAL DEA'!L217</f>
        <v>O</v>
      </c>
      <c r="J219" s="77" t="str">
        <f>'EXTRACTION AT GLOBAL DEA'!M217</f>
        <v>N</v>
      </c>
      <c r="K219" s="77"/>
      <c r="L219" s="77"/>
      <c r="M219" s="78">
        <f>'EXTRACTION AT GLOBAL DEA'!B217</f>
        <v>42955</v>
      </c>
      <c r="N219" s="77" t="str">
        <f t="shared" si="10"/>
        <v>août</v>
      </c>
      <c r="O219" s="65"/>
      <c r="P219" s="67"/>
      <c r="Q219" s="67"/>
      <c r="R219" s="67"/>
      <c r="S219" s="67"/>
      <c r="T219" s="67"/>
      <c r="U219" s="67"/>
      <c r="V219" s="67"/>
      <c r="W219" s="67"/>
      <c r="X219" s="67"/>
      <c r="Y219" s="67"/>
      <c r="Z219" s="67"/>
      <c r="AA219" s="67"/>
      <c r="AB219" s="68">
        <f t="shared" si="11"/>
        <v>0</v>
      </c>
    </row>
    <row r="220" spans="1:28" x14ac:dyDescent="0.25">
      <c r="A220" s="77" t="str">
        <f>'EXTRACTION AT GLOBAL DEA'!D218</f>
        <v>112185</v>
      </c>
      <c r="B220" s="77" t="str">
        <f>'EXTRACTION AT GLOBAL DEA'!E218</f>
        <v>DEFEVER</v>
      </c>
      <c r="C220" s="77" t="str">
        <f>'EXTRACTION AT GLOBAL DEA'!F218</f>
        <v>STEEVE</v>
      </c>
      <c r="D220" s="77" t="str">
        <f>'EXTRACTION AT GLOBAL DEA'!I218</f>
        <v>MT HB QO</v>
      </c>
      <c r="E220" s="66">
        <f>'EXTRACTION AT GLOBAL DEA'!G218</f>
        <v>32</v>
      </c>
      <c r="F220" s="84" t="str">
        <f t="shared" si="9"/>
        <v>30 à 34 ans</v>
      </c>
      <c r="G220" s="77" t="str">
        <f>'EXTRACTION AT GLOBAL DEA'!K218</f>
        <v>S</v>
      </c>
      <c r="H220" s="77">
        <f>'EXTRACTION AT GLOBAL DEA'!N218</f>
        <v>0</v>
      </c>
      <c r="I220" s="77" t="str">
        <f>'EXTRACTION AT GLOBAL DEA'!L218</f>
        <v>N</v>
      </c>
      <c r="J220" s="77" t="str">
        <f>'EXTRACTION AT GLOBAL DEA'!M218</f>
        <v>N</v>
      </c>
      <c r="K220" s="77"/>
      <c r="L220" s="77"/>
      <c r="M220" s="78">
        <f>'EXTRACTION AT GLOBAL DEA'!B218</f>
        <v>42955</v>
      </c>
      <c r="N220" s="77" t="str">
        <f t="shared" si="10"/>
        <v>août</v>
      </c>
      <c r="O220" s="65"/>
      <c r="P220" s="67"/>
      <c r="Q220" s="67"/>
      <c r="R220" s="67"/>
      <c r="S220" s="67"/>
      <c r="T220" s="67"/>
      <c r="U220" s="67"/>
      <c r="V220" s="67"/>
      <c r="W220" s="67"/>
      <c r="X220" s="67"/>
      <c r="Y220" s="67"/>
      <c r="Z220" s="67"/>
      <c r="AA220" s="67"/>
      <c r="AB220" s="68">
        <f t="shared" si="11"/>
        <v>0</v>
      </c>
    </row>
    <row r="221" spans="1:28" x14ac:dyDescent="0.25">
      <c r="A221" s="77" t="str">
        <f>'EXTRACTION AT GLOBAL DEA'!D219</f>
        <v>112378</v>
      </c>
      <c r="B221" s="77" t="str">
        <f>'EXTRACTION AT GLOBAL DEA'!E219</f>
        <v>MELI</v>
      </c>
      <c r="C221" s="77" t="str">
        <f>'EXTRACTION AT GLOBAL DEA'!F219</f>
        <v>ERIC</v>
      </c>
      <c r="D221" s="77" t="str">
        <f>'EXTRACTION AT GLOBAL DEA'!I219</f>
        <v>MT HB PR</v>
      </c>
      <c r="E221" s="66">
        <f>'EXTRACTION AT GLOBAL DEA'!G219</f>
        <v>57</v>
      </c>
      <c r="F221" s="84" t="str">
        <f t="shared" si="9"/>
        <v>55 à 59 ans</v>
      </c>
      <c r="G221" s="77" t="str">
        <f>'EXTRACTION AT GLOBAL DEA'!K219</f>
        <v>S</v>
      </c>
      <c r="H221" s="77">
        <f>'EXTRACTION AT GLOBAL DEA'!N219</f>
        <v>0</v>
      </c>
      <c r="I221" s="77" t="str">
        <f>'EXTRACTION AT GLOBAL DEA'!L219</f>
        <v>N</v>
      </c>
      <c r="J221" s="77" t="str">
        <f>'EXTRACTION AT GLOBAL DEA'!M219</f>
        <v>N</v>
      </c>
      <c r="K221" s="77"/>
      <c r="L221" s="77"/>
      <c r="M221" s="78">
        <f>'EXTRACTION AT GLOBAL DEA'!B219</f>
        <v>42960</v>
      </c>
      <c r="N221" s="77" t="str">
        <f t="shared" si="10"/>
        <v>août</v>
      </c>
      <c r="O221" s="65"/>
      <c r="P221" s="67"/>
      <c r="Q221" s="67"/>
      <c r="R221" s="67"/>
      <c r="S221" s="67"/>
      <c r="T221" s="67"/>
      <c r="U221" s="67"/>
      <c r="V221" s="67"/>
      <c r="W221" s="67"/>
      <c r="X221" s="67"/>
      <c r="Y221" s="67"/>
      <c r="Z221" s="67"/>
      <c r="AA221" s="67"/>
      <c r="AB221" s="68">
        <f t="shared" si="11"/>
        <v>0</v>
      </c>
    </row>
    <row r="222" spans="1:28" x14ac:dyDescent="0.25">
      <c r="A222" s="77" t="str">
        <f>'EXTRACTION AT GLOBAL DEA'!D220</f>
        <v>112458</v>
      </c>
      <c r="B222" s="77" t="str">
        <f>'EXTRACTION AT GLOBAL DEA'!E220</f>
        <v>HAMDANI</v>
      </c>
      <c r="C222" s="77" t="str">
        <f>'EXTRACTION AT GLOBAL DEA'!F220</f>
        <v>NABIL</v>
      </c>
      <c r="D222" s="77" t="str">
        <f>'EXTRACTION AT GLOBAL DEA'!I220</f>
        <v>MT QJ</v>
      </c>
      <c r="E222" s="66">
        <f>'EXTRACTION AT GLOBAL DEA'!G220</f>
        <v>32</v>
      </c>
      <c r="F222" s="84" t="str">
        <f t="shared" si="9"/>
        <v>30 à 34 ans</v>
      </c>
      <c r="G222" s="77" t="str">
        <f>'EXTRACTION AT GLOBAL DEA'!K220</f>
        <v>S</v>
      </c>
      <c r="H222" s="77">
        <f>'EXTRACTION AT GLOBAL DEA'!N220</f>
        <v>0</v>
      </c>
      <c r="I222" s="77" t="str">
        <f>'EXTRACTION AT GLOBAL DEA'!L220</f>
        <v>N</v>
      </c>
      <c r="J222" s="77" t="str">
        <f>'EXTRACTION AT GLOBAL DEA'!M220</f>
        <v>N</v>
      </c>
      <c r="K222" s="77"/>
      <c r="L222" s="77"/>
      <c r="M222" s="78">
        <f>'EXTRACTION AT GLOBAL DEA'!B220</f>
        <v>42963</v>
      </c>
      <c r="N222" s="77" t="str">
        <f t="shared" si="10"/>
        <v>août</v>
      </c>
      <c r="O222" s="65"/>
      <c r="P222" s="67"/>
      <c r="Q222" s="67"/>
      <c r="R222" s="67"/>
      <c r="S222" s="67"/>
      <c r="T222" s="67"/>
      <c r="U222" s="67"/>
      <c r="V222" s="67"/>
      <c r="W222" s="67"/>
      <c r="X222" s="67"/>
      <c r="Y222" s="67"/>
      <c r="Z222" s="67"/>
      <c r="AA222" s="67"/>
      <c r="AB222" s="68">
        <f t="shared" si="11"/>
        <v>0</v>
      </c>
    </row>
    <row r="223" spans="1:28" x14ac:dyDescent="0.25">
      <c r="A223" s="77" t="str">
        <f>'EXTRACTION AT GLOBAL DEA'!D221</f>
        <v>112419</v>
      </c>
      <c r="B223" s="77" t="str">
        <f>'EXTRACTION AT GLOBAL DEA'!E221</f>
        <v>BAYOUD</v>
      </c>
      <c r="C223" s="77" t="str">
        <f>'EXTRACTION AT GLOBAL DEA'!F221</f>
        <v>ABDELLAH</v>
      </c>
      <c r="D223" s="77" t="str">
        <f>'EXTRACTION AT GLOBAL DEA'!I221</f>
        <v>MT HB QO</v>
      </c>
      <c r="E223" s="66">
        <f>'EXTRACTION AT GLOBAL DEA'!G221</f>
        <v>43</v>
      </c>
      <c r="F223" s="84" t="str">
        <f t="shared" si="9"/>
        <v>40 à 44 ans</v>
      </c>
      <c r="G223" s="77" t="str">
        <f>'EXTRACTION AT GLOBAL DEA'!K221</f>
        <v>S</v>
      </c>
      <c r="H223" s="77">
        <f>'EXTRACTION AT GLOBAL DEA'!N221</f>
        <v>0</v>
      </c>
      <c r="I223" s="77" t="str">
        <f>'EXTRACTION AT GLOBAL DEA'!L221</f>
        <v>N</v>
      </c>
      <c r="J223" s="77" t="str">
        <f>'EXTRACTION AT GLOBAL DEA'!M221</f>
        <v>N</v>
      </c>
      <c r="K223" s="77"/>
      <c r="L223" s="77"/>
      <c r="M223" s="78">
        <f>'EXTRACTION AT GLOBAL DEA'!B221</f>
        <v>42963</v>
      </c>
      <c r="N223" s="77" t="str">
        <f t="shared" si="10"/>
        <v>août</v>
      </c>
      <c r="O223" s="65"/>
      <c r="P223" s="67"/>
      <c r="Q223" s="67"/>
      <c r="R223" s="67"/>
      <c r="S223" s="67"/>
      <c r="T223" s="67"/>
      <c r="U223" s="67"/>
      <c r="V223" s="67"/>
      <c r="W223" s="67"/>
      <c r="X223" s="67"/>
      <c r="Y223" s="67"/>
      <c r="Z223" s="67"/>
      <c r="AA223" s="67"/>
      <c r="AB223" s="68">
        <f t="shared" si="11"/>
        <v>0</v>
      </c>
    </row>
    <row r="224" spans="1:28" x14ac:dyDescent="0.25">
      <c r="A224" s="77" t="str">
        <f>'EXTRACTION AT GLOBAL DEA'!D222</f>
        <v>112492</v>
      </c>
      <c r="B224" s="77" t="str">
        <f>'EXTRACTION AT GLOBAL DEA'!E222</f>
        <v>RANCE</v>
      </c>
      <c r="C224" s="77" t="str">
        <f>'EXTRACTION AT GLOBAL DEA'!F222</f>
        <v>THIBAULT</v>
      </c>
      <c r="D224" s="77" t="str">
        <f>'EXTRACTION AT GLOBAL DEA'!I222</f>
        <v>MT CC PR</v>
      </c>
      <c r="E224" s="66">
        <f>'EXTRACTION AT GLOBAL DEA'!G222</f>
        <v>30</v>
      </c>
      <c r="F224" s="84" t="str">
        <f t="shared" si="9"/>
        <v>30 à 34 ans</v>
      </c>
      <c r="G224" s="77" t="str">
        <f>'EXTRACTION AT GLOBAL DEA'!K222</f>
        <v>S</v>
      </c>
      <c r="H224" s="77">
        <f>'EXTRACTION AT GLOBAL DEA'!N222</f>
        <v>0</v>
      </c>
      <c r="I224" s="77" t="str">
        <f>'EXTRACTION AT GLOBAL DEA'!L222</f>
        <v>N</v>
      </c>
      <c r="J224" s="77" t="str">
        <f>'EXTRACTION AT GLOBAL DEA'!M222</f>
        <v>N</v>
      </c>
      <c r="K224" s="77"/>
      <c r="L224" s="77"/>
      <c r="M224" s="78">
        <f>'EXTRACTION AT GLOBAL DEA'!B222</f>
        <v>42965</v>
      </c>
      <c r="N224" s="77" t="str">
        <f t="shared" si="10"/>
        <v>août</v>
      </c>
      <c r="O224" s="65"/>
      <c r="P224" s="67"/>
      <c r="Q224" s="67"/>
      <c r="R224" s="67"/>
      <c r="S224" s="67"/>
      <c r="T224" s="67"/>
      <c r="U224" s="67"/>
      <c r="V224" s="67"/>
      <c r="W224" s="67"/>
      <c r="X224" s="67"/>
      <c r="Y224" s="67"/>
      <c r="Z224" s="67"/>
      <c r="AA224" s="67"/>
      <c r="AB224" s="68">
        <f t="shared" si="11"/>
        <v>0</v>
      </c>
    </row>
    <row r="225" spans="1:28" x14ac:dyDescent="0.25">
      <c r="A225" s="77" t="str">
        <f>'EXTRACTION AT GLOBAL DEA'!D223</f>
        <v>112565</v>
      </c>
      <c r="B225" s="77" t="str">
        <f>'EXTRACTION AT GLOBAL DEA'!E223</f>
        <v>BLANCHONG</v>
      </c>
      <c r="C225" s="77" t="str">
        <f>'EXTRACTION AT GLOBAL DEA'!F223</f>
        <v>SEBASTIEN</v>
      </c>
      <c r="D225" s="77" t="str">
        <f>'EXTRACTION AT GLOBAL DEA'!I223</f>
        <v>MT HB PR</v>
      </c>
      <c r="E225" s="66">
        <f>'EXTRACTION AT GLOBAL DEA'!G223</f>
        <v>40</v>
      </c>
      <c r="F225" s="84" t="str">
        <f t="shared" si="9"/>
        <v>40 à 44 ans</v>
      </c>
      <c r="G225" s="77" t="str">
        <f>'EXTRACTION AT GLOBAL DEA'!K223</f>
        <v>S</v>
      </c>
      <c r="H225" s="77">
        <f>'EXTRACTION AT GLOBAL DEA'!N223</f>
        <v>26</v>
      </c>
      <c r="I225" s="77" t="str">
        <f>'EXTRACTION AT GLOBAL DEA'!L223</f>
        <v>O</v>
      </c>
      <c r="J225" s="77" t="str">
        <f>'EXTRACTION AT GLOBAL DEA'!M223</f>
        <v>N</v>
      </c>
      <c r="K225" s="77"/>
      <c r="L225" s="77"/>
      <c r="M225" s="78">
        <f>'EXTRACTION AT GLOBAL DEA'!B223</f>
        <v>42967</v>
      </c>
      <c r="N225" s="77" t="str">
        <f t="shared" si="10"/>
        <v>août</v>
      </c>
      <c r="O225" s="65"/>
      <c r="P225" s="67"/>
      <c r="Q225" s="67"/>
      <c r="R225" s="67"/>
      <c r="S225" s="67"/>
      <c r="T225" s="67"/>
      <c r="U225" s="67"/>
      <c r="V225" s="67"/>
      <c r="W225" s="67"/>
      <c r="X225" s="67"/>
      <c r="Y225" s="67"/>
      <c r="Z225" s="67"/>
      <c r="AA225" s="67"/>
      <c r="AB225" s="68">
        <f t="shared" si="11"/>
        <v>0</v>
      </c>
    </row>
    <row r="226" spans="1:28" x14ac:dyDescent="0.25">
      <c r="A226" s="77" t="str">
        <f>'EXTRACTION AT GLOBAL DEA'!D224</f>
        <v>112664</v>
      </c>
      <c r="B226" s="77" t="str">
        <f>'EXTRACTION AT GLOBAL DEA'!E224</f>
        <v>DESPRE</v>
      </c>
      <c r="C226" s="77" t="str">
        <f>'EXTRACTION AT GLOBAL DEA'!F224</f>
        <v>PASCAL</v>
      </c>
      <c r="D226" s="77" t="str">
        <f>'EXTRACTION AT GLOBAL DEA'!I224</f>
        <v>MT HB PR</v>
      </c>
      <c r="E226" s="66">
        <f>'EXTRACTION AT GLOBAL DEA'!G224</f>
        <v>49</v>
      </c>
      <c r="F226" s="84" t="str">
        <f t="shared" si="9"/>
        <v>45 à 49 ans</v>
      </c>
      <c r="G226" s="77" t="str">
        <f>'EXTRACTION AT GLOBAL DEA'!K224</f>
        <v>S</v>
      </c>
      <c r="H226" s="77">
        <f>'EXTRACTION AT GLOBAL DEA'!N224</f>
        <v>13</v>
      </c>
      <c r="I226" s="77" t="str">
        <f>'EXTRACTION AT GLOBAL DEA'!L224</f>
        <v>O</v>
      </c>
      <c r="J226" s="77" t="str">
        <f>'EXTRACTION AT GLOBAL DEA'!M224</f>
        <v>N</v>
      </c>
      <c r="K226" s="77"/>
      <c r="L226" s="77"/>
      <c r="M226" s="78">
        <f>'EXTRACTION AT GLOBAL DEA'!B224</f>
        <v>42969</v>
      </c>
      <c r="N226" s="77" t="str">
        <f t="shared" si="10"/>
        <v>août</v>
      </c>
      <c r="O226" s="65"/>
      <c r="P226" s="67"/>
      <c r="Q226" s="67"/>
      <c r="R226" s="67"/>
      <c r="S226" s="67"/>
      <c r="T226" s="67"/>
      <c r="U226" s="67"/>
      <c r="V226" s="67"/>
      <c r="W226" s="67"/>
      <c r="X226" s="67"/>
      <c r="Y226" s="67"/>
      <c r="Z226" s="67"/>
      <c r="AA226" s="67"/>
      <c r="AB226" s="68">
        <f t="shared" si="11"/>
        <v>0</v>
      </c>
    </row>
    <row r="227" spans="1:28" x14ac:dyDescent="0.25">
      <c r="A227" s="77" t="str">
        <f>'EXTRACTION AT GLOBAL DEA'!D225</f>
        <v>112666</v>
      </c>
      <c r="B227" s="77" t="str">
        <f>'EXTRACTION AT GLOBAL DEA'!E225</f>
        <v>ZAMMIT</v>
      </c>
      <c r="C227" s="77" t="str">
        <f>'EXTRACTION AT GLOBAL DEA'!F225</f>
        <v>JOCELYN</v>
      </c>
      <c r="D227" s="77" t="str">
        <f>'EXTRACTION AT GLOBAL DEA'!I225</f>
        <v>MT YH TA</v>
      </c>
      <c r="E227" s="66">
        <f>'EXTRACTION AT GLOBAL DEA'!G225</f>
        <v>37</v>
      </c>
      <c r="F227" s="84" t="str">
        <f t="shared" si="9"/>
        <v>35 à 39 ans</v>
      </c>
      <c r="G227" s="77" t="str">
        <f>'EXTRACTION AT GLOBAL DEA'!K225</f>
        <v>S</v>
      </c>
      <c r="H227" s="77">
        <f>'EXTRACTION AT GLOBAL DEA'!N225</f>
        <v>0</v>
      </c>
      <c r="I227" s="77" t="str">
        <f>'EXTRACTION AT GLOBAL DEA'!L225</f>
        <v>N</v>
      </c>
      <c r="J227" s="77" t="str">
        <f>'EXTRACTION AT GLOBAL DEA'!M225</f>
        <v>N</v>
      </c>
      <c r="K227" s="77"/>
      <c r="L227" s="77"/>
      <c r="M227" s="78">
        <f>'EXTRACTION AT GLOBAL DEA'!B225</f>
        <v>42969</v>
      </c>
      <c r="N227" s="77" t="str">
        <f t="shared" si="10"/>
        <v>août</v>
      </c>
      <c r="O227" s="65"/>
      <c r="P227" s="67"/>
      <c r="Q227" s="67"/>
      <c r="R227" s="67"/>
      <c r="S227" s="67"/>
      <c r="T227" s="67"/>
      <c r="U227" s="67"/>
      <c r="V227" s="67"/>
      <c r="W227" s="67"/>
      <c r="X227" s="67"/>
      <c r="Y227" s="67"/>
      <c r="Z227" s="67"/>
      <c r="AA227" s="67"/>
      <c r="AB227" s="68">
        <f t="shared" si="11"/>
        <v>0</v>
      </c>
    </row>
    <row r="228" spans="1:28" hidden="1" x14ac:dyDescent="0.25">
      <c r="A228" s="77" t="str">
        <f>'EXTRACTION AT GLOBAL DEA'!D226</f>
        <v>112696</v>
      </c>
      <c r="B228" s="77" t="str">
        <f>'EXTRACTION AT GLOBAL DEA'!E226</f>
        <v>PACIONE</v>
      </c>
      <c r="C228" s="77" t="str">
        <f>'EXTRACTION AT GLOBAL DEA'!F226</f>
        <v>DIDIER</v>
      </c>
      <c r="D228" s="77" t="str">
        <f>'EXTRACTION AT GLOBAL DEA'!I226</f>
        <v>MRSKI</v>
      </c>
      <c r="E228" s="66">
        <f>'EXTRACTION AT GLOBAL DEA'!G226</f>
        <v>56</v>
      </c>
      <c r="F228" s="84" t="str">
        <f t="shared" si="9"/>
        <v>55 à 59 ans</v>
      </c>
      <c r="G228" s="77" t="str">
        <f>'EXTRACTION AT GLOBAL DEA'!K226</f>
        <v>T</v>
      </c>
      <c r="H228" s="77">
        <f>'EXTRACTION AT GLOBAL DEA'!N226</f>
        <v>0</v>
      </c>
      <c r="I228" s="77" t="str">
        <f>'EXTRACTION AT GLOBAL DEA'!L226</f>
        <v>N</v>
      </c>
      <c r="J228" s="77" t="str">
        <f>'EXTRACTION AT GLOBAL DEA'!M226</f>
        <v>N</v>
      </c>
      <c r="K228" s="77"/>
      <c r="L228" s="77"/>
      <c r="M228" s="78">
        <f>'EXTRACTION AT GLOBAL DEA'!B226</f>
        <v>42970</v>
      </c>
      <c r="N228" s="77" t="str">
        <f t="shared" si="10"/>
        <v>août</v>
      </c>
      <c r="O228" s="65"/>
      <c r="P228" s="67"/>
      <c r="Q228" s="67"/>
      <c r="R228" s="67"/>
      <c r="S228" s="67"/>
      <c r="T228" s="67"/>
      <c r="U228" s="67"/>
      <c r="V228" s="67"/>
      <c r="W228" s="67"/>
      <c r="X228" s="67"/>
      <c r="Y228" s="67"/>
      <c r="Z228" s="67"/>
      <c r="AA228" s="67"/>
      <c r="AB228" s="68">
        <f t="shared" si="11"/>
        <v>0</v>
      </c>
    </row>
    <row r="229" spans="1:28" x14ac:dyDescent="0.25">
      <c r="A229" s="77" t="str">
        <f>'EXTRACTION AT GLOBAL DEA'!D227</f>
        <v>112876</v>
      </c>
      <c r="B229" s="77" t="str">
        <f>'EXTRACTION AT GLOBAL DEA'!E227</f>
        <v>DAUPRAT</v>
      </c>
      <c r="C229" s="77" t="str">
        <f>'EXTRACTION AT GLOBAL DEA'!F227</f>
        <v>ERIC</v>
      </c>
      <c r="D229" s="77" t="str">
        <f>'EXTRACTION AT GLOBAL DEA'!I227</f>
        <v>MT CC PR</v>
      </c>
      <c r="E229" s="66">
        <f>'EXTRACTION AT GLOBAL DEA'!G227</f>
        <v>50</v>
      </c>
      <c r="F229" s="84" t="str">
        <f t="shared" si="9"/>
        <v>50 à 54 ans</v>
      </c>
      <c r="G229" s="77" t="str">
        <f>'EXTRACTION AT GLOBAL DEA'!K227</f>
        <v>S</v>
      </c>
      <c r="H229" s="77">
        <f>'EXTRACTION AT GLOBAL DEA'!N227</f>
        <v>4</v>
      </c>
      <c r="I229" s="77" t="str">
        <f>'EXTRACTION AT GLOBAL DEA'!L227</f>
        <v>O</v>
      </c>
      <c r="J229" s="77" t="str">
        <f>'EXTRACTION AT GLOBAL DEA'!M227</f>
        <v>N</v>
      </c>
      <c r="K229" s="77"/>
      <c r="L229" s="77"/>
      <c r="M229" s="78">
        <f>'EXTRACTION AT GLOBAL DEA'!B227</f>
        <v>42975</v>
      </c>
      <c r="N229" s="77" t="str">
        <f t="shared" si="10"/>
        <v>août</v>
      </c>
      <c r="O229" s="65"/>
      <c r="P229" s="67"/>
      <c r="Q229" s="67"/>
      <c r="R229" s="67"/>
      <c r="S229" s="67"/>
      <c r="T229" s="67"/>
      <c r="U229" s="67"/>
      <c r="V229" s="67"/>
      <c r="W229" s="67"/>
      <c r="X229" s="67"/>
      <c r="Y229" s="67"/>
      <c r="Z229" s="67"/>
      <c r="AA229" s="67"/>
      <c r="AB229" s="68">
        <f t="shared" si="11"/>
        <v>0</v>
      </c>
    </row>
    <row r="230" spans="1:28" x14ac:dyDescent="0.25">
      <c r="A230" s="77" t="str">
        <f>'EXTRACTION AT GLOBAL DEA'!D228</f>
        <v>112911</v>
      </c>
      <c r="B230" s="77" t="str">
        <f>'EXTRACTION AT GLOBAL DEA'!E228</f>
        <v>MIENAGATA</v>
      </c>
      <c r="C230" s="77" t="str">
        <f>'EXTRACTION AT GLOBAL DEA'!F228</f>
        <v>AURCHINY</v>
      </c>
      <c r="D230" s="77" t="str">
        <f>'EXTRACTION AT GLOBAL DEA'!I228</f>
        <v>MT HB QO</v>
      </c>
      <c r="E230" s="66">
        <f>'EXTRACTION AT GLOBAL DEA'!G228</f>
        <v>39</v>
      </c>
      <c r="F230" s="84" t="str">
        <f t="shared" si="9"/>
        <v>35 à 39 ans</v>
      </c>
      <c r="G230" s="77" t="str">
        <f>'EXTRACTION AT GLOBAL DEA'!K228</f>
        <v>S</v>
      </c>
      <c r="H230" s="77">
        <f>'EXTRACTION AT GLOBAL DEA'!N228</f>
        <v>0</v>
      </c>
      <c r="I230" s="77" t="str">
        <f>'EXTRACTION AT GLOBAL DEA'!L228</f>
        <v>N</v>
      </c>
      <c r="J230" s="77" t="str">
        <f>'EXTRACTION AT GLOBAL DEA'!M228</f>
        <v>N</v>
      </c>
      <c r="K230" s="77"/>
      <c r="L230" s="77"/>
      <c r="M230" s="78">
        <f>'EXTRACTION AT GLOBAL DEA'!B228</f>
        <v>42975</v>
      </c>
      <c r="N230" s="77" t="str">
        <f t="shared" si="10"/>
        <v>août</v>
      </c>
      <c r="O230" s="65"/>
      <c r="P230" s="67"/>
      <c r="Q230" s="67"/>
      <c r="R230" s="67"/>
      <c r="S230" s="67"/>
      <c r="T230" s="67"/>
      <c r="U230" s="67"/>
      <c r="V230" s="67"/>
      <c r="W230" s="67"/>
      <c r="X230" s="67"/>
      <c r="Y230" s="67"/>
      <c r="Z230" s="67"/>
      <c r="AA230" s="67"/>
      <c r="AB230" s="68">
        <f t="shared" si="11"/>
        <v>0</v>
      </c>
    </row>
    <row r="231" spans="1:28" x14ac:dyDescent="0.25">
      <c r="A231" s="77" t="str">
        <f>'EXTRACTION AT GLOBAL DEA'!D229</f>
        <v>112856</v>
      </c>
      <c r="B231" s="77" t="str">
        <f>'EXTRACTION AT GLOBAL DEA'!E229</f>
        <v>SERVERIAN</v>
      </c>
      <c r="C231" s="77" t="str">
        <f>'EXTRACTION AT GLOBAL DEA'!F229</f>
        <v>PATRICK</v>
      </c>
      <c r="D231" s="77" t="str">
        <f>'EXTRACTION AT GLOBAL DEA'!I229</f>
        <v>MT HB SA</v>
      </c>
      <c r="E231" s="66">
        <f>'EXTRACTION AT GLOBAL DEA'!G229</f>
        <v>65</v>
      </c>
      <c r="F231" s="84" t="str">
        <f t="shared" si="9"/>
        <v>55 à 59 ans</v>
      </c>
      <c r="G231" s="77" t="str">
        <f>'EXTRACTION AT GLOBAL DEA'!K229</f>
        <v>S</v>
      </c>
      <c r="H231" s="77">
        <f>'EXTRACTION AT GLOBAL DEA'!N229</f>
        <v>1</v>
      </c>
      <c r="I231" s="77" t="str">
        <f>'EXTRACTION AT GLOBAL DEA'!L229</f>
        <v>O</v>
      </c>
      <c r="J231" s="77" t="str">
        <f>'EXTRACTION AT GLOBAL DEA'!M229</f>
        <v>N</v>
      </c>
      <c r="K231" s="77"/>
      <c r="L231" s="77"/>
      <c r="M231" s="78">
        <f>'EXTRACTION AT GLOBAL DEA'!B229</f>
        <v>42976</v>
      </c>
      <c r="N231" s="77" t="str">
        <f t="shared" si="10"/>
        <v>août</v>
      </c>
      <c r="O231" s="65"/>
      <c r="P231" s="67"/>
      <c r="Q231" s="67"/>
      <c r="R231" s="67"/>
      <c r="S231" s="67"/>
      <c r="T231" s="67"/>
      <c r="U231" s="67"/>
      <c r="V231" s="67"/>
      <c r="W231" s="67"/>
      <c r="X231" s="67"/>
      <c r="Y231" s="67"/>
      <c r="Z231" s="67"/>
      <c r="AA231" s="67"/>
      <c r="AB231" s="68">
        <f t="shared" si="11"/>
        <v>0</v>
      </c>
    </row>
    <row r="232" spans="1:28" x14ac:dyDescent="0.25">
      <c r="A232" s="77" t="str">
        <f>'EXTRACTION AT GLOBAL DEA'!D230</f>
        <v>112877</v>
      </c>
      <c r="B232" s="77" t="str">
        <f>'EXTRACTION AT GLOBAL DEA'!E230</f>
        <v>CARREL</v>
      </c>
      <c r="C232" s="77" t="str">
        <f>'EXTRACTION AT GLOBAL DEA'!F230</f>
        <v>PHILIPPE</v>
      </c>
      <c r="D232" s="77" t="str">
        <f>'EXTRACTION AT GLOBAL DEA'!I230</f>
        <v>MT CA PR</v>
      </c>
      <c r="E232" s="66">
        <f>'EXTRACTION AT GLOBAL DEA'!G230</f>
        <v>50</v>
      </c>
      <c r="F232" s="84" t="str">
        <f t="shared" si="9"/>
        <v>50 à 54 ans</v>
      </c>
      <c r="G232" s="77" t="str">
        <f>'EXTRACTION AT GLOBAL DEA'!K230</f>
        <v>S</v>
      </c>
      <c r="H232" s="77">
        <f>'EXTRACTION AT GLOBAL DEA'!N230</f>
        <v>0</v>
      </c>
      <c r="I232" s="77" t="str">
        <f>'EXTRACTION AT GLOBAL DEA'!L230</f>
        <v>N</v>
      </c>
      <c r="J232" s="77" t="str">
        <f>'EXTRACTION AT GLOBAL DEA'!M230</f>
        <v>N</v>
      </c>
      <c r="K232" s="77"/>
      <c r="L232" s="77"/>
      <c r="M232" s="78">
        <f>'EXTRACTION AT GLOBAL DEA'!B230</f>
        <v>42976</v>
      </c>
      <c r="N232" s="77" t="str">
        <f t="shared" si="10"/>
        <v>août</v>
      </c>
      <c r="O232" s="65"/>
      <c r="P232" s="67"/>
      <c r="Q232" s="67"/>
      <c r="R232" s="67"/>
      <c r="S232" s="67"/>
      <c r="T232" s="67"/>
      <c r="U232" s="67"/>
      <c r="V232" s="67"/>
      <c r="W232" s="67"/>
      <c r="X232" s="67"/>
      <c r="Y232" s="67"/>
      <c r="Z232" s="67"/>
      <c r="AA232" s="67"/>
      <c r="AB232" s="68">
        <f t="shared" si="11"/>
        <v>0</v>
      </c>
    </row>
    <row r="233" spans="1:28" x14ac:dyDescent="0.25">
      <c r="A233" s="77" t="str">
        <f>'EXTRACTION AT GLOBAL DEA'!D231</f>
        <v>112921</v>
      </c>
      <c r="B233" s="77" t="str">
        <f>'EXTRACTION AT GLOBAL DEA'!E231</f>
        <v>CHAUMETTE</v>
      </c>
      <c r="C233" s="77" t="str">
        <f>'EXTRACTION AT GLOBAL DEA'!F231</f>
        <v>CHRISTOPHE</v>
      </c>
      <c r="D233" s="77" t="str">
        <f>'EXTRACTION AT GLOBAL DEA'!I231</f>
        <v>MT HB PR</v>
      </c>
      <c r="E233" s="66">
        <f>'EXTRACTION AT GLOBAL DEA'!G231</f>
        <v>45</v>
      </c>
      <c r="F233" s="84" t="str">
        <f t="shared" si="9"/>
        <v>45 à 49 ans</v>
      </c>
      <c r="G233" s="77" t="str">
        <f>'EXTRACTION AT GLOBAL DEA'!K231</f>
        <v>S</v>
      </c>
      <c r="H233" s="77">
        <f>'EXTRACTION AT GLOBAL DEA'!N231</f>
        <v>0</v>
      </c>
      <c r="I233" s="77" t="str">
        <f>'EXTRACTION AT GLOBAL DEA'!L231</f>
        <v>N</v>
      </c>
      <c r="J233" s="77" t="str">
        <f>'EXTRACTION AT GLOBAL DEA'!M231</f>
        <v>N</v>
      </c>
      <c r="K233" s="77"/>
      <c r="L233" s="77"/>
      <c r="M233" s="78">
        <f>'EXTRACTION AT GLOBAL DEA'!B231</f>
        <v>42976</v>
      </c>
      <c r="N233" s="77" t="str">
        <f t="shared" si="10"/>
        <v>août</v>
      </c>
      <c r="O233" s="65"/>
      <c r="P233" s="67"/>
      <c r="Q233" s="67"/>
      <c r="R233" s="67"/>
      <c r="S233" s="67"/>
      <c r="T233" s="67"/>
      <c r="U233" s="67"/>
      <c r="V233" s="67"/>
      <c r="W233" s="67"/>
      <c r="X233" s="67"/>
      <c r="Y233" s="67"/>
      <c r="Z233" s="67"/>
      <c r="AA233" s="67"/>
      <c r="AB233" s="68">
        <f t="shared" si="11"/>
        <v>0</v>
      </c>
    </row>
    <row r="234" spans="1:28" x14ac:dyDescent="0.25">
      <c r="A234" s="77" t="str">
        <f>'EXTRACTION AT GLOBAL DEA'!D232</f>
        <v>112945</v>
      </c>
      <c r="B234" s="77" t="str">
        <f>'EXTRACTION AT GLOBAL DEA'!E232</f>
        <v>SELLIER</v>
      </c>
      <c r="C234" s="77" t="str">
        <f>'EXTRACTION AT GLOBAL DEA'!F232</f>
        <v>THIERRY</v>
      </c>
      <c r="D234" s="77" t="str">
        <f>'EXTRACTION AT GLOBAL DEA'!I232</f>
        <v>MT CG PR</v>
      </c>
      <c r="E234" s="66">
        <f>'EXTRACTION AT GLOBAL DEA'!G232</f>
        <v>46</v>
      </c>
      <c r="F234" s="84" t="str">
        <f t="shared" si="9"/>
        <v>45 à 49 ans</v>
      </c>
      <c r="G234" s="77" t="str">
        <f>'EXTRACTION AT GLOBAL DEA'!K232</f>
        <v>S</v>
      </c>
      <c r="H234" s="77">
        <f>'EXTRACTION AT GLOBAL DEA'!N232</f>
        <v>0</v>
      </c>
      <c r="I234" s="77" t="str">
        <f>'EXTRACTION AT GLOBAL DEA'!L232</f>
        <v>N</v>
      </c>
      <c r="J234" s="77" t="str">
        <f>'EXTRACTION AT GLOBAL DEA'!M232</f>
        <v>N</v>
      </c>
      <c r="K234" s="77"/>
      <c r="L234" s="77"/>
      <c r="M234" s="78">
        <f>'EXTRACTION AT GLOBAL DEA'!B232</f>
        <v>42977</v>
      </c>
      <c r="N234" s="77" t="str">
        <f t="shared" si="10"/>
        <v>août</v>
      </c>
      <c r="O234" s="65"/>
      <c r="P234" s="67"/>
      <c r="Q234" s="67"/>
      <c r="R234" s="67"/>
      <c r="S234" s="67"/>
      <c r="T234" s="67"/>
      <c r="U234" s="67"/>
      <c r="V234" s="67"/>
      <c r="W234" s="67"/>
      <c r="X234" s="67"/>
      <c r="Y234" s="67"/>
      <c r="Z234" s="67"/>
      <c r="AA234" s="67"/>
      <c r="AB234" s="68">
        <f t="shared" si="11"/>
        <v>0</v>
      </c>
    </row>
    <row r="235" spans="1:28" x14ac:dyDescent="0.25">
      <c r="A235" s="77" t="str">
        <f>'EXTRACTION AT GLOBAL DEA'!D233</f>
        <v>113003</v>
      </c>
      <c r="B235" s="77" t="str">
        <f>'EXTRACTION AT GLOBAL DEA'!E233</f>
        <v>SENEZ</v>
      </c>
      <c r="C235" s="77" t="str">
        <f>'EXTRACTION AT GLOBAL DEA'!F233</f>
        <v>AURELIEN</v>
      </c>
      <c r="D235" s="77" t="str">
        <f>'EXTRACTION AT GLOBAL DEA'!I233</f>
        <v>MT CA PR</v>
      </c>
      <c r="E235" s="66">
        <f>'EXTRACTION AT GLOBAL DEA'!G233</f>
        <v>40</v>
      </c>
      <c r="F235" s="84" t="str">
        <f t="shared" si="9"/>
        <v>40 à 44 ans</v>
      </c>
      <c r="G235" s="77" t="str">
        <f>'EXTRACTION AT GLOBAL DEA'!K233</f>
        <v>S</v>
      </c>
      <c r="H235" s="77">
        <f>'EXTRACTION AT GLOBAL DEA'!N233</f>
        <v>4</v>
      </c>
      <c r="I235" s="77" t="str">
        <f>'EXTRACTION AT GLOBAL DEA'!L233</f>
        <v>O</v>
      </c>
      <c r="J235" s="77" t="str">
        <f>'EXTRACTION AT GLOBAL DEA'!M233</f>
        <v>N</v>
      </c>
      <c r="K235" s="77"/>
      <c r="L235" s="77"/>
      <c r="M235" s="78">
        <f>'EXTRACTION AT GLOBAL DEA'!B233</f>
        <v>42979</v>
      </c>
      <c r="N235" s="77" t="str">
        <f t="shared" si="10"/>
        <v>septembre</v>
      </c>
      <c r="O235" s="65"/>
      <c r="P235" s="67"/>
      <c r="Q235" s="67"/>
      <c r="R235" s="67"/>
      <c r="S235" s="67"/>
      <c r="T235" s="67"/>
      <c r="U235" s="67"/>
      <c r="V235" s="67"/>
      <c r="W235" s="67"/>
      <c r="X235" s="67"/>
      <c r="Y235" s="67"/>
      <c r="Z235" s="67"/>
      <c r="AA235" s="67"/>
      <c r="AB235" s="68">
        <f t="shared" si="11"/>
        <v>0</v>
      </c>
    </row>
    <row r="236" spans="1:28" x14ac:dyDescent="0.25">
      <c r="A236" s="77" t="str">
        <f>'EXTRACTION AT GLOBAL DEA'!D234</f>
        <v>113050</v>
      </c>
      <c r="B236" s="77" t="str">
        <f>'EXTRACTION AT GLOBAL DEA'!E234</f>
        <v>D'AGOSTINI</v>
      </c>
      <c r="C236" s="77" t="str">
        <f>'EXTRACTION AT GLOBAL DEA'!F234</f>
        <v>FABIEN</v>
      </c>
      <c r="D236" s="77" t="str">
        <f>'EXTRACTION AT GLOBAL DEA'!I234</f>
        <v>BLDPUDRY</v>
      </c>
      <c r="E236" s="66">
        <f>'EXTRACTION AT GLOBAL DEA'!G234</f>
        <v>17</v>
      </c>
      <c r="F236" s="84" t="str">
        <f t="shared" si="9"/>
        <v>Moins de 20 ans</v>
      </c>
      <c r="G236" s="77" t="str">
        <f>'EXTRACTION AT GLOBAL DEA'!K234</f>
        <v>S</v>
      </c>
      <c r="H236" s="77">
        <f>'EXTRACTION AT GLOBAL DEA'!N234</f>
        <v>0</v>
      </c>
      <c r="I236" s="77" t="str">
        <f>'EXTRACTION AT GLOBAL DEA'!L234</f>
        <v>N</v>
      </c>
      <c r="J236" s="77" t="str">
        <f>'EXTRACTION AT GLOBAL DEA'!M234</f>
        <v>N</v>
      </c>
      <c r="K236" s="77"/>
      <c r="L236" s="77"/>
      <c r="M236" s="78">
        <f>'EXTRACTION AT GLOBAL DEA'!B234</f>
        <v>42979</v>
      </c>
      <c r="N236" s="77" t="str">
        <f t="shared" si="10"/>
        <v>septembre</v>
      </c>
      <c r="O236" s="65"/>
      <c r="P236" s="67"/>
      <c r="Q236" s="67"/>
      <c r="R236" s="67"/>
      <c r="S236" s="67"/>
      <c r="T236" s="67"/>
      <c r="U236" s="67"/>
      <c r="V236" s="67"/>
      <c r="W236" s="67"/>
      <c r="X236" s="67"/>
      <c r="Y236" s="67"/>
      <c r="Z236" s="67"/>
      <c r="AA236" s="67"/>
      <c r="AB236" s="68">
        <f t="shared" si="11"/>
        <v>0</v>
      </c>
    </row>
    <row r="237" spans="1:28" x14ac:dyDescent="0.25">
      <c r="A237" s="77" t="str">
        <f>'EXTRACTION AT GLOBAL DEA'!D235</f>
        <v>113035</v>
      </c>
      <c r="B237" s="77" t="str">
        <f>'EXTRACTION AT GLOBAL DEA'!E235</f>
        <v>POURRE</v>
      </c>
      <c r="C237" s="77" t="str">
        <f>'EXTRACTION AT GLOBAL DEA'!F235</f>
        <v>MATHIAS</v>
      </c>
      <c r="D237" s="77" t="str">
        <f>'EXTRACTION AT GLOBAL DEA'!I235</f>
        <v>MT CC PR</v>
      </c>
      <c r="E237" s="66">
        <f>'EXTRACTION AT GLOBAL DEA'!G235</f>
        <v>36</v>
      </c>
      <c r="F237" s="84" t="str">
        <f t="shared" si="9"/>
        <v>35 à 39 ans</v>
      </c>
      <c r="G237" s="77" t="str">
        <f>'EXTRACTION AT GLOBAL DEA'!K235</f>
        <v>S</v>
      </c>
      <c r="H237" s="77">
        <f>'EXTRACTION AT GLOBAL DEA'!N235</f>
        <v>0</v>
      </c>
      <c r="I237" s="77" t="str">
        <f>'EXTRACTION AT GLOBAL DEA'!L235</f>
        <v>N</v>
      </c>
      <c r="J237" s="77" t="str">
        <f>'EXTRACTION AT GLOBAL DEA'!M235</f>
        <v>N</v>
      </c>
      <c r="K237" s="77"/>
      <c r="L237" s="77"/>
      <c r="M237" s="78">
        <f>'EXTRACTION AT GLOBAL DEA'!B235</f>
        <v>42979</v>
      </c>
      <c r="N237" s="77" t="str">
        <f t="shared" si="10"/>
        <v>septembre</v>
      </c>
      <c r="O237" s="65"/>
      <c r="P237" s="67"/>
      <c r="Q237" s="67"/>
      <c r="R237" s="67"/>
      <c r="S237" s="67"/>
      <c r="T237" s="67"/>
      <c r="U237" s="67"/>
      <c r="V237" s="67"/>
      <c r="W237" s="67"/>
      <c r="X237" s="67"/>
      <c r="Y237" s="67"/>
      <c r="Z237" s="67"/>
      <c r="AA237" s="67"/>
      <c r="AB237" s="68">
        <f t="shared" si="11"/>
        <v>0</v>
      </c>
    </row>
    <row r="238" spans="1:28" x14ac:dyDescent="0.25">
      <c r="A238" s="77" t="str">
        <f>'EXTRACTION AT GLOBAL DEA'!D236</f>
        <v>113072</v>
      </c>
      <c r="B238" s="77" t="str">
        <f>'EXTRACTION AT GLOBAL DEA'!E236</f>
        <v>FRANCOIS</v>
      </c>
      <c r="C238" s="77" t="str">
        <f>'EXTRACTION AT GLOBAL DEA'!F236</f>
        <v>THIERRY</v>
      </c>
      <c r="D238" s="77" t="str">
        <f>'EXTRACTION AT GLOBAL DEA'!I236</f>
        <v>MT CA PR</v>
      </c>
      <c r="E238" s="66">
        <f>'EXTRACTION AT GLOBAL DEA'!G236</f>
        <v>50</v>
      </c>
      <c r="F238" s="84" t="str">
        <f t="shared" si="9"/>
        <v>50 à 54 ans</v>
      </c>
      <c r="G238" s="77" t="str">
        <f>'EXTRACTION AT GLOBAL DEA'!K236</f>
        <v>S</v>
      </c>
      <c r="H238" s="77">
        <f>'EXTRACTION AT GLOBAL DEA'!N236</f>
        <v>0</v>
      </c>
      <c r="I238" s="77" t="str">
        <f>'EXTRACTION AT GLOBAL DEA'!L236</f>
        <v>N</v>
      </c>
      <c r="J238" s="77" t="str">
        <f>'EXTRACTION AT GLOBAL DEA'!M236</f>
        <v>O</v>
      </c>
      <c r="K238" s="77"/>
      <c r="L238" s="77"/>
      <c r="M238" s="78">
        <f>'EXTRACTION AT GLOBAL DEA'!B236</f>
        <v>42980</v>
      </c>
      <c r="N238" s="77" t="str">
        <f t="shared" si="10"/>
        <v>septembre</v>
      </c>
      <c r="O238" s="65"/>
      <c r="P238" s="67"/>
      <c r="Q238" s="67"/>
      <c r="R238" s="67"/>
      <c r="S238" s="67"/>
      <c r="T238" s="67"/>
      <c r="U238" s="67"/>
      <c r="V238" s="67"/>
      <c r="W238" s="67"/>
      <c r="X238" s="67"/>
      <c r="Y238" s="67"/>
      <c r="Z238" s="67"/>
      <c r="AA238" s="67"/>
      <c r="AB238" s="68">
        <f t="shared" si="11"/>
        <v>0</v>
      </c>
    </row>
    <row r="239" spans="1:28" x14ac:dyDescent="0.25">
      <c r="A239" s="77" t="str">
        <f>'EXTRACTION AT GLOBAL DEA'!D237</f>
        <v>113121</v>
      </c>
      <c r="B239" s="77" t="str">
        <f>'EXTRACTION AT GLOBAL DEA'!E237</f>
        <v>DERTOROSSIAN</v>
      </c>
      <c r="C239" s="77" t="str">
        <f>'EXTRACTION AT GLOBAL DEA'!F237</f>
        <v>CHRISTOPHE</v>
      </c>
      <c r="D239" s="77" t="str">
        <f>'EXTRACTION AT GLOBAL DEA'!I237</f>
        <v>MT HB PR</v>
      </c>
      <c r="E239" s="66">
        <f>'EXTRACTION AT GLOBAL DEA'!G237</f>
        <v>38</v>
      </c>
      <c r="F239" s="84" t="str">
        <f t="shared" si="9"/>
        <v>35 à 39 ans</v>
      </c>
      <c r="G239" s="77" t="str">
        <f>'EXTRACTION AT GLOBAL DEA'!K237</f>
        <v>S</v>
      </c>
      <c r="H239" s="77">
        <f>'EXTRACTION AT GLOBAL DEA'!N237</f>
        <v>14</v>
      </c>
      <c r="I239" s="77" t="str">
        <f>'EXTRACTION AT GLOBAL DEA'!L237</f>
        <v>O</v>
      </c>
      <c r="J239" s="77" t="str">
        <f>'EXTRACTION AT GLOBAL DEA'!M237</f>
        <v>N</v>
      </c>
      <c r="K239" s="77"/>
      <c r="L239" s="77"/>
      <c r="M239" s="78">
        <f>'EXTRACTION AT GLOBAL DEA'!B237</f>
        <v>42982</v>
      </c>
      <c r="N239" s="77" t="str">
        <f t="shared" si="10"/>
        <v>septembre</v>
      </c>
      <c r="O239" s="65"/>
      <c r="P239" s="67"/>
      <c r="Q239" s="67"/>
      <c r="R239" s="67"/>
      <c r="S239" s="67"/>
      <c r="T239" s="67"/>
      <c r="U239" s="67"/>
      <c r="V239" s="67"/>
      <c r="W239" s="67"/>
      <c r="X239" s="67"/>
      <c r="Y239" s="67"/>
      <c r="Z239" s="67"/>
      <c r="AA239" s="67"/>
      <c r="AB239" s="68">
        <f t="shared" si="11"/>
        <v>0</v>
      </c>
    </row>
    <row r="240" spans="1:28" x14ac:dyDescent="0.25">
      <c r="A240" s="77" t="str">
        <f>'EXTRACTION AT GLOBAL DEA'!D238</f>
        <v>113154</v>
      </c>
      <c r="B240" s="77" t="str">
        <f>'EXTRACTION AT GLOBAL DEA'!E238</f>
        <v>KERAMBLOCH</v>
      </c>
      <c r="C240" s="77" t="str">
        <f>'EXTRACTION AT GLOBAL DEA'!F238</f>
        <v>JULIEN</v>
      </c>
      <c r="D240" s="77" t="str">
        <f>'EXTRACTION AT GLOBAL DEA'!I238</f>
        <v>MT CA PR</v>
      </c>
      <c r="E240" s="66">
        <f>'EXTRACTION AT GLOBAL DEA'!G238</f>
        <v>28</v>
      </c>
      <c r="F240" s="84" t="str">
        <f t="shared" si="9"/>
        <v>25 à 29 ans</v>
      </c>
      <c r="G240" s="77" t="str">
        <f>'EXTRACTION AT GLOBAL DEA'!K238</f>
        <v>S</v>
      </c>
      <c r="H240" s="77">
        <f>'EXTRACTION AT GLOBAL DEA'!N238</f>
        <v>7</v>
      </c>
      <c r="I240" s="77" t="str">
        <f>'EXTRACTION AT GLOBAL DEA'!L238</f>
        <v>O</v>
      </c>
      <c r="J240" s="77" t="str">
        <f>'EXTRACTION AT GLOBAL DEA'!M238</f>
        <v>N</v>
      </c>
      <c r="K240" s="77"/>
      <c r="L240" s="77"/>
      <c r="M240" s="78">
        <f>'EXTRACTION AT GLOBAL DEA'!B238</f>
        <v>42982</v>
      </c>
      <c r="N240" s="77" t="str">
        <f t="shared" si="10"/>
        <v>septembre</v>
      </c>
      <c r="O240" s="65"/>
      <c r="P240" s="67"/>
      <c r="Q240" s="67"/>
      <c r="R240" s="67"/>
      <c r="S240" s="67"/>
      <c r="T240" s="67"/>
      <c r="U240" s="67"/>
      <c r="V240" s="67"/>
      <c r="W240" s="67"/>
      <c r="X240" s="67"/>
      <c r="Y240" s="67"/>
      <c r="Z240" s="67"/>
      <c r="AA240" s="67"/>
      <c r="AB240" s="68">
        <f t="shared" si="11"/>
        <v>0</v>
      </c>
    </row>
    <row r="241" spans="1:28" x14ac:dyDescent="0.25">
      <c r="A241" s="77" t="str">
        <f>'EXTRACTION AT GLOBAL DEA'!D239</f>
        <v>113323</v>
      </c>
      <c r="B241" s="77" t="str">
        <f>'EXTRACTION AT GLOBAL DEA'!E239</f>
        <v>GESLIN</v>
      </c>
      <c r="C241" s="77" t="str">
        <f>'EXTRACTION AT GLOBAL DEA'!F239</f>
        <v>BENJAMIN</v>
      </c>
      <c r="D241" s="77" t="str">
        <f>'EXTRACTION AT GLOBAL DEA'!I239</f>
        <v>MT CC PR</v>
      </c>
      <c r="E241" s="66">
        <f>'EXTRACTION AT GLOBAL DEA'!G239</f>
        <v>25</v>
      </c>
      <c r="F241" s="84" t="str">
        <f t="shared" si="9"/>
        <v>25 à 29 ans</v>
      </c>
      <c r="G241" s="77" t="str">
        <f>'EXTRACTION AT GLOBAL DEA'!K239</f>
        <v>S</v>
      </c>
      <c r="H241" s="77">
        <f>'EXTRACTION AT GLOBAL DEA'!N239</f>
        <v>0</v>
      </c>
      <c r="I241" s="77" t="str">
        <f>'EXTRACTION AT GLOBAL DEA'!L239</f>
        <v>N</v>
      </c>
      <c r="J241" s="77" t="str">
        <f>'EXTRACTION AT GLOBAL DEA'!M239</f>
        <v>N</v>
      </c>
      <c r="K241" s="77"/>
      <c r="L241" s="77"/>
      <c r="M241" s="78">
        <f>'EXTRACTION AT GLOBAL DEA'!B239</f>
        <v>42982</v>
      </c>
      <c r="N241" s="77" t="str">
        <f t="shared" si="10"/>
        <v>septembre</v>
      </c>
      <c r="O241" s="65"/>
      <c r="P241" s="67"/>
      <c r="Q241" s="67"/>
      <c r="R241" s="67"/>
      <c r="S241" s="67"/>
      <c r="T241" s="67"/>
      <c r="U241" s="67"/>
      <c r="V241" s="67"/>
      <c r="W241" s="67"/>
      <c r="X241" s="67"/>
      <c r="Y241" s="67"/>
      <c r="Z241" s="67"/>
      <c r="AA241" s="67"/>
      <c r="AB241" s="68">
        <f t="shared" si="11"/>
        <v>0</v>
      </c>
    </row>
    <row r="242" spans="1:28" hidden="1" x14ac:dyDescent="0.25">
      <c r="A242" s="77" t="str">
        <f>'EXTRACTION AT GLOBAL DEA'!D240</f>
        <v>113119</v>
      </c>
      <c r="B242" s="77" t="str">
        <f>'EXTRACTION AT GLOBAL DEA'!E240</f>
        <v>DA SILVA</v>
      </c>
      <c r="C242" s="77" t="str">
        <f>'EXTRACTION AT GLOBAL DEA'!F240</f>
        <v>GEORGES</v>
      </c>
      <c r="D242" s="77" t="str">
        <f>'EXTRACTION AT GLOBAL DEA'!I240</f>
        <v>MT QP</v>
      </c>
      <c r="E242" s="66">
        <f>'EXTRACTION AT GLOBAL DEA'!G240</f>
        <v>51</v>
      </c>
      <c r="F242" s="84" t="str">
        <f t="shared" si="9"/>
        <v>50 à 54 ans</v>
      </c>
      <c r="G242" s="77" t="str">
        <f>'EXTRACTION AT GLOBAL DEA'!K240</f>
        <v>T</v>
      </c>
      <c r="H242" s="77">
        <f>'EXTRACTION AT GLOBAL DEA'!N240</f>
        <v>0</v>
      </c>
      <c r="I242" s="77" t="str">
        <f>'EXTRACTION AT GLOBAL DEA'!L240</f>
        <v>N</v>
      </c>
      <c r="J242" s="77" t="str">
        <f>'EXTRACTION AT GLOBAL DEA'!M240</f>
        <v>N</v>
      </c>
      <c r="K242" s="77"/>
      <c r="L242" s="77"/>
      <c r="M242" s="78">
        <f>'EXTRACTION AT GLOBAL DEA'!B240</f>
        <v>42983</v>
      </c>
      <c r="N242" s="77" t="str">
        <f t="shared" si="10"/>
        <v>septembre</v>
      </c>
      <c r="O242" s="65"/>
      <c r="P242" s="67"/>
      <c r="Q242" s="67"/>
      <c r="R242" s="67"/>
      <c r="S242" s="67"/>
      <c r="T242" s="67"/>
      <c r="U242" s="67"/>
      <c r="V242" s="67"/>
      <c r="W242" s="67"/>
      <c r="X242" s="67"/>
      <c r="Y242" s="67"/>
      <c r="Z242" s="67"/>
      <c r="AA242" s="67"/>
      <c r="AB242" s="68">
        <f t="shared" si="11"/>
        <v>0</v>
      </c>
    </row>
    <row r="243" spans="1:28" x14ac:dyDescent="0.25">
      <c r="A243" s="77" t="str">
        <f>'EXTRACTION AT GLOBAL DEA'!D241</f>
        <v>113018</v>
      </c>
      <c r="B243" s="77" t="str">
        <f>'EXTRACTION AT GLOBAL DEA'!E241</f>
        <v>GRISARD</v>
      </c>
      <c r="C243" s="77" t="str">
        <f>'EXTRACTION AT GLOBAL DEA'!F241</f>
        <v>NICOLAS</v>
      </c>
      <c r="D243" s="77" t="str">
        <f>'EXTRACTION AT GLOBAL DEA'!I241</f>
        <v>MT QJ</v>
      </c>
      <c r="E243" s="66">
        <f>'EXTRACTION AT GLOBAL DEA'!G241</f>
        <v>33</v>
      </c>
      <c r="F243" s="84" t="str">
        <f t="shared" si="9"/>
        <v>30 à 34 ans</v>
      </c>
      <c r="G243" s="77" t="str">
        <f>'EXTRACTION AT GLOBAL DEA'!K241</f>
        <v>S</v>
      </c>
      <c r="H243" s="77">
        <f>'EXTRACTION AT GLOBAL DEA'!N241</f>
        <v>0</v>
      </c>
      <c r="I243" s="77" t="str">
        <f>'EXTRACTION AT GLOBAL DEA'!L241</f>
        <v>N</v>
      </c>
      <c r="J243" s="77" t="str">
        <f>'EXTRACTION AT GLOBAL DEA'!M241</f>
        <v>N</v>
      </c>
      <c r="K243" s="77"/>
      <c r="L243" s="77"/>
      <c r="M243" s="78">
        <f>'EXTRACTION AT GLOBAL DEA'!B241</f>
        <v>42983</v>
      </c>
      <c r="N243" s="77" t="str">
        <f t="shared" si="10"/>
        <v>septembre</v>
      </c>
      <c r="O243" s="65"/>
      <c r="P243" s="67"/>
      <c r="Q243" s="67"/>
      <c r="R243" s="67"/>
      <c r="S243" s="67"/>
      <c r="T243" s="67"/>
      <c r="U243" s="67"/>
      <c r="V243" s="67"/>
      <c r="W243" s="67"/>
      <c r="X243" s="67"/>
      <c r="Y243" s="67"/>
      <c r="Z243" s="67"/>
      <c r="AA243" s="67"/>
      <c r="AB243" s="68">
        <f t="shared" si="11"/>
        <v>0</v>
      </c>
    </row>
    <row r="244" spans="1:28" x14ac:dyDescent="0.25">
      <c r="A244" s="77" t="str">
        <f>'EXTRACTION AT GLOBAL DEA'!D242</f>
        <v>113147</v>
      </c>
      <c r="B244" s="77" t="str">
        <f>'EXTRACTION AT GLOBAL DEA'!E242</f>
        <v>CONDAT</v>
      </c>
      <c r="C244" s="77" t="str">
        <f>'EXTRACTION AT GLOBAL DEA'!F242</f>
        <v>CHRISTOPHE</v>
      </c>
      <c r="D244" s="77" t="str">
        <f>'EXTRACTION AT GLOBAL DEA'!I242</f>
        <v>MT CA PR</v>
      </c>
      <c r="E244" s="66">
        <f>'EXTRACTION AT GLOBAL DEA'!G242</f>
        <v>50</v>
      </c>
      <c r="F244" s="84" t="str">
        <f t="shared" si="9"/>
        <v>50 à 54 ans</v>
      </c>
      <c r="G244" s="77" t="str">
        <f>'EXTRACTION AT GLOBAL DEA'!K242</f>
        <v>S</v>
      </c>
      <c r="H244" s="77">
        <f>'EXTRACTION AT GLOBAL DEA'!N242</f>
        <v>0</v>
      </c>
      <c r="I244" s="77" t="str">
        <f>'EXTRACTION AT GLOBAL DEA'!L242</f>
        <v>N</v>
      </c>
      <c r="J244" s="77" t="str">
        <f>'EXTRACTION AT GLOBAL DEA'!M242</f>
        <v>N</v>
      </c>
      <c r="K244" s="77"/>
      <c r="L244" s="77"/>
      <c r="M244" s="78">
        <f>'EXTRACTION AT GLOBAL DEA'!B242</f>
        <v>42984</v>
      </c>
      <c r="N244" s="77" t="str">
        <f t="shared" si="10"/>
        <v>septembre</v>
      </c>
      <c r="O244" s="65"/>
      <c r="P244" s="67"/>
      <c r="Q244" s="67"/>
      <c r="R244" s="67"/>
      <c r="S244" s="67"/>
      <c r="T244" s="67"/>
      <c r="U244" s="67"/>
      <c r="V244" s="67"/>
      <c r="W244" s="67"/>
      <c r="X244" s="67"/>
      <c r="Y244" s="67"/>
      <c r="Z244" s="67"/>
      <c r="AA244" s="67"/>
      <c r="AB244" s="68">
        <f t="shared" si="11"/>
        <v>0</v>
      </c>
    </row>
    <row r="245" spans="1:28" x14ac:dyDescent="0.25">
      <c r="A245" s="77" t="str">
        <f>'EXTRACTION AT GLOBAL DEA'!D243</f>
        <v>113020</v>
      </c>
      <c r="B245" s="77" t="str">
        <f>'EXTRACTION AT GLOBAL DEA'!E243</f>
        <v>COUBLE</v>
      </c>
      <c r="C245" s="77" t="str">
        <f>'EXTRACTION AT GLOBAL DEA'!F243</f>
        <v>STEPHANE</v>
      </c>
      <c r="D245" s="77" t="str">
        <f>'EXTRACTION AT GLOBAL DEA'!I243</f>
        <v>MT HB PR</v>
      </c>
      <c r="E245" s="66">
        <f>'EXTRACTION AT GLOBAL DEA'!G243</f>
        <v>48</v>
      </c>
      <c r="F245" s="84" t="str">
        <f t="shared" si="9"/>
        <v>45 à 49 ans</v>
      </c>
      <c r="G245" s="77" t="str">
        <f>'EXTRACTION AT GLOBAL DEA'!K243</f>
        <v>S</v>
      </c>
      <c r="H245" s="77">
        <f>'EXTRACTION AT GLOBAL DEA'!N243</f>
        <v>0</v>
      </c>
      <c r="I245" s="77" t="str">
        <f>'EXTRACTION AT GLOBAL DEA'!L243</f>
        <v>N</v>
      </c>
      <c r="J245" s="77" t="str">
        <f>'EXTRACTION AT GLOBAL DEA'!M243</f>
        <v>N</v>
      </c>
      <c r="K245" s="77"/>
      <c r="L245" s="77"/>
      <c r="M245" s="78">
        <f>'EXTRACTION AT GLOBAL DEA'!B243</f>
        <v>42985</v>
      </c>
      <c r="N245" s="77" t="str">
        <f t="shared" si="10"/>
        <v>septembre</v>
      </c>
      <c r="O245" s="65"/>
      <c r="P245" s="67"/>
      <c r="Q245" s="67"/>
      <c r="R245" s="67"/>
      <c r="S245" s="67"/>
      <c r="T245" s="67"/>
      <c r="U245" s="67"/>
      <c r="V245" s="67"/>
      <c r="W245" s="67"/>
      <c r="X245" s="67"/>
      <c r="Y245" s="67"/>
      <c r="Z245" s="67"/>
      <c r="AA245" s="67"/>
      <c r="AB245" s="68">
        <f t="shared" si="11"/>
        <v>0</v>
      </c>
    </row>
    <row r="246" spans="1:28" x14ac:dyDescent="0.25">
      <c r="A246" s="77" t="str">
        <f>'EXTRACTION AT GLOBAL DEA'!D244</f>
        <v>113158</v>
      </c>
      <c r="B246" s="77" t="str">
        <f>'EXTRACTION AT GLOBAL DEA'!E244</f>
        <v>GUILLIN</v>
      </c>
      <c r="C246" s="77" t="str">
        <f>'EXTRACTION AT GLOBAL DEA'!F244</f>
        <v>JEAN-LUC</v>
      </c>
      <c r="D246" s="77" t="str">
        <f>'EXTRACTION AT GLOBAL DEA'!I244</f>
        <v>MT YH TA</v>
      </c>
      <c r="E246" s="66">
        <f>'EXTRACTION AT GLOBAL DEA'!G244</f>
        <v>45</v>
      </c>
      <c r="F246" s="84" t="str">
        <f t="shared" si="9"/>
        <v>45 à 49 ans</v>
      </c>
      <c r="G246" s="77" t="str">
        <f>'EXTRACTION AT GLOBAL DEA'!K244</f>
        <v>S</v>
      </c>
      <c r="H246" s="77">
        <f>'EXTRACTION AT GLOBAL DEA'!N244</f>
        <v>3</v>
      </c>
      <c r="I246" s="77" t="str">
        <f>'EXTRACTION AT GLOBAL DEA'!L244</f>
        <v>O</v>
      </c>
      <c r="J246" s="77" t="str">
        <f>'EXTRACTION AT GLOBAL DEA'!M244</f>
        <v>N</v>
      </c>
      <c r="K246" s="77"/>
      <c r="L246" s="77"/>
      <c r="M246" s="78">
        <f>'EXTRACTION AT GLOBAL DEA'!B244</f>
        <v>42985</v>
      </c>
      <c r="N246" s="77" t="str">
        <f t="shared" si="10"/>
        <v>septembre</v>
      </c>
      <c r="O246" s="65"/>
      <c r="P246" s="67"/>
      <c r="Q246" s="67"/>
      <c r="R246" s="67"/>
      <c r="S246" s="67"/>
      <c r="T246" s="67"/>
      <c r="U246" s="67"/>
      <c r="V246" s="67"/>
      <c r="W246" s="67"/>
      <c r="X246" s="67"/>
      <c r="Y246" s="67"/>
      <c r="Z246" s="67"/>
      <c r="AA246" s="67"/>
      <c r="AB246" s="68">
        <f t="shared" si="11"/>
        <v>0</v>
      </c>
    </row>
    <row r="247" spans="1:28" x14ac:dyDescent="0.25">
      <c r="A247" s="77" t="str">
        <f>'EXTRACTION AT GLOBAL DEA'!D245</f>
        <v>113205</v>
      </c>
      <c r="B247" s="77" t="str">
        <f>'EXTRACTION AT GLOBAL DEA'!E245</f>
        <v>BOUDON</v>
      </c>
      <c r="C247" s="77" t="str">
        <f>'EXTRACTION AT GLOBAL DEA'!F245</f>
        <v>SEBASTIEN</v>
      </c>
      <c r="D247" s="77" t="str">
        <f>'EXTRACTION AT GLOBAL DEA'!I245</f>
        <v>MT QJ</v>
      </c>
      <c r="E247" s="66">
        <f>'EXTRACTION AT GLOBAL DEA'!G245</f>
        <v>44</v>
      </c>
      <c r="F247" s="84" t="str">
        <f t="shared" si="9"/>
        <v>40 à 44 ans</v>
      </c>
      <c r="G247" s="77" t="str">
        <f>'EXTRACTION AT GLOBAL DEA'!K245</f>
        <v>S</v>
      </c>
      <c r="H247" s="77">
        <f>'EXTRACTION AT GLOBAL DEA'!N245</f>
        <v>64</v>
      </c>
      <c r="I247" s="77" t="str">
        <f>'EXTRACTION AT GLOBAL DEA'!L245</f>
        <v>O</v>
      </c>
      <c r="J247" s="77" t="str">
        <f>'EXTRACTION AT GLOBAL DEA'!M245</f>
        <v>N</v>
      </c>
      <c r="K247" s="77"/>
      <c r="L247" s="77"/>
      <c r="M247" s="78">
        <f>'EXTRACTION AT GLOBAL DEA'!B245</f>
        <v>42985</v>
      </c>
      <c r="N247" s="77" t="str">
        <f t="shared" si="10"/>
        <v>septembre</v>
      </c>
      <c r="O247" s="65"/>
      <c r="P247" s="67"/>
      <c r="Q247" s="67"/>
      <c r="R247" s="67"/>
      <c r="S247" s="67"/>
      <c r="T247" s="67"/>
      <c r="U247" s="67"/>
      <c r="V247" s="67"/>
      <c r="W247" s="67"/>
      <c r="X247" s="67"/>
      <c r="Y247" s="67"/>
      <c r="Z247" s="67"/>
      <c r="AA247" s="67"/>
      <c r="AB247" s="68">
        <f t="shared" si="11"/>
        <v>0</v>
      </c>
    </row>
    <row r="248" spans="1:28" x14ac:dyDescent="0.25">
      <c r="A248" s="77" t="str">
        <f>'EXTRACTION AT GLOBAL DEA'!D246</f>
        <v>113150</v>
      </c>
      <c r="B248" s="77" t="str">
        <f>'EXTRACTION AT GLOBAL DEA'!E246</f>
        <v>ARIBI</v>
      </c>
      <c r="C248" s="77" t="str">
        <f>'EXTRACTION AT GLOBAL DEA'!F246</f>
        <v>MOHAMED</v>
      </c>
      <c r="D248" s="77" t="str">
        <f>'EXTRACTION AT GLOBAL DEA'!I246</f>
        <v>MT YH TA</v>
      </c>
      <c r="E248" s="66">
        <f>'EXTRACTION AT GLOBAL DEA'!G246</f>
        <v>39</v>
      </c>
      <c r="F248" s="84" t="str">
        <f t="shared" si="9"/>
        <v>35 à 39 ans</v>
      </c>
      <c r="G248" s="77" t="str">
        <f>'EXTRACTION AT GLOBAL DEA'!K246</f>
        <v>S</v>
      </c>
      <c r="H248" s="77">
        <f>'EXTRACTION AT GLOBAL DEA'!N246</f>
        <v>48</v>
      </c>
      <c r="I248" s="77" t="str">
        <f>'EXTRACTION AT GLOBAL DEA'!L246</f>
        <v>O</v>
      </c>
      <c r="J248" s="77" t="str">
        <f>'EXTRACTION AT GLOBAL DEA'!M246</f>
        <v>N</v>
      </c>
      <c r="K248" s="77"/>
      <c r="L248" s="77"/>
      <c r="M248" s="78">
        <f>'EXTRACTION AT GLOBAL DEA'!B246</f>
        <v>42985</v>
      </c>
      <c r="N248" s="77" t="str">
        <f t="shared" si="10"/>
        <v>septembre</v>
      </c>
      <c r="O248" s="65"/>
      <c r="P248" s="67"/>
      <c r="Q248" s="67"/>
      <c r="R248" s="67"/>
      <c r="S248" s="67"/>
      <c r="T248" s="67"/>
      <c r="U248" s="67"/>
      <c r="V248" s="67"/>
      <c r="W248" s="67"/>
      <c r="X248" s="67"/>
      <c r="Y248" s="67"/>
      <c r="Z248" s="67"/>
      <c r="AA248" s="67"/>
      <c r="AB248" s="68">
        <f t="shared" si="11"/>
        <v>0</v>
      </c>
    </row>
    <row r="249" spans="1:28" x14ac:dyDescent="0.25">
      <c r="A249" s="77" t="str">
        <f>'EXTRACTION AT GLOBAL DEA'!D247</f>
        <v>113195</v>
      </c>
      <c r="B249" s="77" t="str">
        <f>'EXTRACTION AT GLOBAL DEA'!E247</f>
        <v>RAULINE</v>
      </c>
      <c r="C249" s="77" t="str">
        <f>'EXTRACTION AT GLOBAL DEA'!F247</f>
        <v>JEREMY</v>
      </c>
      <c r="D249" s="77" t="str">
        <f>'EXTRACTION AT GLOBAL DEA'!I247</f>
        <v>MT CA PR</v>
      </c>
      <c r="E249" s="66">
        <f>'EXTRACTION AT GLOBAL DEA'!G247</f>
        <v>34</v>
      </c>
      <c r="F249" s="84" t="str">
        <f t="shared" si="9"/>
        <v>30 à 34 ans</v>
      </c>
      <c r="G249" s="77" t="str">
        <f>'EXTRACTION AT GLOBAL DEA'!K247</f>
        <v>S</v>
      </c>
      <c r="H249" s="77">
        <f>'EXTRACTION AT GLOBAL DEA'!N247</f>
        <v>0</v>
      </c>
      <c r="I249" s="77" t="str">
        <f>'EXTRACTION AT GLOBAL DEA'!L247</f>
        <v>N</v>
      </c>
      <c r="J249" s="77" t="str">
        <f>'EXTRACTION AT GLOBAL DEA'!M247</f>
        <v>N</v>
      </c>
      <c r="K249" s="77"/>
      <c r="L249" s="77"/>
      <c r="M249" s="78">
        <f>'EXTRACTION AT GLOBAL DEA'!B247</f>
        <v>42985</v>
      </c>
      <c r="N249" s="77" t="str">
        <f t="shared" si="10"/>
        <v>septembre</v>
      </c>
      <c r="O249" s="65"/>
      <c r="P249" s="67"/>
      <c r="Q249" s="67"/>
      <c r="R249" s="67"/>
      <c r="S249" s="67"/>
      <c r="T249" s="67"/>
      <c r="U249" s="67"/>
      <c r="V249" s="67"/>
      <c r="W249" s="67"/>
      <c r="X249" s="67"/>
      <c r="Y249" s="67"/>
      <c r="Z249" s="67"/>
      <c r="AA249" s="67"/>
      <c r="AB249" s="68">
        <f t="shared" si="11"/>
        <v>0</v>
      </c>
    </row>
    <row r="250" spans="1:28" x14ac:dyDescent="0.25">
      <c r="A250" s="77" t="str">
        <f>'EXTRACTION AT GLOBAL DEA'!D248</f>
        <v>113187</v>
      </c>
      <c r="B250" s="77" t="str">
        <f>'EXTRACTION AT GLOBAL DEA'!E248</f>
        <v>GRANIER</v>
      </c>
      <c r="C250" s="77" t="str">
        <f>'EXTRACTION AT GLOBAL DEA'!F248</f>
        <v>SEBASTIEN</v>
      </c>
      <c r="D250" s="77" t="str">
        <f>'EXTRACTION AT GLOBAL DEA'!I248</f>
        <v>MT HB TH</v>
      </c>
      <c r="E250" s="66">
        <f>'EXTRACTION AT GLOBAL DEA'!G248</f>
        <v>40</v>
      </c>
      <c r="F250" s="84" t="str">
        <f t="shared" si="9"/>
        <v>40 à 44 ans</v>
      </c>
      <c r="G250" s="77" t="str">
        <f>'EXTRACTION AT GLOBAL DEA'!K248</f>
        <v>S</v>
      </c>
      <c r="H250" s="77">
        <f>'EXTRACTION AT GLOBAL DEA'!N248</f>
        <v>0</v>
      </c>
      <c r="I250" s="77" t="str">
        <f>'EXTRACTION AT GLOBAL DEA'!L248</f>
        <v>N</v>
      </c>
      <c r="J250" s="77" t="str">
        <f>'EXTRACTION AT GLOBAL DEA'!M248</f>
        <v>N</v>
      </c>
      <c r="K250" s="77"/>
      <c r="L250" s="77"/>
      <c r="M250" s="78">
        <f>'EXTRACTION AT GLOBAL DEA'!B248</f>
        <v>42986</v>
      </c>
      <c r="N250" s="77" t="str">
        <f t="shared" si="10"/>
        <v>septembre</v>
      </c>
      <c r="O250" s="65"/>
      <c r="P250" s="67"/>
      <c r="Q250" s="67"/>
      <c r="R250" s="67"/>
      <c r="S250" s="67"/>
      <c r="T250" s="67"/>
      <c r="U250" s="67"/>
      <c r="V250" s="67"/>
      <c r="W250" s="67"/>
      <c r="X250" s="67"/>
      <c r="Y250" s="67"/>
      <c r="Z250" s="67"/>
      <c r="AA250" s="67"/>
      <c r="AB250" s="68">
        <f t="shared" si="11"/>
        <v>0</v>
      </c>
    </row>
    <row r="251" spans="1:28" x14ac:dyDescent="0.25">
      <c r="A251" s="77" t="str">
        <f>'EXTRACTION AT GLOBAL DEA'!D249</f>
        <v>113238</v>
      </c>
      <c r="B251" s="77" t="str">
        <f>'EXTRACTION AT GLOBAL DEA'!E249</f>
        <v>LELIEVRE</v>
      </c>
      <c r="C251" s="77" t="str">
        <f>'EXTRACTION AT GLOBAL DEA'!F249</f>
        <v>REMI</v>
      </c>
      <c r="D251" s="77" t="str">
        <f>'EXTRACTION AT GLOBAL DEA'!I249</f>
        <v>MT HB PR</v>
      </c>
      <c r="E251" s="66">
        <f>'EXTRACTION AT GLOBAL DEA'!G249</f>
        <v>36</v>
      </c>
      <c r="F251" s="84" t="str">
        <f t="shared" si="9"/>
        <v>35 à 39 ans</v>
      </c>
      <c r="G251" s="77" t="str">
        <f>'EXTRACTION AT GLOBAL DEA'!K249</f>
        <v>S</v>
      </c>
      <c r="H251" s="77">
        <f>'EXTRACTION AT GLOBAL DEA'!N249</f>
        <v>22</v>
      </c>
      <c r="I251" s="77" t="str">
        <f>'EXTRACTION AT GLOBAL DEA'!L249</f>
        <v>O</v>
      </c>
      <c r="J251" s="77" t="str">
        <f>'EXTRACTION AT GLOBAL DEA'!M249</f>
        <v>N</v>
      </c>
      <c r="K251" s="77"/>
      <c r="L251" s="77"/>
      <c r="M251" s="78">
        <f>'EXTRACTION AT GLOBAL DEA'!B249</f>
        <v>42988</v>
      </c>
      <c r="N251" s="77" t="str">
        <f t="shared" si="10"/>
        <v>septembre</v>
      </c>
      <c r="O251" s="65"/>
      <c r="P251" s="67"/>
      <c r="Q251" s="67"/>
      <c r="R251" s="67"/>
      <c r="S251" s="67"/>
      <c r="T251" s="67"/>
      <c r="U251" s="67"/>
      <c r="V251" s="67"/>
      <c r="W251" s="67"/>
      <c r="X251" s="67"/>
      <c r="Y251" s="67"/>
      <c r="Z251" s="67"/>
      <c r="AA251" s="67"/>
      <c r="AB251" s="68">
        <f t="shared" si="11"/>
        <v>0</v>
      </c>
    </row>
    <row r="252" spans="1:28" hidden="1" x14ac:dyDescent="0.25">
      <c r="A252" s="77" t="str">
        <f>'EXTRACTION AT GLOBAL DEA'!D250</f>
        <v>113337</v>
      </c>
      <c r="B252" s="77" t="str">
        <f>'EXTRACTION AT GLOBAL DEA'!E250</f>
        <v>NICCOLAI</v>
      </c>
      <c r="C252" s="77" t="str">
        <f>'EXTRACTION AT GLOBAL DEA'!F250</f>
        <v>LAURENT</v>
      </c>
      <c r="D252" s="77" t="str">
        <f>'EXTRACTION AT GLOBAL DEA'!I250</f>
        <v>MT CC PR</v>
      </c>
      <c r="E252" s="66">
        <f>'EXTRACTION AT GLOBAL DEA'!G250</f>
        <v>57</v>
      </c>
      <c r="F252" s="84" t="str">
        <f t="shared" si="9"/>
        <v>55 à 59 ans</v>
      </c>
      <c r="G252" s="77" t="str">
        <f>'EXTRACTION AT GLOBAL DEA'!K250</f>
        <v>T</v>
      </c>
      <c r="H252" s="77">
        <f>'EXTRACTION AT GLOBAL DEA'!N250</f>
        <v>15</v>
      </c>
      <c r="I252" s="77" t="str">
        <f>'EXTRACTION AT GLOBAL DEA'!L250</f>
        <v>O</v>
      </c>
      <c r="J252" s="77" t="str">
        <f>'EXTRACTION AT GLOBAL DEA'!M250</f>
        <v>N</v>
      </c>
      <c r="K252" s="77"/>
      <c r="L252" s="77"/>
      <c r="M252" s="78">
        <f>'EXTRACTION AT GLOBAL DEA'!B250</f>
        <v>42989</v>
      </c>
      <c r="N252" s="77" t="str">
        <f t="shared" si="10"/>
        <v>septembre</v>
      </c>
      <c r="O252" s="65"/>
      <c r="P252" s="67"/>
      <c r="Q252" s="67"/>
      <c r="R252" s="67"/>
      <c r="S252" s="67"/>
      <c r="T252" s="67"/>
      <c r="U252" s="67"/>
      <c r="V252" s="67"/>
      <c r="W252" s="67"/>
      <c r="X252" s="67"/>
      <c r="Y252" s="67"/>
      <c r="Z252" s="67"/>
      <c r="AA252" s="67"/>
      <c r="AB252" s="68">
        <f t="shared" si="11"/>
        <v>0</v>
      </c>
    </row>
    <row r="253" spans="1:28" hidden="1" x14ac:dyDescent="0.25">
      <c r="A253" s="77" t="str">
        <f>'EXTRACTION AT GLOBAL DEA'!D251</f>
        <v>113340</v>
      </c>
      <c r="B253" s="77" t="str">
        <f>'EXTRACTION AT GLOBAL DEA'!E251</f>
        <v>FRABOULET</v>
      </c>
      <c r="C253" s="77" t="str">
        <f>'EXTRACTION AT GLOBAL DEA'!F251</f>
        <v>MIKAEL</v>
      </c>
      <c r="D253" s="77" t="str">
        <f>'EXTRACTION AT GLOBAL DEA'!I251</f>
        <v>MT UD TO</v>
      </c>
      <c r="E253" s="66">
        <f>'EXTRACTION AT GLOBAL DEA'!G251</f>
        <v>38</v>
      </c>
      <c r="F253" s="84" t="str">
        <f t="shared" si="9"/>
        <v>35 à 39 ans</v>
      </c>
      <c r="G253" s="77" t="str">
        <f>'EXTRACTION AT GLOBAL DEA'!K251</f>
        <v>T</v>
      </c>
      <c r="H253" s="77">
        <f>'EXTRACTION AT GLOBAL DEA'!N251</f>
        <v>3</v>
      </c>
      <c r="I253" s="77" t="str">
        <f>'EXTRACTION AT GLOBAL DEA'!L251</f>
        <v>O</v>
      </c>
      <c r="J253" s="77" t="str">
        <f>'EXTRACTION AT GLOBAL DEA'!M251</f>
        <v>N</v>
      </c>
      <c r="K253" s="77"/>
      <c r="L253" s="77"/>
      <c r="M253" s="78">
        <f>'EXTRACTION AT GLOBAL DEA'!B251</f>
        <v>42990</v>
      </c>
      <c r="N253" s="77" t="str">
        <f t="shared" si="10"/>
        <v>septembre</v>
      </c>
      <c r="O253" s="65"/>
      <c r="P253" s="67"/>
      <c r="Q253" s="67"/>
      <c r="R253" s="67"/>
      <c r="S253" s="67"/>
      <c r="T253" s="67"/>
      <c r="U253" s="67"/>
      <c r="V253" s="67"/>
      <c r="W253" s="67"/>
      <c r="X253" s="67"/>
      <c r="Y253" s="67"/>
      <c r="Z253" s="67"/>
      <c r="AA253" s="67"/>
      <c r="AB253" s="68">
        <f t="shared" si="11"/>
        <v>0</v>
      </c>
    </row>
    <row r="254" spans="1:28" x14ac:dyDescent="0.25">
      <c r="A254" s="77" t="str">
        <f>'EXTRACTION AT GLOBAL DEA'!D252</f>
        <v>113288</v>
      </c>
      <c r="B254" s="77" t="str">
        <f>'EXTRACTION AT GLOBAL DEA'!E252</f>
        <v>RAFFRAY</v>
      </c>
      <c r="C254" s="77" t="str">
        <f>'EXTRACTION AT GLOBAL DEA'!F252</f>
        <v>J FRANCOIS</v>
      </c>
      <c r="D254" s="77" t="str">
        <f>'EXTRACTION AT GLOBAL DEA'!I252</f>
        <v>MT CC PR</v>
      </c>
      <c r="E254" s="66">
        <f>'EXTRACTION AT GLOBAL DEA'!G252</f>
        <v>39</v>
      </c>
      <c r="F254" s="84" t="str">
        <f t="shared" si="9"/>
        <v>35 à 39 ans</v>
      </c>
      <c r="G254" s="77" t="str">
        <f>'EXTRACTION AT GLOBAL DEA'!K252</f>
        <v>S</v>
      </c>
      <c r="H254" s="77">
        <f>'EXTRACTION AT GLOBAL DEA'!N252</f>
        <v>0</v>
      </c>
      <c r="I254" s="77" t="str">
        <f>'EXTRACTION AT GLOBAL DEA'!L252</f>
        <v>N</v>
      </c>
      <c r="J254" s="77" t="str">
        <f>'EXTRACTION AT GLOBAL DEA'!M252</f>
        <v>O</v>
      </c>
      <c r="K254" s="77"/>
      <c r="L254" s="77"/>
      <c r="M254" s="78">
        <f>'EXTRACTION AT GLOBAL DEA'!B252</f>
        <v>42990</v>
      </c>
      <c r="N254" s="77" t="str">
        <f t="shared" si="10"/>
        <v>septembre</v>
      </c>
      <c r="O254" s="65"/>
      <c r="P254" s="67"/>
      <c r="Q254" s="67"/>
      <c r="R254" s="67"/>
      <c r="S254" s="67"/>
      <c r="T254" s="67"/>
      <c r="U254" s="67"/>
      <c r="V254" s="67"/>
      <c r="W254" s="67"/>
      <c r="X254" s="67"/>
      <c r="Y254" s="67"/>
      <c r="Z254" s="67"/>
      <c r="AA254" s="67"/>
      <c r="AB254" s="68">
        <f t="shared" si="11"/>
        <v>0</v>
      </c>
    </row>
    <row r="255" spans="1:28" x14ac:dyDescent="0.25">
      <c r="A255" s="77" t="str">
        <f>'EXTRACTION AT GLOBAL DEA'!D253</f>
        <v>113565</v>
      </c>
      <c r="B255" s="77" t="str">
        <f>'EXTRACTION AT GLOBAL DEA'!E253</f>
        <v>KERAMBLOCH</v>
      </c>
      <c r="C255" s="77" t="str">
        <f>'EXTRACTION AT GLOBAL DEA'!F253</f>
        <v>JULIEN</v>
      </c>
      <c r="D255" s="77" t="str">
        <f>'EXTRACTION AT GLOBAL DEA'!I253</f>
        <v>MT CA PR</v>
      </c>
      <c r="E255" s="66">
        <f>'EXTRACTION AT GLOBAL DEA'!G253</f>
        <v>28</v>
      </c>
      <c r="F255" s="84" t="str">
        <f t="shared" si="9"/>
        <v>25 à 29 ans</v>
      </c>
      <c r="G255" s="77" t="str">
        <f>'EXTRACTION AT GLOBAL DEA'!K253</f>
        <v>S</v>
      </c>
      <c r="H255" s="77">
        <f>'EXTRACTION AT GLOBAL DEA'!N253</f>
        <v>0</v>
      </c>
      <c r="I255" s="77" t="str">
        <f>'EXTRACTION AT GLOBAL DEA'!L253</f>
        <v>N</v>
      </c>
      <c r="J255" s="77" t="str">
        <f>'EXTRACTION AT GLOBAL DEA'!M253</f>
        <v>N</v>
      </c>
      <c r="K255" s="77"/>
      <c r="L255" s="77"/>
      <c r="M255" s="78">
        <f>'EXTRACTION AT GLOBAL DEA'!B253</f>
        <v>42996</v>
      </c>
      <c r="N255" s="77" t="str">
        <f t="shared" si="10"/>
        <v>septembre</v>
      </c>
      <c r="O255" s="65"/>
      <c r="P255" s="67"/>
      <c r="Q255" s="67"/>
      <c r="R255" s="67"/>
      <c r="S255" s="67"/>
      <c r="T255" s="67"/>
      <c r="U255" s="67"/>
      <c r="V255" s="67"/>
      <c r="W255" s="67"/>
      <c r="X255" s="67"/>
      <c r="Y255" s="67"/>
      <c r="Z255" s="67"/>
      <c r="AA255" s="67"/>
      <c r="AB255" s="68">
        <f t="shared" si="11"/>
        <v>0</v>
      </c>
    </row>
    <row r="256" spans="1:28" x14ac:dyDescent="0.25">
      <c r="A256" s="77" t="str">
        <f>'EXTRACTION AT GLOBAL DEA'!D254</f>
        <v>114385</v>
      </c>
      <c r="B256" s="77" t="str">
        <f>'EXTRACTION AT GLOBAL DEA'!E254</f>
        <v>ROUQUET</v>
      </c>
      <c r="C256" s="77" t="str">
        <f>'EXTRACTION AT GLOBAL DEA'!F254</f>
        <v>GUILLAUME</v>
      </c>
      <c r="D256" s="77" t="str">
        <f>'EXTRACTION AT GLOBAL DEA'!I254</f>
        <v>MT IC AV</v>
      </c>
      <c r="E256" s="66">
        <f>'EXTRACTION AT GLOBAL DEA'!G254</f>
        <v>34</v>
      </c>
      <c r="F256" s="84" t="str">
        <f t="shared" si="9"/>
        <v>30 à 34 ans</v>
      </c>
      <c r="G256" s="77" t="str">
        <f>'EXTRACTION AT GLOBAL DEA'!K254</f>
        <v>S</v>
      </c>
      <c r="H256" s="77">
        <f>'EXTRACTION AT GLOBAL DEA'!N254</f>
        <v>4</v>
      </c>
      <c r="I256" s="77" t="str">
        <f>'EXTRACTION AT GLOBAL DEA'!L254</f>
        <v>O</v>
      </c>
      <c r="J256" s="77" t="str">
        <f>'EXTRACTION AT GLOBAL DEA'!M254</f>
        <v>N</v>
      </c>
      <c r="K256" s="77"/>
      <c r="L256" s="77"/>
      <c r="M256" s="78">
        <f>'EXTRACTION AT GLOBAL DEA'!B254</f>
        <v>42998</v>
      </c>
      <c r="N256" s="77" t="str">
        <f t="shared" si="10"/>
        <v>septembre</v>
      </c>
      <c r="O256" s="65"/>
      <c r="P256" s="67"/>
      <c r="Q256" s="67"/>
      <c r="R256" s="67"/>
      <c r="S256" s="67"/>
      <c r="T256" s="67"/>
      <c r="U256" s="67"/>
      <c r="V256" s="67"/>
      <c r="W256" s="67"/>
      <c r="X256" s="67"/>
      <c r="Y256" s="67"/>
      <c r="Z256" s="67"/>
      <c r="AA256" s="67"/>
      <c r="AB256" s="68"/>
    </row>
    <row r="257" spans="1:28" x14ac:dyDescent="0.25">
      <c r="A257" s="77" t="str">
        <f>'EXTRACTION AT GLOBAL DEA'!D255</f>
        <v>113590</v>
      </c>
      <c r="B257" s="77" t="str">
        <f>'EXTRACTION AT GLOBAL DEA'!E255</f>
        <v>BUI</v>
      </c>
      <c r="C257" s="77" t="str">
        <f>'EXTRACTION AT GLOBAL DEA'!F255</f>
        <v>HENRI</v>
      </c>
      <c r="D257" s="77" t="str">
        <f>'EXTRACTION AT GLOBAL DEA'!I255</f>
        <v>MT HB QO</v>
      </c>
      <c r="E257" s="66">
        <f>'EXTRACTION AT GLOBAL DEA'!G255</f>
        <v>47</v>
      </c>
      <c r="F257" s="84" t="str">
        <f t="shared" si="9"/>
        <v>45 à 49 ans</v>
      </c>
      <c r="G257" s="77" t="str">
        <f>'EXTRACTION AT GLOBAL DEA'!K255</f>
        <v>S</v>
      </c>
      <c r="H257" s="77">
        <f>'EXTRACTION AT GLOBAL DEA'!N255</f>
        <v>0</v>
      </c>
      <c r="I257" s="77" t="str">
        <f>'EXTRACTION AT GLOBAL DEA'!L255</f>
        <v>N</v>
      </c>
      <c r="J257" s="77" t="str">
        <f>'EXTRACTION AT GLOBAL DEA'!M255</f>
        <v>N</v>
      </c>
      <c r="K257" s="77"/>
      <c r="L257" s="77"/>
      <c r="M257" s="78">
        <f>'EXTRACTION AT GLOBAL DEA'!B255</f>
        <v>42999</v>
      </c>
      <c r="N257" s="77" t="str">
        <f t="shared" si="10"/>
        <v>septembre</v>
      </c>
      <c r="O257" s="65"/>
      <c r="P257" s="67"/>
      <c r="Q257" s="67"/>
      <c r="R257" s="67"/>
      <c r="S257" s="67"/>
      <c r="T257" s="67"/>
      <c r="U257" s="67"/>
      <c r="V257" s="67"/>
      <c r="W257" s="67"/>
      <c r="X257" s="67"/>
      <c r="Y257" s="67"/>
      <c r="Z257" s="67"/>
      <c r="AA257" s="67"/>
      <c r="AB257" s="68"/>
    </row>
    <row r="258" spans="1:28" x14ac:dyDescent="0.25">
      <c r="A258" s="77" t="str">
        <f>'EXTRACTION AT GLOBAL DEA'!D256</f>
        <v>113670</v>
      </c>
      <c r="B258" s="77" t="str">
        <f>'EXTRACTION AT GLOBAL DEA'!E256</f>
        <v>BUFFET</v>
      </c>
      <c r="C258" s="77" t="str">
        <f>'EXTRACTION AT GLOBAL DEA'!F256</f>
        <v>VINCENT</v>
      </c>
      <c r="D258" s="77" t="str">
        <f>'EXTRACTION AT GLOBAL DEA'!I256</f>
        <v>MT HB PR</v>
      </c>
      <c r="E258" s="66">
        <f>'EXTRACTION AT GLOBAL DEA'!G256</f>
        <v>34</v>
      </c>
      <c r="F258" s="84" t="str">
        <f t="shared" si="9"/>
        <v>30 à 34 ans</v>
      </c>
      <c r="G258" s="77" t="str">
        <f>'EXTRACTION AT GLOBAL DEA'!K256</f>
        <v>S</v>
      </c>
      <c r="H258" s="77">
        <f>'EXTRACTION AT GLOBAL DEA'!N256</f>
        <v>50</v>
      </c>
      <c r="I258" s="77" t="str">
        <f>'EXTRACTION AT GLOBAL DEA'!L256</f>
        <v>O</v>
      </c>
      <c r="J258" s="77" t="str">
        <f>'EXTRACTION AT GLOBAL DEA'!M256</f>
        <v>N</v>
      </c>
      <c r="K258" s="77"/>
      <c r="L258" s="77"/>
      <c r="M258" s="78">
        <f>'EXTRACTION AT GLOBAL DEA'!B256</f>
        <v>43000</v>
      </c>
      <c r="N258" s="77" t="str">
        <f t="shared" si="10"/>
        <v>septembre</v>
      </c>
      <c r="O258" s="65"/>
      <c r="P258" s="67"/>
      <c r="Q258" s="67"/>
      <c r="R258" s="67"/>
      <c r="S258" s="67"/>
      <c r="T258" s="67"/>
      <c r="U258" s="67"/>
      <c r="V258" s="67"/>
      <c r="W258" s="67"/>
      <c r="X258" s="67"/>
      <c r="Y258" s="67"/>
      <c r="Z258" s="67"/>
      <c r="AA258" s="67"/>
      <c r="AB258" s="68"/>
    </row>
    <row r="259" spans="1:28" x14ac:dyDescent="0.25">
      <c r="A259" s="77" t="str">
        <f>'EXTRACTION AT GLOBAL DEA'!D257</f>
        <v>113905</v>
      </c>
      <c r="B259" s="77" t="str">
        <f>'EXTRACTION AT GLOBAL DEA'!E257</f>
        <v>LAFFARGUE</v>
      </c>
      <c r="C259" s="77" t="str">
        <f>'EXTRACTION AT GLOBAL DEA'!F257</f>
        <v>PATRICK</v>
      </c>
      <c r="D259" s="77" t="str">
        <f>'EXTRACTION AT GLOBAL DEA'!I257</f>
        <v>MT QP</v>
      </c>
      <c r="E259" s="66">
        <f>'EXTRACTION AT GLOBAL DEA'!G257</f>
        <v>50</v>
      </c>
      <c r="F259" s="84" t="str">
        <f t="shared" si="9"/>
        <v>50 à 54 ans</v>
      </c>
      <c r="G259" s="77" t="str">
        <f>'EXTRACTION AT GLOBAL DEA'!K257</f>
        <v>S</v>
      </c>
      <c r="H259" s="77">
        <f>'EXTRACTION AT GLOBAL DEA'!N257</f>
        <v>0</v>
      </c>
      <c r="I259" s="77" t="str">
        <f>'EXTRACTION AT GLOBAL DEA'!L257</f>
        <v>N</v>
      </c>
      <c r="J259" s="77" t="str">
        <f>'EXTRACTION AT GLOBAL DEA'!M257</f>
        <v>N</v>
      </c>
      <c r="K259" s="77"/>
      <c r="L259" s="77"/>
      <c r="M259" s="78">
        <f>'EXTRACTION AT GLOBAL DEA'!B257</f>
        <v>43004</v>
      </c>
      <c r="N259" s="77" t="str">
        <f t="shared" si="10"/>
        <v>septembre</v>
      </c>
      <c r="O259" s="65"/>
      <c r="P259" s="67"/>
      <c r="Q259" s="67"/>
      <c r="R259" s="67"/>
      <c r="S259" s="67"/>
      <c r="T259" s="67"/>
      <c r="U259" s="67"/>
      <c r="V259" s="67"/>
      <c r="W259" s="67"/>
      <c r="X259" s="67"/>
      <c r="Y259" s="67"/>
      <c r="Z259" s="67"/>
      <c r="AA259" s="67"/>
      <c r="AB259" s="68"/>
    </row>
    <row r="260" spans="1:28" x14ac:dyDescent="0.25">
      <c r="A260" s="77" t="str">
        <f>'EXTRACTION AT GLOBAL DEA'!D258</f>
        <v>113984</v>
      </c>
      <c r="B260" s="77" t="str">
        <f>'EXTRACTION AT GLOBAL DEA'!E258</f>
        <v>ARNAUDON</v>
      </c>
      <c r="C260" s="77" t="str">
        <f>'EXTRACTION AT GLOBAL DEA'!F258</f>
        <v>JEAN-PHILIPPE</v>
      </c>
      <c r="D260" s="77" t="str">
        <f>'EXTRACTION AT GLOBAL DEA'!I258</f>
        <v>MT QJ</v>
      </c>
      <c r="E260" s="66">
        <f>'EXTRACTION AT GLOBAL DEA'!G258</f>
        <v>57</v>
      </c>
      <c r="F260" s="84" t="str">
        <f t="shared" si="9"/>
        <v>55 à 59 ans</v>
      </c>
      <c r="G260" s="77" t="str">
        <f>'EXTRACTION AT GLOBAL DEA'!K258</f>
        <v>S</v>
      </c>
      <c r="H260" s="77">
        <f>'EXTRACTION AT GLOBAL DEA'!N258</f>
        <v>0</v>
      </c>
      <c r="I260" s="77" t="str">
        <f>'EXTRACTION AT GLOBAL DEA'!L258</f>
        <v>N</v>
      </c>
      <c r="J260" s="77" t="str">
        <f>'EXTRACTION AT GLOBAL DEA'!M258</f>
        <v>N</v>
      </c>
      <c r="K260" s="77"/>
      <c r="L260" s="77"/>
      <c r="M260" s="78">
        <f>'EXTRACTION AT GLOBAL DEA'!B258</f>
        <v>43005</v>
      </c>
      <c r="N260" s="77" t="str">
        <f t="shared" si="10"/>
        <v>septembre</v>
      </c>
      <c r="O260" s="65"/>
      <c r="P260" s="67"/>
      <c r="Q260" s="67"/>
      <c r="R260" s="67"/>
      <c r="S260" s="67"/>
      <c r="T260" s="67"/>
      <c r="U260" s="67"/>
      <c r="V260" s="67"/>
      <c r="W260" s="67"/>
      <c r="X260" s="67"/>
      <c r="Y260" s="67"/>
      <c r="Z260" s="67"/>
      <c r="AA260" s="67"/>
      <c r="AB260" s="68"/>
    </row>
    <row r="261" spans="1:28" x14ac:dyDescent="0.25">
      <c r="A261" s="77" t="str">
        <f>'EXTRACTION AT GLOBAL DEA'!D259</f>
        <v>114059</v>
      </c>
      <c r="B261" s="77" t="str">
        <f>'EXTRACTION AT GLOBAL DEA'!E259</f>
        <v>DREYFUS</v>
      </c>
      <c r="C261" s="77" t="str">
        <f>'EXTRACTION AT GLOBAL DEA'!F259</f>
        <v>THIERRY</v>
      </c>
      <c r="D261" s="77" t="str">
        <f>'EXTRACTION AT GLOBAL DEA'!I259</f>
        <v>MT QS OU</v>
      </c>
      <c r="E261" s="66">
        <f>'EXTRACTION AT GLOBAL DEA'!G259</f>
        <v>53</v>
      </c>
      <c r="F261" s="84" t="str">
        <f t="shared" si="9"/>
        <v>50 à 54 ans</v>
      </c>
      <c r="G261" s="77" t="str">
        <f>'EXTRACTION AT GLOBAL DEA'!K259</f>
        <v>S</v>
      </c>
      <c r="H261" s="77">
        <f>'EXTRACTION AT GLOBAL DEA'!N259</f>
        <v>0</v>
      </c>
      <c r="I261" s="77" t="str">
        <f>'EXTRACTION AT GLOBAL DEA'!L259</f>
        <v>N</v>
      </c>
      <c r="J261" s="77" t="str">
        <f>'EXTRACTION AT GLOBAL DEA'!M259</f>
        <v>N</v>
      </c>
      <c r="K261" s="77"/>
      <c r="L261" s="77"/>
      <c r="M261" s="78">
        <f>'EXTRACTION AT GLOBAL DEA'!B259</f>
        <v>43006</v>
      </c>
      <c r="N261" s="77" t="str">
        <f t="shared" si="10"/>
        <v>septembre</v>
      </c>
      <c r="O261" s="65"/>
      <c r="P261" s="67"/>
      <c r="Q261" s="67"/>
      <c r="R261" s="67"/>
      <c r="S261" s="67"/>
      <c r="T261" s="67"/>
      <c r="U261" s="67"/>
      <c r="V261" s="67"/>
      <c r="W261" s="67"/>
      <c r="X261" s="67"/>
      <c r="Y261" s="67"/>
      <c r="Z261" s="67"/>
      <c r="AA261" s="67"/>
      <c r="AB261" s="68"/>
    </row>
    <row r="262" spans="1:28" x14ac:dyDescent="0.25">
      <c r="A262" s="77" t="str">
        <f>'EXTRACTION AT GLOBAL DEA'!D260</f>
        <v>114058</v>
      </c>
      <c r="B262" s="77" t="str">
        <f>'EXTRACTION AT GLOBAL DEA'!E260</f>
        <v>MENDEZ</v>
      </c>
      <c r="C262" s="77" t="str">
        <f>'EXTRACTION AT GLOBAL DEA'!F260</f>
        <v>HORACE</v>
      </c>
      <c r="D262" s="77" t="str">
        <f>'EXTRACTION AT GLOBAL DEA'!I260</f>
        <v>MT QP</v>
      </c>
      <c r="E262" s="66">
        <f>'EXTRACTION AT GLOBAL DEA'!G260</f>
        <v>57</v>
      </c>
      <c r="F262" s="84" t="str">
        <f t="shared" ref="F262:F325" si="12">IF(E262&lt;1,"",IF(E262&lt;20,"Moins de 20 ans",IF(E262&lt;25,"20 à 24 ans",IF(E262&lt;30,"25 à 29 ans",IF(E262&lt;35,"30 à 34 ans",IF(E262&lt;40,"35 à 39 ans",IF(E262&lt;45,"40 à 44 ans",IF(E262&lt;50,"45 à 49 ans",IF(E262&lt;55,"50 à 54 ans",IF(E261&lt;60,"55 à 59 ans",IF(E262&gt;59,"60 ans et plus","")))))))))))</f>
        <v>55 à 59 ans</v>
      </c>
      <c r="G262" s="77" t="str">
        <f>'EXTRACTION AT GLOBAL DEA'!K260</f>
        <v>S</v>
      </c>
      <c r="H262" s="77">
        <f>'EXTRACTION AT GLOBAL DEA'!N260</f>
        <v>0</v>
      </c>
      <c r="I262" s="77" t="str">
        <f>'EXTRACTION AT GLOBAL DEA'!L260</f>
        <v>N</v>
      </c>
      <c r="J262" s="77" t="str">
        <f>'EXTRACTION AT GLOBAL DEA'!M260</f>
        <v>N</v>
      </c>
      <c r="K262" s="77"/>
      <c r="L262" s="77"/>
      <c r="M262" s="78">
        <f>'EXTRACTION AT GLOBAL DEA'!B260</f>
        <v>43007</v>
      </c>
      <c r="N262" s="77" t="str">
        <f t="shared" ref="N262:N325" si="13">TEXT(M262,"mmmm")</f>
        <v>septembre</v>
      </c>
      <c r="O262" s="65"/>
      <c r="P262" s="67"/>
      <c r="Q262" s="67"/>
      <c r="R262" s="67"/>
      <c r="S262" s="67"/>
      <c r="T262" s="67"/>
      <c r="U262" s="67"/>
      <c r="V262" s="67"/>
      <c r="W262" s="67"/>
      <c r="X262" s="67"/>
      <c r="Y262" s="67"/>
      <c r="Z262" s="67"/>
      <c r="AA262" s="67"/>
      <c r="AB262" s="68"/>
    </row>
    <row r="263" spans="1:28" x14ac:dyDescent="0.25">
      <c r="A263" s="77" t="str">
        <f>'EXTRACTION AT GLOBAL DEA'!D261</f>
        <v>113967</v>
      </c>
      <c r="B263" s="77" t="str">
        <f>'EXTRACTION AT GLOBAL DEA'!E261</f>
        <v>DELAYEN</v>
      </c>
      <c r="C263" s="77" t="str">
        <f>'EXTRACTION AT GLOBAL DEA'!F261</f>
        <v>GUILLAUME</v>
      </c>
      <c r="D263" s="77" t="str">
        <f>'EXTRACTION AT GLOBAL DEA'!I261</f>
        <v>MT QJ</v>
      </c>
      <c r="E263" s="66">
        <f>'EXTRACTION AT GLOBAL DEA'!G261</f>
        <v>33</v>
      </c>
      <c r="F263" s="84" t="str">
        <f t="shared" si="12"/>
        <v>30 à 34 ans</v>
      </c>
      <c r="G263" s="77" t="str">
        <f>'EXTRACTION AT GLOBAL DEA'!K261</f>
        <v>S</v>
      </c>
      <c r="H263" s="77">
        <f>'EXTRACTION AT GLOBAL DEA'!N261</f>
        <v>0</v>
      </c>
      <c r="I263" s="77" t="str">
        <f>'EXTRACTION AT GLOBAL DEA'!L261</f>
        <v>N</v>
      </c>
      <c r="J263" s="77" t="str">
        <f>'EXTRACTION AT GLOBAL DEA'!M261</f>
        <v>O</v>
      </c>
      <c r="K263" s="77"/>
      <c r="L263" s="77"/>
      <c r="M263" s="78">
        <f>'EXTRACTION AT GLOBAL DEA'!B261</f>
        <v>43007</v>
      </c>
      <c r="N263" s="77" t="str">
        <f t="shared" si="13"/>
        <v>septembre</v>
      </c>
      <c r="O263" s="65"/>
      <c r="P263" s="67"/>
      <c r="Q263" s="67"/>
      <c r="R263" s="67"/>
      <c r="S263" s="67"/>
      <c r="T263" s="67"/>
      <c r="U263" s="67"/>
      <c r="V263" s="67"/>
      <c r="W263" s="67"/>
      <c r="X263" s="67"/>
      <c r="Y263" s="67"/>
      <c r="Z263" s="67"/>
      <c r="AA263" s="67"/>
      <c r="AB263" s="68"/>
    </row>
    <row r="264" spans="1:28" hidden="1" x14ac:dyDescent="0.25">
      <c r="A264" s="77" t="str">
        <f>'EXTRACTION AT GLOBAL DEA'!D262</f>
        <v>114074</v>
      </c>
      <c r="B264" s="77" t="str">
        <f>'EXTRACTION AT GLOBAL DEA'!E262</f>
        <v>POTHIER</v>
      </c>
      <c r="C264" s="77" t="str">
        <f>'EXTRACTION AT GLOBAL DEA'!F262</f>
        <v>DIDIER</v>
      </c>
      <c r="D264" s="77" t="str">
        <f>'EXTRACTION AT GLOBAL DEA'!I262</f>
        <v>MT HB PR</v>
      </c>
      <c r="E264" s="66">
        <f>'EXTRACTION AT GLOBAL DEA'!G262</f>
        <v>58</v>
      </c>
      <c r="F264" s="84" t="str">
        <f t="shared" si="12"/>
        <v>55 à 59 ans</v>
      </c>
      <c r="G264" s="77" t="str">
        <f>'EXTRACTION AT GLOBAL DEA'!K262</f>
        <v>T</v>
      </c>
      <c r="H264" s="77">
        <f>'EXTRACTION AT GLOBAL DEA'!N262</f>
        <v>0</v>
      </c>
      <c r="I264" s="77" t="str">
        <f>'EXTRACTION AT GLOBAL DEA'!L262</f>
        <v>N</v>
      </c>
      <c r="J264" s="77" t="str">
        <f>'EXTRACTION AT GLOBAL DEA'!M262</f>
        <v>N</v>
      </c>
      <c r="K264" s="77"/>
      <c r="L264" s="77"/>
      <c r="M264" s="78">
        <f>'EXTRACTION AT GLOBAL DEA'!B262</f>
        <v>43008</v>
      </c>
      <c r="N264" s="77" t="str">
        <f t="shared" si="13"/>
        <v>septembre</v>
      </c>
      <c r="O264" s="65"/>
      <c r="P264" s="67"/>
      <c r="Q264" s="67"/>
      <c r="R264" s="67"/>
      <c r="S264" s="67"/>
      <c r="T264" s="67"/>
      <c r="U264" s="67"/>
      <c r="V264" s="67"/>
      <c r="W264" s="67"/>
      <c r="X264" s="67"/>
      <c r="Y264" s="67"/>
      <c r="Z264" s="67"/>
      <c r="AA264" s="67"/>
      <c r="AB264" s="68"/>
    </row>
    <row r="265" spans="1:28" x14ac:dyDescent="0.25">
      <c r="A265" s="77" t="str">
        <f>'EXTRACTION AT GLOBAL DEA'!D263</f>
        <v>114081</v>
      </c>
      <c r="B265" s="77" t="str">
        <f>'EXTRACTION AT GLOBAL DEA'!E263</f>
        <v>RAFFRAY</v>
      </c>
      <c r="C265" s="77" t="str">
        <f>'EXTRACTION AT GLOBAL DEA'!F263</f>
        <v>J FRANCOIS</v>
      </c>
      <c r="D265" s="77" t="str">
        <f>'EXTRACTION AT GLOBAL DEA'!I263</f>
        <v>MT CC PR</v>
      </c>
      <c r="E265" s="66">
        <f>'EXTRACTION AT GLOBAL DEA'!G263</f>
        <v>39</v>
      </c>
      <c r="F265" s="84" t="str">
        <f t="shared" si="12"/>
        <v>35 à 39 ans</v>
      </c>
      <c r="G265" s="77" t="str">
        <f>'EXTRACTION AT GLOBAL DEA'!K263</f>
        <v>S</v>
      </c>
      <c r="H265" s="77">
        <f>'EXTRACTION AT GLOBAL DEA'!N263</f>
        <v>14</v>
      </c>
      <c r="I265" s="77" t="str">
        <f>'EXTRACTION AT GLOBAL DEA'!L263</f>
        <v>O</v>
      </c>
      <c r="J265" s="77" t="str">
        <f>'EXTRACTION AT GLOBAL DEA'!M263</f>
        <v>N</v>
      </c>
      <c r="K265" s="77"/>
      <c r="L265" s="77"/>
      <c r="M265" s="78">
        <f>'EXTRACTION AT GLOBAL DEA'!B263</f>
        <v>43010</v>
      </c>
      <c r="N265" s="77" t="str">
        <f t="shared" si="13"/>
        <v>octobre</v>
      </c>
      <c r="O265" s="65"/>
      <c r="P265" s="67"/>
      <c r="Q265" s="67"/>
      <c r="R265" s="67"/>
      <c r="S265" s="67"/>
      <c r="T265" s="67"/>
      <c r="U265" s="67"/>
      <c r="V265" s="67"/>
      <c r="W265" s="67"/>
      <c r="X265" s="67"/>
      <c r="Y265" s="67"/>
      <c r="Z265" s="67"/>
      <c r="AA265" s="67"/>
      <c r="AB265" s="68"/>
    </row>
    <row r="266" spans="1:28" hidden="1" x14ac:dyDescent="0.25">
      <c r="A266" s="77" t="str">
        <f>'EXTRACTION AT GLOBAL DEA'!D264</f>
        <v>114082</v>
      </c>
      <c r="B266" s="77" t="str">
        <f>'EXTRACTION AT GLOBAL DEA'!E264</f>
        <v>BILLARD</v>
      </c>
      <c r="C266" s="77" t="str">
        <f>'EXTRACTION AT GLOBAL DEA'!F264</f>
        <v>OCEANE</v>
      </c>
      <c r="D266" s="77" t="str">
        <f>'EXTRACTION AT GLOBAL DEA'!I264</f>
        <v>BLDPVDOR</v>
      </c>
      <c r="E266" s="66">
        <f>'EXTRACTION AT GLOBAL DEA'!G264</f>
        <v>16</v>
      </c>
      <c r="F266" s="84" t="str">
        <f t="shared" si="12"/>
        <v>Moins de 20 ans</v>
      </c>
      <c r="G266" s="77" t="str">
        <f>'EXTRACTION AT GLOBAL DEA'!K264</f>
        <v>T</v>
      </c>
      <c r="H266" s="77">
        <f>'EXTRACTION AT GLOBAL DEA'!N264</f>
        <v>0</v>
      </c>
      <c r="I266" s="77" t="str">
        <f>'EXTRACTION AT GLOBAL DEA'!L264</f>
        <v>N</v>
      </c>
      <c r="J266" s="77" t="str">
        <f>'EXTRACTION AT GLOBAL DEA'!M264</f>
        <v>N</v>
      </c>
      <c r="K266" s="77"/>
      <c r="L266" s="77"/>
      <c r="M266" s="78">
        <f>'EXTRACTION AT GLOBAL DEA'!B264</f>
        <v>43010</v>
      </c>
      <c r="N266" s="77" t="str">
        <f t="shared" si="13"/>
        <v>octobre</v>
      </c>
      <c r="O266" s="65"/>
      <c r="P266" s="67"/>
      <c r="Q266" s="67"/>
      <c r="R266" s="67"/>
      <c r="S266" s="67"/>
      <c r="T266" s="67"/>
      <c r="U266" s="67"/>
      <c r="V266" s="67"/>
      <c r="W266" s="67"/>
      <c r="X266" s="67"/>
      <c r="Y266" s="67"/>
      <c r="Z266" s="67"/>
      <c r="AA266" s="67"/>
      <c r="AB266" s="68"/>
    </row>
    <row r="267" spans="1:28" x14ac:dyDescent="0.25">
      <c r="A267" s="77" t="str">
        <f>'EXTRACTION AT GLOBAL DEA'!D265</f>
        <v>114117</v>
      </c>
      <c r="B267" s="77" t="str">
        <f>'EXTRACTION AT GLOBAL DEA'!E265</f>
        <v>RABATE</v>
      </c>
      <c r="C267" s="77" t="str">
        <f>'EXTRACTION AT GLOBAL DEA'!F265</f>
        <v>FABRICE</v>
      </c>
      <c r="D267" s="77" t="str">
        <f>'EXTRACTION AT GLOBAL DEA'!I265</f>
        <v>MT CA PR</v>
      </c>
      <c r="E267" s="66">
        <f>'EXTRACTION AT GLOBAL DEA'!G265</f>
        <v>51</v>
      </c>
      <c r="F267" s="84" t="str">
        <f t="shared" si="12"/>
        <v>50 à 54 ans</v>
      </c>
      <c r="G267" s="77" t="str">
        <f>'EXTRACTION AT GLOBAL DEA'!K265</f>
        <v>S</v>
      </c>
      <c r="H267" s="77">
        <f>'EXTRACTION AT GLOBAL DEA'!N265</f>
        <v>11</v>
      </c>
      <c r="I267" s="77" t="str">
        <f>'EXTRACTION AT GLOBAL DEA'!L265</f>
        <v>O</v>
      </c>
      <c r="J267" s="77" t="str">
        <f>'EXTRACTION AT GLOBAL DEA'!M265</f>
        <v>N</v>
      </c>
      <c r="K267" s="77"/>
      <c r="L267" s="77"/>
      <c r="M267" s="78">
        <f>'EXTRACTION AT GLOBAL DEA'!B265</f>
        <v>43011</v>
      </c>
      <c r="N267" s="77" t="str">
        <f t="shared" si="13"/>
        <v>octobre</v>
      </c>
      <c r="O267" s="65"/>
      <c r="P267" s="67"/>
      <c r="Q267" s="67"/>
      <c r="R267" s="67"/>
      <c r="S267" s="67"/>
      <c r="T267" s="67"/>
      <c r="U267" s="67"/>
      <c r="V267" s="67"/>
      <c r="W267" s="67"/>
      <c r="X267" s="67"/>
      <c r="Y267" s="67"/>
      <c r="Z267" s="67"/>
      <c r="AA267" s="67"/>
      <c r="AB267" s="68"/>
    </row>
    <row r="268" spans="1:28" x14ac:dyDescent="0.25">
      <c r="A268" s="77" t="str">
        <f>'EXTRACTION AT GLOBAL DEA'!D266</f>
        <v>114242</v>
      </c>
      <c r="B268" s="77" t="str">
        <f>'EXTRACTION AT GLOBAL DEA'!E266</f>
        <v>BUFFETEAU</v>
      </c>
      <c r="C268" s="77" t="str">
        <f>'EXTRACTION AT GLOBAL DEA'!F266</f>
        <v>NICOLAS</v>
      </c>
      <c r="D268" s="77" t="str">
        <f>'EXTRACTION AT GLOBAL DEA'!I266</f>
        <v>MT CG PR</v>
      </c>
      <c r="E268" s="66">
        <f>'EXTRACTION AT GLOBAL DEA'!G266</f>
        <v>40</v>
      </c>
      <c r="F268" s="84" t="str">
        <f t="shared" si="12"/>
        <v>40 à 44 ans</v>
      </c>
      <c r="G268" s="77" t="str">
        <f>'EXTRACTION AT GLOBAL DEA'!K266</f>
        <v>S</v>
      </c>
      <c r="H268" s="77">
        <f>'EXTRACTION AT GLOBAL DEA'!N266</f>
        <v>15</v>
      </c>
      <c r="I268" s="77" t="str">
        <f>'EXTRACTION AT GLOBAL DEA'!L266</f>
        <v>O</v>
      </c>
      <c r="J268" s="77" t="str">
        <f>'EXTRACTION AT GLOBAL DEA'!M266</f>
        <v>N</v>
      </c>
      <c r="K268" s="77"/>
      <c r="L268" s="77"/>
      <c r="M268" s="78">
        <f>'EXTRACTION AT GLOBAL DEA'!B266</f>
        <v>43013</v>
      </c>
      <c r="N268" s="77" t="str">
        <f t="shared" si="13"/>
        <v>octobre</v>
      </c>
      <c r="O268" s="65"/>
      <c r="P268" s="67"/>
      <c r="Q268" s="67"/>
      <c r="R268" s="67"/>
      <c r="S268" s="67"/>
      <c r="T268" s="67"/>
      <c r="U268" s="67"/>
      <c r="V268" s="67"/>
      <c r="W268" s="67"/>
      <c r="X268" s="67"/>
      <c r="Y268" s="67"/>
      <c r="Z268" s="67"/>
      <c r="AA268" s="67"/>
      <c r="AB268" s="68"/>
    </row>
    <row r="269" spans="1:28" x14ac:dyDescent="0.25">
      <c r="A269" s="77" t="str">
        <f>'EXTRACTION AT GLOBAL DEA'!D267</f>
        <v>114386</v>
      </c>
      <c r="B269" s="77" t="str">
        <f>'EXTRACTION AT GLOBAL DEA'!E267</f>
        <v>CASTANO</v>
      </c>
      <c r="C269" s="77" t="str">
        <f>'EXTRACTION AT GLOBAL DEA'!F267</f>
        <v>ENZO</v>
      </c>
      <c r="D269" s="77" t="str">
        <f>'EXTRACTION AT GLOBAL DEA'!I267</f>
        <v>BLDPMMOR</v>
      </c>
      <c r="E269" s="66">
        <f>'EXTRACTION AT GLOBAL DEA'!G267</f>
        <v>17</v>
      </c>
      <c r="F269" s="84" t="str">
        <f t="shared" si="12"/>
        <v>Moins de 20 ans</v>
      </c>
      <c r="G269" s="77" t="str">
        <f>'EXTRACTION AT GLOBAL DEA'!K267</f>
        <v>S</v>
      </c>
      <c r="H269" s="77">
        <f>'EXTRACTION AT GLOBAL DEA'!N267</f>
        <v>0</v>
      </c>
      <c r="I269" s="77" t="str">
        <f>'EXTRACTION AT GLOBAL DEA'!L267</f>
        <v>N</v>
      </c>
      <c r="J269" s="77" t="str">
        <f>'EXTRACTION AT GLOBAL DEA'!M267</f>
        <v>N</v>
      </c>
      <c r="K269" s="77"/>
      <c r="L269" s="77"/>
      <c r="M269" s="78">
        <f>'EXTRACTION AT GLOBAL DEA'!B267</f>
        <v>43014</v>
      </c>
      <c r="N269" s="77" t="str">
        <f t="shared" si="13"/>
        <v>octobre</v>
      </c>
      <c r="O269" s="65"/>
      <c r="P269" s="67"/>
      <c r="Q269" s="67"/>
      <c r="R269" s="67"/>
      <c r="S269" s="67"/>
      <c r="T269" s="67"/>
      <c r="U269" s="67"/>
      <c r="V269" s="67"/>
      <c r="W269" s="67"/>
      <c r="X269" s="67"/>
      <c r="Y269" s="67"/>
      <c r="Z269" s="67"/>
      <c r="AA269" s="67"/>
      <c r="AB269" s="68"/>
    </row>
    <row r="270" spans="1:28" hidden="1" x14ac:dyDescent="0.25">
      <c r="A270" s="77" t="str">
        <f>'EXTRACTION AT GLOBAL DEA'!D268</f>
        <v>114314</v>
      </c>
      <c r="B270" s="77" t="str">
        <f>'EXTRACTION AT GLOBAL DEA'!E268</f>
        <v>LATRILLE</v>
      </c>
      <c r="C270" s="77" t="str">
        <f>'EXTRACTION AT GLOBAL DEA'!F268</f>
        <v>PASCAL</v>
      </c>
      <c r="D270" s="77" t="str">
        <f>'EXTRACTION AT GLOBAL DEA'!I268</f>
        <v>MT HB QO</v>
      </c>
      <c r="E270" s="66">
        <f>'EXTRACTION AT GLOBAL DEA'!G268</f>
        <v>51</v>
      </c>
      <c r="F270" s="84" t="str">
        <f t="shared" si="12"/>
        <v>50 à 54 ans</v>
      </c>
      <c r="G270" s="77" t="str">
        <f>'EXTRACTION AT GLOBAL DEA'!K268</f>
        <v>T</v>
      </c>
      <c r="H270" s="77">
        <f>'EXTRACTION AT GLOBAL DEA'!N268</f>
        <v>9</v>
      </c>
      <c r="I270" s="77" t="str">
        <f>'EXTRACTION AT GLOBAL DEA'!L268</f>
        <v>O</v>
      </c>
      <c r="J270" s="77" t="str">
        <f>'EXTRACTION AT GLOBAL DEA'!M268</f>
        <v>N</v>
      </c>
      <c r="K270" s="77"/>
      <c r="L270" s="77"/>
      <c r="M270" s="78">
        <f>'EXTRACTION AT GLOBAL DEA'!B268</f>
        <v>43015</v>
      </c>
      <c r="N270" s="77" t="str">
        <f t="shared" si="13"/>
        <v>octobre</v>
      </c>
      <c r="O270" s="65"/>
      <c r="P270" s="67"/>
      <c r="Q270" s="67"/>
      <c r="R270" s="67"/>
      <c r="S270" s="67"/>
      <c r="T270" s="67"/>
      <c r="U270" s="67"/>
      <c r="V270" s="67"/>
      <c r="W270" s="67"/>
      <c r="X270" s="67"/>
      <c r="Y270" s="67"/>
      <c r="Z270" s="67"/>
      <c r="AA270" s="67"/>
      <c r="AB270" s="68"/>
    </row>
    <row r="271" spans="1:28" x14ac:dyDescent="0.25">
      <c r="A271" s="77" t="str">
        <f>'EXTRACTION AT GLOBAL DEA'!D269</f>
        <v>114341</v>
      </c>
      <c r="B271" s="77" t="str">
        <f>'EXTRACTION AT GLOBAL DEA'!E269</f>
        <v>LANG</v>
      </c>
      <c r="C271" s="77" t="str">
        <f>'EXTRACTION AT GLOBAL DEA'!F269</f>
        <v>THIERRY</v>
      </c>
      <c r="D271" s="77" t="str">
        <f>'EXTRACTION AT GLOBAL DEA'!I269</f>
        <v>TLSKI</v>
      </c>
      <c r="E271" s="66">
        <f>'EXTRACTION AT GLOBAL DEA'!G269</f>
        <v>57</v>
      </c>
      <c r="F271" s="84" t="str">
        <f t="shared" si="12"/>
        <v>55 à 59 ans</v>
      </c>
      <c r="G271" s="77" t="str">
        <f>'EXTRACTION AT GLOBAL DEA'!K269</f>
        <v>S</v>
      </c>
      <c r="H271" s="77">
        <f>'EXTRACTION AT GLOBAL DEA'!N269</f>
        <v>54</v>
      </c>
      <c r="I271" s="77" t="str">
        <f>'EXTRACTION AT GLOBAL DEA'!L269</f>
        <v>O</v>
      </c>
      <c r="J271" s="77" t="str">
        <f>'EXTRACTION AT GLOBAL DEA'!M269</f>
        <v>N</v>
      </c>
      <c r="K271" s="77"/>
      <c r="L271" s="77"/>
      <c r="M271" s="78">
        <f>'EXTRACTION AT GLOBAL DEA'!B269</f>
        <v>43015</v>
      </c>
      <c r="N271" s="77" t="str">
        <f t="shared" si="13"/>
        <v>octobre</v>
      </c>
      <c r="O271" s="65"/>
      <c r="P271" s="67"/>
      <c r="Q271" s="67"/>
      <c r="R271" s="67"/>
      <c r="S271" s="67"/>
      <c r="T271" s="67"/>
      <c r="U271" s="67"/>
      <c r="V271" s="67"/>
      <c r="W271" s="67"/>
      <c r="X271" s="67"/>
      <c r="Y271" s="67"/>
      <c r="Z271" s="67"/>
      <c r="AA271" s="67"/>
      <c r="AB271" s="68"/>
    </row>
    <row r="272" spans="1:28" x14ac:dyDescent="0.25">
      <c r="A272" s="77" t="str">
        <f>'EXTRACTION AT GLOBAL DEA'!D270</f>
        <v>114326</v>
      </c>
      <c r="B272" s="77" t="str">
        <f>'EXTRACTION AT GLOBAL DEA'!E270</f>
        <v>BIAS</v>
      </c>
      <c r="C272" s="77" t="str">
        <f>'EXTRACTION AT GLOBAL DEA'!F270</f>
        <v>LUDOVIC</v>
      </c>
      <c r="D272" s="77" t="str">
        <f>'EXTRACTION AT GLOBAL DEA'!I270</f>
        <v>MT QJ</v>
      </c>
      <c r="E272" s="66">
        <f>'EXTRACTION AT GLOBAL DEA'!G270</f>
        <v>52</v>
      </c>
      <c r="F272" s="84" t="str">
        <f t="shared" si="12"/>
        <v>50 à 54 ans</v>
      </c>
      <c r="G272" s="77" t="str">
        <f>'EXTRACTION AT GLOBAL DEA'!K270</f>
        <v>S</v>
      </c>
      <c r="H272" s="77">
        <f>'EXTRACTION AT GLOBAL DEA'!N270</f>
        <v>41</v>
      </c>
      <c r="I272" s="77" t="str">
        <f>'EXTRACTION AT GLOBAL DEA'!L270</f>
        <v>O</v>
      </c>
      <c r="J272" s="77" t="str">
        <f>'EXTRACTION AT GLOBAL DEA'!M270</f>
        <v>N</v>
      </c>
      <c r="K272" s="77"/>
      <c r="L272" s="77"/>
      <c r="M272" s="78">
        <f>'EXTRACTION AT GLOBAL DEA'!B270</f>
        <v>43015</v>
      </c>
      <c r="N272" s="77" t="str">
        <f t="shared" si="13"/>
        <v>octobre</v>
      </c>
      <c r="O272" s="65"/>
      <c r="P272" s="67"/>
      <c r="Q272" s="67"/>
      <c r="R272" s="67"/>
      <c r="S272" s="67"/>
      <c r="T272" s="67"/>
      <c r="U272" s="67"/>
      <c r="V272" s="67"/>
      <c r="W272" s="67"/>
      <c r="X272" s="67"/>
      <c r="Y272" s="67"/>
      <c r="Z272" s="67"/>
      <c r="AA272" s="67"/>
      <c r="AB272" s="68"/>
    </row>
    <row r="273" spans="1:28" x14ac:dyDescent="0.25">
      <c r="A273" s="77" t="str">
        <f>'EXTRACTION AT GLOBAL DEA'!D271</f>
        <v>114441</v>
      </c>
      <c r="B273" s="77" t="str">
        <f>'EXTRACTION AT GLOBAL DEA'!E271</f>
        <v>LOUISY-DUFER</v>
      </c>
      <c r="C273" s="77" t="str">
        <f>'EXTRACTION AT GLOBAL DEA'!F271</f>
        <v>JEAN-MARIE</v>
      </c>
      <c r="D273" s="77" t="str">
        <f>'EXTRACTION AT GLOBAL DEA'!I271</f>
        <v>MT QJ</v>
      </c>
      <c r="E273" s="66">
        <f>'EXTRACTION AT GLOBAL DEA'!G271</f>
        <v>42</v>
      </c>
      <c r="F273" s="84" t="str">
        <f t="shared" si="12"/>
        <v>40 à 44 ans</v>
      </c>
      <c r="G273" s="77" t="str">
        <f>'EXTRACTION AT GLOBAL DEA'!K271</f>
        <v>S</v>
      </c>
      <c r="H273" s="77">
        <f>'EXTRACTION AT GLOBAL DEA'!N271</f>
        <v>0</v>
      </c>
      <c r="I273" s="77" t="str">
        <f>'EXTRACTION AT GLOBAL DEA'!L271</f>
        <v>N</v>
      </c>
      <c r="J273" s="77" t="str">
        <f>'EXTRACTION AT GLOBAL DEA'!M271</f>
        <v>N</v>
      </c>
      <c r="K273" s="77"/>
      <c r="L273" s="77"/>
      <c r="M273" s="78">
        <f>'EXTRACTION AT GLOBAL DEA'!B271</f>
        <v>43018</v>
      </c>
      <c r="N273" s="77" t="str">
        <f t="shared" si="13"/>
        <v>octobre</v>
      </c>
      <c r="O273" s="65"/>
      <c r="P273" s="67"/>
      <c r="Q273" s="67"/>
      <c r="R273" s="67"/>
      <c r="S273" s="67"/>
      <c r="T273" s="67"/>
      <c r="U273" s="67"/>
      <c r="V273" s="67"/>
      <c r="W273" s="67"/>
      <c r="X273" s="67"/>
      <c r="Y273" s="67"/>
      <c r="Z273" s="67"/>
      <c r="AA273" s="67"/>
      <c r="AB273" s="68"/>
    </row>
    <row r="274" spans="1:28" x14ac:dyDescent="0.25">
      <c r="A274" s="77" t="str">
        <f>'EXTRACTION AT GLOBAL DEA'!D272</f>
        <v>114419</v>
      </c>
      <c r="B274" s="77" t="str">
        <f>'EXTRACTION AT GLOBAL DEA'!E272</f>
        <v>DURAND</v>
      </c>
      <c r="C274" s="77" t="str">
        <f>'EXTRACTION AT GLOBAL DEA'!F272</f>
        <v>DIDIER</v>
      </c>
      <c r="D274" s="77" t="str">
        <f>'EXTRACTION AT GLOBAL DEA'!I272</f>
        <v>MT YH TA</v>
      </c>
      <c r="E274" s="66">
        <f>'EXTRACTION AT GLOBAL DEA'!G272</f>
        <v>58</v>
      </c>
      <c r="F274" s="84" t="str">
        <f t="shared" si="12"/>
        <v>55 à 59 ans</v>
      </c>
      <c r="G274" s="77" t="str">
        <f>'EXTRACTION AT GLOBAL DEA'!K272</f>
        <v>S</v>
      </c>
      <c r="H274" s="77">
        <f>'EXTRACTION AT GLOBAL DEA'!N272</f>
        <v>26</v>
      </c>
      <c r="I274" s="77" t="str">
        <f>'EXTRACTION AT GLOBAL DEA'!L272</f>
        <v>O</v>
      </c>
      <c r="J274" s="77" t="str">
        <f>'EXTRACTION AT GLOBAL DEA'!M272</f>
        <v>N</v>
      </c>
      <c r="K274" s="77"/>
      <c r="L274" s="77"/>
      <c r="M274" s="78">
        <f>'EXTRACTION AT GLOBAL DEA'!B272</f>
        <v>43018</v>
      </c>
      <c r="N274" s="77" t="str">
        <f t="shared" si="13"/>
        <v>octobre</v>
      </c>
      <c r="O274" s="65"/>
      <c r="P274" s="67"/>
      <c r="Q274" s="67"/>
      <c r="R274" s="67"/>
      <c r="S274" s="67"/>
      <c r="T274" s="67"/>
      <c r="U274" s="67"/>
      <c r="V274" s="67"/>
      <c r="W274" s="67"/>
      <c r="X274" s="67"/>
      <c r="Y274" s="67"/>
      <c r="Z274" s="67"/>
      <c r="AA274" s="67"/>
      <c r="AB274" s="68"/>
    </row>
    <row r="275" spans="1:28" hidden="1" x14ac:dyDescent="0.25">
      <c r="A275" s="77" t="str">
        <f>'EXTRACTION AT GLOBAL DEA'!D273</f>
        <v>114512</v>
      </c>
      <c r="B275" s="77" t="str">
        <f>'EXTRACTION AT GLOBAL DEA'!E273</f>
        <v>MENDY</v>
      </c>
      <c r="C275" s="77" t="str">
        <f>'EXTRACTION AT GLOBAL DEA'!F273</f>
        <v>FERNAND</v>
      </c>
      <c r="D275" s="77" t="str">
        <f>'EXTRACTION AT GLOBAL DEA'!I273</f>
        <v>BLDPMSRY</v>
      </c>
      <c r="E275" s="66">
        <f>'EXTRACTION AT GLOBAL DEA'!G273</f>
        <v>22</v>
      </c>
      <c r="F275" s="84" t="str">
        <f t="shared" si="12"/>
        <v>20 à 24 ans</v>
      </c>
      <c r="G275" s="77" t="str">
        <f>'EXTRACTION AT GLOBAL DEA'!K273</f>
        <v>T</v>
      </c>
      <c r="H275" s="77">
        <f>'EXTRACTION AT GLOBAL DEA'!N273</f>
        <v>9</v>
      </c>
      <c r="I275" s="77" t="str">
        <f>'EXTRACTION AT GLOBAL DEA'!L273</f>
        <v>O</v>
      </c>
      <c r="J275" s="77" t="str">
        <f>'EXTRACTION AT GLOBAL DEA'!M273</f>
        <v>N</v>
      </c>
      <c r="K275" s="77"/>
      <c r="L275" s="77"/>
      <c r="M275" s="78">
        <f>'EXTRACTION AT GLOBAL DEA'!B273</f>
        <v>43019</v>
      </c>
      <c r="N275" s="77" t="str">
        <f t="shared" si="13"/>
        <v>octobre</v>
      </c>
      <c r="O275" s="65"/>
      <c r="P275" s="67"/>
      <c r="Q275" s="67"/>
      <c r="R275" s="67"/>
      <c r="S275" s="67"/>
      <c r="T275" s="67"/>
      <c r="U275" s="67"/>
      <c r="V275" s="67"/>
      <c r="W275" s="67"/>
      <c r="X275" s="67"/>
      <c r="Y275" s="67"/>
      <c r="Z275" s="67"/>
      <c r="AA275" s="67"/>
      <c r="AB275" s="68"/>
    </row>
    <row r="276" spans="1:28" x14ac:dyDescent="0.25">
      <c r="A276" s="77" t="str">
        <f>'EXTRACTION AT GLOBAL DEA'!D274</f>
        <v>114453</v>
      </c>
      <c r="B276" s="77" t="str">
        <f>'EXTRACTION AT GLOBAL DEA'!E274</f>
        <v>POMA</v>
      </c>
      <c r="C276" s="77" t="str">
        <f>'EXTRACTION AT GLOBAL DEA'!F274</f>
        <v>JEAN-CLAUDE</v>
      </c>
      <c r="D276" s="77" t="str">
        <f>'EXTRACTION AT GLOBAL DEA'!I274</f>
        <v>MT CA PR</v>
      </c>
      <c r="E276" s="66">
        <f>'EXTRACTION AT GLOBAL DEA'!G274</f>
        <v>56</v>
      </c>
      <c r="F276" s="84" t="str">
        <f t="shared" si="12"/>
        <v>55 à 59 ans</v>
      </c>
      <c r="G276" s="77" t="str">
        <f>'EXTRACTION AT GLOBAL DEA'!K274</f>
        <v>S</v>
      </c>
      <c r="H276" s="77">
        <f>'EXTRACTION AT GLOBAL DEA'!N274</f>
        <v>7</v>
      </c>
      <c r="I276" s="77" t="str">
        <f>'EXTRACTION AT GLOBAL DEA'!L274</f>
        <v>O</v>
      </c>
      <c r="J276" s="77" t="str">
        <f>'EXTRACTION AT GLOBAL DEA'!M274</f>
        <v>N</v>
      </c>
      <c r="K276" s="77"/>
      <c r="L276" s="77"/>
      <c r="M276" s="78">
        <f>'EXTRACTION AT GLOBAL DEA'!B274</f>
        <v>43019</v>
      </c>
      <c r="N276" s="77" t="str">
        <f t="shared" si="13"/>
        <v>octobre</v>
      </c>
      <c r="O276" s="65"/>
      <c r="P276" s="67"/>
      <c r="Q276" s="67"/>
      <c r="R276" s="67"/>
      <c r="S276" s="67"/>
      <c r="T276" s="67"/>
      <c r="U276" s="67"/>
      <c r="V276" s="67"/>
      <c r="W276" s="67"/>
      <c r="X276" s="67"/>
      <c r="Y276" s="67"/>
      <c r="Z276" s="67"/>
      <c r="AA276" s="67"/>
      <c r="AB276" s="68"/>
    </row>
    <row r="277" spans="1:28" x14ac:dyDescent="0.25">
      <c r="A277" s="77" t="str">
        <f>'EXTRACTION AT GLOBAL DEA'!D275</f>
        <v>114632</v>
      </c>
      <c r="B277" s="77" t="str">
        <f>'EXTRACTION AT GLOBAL DEA'!E275</f>
        <v>CHANTHERY</v>
      </c>
      <c r="C277" s="77" t="str">
        <f>'EXTRACTION AT GLOBAL DEA'!F275</f>
        <v>STEVEN</v>
      </c>
      <c r="D277" s="77" t="str">
        <f>'EXTRACTION AT GLOBAL DEA'!I275</f>
        <v>BLDPTDTL</v>
      </c>
      <c r="E277" s="66">
        <f>'EXTRACTION AT GLOBAL DEA'!G275</f>
        <v>19</v>
      </c>
      <c r="F277" s="84" t="str">
        <f t="shared" si="12"/>
        <v>Moins de 20 ans</v>
      </c>
      <c r="G277" s="77" t="str">
        <f>'EXTRACTION AT GLOBAL DEA'!K275</f>
        <v>S</v>
      </c>
      <c r="H277" s="77">
        <f>'EXTRACTION AT GLOBAL DEA'!N275</f>
        <v>16</v>
      </c>
      <c r="I277" s="77" t="str">
        <f>'EXTRACTION AT GLOBAL DEA'!L275</f>
        <v>O</v>
      </c>
      <c r="J277" s="77" t="str">
        <f>'EXTRACTION AT GLOBAL DEA'!M275</f>
        <v>N</v>
      </c>
      <c r="K277" s="77"/>
      <c r="L277" s="77"/>
      <c r="M277" s="78">
        <f>'EXTRACTION AT GLOBAL DEA'!B275</f>
        <v>43019</v>
      </c>
      <c r="N277" s="77" t="str">
        <f t="shared" si="13"/>
        <v>octobre</v>
      </c>
      <c r="O277" s="65"/>
      <c r="P277" s="67"/>
      <c r="Q277" s="67"/>
      <c r="R277" s="67"/>
      <c r="S277" s="67"/>
      <c r="T277" s="67"/>
      <c r="U277" s="67"/>
      <c r="V277" s="67"/>
      <c r="W277" s="67"/>
      <c r="X277" s="67"/>
      <c r="Y277" s="67"/>
      <c r="Z277" s="67"/>
      <c r="AA277" s="67"/>
      <c r="AB277" s="68"/>
    </row>
    <row r="278" spans="1:28" x14ac:dyDescent="0.25">
      <c r="A278" s="77" t="str">
        <f>'EXTRACTION AT GLOBAL DEA'!D276</f>
        <v>114478</v>
      </c>
      <c r="B278" s="77" t="str">
        <f>'EXTRACTION AT GLOBAL DEA'!E276</f>
        <v>ROGER</v>
      </c>
      <c r="C278" s="77" t="str">
        <f>'EXTRACTION AT GLOBAL DEA'!F276</f>
        <v>PASCAL</v>
      </c>
      <c r="D278" s="77" t="str">
        <f>'EXTRACTION AT GLOBAL DEA'!I276</f>
        <v>MT JK PR</v>
      </c>
      <c r="E278" s="66">
        <f>'EXTRACTION AT GLOBAL DEA'!G276</f>
        <v>47</v>
      </c>
      <c r="F278" s="84" t="str">
        <f t="shared" si="12"/>
        <v>45 à 49 ans</v>
      </c>
      <c r="G278" s="77" t="str">
        <f>'EXTRACTION AT GLOBAL DEA'!K276</f>
        <v>S</v>
      </c>
      <c r="H278" s="77">
        <f>'EXTRACTION AT GLOBAL DEA'!N276</f>
        <v>7</v>
      </c>
      <c r="I278" s="77" t="str">
        <f>'EXTRACTION AT GLOBAL DEA'!L276</f>
        <v>O</v>
      </c>
      <c r="J278" s="77" t="str">
        <f>'EXTRACTION AT GLOBAL DEA'!M276</f>
        <v>N</v>
      </c>
      <c r="K278" s="77"/>
      <c r="L278" s="77"/>
      <c r="M278" s="78">
        <f>'EXTRACTION AT GLOBAL DEA'!B276</f>
        <v>43021</v>
      </c>
      <c r="N278" s="77" t="str">
        <f t="shared" si="13"/>
        <v>octobre</v>
      </c>
      <c r="O278" s="65"/>
      <c r="P278" s="67"/>
      <c r="Q278" s="67"/>
      <c r="R278" s="67"/>
      <c r="S278" s="67"/>
      <c r="T278" s="67"/>
      <c r="U278" s="67"/>
      <c r="V278" s="67"/>
      <c r="W278" s="67"/>
      <c r="X278" s="67"/>
      <c r="Y278" s="67"/>
      <c r="Z278" s="67"/>
      <c r="AA278" s="67"/>
      <c r="AB278" s="68"/>
    </row>
    <row r="279" spans="1:28" x14ac:dyDescent="0.25">
      <c r="A279" s="77" t="str">
        <f>'EXTRACTION AT GLOBAL DEA'!D277</f>
        <v>114633</v>
      </c>
      <c r="B279" s="77" t="str">
        <f>'EXTRACTION AT GLOBAL DEA'!E277</f>
        <v>KORE</v>
      </c>
      <c r="C279" s="77" t="str">
        <f>'EXTRACTION AT GLOBAL DEA'!F277</f>
        <v>ROMARIC</v>
      </c>
      <c r="D279" s="77" t="str">
        <f>'EXTRACTION AT GLOBAL DEA'!I277</f>
        <v>BLDPUDRY</v>
      </c>
      <c r="E279" s="66">
        <f>'EXTRACTION AT GLOBAL DEA'!G277</f>
        <v>25</v>
      </c>
      <c r="F279" s="84" t="str">
        <f t="shared" si="12"/>
        <v>25 à 29 ans</v>
      </c>
      <c r="G279" s="77" t="str">
        <f>'EXTRACTION AT GLOBAL DEA'!K277</f>
        <v>S</v>
      </c>
      <c r="H279" s="77">
        <f>'EXTRACTION AT GLOBAL DEA'!N277</f>
        <v>0</v>
      </c>
      <c r="I279" s="77" t="str">
        <f>'EXTRACTION AT GLOBAL DEA'!L277</f>
        <v>N</v>
      </c>
      <c r="J279" s="77" t="str">
        <f>'EXTRACTION AT GLOBAL DEA'!M277</f>
        <v>N</v>
      </c>
      <c r="K279" s="77"/>
      <c r="L279" s="77"/>
      <c r="M279" s="78">
        <f>'EXTRACTION AT GLOBAL DEA'!B277</f>
        <v>43021</v>
      </c>
      <c r="N279" s="77" t="str">
        <f t="shared" si="13"/>
        <v>octobre</v>
      </c>
      <c r="O279" s="65"/>
      <c r="P279" s="67"/>
      <c r="Q279" s="67"/>
      <c r="R279" s="67"/>
      <c r="S279" s="67"/>
      <c r="T279" s="67"/>
      <c r="U279" s="67"/>
      <c r="V279" s="67"/>
      <c r="W279" s="67"/>
      <c r="X279" s="67"/>
      <c r="Y279" s="67"/>
      <c r="Z279" s="67"/>
      <c r="AA279" s="67"/>
      <c r="AB279" s="68"/>
    </row>
    <row r="280" spans="1:28" x14ac:dyDescent="0.25">
      <c r="A280" s="77" t="str">
        <f>'EXTRACTION AT GLOBAL DEA'!D278</f>
        <v>114675</v>
      </c>
      <c r="B280" s="77" t="str">
        <f>'EXTRACTION AT GLOBAL DEA'!E278</f>
        <v>LAURENT</v>
      </c>
      <c r="C280" s="77" t="str">
        <f>'EXTRACTION AT GLOBAL DEA'!F278</f>
        <v>CEDRIC</v>
      </c>
      <c r="D280" s="77" t="str">
        <f>'EXTRACTION AT GLOBAL DEA'!I278</f>
        <v>MT HB PR</v>
      </c>
      <c r="E280" s="66">
        <f>'EXTRACTION AT GLOBAL DEA'!G278</f>
        <v>36</v>
      </c>
      <c r="F280" s="84" t="str">
        <f t="shared" si="12"/>
        <v>35 à 39 ans</v>
      </c>
      <c r="G280" s="77" t="str">
        <f>'EXTRACTION AT GLOBAL DEA'!K278</f>
        <v>S</v>
      </c>
      <c r="H280" s="77">
        <f>'EXTRACTION AT GLOBAL DEA'!N278</f>
        <v>14</v>
      </c>
      <c r="I280" s="77" t="str">
        <f>'EXTRACTION AT GLOBAL DEA'!L278</f>
        <v>O</v>
      </c>
      <c r="J280" s="77" t="str">
        <f>'EXTRACTION AT GLOBAL DEA'!M278</f>
        <v>N</v>
      </c>
      <c r="K280" s="77"/>
      <c r="L280" s="77"/>
      <c r="M280" s="78">
        <f>'EXTRACTION AT GLOBAL DEA'!B278</f>
        <v>43025</v>
      </c>
      <c r="N280" s="77" t="str">
        <f t="shared" si="13"/>
        <v>octobre</v>
      </c>
      <c r="O280" s="65"/>
      <c r="P280" s="67"/>
      <c r="Q280" s="67"/>
      <c r="R280" s="67"/>
      <c r="S280" s="67"/>
      <c r="T280" s="67"/>
      <c r="U280" s="67"/>
      <c r="V280" s="67"/>
      <c r="W280" s="67"/>
      <c r="X280" s="67"/>
      <c r="Y280" s="67"/>
      <c r="Z280" s="67"/>
      <c r="AA280" s="67"/>
      <c r="AB280" s="68"/>
    </row>
    <row r="281" spans="1:28" hidden="1" x14ac:dyDescent="0.25">
      <c r="A281" s="77" t="str">
        <f>'EXTRACTION AT GLOBAL DEA'!D279</f>
        <v>114781</v>
      </c>
      <c r="B281" s="77" t="str">
        <f>'EXTRACTION AT GLOBAL DEA'!E279</f>
        <v>LARBI</v>
      </c>
      <c r="C281" s="77" t="str">
        <f>'EXTRACTION AT GLOBAL DEA'!F279</f>
        <v>MOUMTAZ</v>
      </c>
      <c r="D281" s="77" t="str">
        <f>'EXTRACTION AT GLOBAL DEA'!I279</f>
        <v>MT HB PR</v>
      </c>
      <c r="E281" s="66">
        <f>'EXTRACTION AT GLOBAL DEA'!G279</f>
        <v>54</v>
      </c>
      <c r="F281" s="84" t="str">
        <f t="shared" si="12"/>
        <v>50 à 54 ans</v>
      </c>
      <c r="G281" s="77" t="str">
        <f>'EXTRACTION AT GLOBAL DEA'!K279</f>
        <v>T</v>
      </c>
      <c r="H281" s="77">
        <f>'EXTRACTION AT GLOBAL DEA'!N279</f>
        <v>18</v>
      </c>
      <c r="I281" s="77" t="str">
        <f>'EXTRACTION AT GLOBAL DEA'!L279</f>
        <v>O</v>
      </c>
      <c r="J281" s="77" t="str">
        <f>'EXTRACTION AT GLOBAL DEA'!M279</f>
        <v>N</v>
      </c>
      <c r="K281" s="77"/>
      <c r="L281" s="77"/>
      <c r="M281" s="78">
        <f>'EXTRACTION AT GLOBAL DEA'!B279</f>
        <v>43027</v>
      </c>
      <c r="N281" s="77" t="str">
        <f t="shared" si="13"/>
        <v>octobre</v>
      </c>
      <c r="O281" s="65"/>
      <c r="P281" s="67"/>
      <c r="Q281" s="67"/>
      <c r="R281" s="67"/>
      <c r="S281" s="67"/>
      <c r="T281" s="67"/>
      <c r="U281" s="67"/>
      <c r="V281" s="67"/>
      <c r="W281" s="67"/>
      <c r="X281" s="67"/>
      <c r="Y281" s="67"/>
      <c r="Z281" s="67"/>
      <c r="AA281" s="67"/>
      <c r="AB281" s="68"/>
    </row>
    <row r="282" spans="1:28" x14ac:dyDescent="0.25">
      <c r="A282" s="77" t="str">
        <f>'EXTRACTION AT GLOBAL DEA'!D280</f>
        <v>114916</v>
      </c>
      <c r="B282" s="77" t="str">
        <f>'EXTRACTION AT GLOBAL DEA'!E280</f>
        <v>BROSSARD</v>
      </c>
      <c r="C282" s="77" t="str">
        <f>'EXTRACTION AT GLOBAL DEA'!F280</f>
        <v>LOUIS</v>
      </c>
      <c r="D282" s="77" t="str">
        <f>'EXTRACTION AT GLOBAL DEA'!I280</f>
        <v>BLDPMSVL</v>
      </c>
      <c r="E282" s="66">
        <f>'EXTRACTION AT GLOBAL DEA'!G280</f>
        <v>19</v>
      </c>
      <c r="F282" s="84" t="str">
        <f t="shared" si="12"/>
        <v>Moins de 20 ans</v>
      </c>
      <c r="G282" s="77" t="str">
        <f>'EXTRACTION AT GLOBAL DEA'!K280</f>
        <v>S</v>
      </c>
      <c r="H282" s="77">
        <f>'EXTRACTION AT GLOBAL DEA'!N280</f>
        <v>0</v>
      </c>
      <c r="I282" s="77" t="str">
        <f>'EXTRACTION AT GLOBAL DEA'!L280</f>
        <v>N</v>
      </c>
      <c r="J282" s="77" t="str">
        <f>'EXTRACTION AT GLOBAL DEA'!M280</f>
        <v>N</v>
      </c>
      <c r="K282" s="77"/>
      <c r="L282" s="77"/>
      <c r="M282" s="78">
        <f>'EXTRACTION AT GLOBAL DEA'!B280</f>
        <v>43031</v>
      </c>
      <c r="N282" s="77" t="str">
        <f t="shared" si="13"/>
        <v>octobre</v>
      </c>
      <c r="O282" s="65"/>
      <c r="P282" s="67"/>
      <c r="Q282" s="67"/>
      <c r="R282" s="67"/>
      <c r="S282" s="67"/>
      <c r="T282" s="67"/>
      <c r="U282" s="67"/>
      <c r="V282" s="67"/>
      <c r="W282" s="67"/>
      <c r="X282" s="67"/>
      <c r="Y282" s="67"/>
      <c r="Z282" s="67"/>
      <c r="AA282" s="67"/>
      <c r="AB282" s="68"/>
    </row>
    <row r="283" spans="1:28" x14ac:dyDescent="0.25">
      <c r="A283" s="77" t="str">
        <f>'EXTRACTION AT GLOBAL DEA'!D281</f>
        <v>115007</v>
      </c>
      <c r="B283" s="77" t="str">
        <f>'EXTRACTION AT GLOBAL DEA'!E281</f>
        <v>VEILLEROT</v>
      </c>
      <c r="C283" s="77" t="str">
        <f>'EXTRACTION AT GLOBAL DEA'!F281</f>
        <v>VALENTIN</v>
      </c>
      <c r="D283" s="77" t="str">
        <f>'EXTRACTION AT GLOBAL DEA'!I281</f>
        <v>MT CC PR</v>
      </c>
      <c r="E283" s="66">
        <f>'EXTRACTION AT GLOBAL DEA'!G281</f>
        <v>25</v>
      </c>
      <c r="F283" s="84" t="str">
        <f t="shared" si="12"/>
        <v>25 à 29 ans</v>
      </c>
      <c r="G283" s="77" t="str">
        <f>'EXTRACTION AT GLOBAL DEA'!K281</f>
        <v>S</v>
      </c>
      <c r="H283" s="77">
        <f>'EXTRACTION AT GLOBAL DEA'!N281</f>
        <v>0</v>
      </c>
      <c r="I283" s="77" t="str">
        <f>'EXTRACTION AT GLOBAL DEA'!L281</f>
        <v>N</v>
      </c>
      <c r="J283" s="77" t="str">
        <f>'EXTRACTION AT GLOBAL DEA'!M281</f>
        <v>N</v>
      </c>
      <c r="K283" s="77"/>
      <c r="L283" s="77"/>
      <c r="M283" s="78">
        <f>'EXTRACTION AT GLOBAL DEA'!B281</f>
        <v>43032</v>
      </c>
      <c r="N283" s="77" t="str">
        <f t="shared" si="13"/>
        <v>octobre</v>
      </c>
      <c r="O283" s="65"/>
      <c r="P283" s="67"/>
      <c r="Q283" s="67"/>
      <c r="R283" s="67"/>
      <c r="S283" s="67"/>
      <c r="T283" s="67"/>
      <c r="U283" s="67"/>
      <c r="V283" s="67"/>
      <c r="W283" s="67"/>
      <c r="X283" s="67"/>
      <c r="Y283" s="67"/>
      <c r="Z283" s="67"/>
      <c r="AA283" s="67"/>
      <c r="AB283" s="68"/>
    </row>
    <row r="284" spans="1:28" hidden="1" x14ac:dyDescent="0.25">
      <c r="A284" s="77" t="str">
        <f>'EXTRACTION AT GLOBAL DEA'!D282</f>
        <v>114993</v>
      </c>
      <c r="B284" s="77" t="str">
        <f>'EXTRACTION AT GLOBAL DEA'!E282</f>
        <v>LEFAUCHEUX</v>
      </c>
      <c r="C284" s="77" t="str">
        <f>'EXTRACTION AT GLOBAL DEA'!F282</f>
        <v>JEROME</v>
      </c>
      <c r="D284" s="77" t="str">
        <f>'EXTRACTION AT GLOBAL DEA'!I282</f>
        <v>MT CC PR</v>
      </c>
      <c r="E284" s="66">
        <f>'EXTRACTION AT GLOBAL DEA'!G282</f>
        <v>41</v>
      </c>
      <c r="F284" s="84" t="str">
        <f t="shared" si="12"/>
        <v>40 à 44 ans</v>
      </c>
      <c r="G284" s="77" t="str">
        <f>'EXTRACTION AT GLOBAL DEA'!K282</f>
        <v>T</v>
      </c>
      <c r="H284" s="77">
        <f>'EXTRACTION AT GLOBAL DEA'!N282</f>
        <v>36</v>
      </c>
      <c r="I284" s="77" t="str">
        <f>'EXTRACTION AT GLOBAL DEA'!L282</f>
        <v>O</v>
      </c>
      <c r="J284" s="77" t="str">
        <f>'EXTRACTION AT GLOBAL DEA'!M282</f>
        <v>N</v>
      </c>
      <c r="K284" s="77"/>
      <c r="L284" s="77"/>
      <c r="M284" s="78">
        <f>'EXTRACTION AT GLOBAL DEA'!B282</f>
        <v>43032</v>
      </c>
      <c r="N284" s="77" t="str">
        <f t="shared" si="13"/>
        <v>octobre</v>
      </c>
      <c r="O284" s="65"/>
      <c r="P284" s="67"/>
      <c r="Q284" s="67"/>
      <c r="R284" s="67"/>
      <c r="S284" s="67"/>
      <c r="T284" s="67"/>
      <c r="U284" s="67"/>
      <c r="V284" s="67"/>
      <c r="W284" s="67"/>
      <c r="X284" s="67"/>
      <c r="Y284" s="67"/>
      <c r="Z284" s="67"/>
      <c r="AA284" s="67"/>
      <c r="AB284" s="68"/>
    </row>
    <row r="285" spans="1:28" x14ac:dyDescent="0.25">
      <c r="A285" s="77" t="str">
        <f>'EXTRACTION AT GLOBAL DEA'!D283</f>
        <v>115002</v>
      </c>
      <c r="B285" s="77" t="str">
        <f>'EXTRACTION AT GLOBAL DEA'!E283</f>
        <v>CHAMEREAU</v>
      </c>
      <c r="C285" s="77" t="str">
        <f>'EXTRACTION AT GLOBAL DEA'!F283</f>
        <v>TONY</v>
      </c>
      <c r="D285" s="77" t="str">
        <f>'EXTRACTION AT GLOBAL DEA'!I283</f>
        <v>MT CC PR</v>
      </c>
      <c r="E285" s="66">
        <f>'EXTRACTION AT GLOBAL DEA'!G283</f>
        <v>34</v>
      </c>
      <c r="F285" s="84" t="str">
        <f t="shared" si="12"/>
        <v>30 à 34 ans</v>
      </c>
      <c r="G285" s="77" t="str">
        <f>'EXTRACTION AT GLOBAL DEA'!K283</f>
        <v>S</v>
      </c>
      <c r="H285" s="77">
        <f>'EXTRACTION AT GLOBAL DEA'!N283</f>
        <v>0</v>
      </c>
      <c r="I285" s="77" t="str">
        <f>'EXTRACTION AT GLOBAL DEA'!L283</f>
        <v>N</v>
      </c>
      <c r="J285" s="77" t="str">
        <f>'EXTRACTION AT GLOBAL DEA'!M283</f>
        <v>N</v>
      </c>
      <c r="K285" s="77"/>
      <c r="L285" s="77"/>
      <c r="M285" s="78">
        <f>'EXTRACTION AT GLOBAL DEA'!B283</f>
        <v>43033</v>
      </c>
      <c r="N285" s="77" t="str">
        <f t="shared" si="13"/>
        <v>octobre</v>
      </c>
      <c r="O285" s="65"/>
      <c r="P285" s="67"/>
      <c r="Q285" s="67"/>
      <c r="R285" s="67"/>
      <c r="S285" s="67"/>
      <c r="T285" s="67"/>
      <c r="U285" s="67"/>
      <c r="V285" s="67"/>
      <c r="W285" s="67"/>
      <c r="X285" s="67"/>
      <c r="Y285" s="67"/>
      <c r="Z285" s="67"/>
      <c r="AA285" s="67"/>
      <c r="AB285" s="68"/>
    </row>
    <row r="286" spans="1:28" x14ac:dyDescent="0.25">
      <c r="A286" s="77" t="str">
        <f>'EXTRACTION AT GLOBAL DEA'!D284</f>
        <v>115036</v>
      </c>
      <c r="B286" s="77" t="str">
        <f>'EXTRACTION AT GLOBAL DEA'!E284</f>
        <v>LE TREQUESSER</v>
      </c>
      <c r="C286" s="77" t="str">
        <f>'EXTRACTION AT GLOBAL DEA'!F284</f>
        <v>THOMAS</v>
      </c>
      <c r="D286" s="77" t="str">
        <f>'EXTRACTION AT GLOBAL DEA'!I284</f>
        <v>MT HB PR</v>
      </c>
      <c r="E286" s="66">
        <f>'EXTRACTION AT GLOBAL DEA'!G284</f>
        <v>42</v>
      </c>
      <c r="F286" s="84" t="str">
        <f t="shared" si="12"/>
        <v>40 à 44 ans</v>
      </c>
      <c r="G286" s="77" t="str">
        <f>'EXTRACTION AT GLOBAL DEA'!K284</f>
        <v>S</v>
      </c>
      <c r="H286" s="77">
        <f>'EXTRACTION AT GLOBAL DEA'!N284</f>
        <v>4</v>
      </c>
      <c r="I286" s="77" t="str">
        <f>'EXTRACTION AT GLOBAL DEA'!L284</f>
        <v>O</v>
      </c>
      <c r="J286" s="77" t="str">
        <f>'EXTRACTION AT GLOBAL DEA'!M284</f>
        <v>N</v>
      </c>
      <c r="K286" s="77"/>
      <c r="L286" s="77"/>
      <c r="M286" s="78">
        <f>'EXTRACTION AT GLOBAL DEA'!B284</f>
        <v>43034</v>
      </c>
      <c r="N286" s="77" t="str">
        <f t="shared" si="13"/>
        <v>octobre</v>
      </c>
      <c r="O286" s="65"/>
      <c r="P286" s="67"/>
      <c r="Q286" s="67"/>
      <c r="R286" s="67"/>
      <c r="S286" s="67"/>
      <c r="T286" s="67"/>
      <c r="U286" s="67"/>
      <c r="V286" s="67"/>
      <c r="W286" s="67"/>
      <c r="X286" s="67"/>
      <c r="Y286" s="67"/>
      <c r="Z286" s="67"/>
      <c r="AA286" s="67"/>
      <c r="AB286" s="68"/>
    </row>
    <row r="287" spans="1:28" x14ac:dyDescent="0.25">
      <c r="A287" s="77" t="str">
        <f>'EXTRACTION AT GLOBAL DEA'!D285</f>
        <v>115062</v>
      </c>
      <c r="B287" s="77" t="str">
        <f>'EXTRACTION AT GLOBAL DEA'!E285</f>
        <v>LEMASSON</v>
      </c>
      <c r="C287" s="77" t="str">
        <f>'EXTRACTION AT GLOBAL DEA'!F285</f>
        <v>GREGORY</v>
      </c>
      <c r="D287" s="77" t="str">
        <f>'EXTRACTION AT GLOBAL DEA'!I285</f>
        <v>MT HB PR</v>
      </c>
      <c r="E287" s="66">
        <f>'EXTRACTION AT GLOBAL DEA'!G285</f>
        <v>34</v>
      </c>
      <c r="F287" s="84" t="str">
        <f t="shared" si="12"/>
        <v>30 à 34 ans</v>
      </c>
      <c r="G287" s="77" t="str">
        <f>'EXTRACTION AT GLOBAL DEA'!K285</f>
        <v>S</v>
      </c>
      <c r="H287" s="77">
        <f>'EXTRACTION AT GLOBAL DEA'!N285</f>
        <v>0</v>
      </c>
      <c r="I287" s="77" t="str">
        <f>'EXTRACTION AT GLOBAL DEA'!L285</f>
        <v>N</v>
      </c>
      <c r="J287" s="77" t="str">
        <f>'EXTRACTION AT GLOBAL DEA'!M285</f>
        <v>N</v>
      </c>
      <c r="K287" s="77"/>
      <c r="L287" s="77"/>
      <c r="M287" s="78">
        <f>'EXTRACTION AT GLOBAL DEA'!B285</f>
        <v>43034</v>
      </c>
      <c r="N287" s="77" t="str">
        <f t="shared" si="13"/>
        <v>octobre</v>
      </c>
      <c r="O287" s="65"/>
      <c r="P287" s="67"/>
      <c r="Q287" s="67"/>
      <c r="R287" s="67"/>
      <c r="S287" s="67"/>
      <c r="T287" s="67"/>
      <c r="U287" s="67"/>
      <c r="V287" s="67"/>
      <c r="W287" s="67"/>
      <c r="X287" s="67"/>
      <c r="Y287" s="67"/>
      <c r="Z287" s="67"/>
      <c r="AA287" s="67"/>
      <c r="AB287" s="68"/>
    </row>
    <row r="288" spans="1:28" x14ac:dyDescent="0.25">
      <c r="A288" s="77" t="str">
        <f>'EXTRACTION AT GLOBAL DEA'!D286</f>
        <v>115071</v>
      </c>
      <c r="B288" s="77" t="str">
        <f>'EXTRACTION AT GLOBAL DEA'!E286</f>
        <v>AURIER</v>
      </c>
      <c r="C288" s="77" t="str">
        <f>'EXTRACTION AT GLOBAL DEA'!F286</f>
        <v>CYRILLE</v>
      </c>
      <c r="D288" s="77" t="str">
        <f>'EXTRACTION AT GLOBAL DEA'!I286</f>
        <v>MT HB PR</v>
      </c>
      <c r="E288" s="66">
        <f>'EXTRACTION AT GLOBAL DEA'!G286</f>
        <v>43</v>
      </c>
      <c r="F288" s="84" t="str">
        <f t="shared" si="12"/>
        <v>40 à 44 ans</v>
      </c>
      <c r="G288" s="77" t="str">
        <f>'EXTRACTION AT GLOBAL DEA'!K286</f>
        <v>S</v>
      </c>
      <c r="H288" s="77">
        <f>'EXTRACTION AT GLOBAL DEA'!N286</f>
        <v>17</v>
      </c>
      <c r="I288" s="77" t="str">
        <f>'EXTRACTION AT GLOBAL DEA'!L286</f>
        <v>O</v>
      </c>
      <c r="J288" s="77" t="str">
        <f>'EXTRACTION AT GLOBAL DEA'!M286</f>
        <v>N</v>
      </c>
      <c r="K288" s="77"/>
      <c r="L288" s="77"/>
      <c r="M288" s="78">
        <f>'EXTRACTION AT GLOBAL DEA'!B286</f>
        <v>43035</v>
      </c>
      <c r="N288" s="77" t="str">
        <f t="shared" si="13"/>
        <v>octobre</v>
      </c>
      <c r="O288" s="65"/>
      <c r="P288" s="67"/>
      <c r="Q288" s="67"/>
      <c r="R288" s="67"/>
      <c r="S288" s="67"/>
      <c r="T288" s="67"/>
      <c r="U288" s="67"/>
      <c r="V288" s="67"/>
      <c r="W288" s="67"/>
      <c r="X288" s="67"/>
      <c r="Y288" s="67"/>
      <c r="Z288" s="67"/>
      <c r="AA288" s="67"/>
      <c r="AB288" s="68"/>
    </row>
    <row r="289" spans="1:28" hidden="1" x14ac:dyDescent="0.25">
      <c r="A289" s="77" t="str">
        <f>'EXTRACTION AT GLOBAL DEA'!D287</f>
        <v>115134</v>
      </c>
      <c r="B289" s="77" t="str">
        <f>'EXTRACTION AT GLOBAL DEA'!E287</f>
        <v>CIRON</v>
      </c>
      <c r="C289" s="77" t="str">
        <f>'EXTRACTION AT GLOBAL DEA'!F287</f>
        <v>HUBERT</v>
      </c>
      <c r="D289" s="77" t="str">
        <f>'EXTRACTION AT GLOBAL DEA'!I287</f>
        <v>MT CA PR</v>
      </c>
      <c r="E289" s="66">
        <f>'EXTRACTION AT GLOBAL DEA'!G287</f>
        <v>56</v>
      </c>
      <c r="F289" s="84" t="str">
        <f t="shared" si="12"/>
        <v>55 à 59 ans</v>
      </c>
      <c r="G289" s="77" t="str">
        <f>'EXTRACTION AT GLOBAL DEA'!K287</f>
        <v>T</v>
      </c>
      <c r="H289" s="77">
        <f>'EXTRACTION AT GLOBAL DEA'!N287</f>
        <v>1</v>
      </c>
      <c r="I289" s="77" t="str">
        <f>'EXTRACTION AT GLOBAL DEA'!L287</f>
        <v>O</v>
      </c>
      <c r="J289" s="77" t="str">
        <f>'EXTRACTION AT GLOBAL DEA'!M287</f>
        <v>N</v>
      </c>
      <c r="K289" s="77"/>
      <c r="L289" s="77"/>
      <c r="M289" s="78">
        <f>'EXTRACTION AT GLOBAL DEA'!B287</f>
        <v>43038</v>
      </c>
      <c r="N289" s="77" t="str">
        <f t="shared" si="13"/>
        <v>octobre</v>
      </c>
      <c r="O289" s="65"/>
      <c r="P289" s="67"/>
      <c r="Q289" s="67"/>
      <c r="R289" s="67"/>
      <c r="S289" s="67"/>
      <c r="T289" s="67"/>
      <c r="U289" s="67"/>
      <c r="V289" s="67"/>
      <c r="W289" s="67"/>
      <c r="X289" s="67"/>
      <c r="Y289" s="67"/>
      <c r="Z289" s="67"/>
      <c r="AA289" s="67"/>
      <c r="AB289" s="68"/>
    </row>
    <row r="290" spans="1:28" x14ac:dyDescent="0.25">
      <c r="A290" s="77" t="str">
        <f>'EXTRACTION AT GLOBAL DEA'!D288</f>
        <v>115346</v>
      </c>
      <c r="B290" s="77" t="str">
        <f>'EXTRACTION AT GLOBAL DEA'!E288</f>
        <v>RANCE</v>
      </c>
      <c r="C290" s="77" t="str">
        <f>'EXTRACTION AT GLOBAL DEA'!F288</f>
        <v>THIBAULT</v>
      </c>
      <c r="D290" s="77" t="str">
        <f>'EXTRACTION AT GLOBAL DEA'!I288</f>
        <v>MT CC PR</v>
      </c>
      <c r="E290" s="66">
        <f>'EXTRACTION AT GLOBAL DEA'!G288</f>
        <v>30</v>
      </c>
      <c r="F290" s="84" t="str">
        <f t="shared" si="12"/>
        <v>30 à 34 ans</v>
      </c>
      <c r="G290" s="77" t="str">
        <f>'EXTRACTION AT GLOBAL DEA'!K288</f>
        <v>S</v>
      </c>
      <c r="H290" s="77">
        <f>'EXTRACTION AT GLOBAL DEA'!N288</f>
        <v>0</v>
      </c>
      <c r="I290" s="77" t="str">
        <f>'EXTRACTION AT GLOBAL DEA'!L288</f>
        <v>N</v>
      </c>
      <c r="J290" s="77" t="str">
        <f>'EXTRACTION AT GLOBAL DEA'!M288</f>
        <v>N</v>
      </c>
      <c r="K290" s="77"/>
      <c r="L290" s="77"/>
      <c r="M290" s="78">
        <f>'EXTRACTION AT GLOBAL DEA'!B288</f>
        <v>43045</v>
      </c>
      <c r="N290" s="77" t="str">
        <f t="shared" si="13"/>
        <v>novembre</v>
      </c>
      <c r="O290" s="65"/>
      <c r="P290" s="67"/>
      <c r="Q290" s="67"/>
      <c r="R290" s="67"/>
      <c r="S290" s="67"/>
      <c r="T290" s="67"/>
      <c r="U290" s="67"/>
      <c r="V290" s="67"/>
      <c r="W290" s="67"/>
      <c r="X290" s="67"/>
      <c r="Y290" s="67"/>
      <c r="Z290" s="67"/>
      <c r="AA290" s="67"/>
      <c r="AB290" s="68"/>
    </row>
    <row r="291" spans="1:28" hidden="1" x14ac:dyDescent="0.25">
      <c r="A291" s="77" t="str">
        <f>'EXTRACTION AT GLOBAL DEA'!D289</f>
        <v>115406</v>
      </c>
      <c r="B291" s="77" t="str">
        <f>'EXTRACTION AT GLOBAL DEA'!E289</f>
        <v>OYEZ</v>
      </c>
      <c r="C291" s="77" t="str">
        <f>'EXTRACTION AT GLOBAL DEA'!F289</f>
        <v>ERIC</v>
      </c>
      <c r="D291" s="77" t="str">
        <f>'EXTRACTION AT GLOBAL DEA'!I289</f>
        <v>MT QJ</v>
      </c>
      <c r="E291" s="66">
        <f>'EXTRACTION AT GLOBAL DEA'!G289</f>
        <v>54</v>
      </c>
      <c r="F291" s="84" t="str">
        <f t="shared" si="12"/>
        <v>50 à 54 ans</v>
      </c>
      <c r="G291" s="77" t="str">
        <f>'EXTRACTION AT GLOBAL DEA'!K289</f>
        <v>T</v>
      </c>
      <c r="H291" s="77">
        <f>'EXTRACTION AT GLOBAL DEA'!N289</f>
        <v>0</v>
      </c>
      <c r="I291" s="77" t="str">
        <f>'EXTRACTION AT GLOBAL DEA'!L289</f>
        <v>N</v>
      </c>
      <c r="J291" s="77" t="str">
        <f>'EXTRACTION AT GLOBAL DEA'!M289</f>
        <v>N</v>
      </c>
      <c r="K291" s="77"/>
      <c r="L291" s="77"/>
      <c r="M291" s="78">
        <f>'EXTRACTION AT GLOBAL DEA'!B289</f>
        <v>43048</v>
      </c>
      <c r="N291" s="77" t="str">
        <f t="shared" si="13"/>
        <v>novembre</v>
      </c>
      <c r="O291" s="65"/>
      <c r="P291" s="67"/>
      <c r="Q291" s="67"/>
      <c r="R291" s="67"/>
      <c r="S291" s="67"/>
      <c r="T291" s="67"/>
      <c r="U291" s="67"/>
      <c r="V291" s="67"/>
      <c r="W291" s="67"/>
      <c r="X291" s="67"/>
      <c r="Y291" s="67"/>
      <c r="Z291" s="67"/>
      <c r="AA291" s="67"/>
      <c r="AB291" s="68"/>
    </row>
    <row r="292" spans="1:28" x14ac:dyDescent="0.25">
      <c r="A292" s="77" t="str">
        <f>'EXTRACTION AT GLOBAL DEA'!D290</f>
        <v>115541</v>
      </c>
      <c r="B292" s="77" t="str">
        <f>'EXTRACTION AT GLOBAL DEA'!E290</f>
        <v>LANDRIEAU</v>
      </c>
      <c r="C292" s="77" t="str">
        <f>'EXTRACTION AT GLOBAL DEA'!F290</f>
        <v>OLIVIER</v>
      </c>
      <c r="D292" s="77" t="str">
        <f>'EXTRACTION AT GLOBAL DEA'!I290</f>
        <v>MT QJ</v>
      </c>
      <c r="E292" s="66">
        <f>'EXTRACTION AT GLOBAL DEA'!G290</f>
        <v>48</v>
      </c>
      <c r="F292" s="84" t="str">
        <f t="shared" si="12"/>
        <v>45 à 49 ans</v>
      </c>
      <c r="G292" s="77" t="str">
        <f>'EXTRACTION AT GLOBAL DEA'!K290</f>
        <v>S</v>
      </c>
      <c r="H292" s="77">
        <f>'EXTRACTION AT GLOBAL DEA'!N290</f>
        <v>0</v>
      </c>
      <c r="I292" s="77" t="str">
        <f>'EXTRACTION AT GLOBAL DEA'!L290</f>
        <v>N</v>
      </c>
      <c r="J292" s="77" t="str">
        <f>'EXTRACTION AT GLOBAL DEA'!M290</f>
        <v>N</v>
      </c>
      <c r="K292" s="77"/>
      <c r="L292" s="77"/>
      <c r="M292" s="78">
        <f>'EXTRACTION AT GLOBAL DEA'!B290</f>
        <v>43050</v>
      </c>
      <c r="N292" s="77" t="str">
        <f t="shared" si="13"/>
        <v>novembre</v>
      </c>
      <c r="O292" s="65"/>
      <c r="P292" s="67"/>
      <c r="Q292" s="67"/>
      <c r="R292" s="67"/>
      <c r="S292" s="67"/>
      <c r="T292" s="67"/>
      <c r="U292" s="67"/>
      <c r="V292" s="67"/>
      <c r="W292" s="67"/>
      <c r="X292" s="67"/>
      <c r="Y292" s="67"/>
      <c r="Z292" s="67"/>
      <c r="AA292" s="67"/>
      <c r="AB292" s="68"/>
    </row>
    <row r="293" spans="1:28" x14ac:dyDescent="0.25">
      <c r="A293" s="77" t="str">
        <f>'EXTRACTION AT GLOBAL DEA'!D291</f>
        <v>115555</v>
      </c>
      <c r="B293" s="77" t="str">
        <f>'EXTRACTION AT GLOBAL DEA'!E291</f>
        <v>CERRITO</v>
      </c>
      <c r="C293" s="77" t="str">
        <f>'EXTRACTION AT GLOBAL DEA'!F291</f>
        <v>CYRIL</v>
      </c>
      <c r="D293" s="77" t="str">
        <f>'EXTRACTION AT GLOBAL DEA'!I291</f>
        <v>MT HB PR</v>
      </c>
      <c r="E293" s="66">
        <f>'EXTRACTION AT GLOBAL DEA'!G291</f>
        <v>42</v>
      </c>
      <c r="F293" s="84" t="str">
        <f t="shared" si="12"/>
        <v>40 à 44 ans</v>
      </c>
      <c r="G293" s="77" t="str">
        <f>'EXTRACTION AT GLOBAL DEA'!K291</f>
        <v>S</v>
      </c>
      <c r="H293" s="77">
        <f>'EXTRACTION AT GLOBAL DEA'!N291</f>
        <v>0</v>
      </c>
      <c r="I293" s="77" t="str">
        <f>'EXTRACTION AT GLOBAL DEA'!L291</f>
        <v>N</v>
      </c>
      <c r="J293" s="77" t="str">
        <f>'EXTRACTION AT GLOBAL DEA'!M291</f>
        <v>N</v>
      </c>
      <c r="K293" s="77"/>
      <c r="L293" s="77"/>
      <c r="M293" s="78">
        <f>'EXTRACTION AT GLOBAL DEA'!B291</f>
        <v>43052</v>
      </c>
      <c r="N293" s="77" t="str">
        <f t="shared" si="13"/>
        <v>novembre</v>
      </c>
      <c r="O293" s="65"/>
      <c r="P293" s="67"/>
      <c r="Q293" s="67"/>
      <c r="R293" s="67"/>
      <c r="S293" s="67"/>
      <c r="T293" s="67"/>
      <c r="U293" s="67"/>
      <c r="V293" s="67"/>
      <c r="W293" s="67"/>
      <c r="X293" s="67"/>
      <c r="Y293" s="67"/>
      <c r="Z293" s="67"/>
      <c r="AA293" s="67"/>
      <c r="AB293" s="68"/>
    </row>
    <row r="294" spans="1:28" hidden="1" x14ac:dyDescent="0.25">
      <c r="A294" s="77">
        <f>'EXTRACTION AT GLOBAL DEA'!D292</f>
        <v>0</v>
      </c>
      <c r="B294" s="77">
        <f>'EXTRACTION AT GLOBAL DEA'!E292</f>
        <v>0</v>
      </c>
      <c r="C294" s="77">
        <f>'EXTRACTION AT GLOBAL DEA'!F292</f>
        <v>0</v>
      </c>
      <c r="D294" s="77">
        <f>'EXTRACTION AT GLOBAL DEA'!I292</f>
        <v>0</v>
      </c>
      <c r="E294" s="66">
        <f>'EXTRACTION AT GLOBAL DEA'!G292</f>
        <v>0</v>
      </c>
      <c r="F294" s="84" t="str">
        <f t="shared" si="12"/>
        <v/>
      </c>
      <c r="G294" s="77">
        <f>'EXTRACTION AT GLOBAL DEA'!K292</f>
        <v>0</v>
      </c>
      <c r="H294" s="77">
        <f>'EXTRACTION AT GLOBAL DEA'!N292</f>
        <v>0</v>
      </c>
      <c r="I294" s="77">
        <f>'EXTRACTION AT GLOBAL DEA'!L292</f>
        <v>0</v>
      </c>
      <c r="J294" s="77">
        <f>'EXTRACTION AT GLOBAL DEA'!M292</f>
        <v>0</v>
      </c>
      <c r="K294" s="77"/>
      <c r="L294" s="77"/>
      <c r="M294" s="78">
        <f>'EXTRACTION AT GLOBAL DEA'!B292</f>
        <v>0</v>
      </c>
      <c r="N294" s="77" t="str">
        <f t="shared" si="13"/>
        <v>janvier</v>
      </c>
      <c r="O294" s="65"/>
      <c r="P294" s="67"/>
      <c r="Q294" s="67"/>
      <c r="R294" s="67"/>
      <c r="S294" s="67"/>
      <c r="T294" s="67"/>
      <c r="U294" s="67"/>
      <c r="V294" s="67"/>
      <c r="W294" s="67"/>
      <c r="X294" s="67"/>
      <c r="Y294" s="67"/>
      <c r="Z294" s="67"/>
      <c r="AA294" s="67"/>
      <c r="AB294" s="68"/>
    </row>
    <row r="295" spans="1:28" hidden="1" x14ac:dyDescent="0.25">
      <c r="A295" s="77">
        <f>'EXTRACTION AT GLOBAL DEA'!D293</f>
        <v>0</v>
      </c>
      <c r="B295" s="77">
        <f>'EXTRACTION AT GLOBAL DEA'!E293</f>
        <v>0</v>
      </c>
      <c r="C295" s="77">
        <f>'EXTRACTION AT GLOBAL DEA'!F293</f>
        <v>0</v>
      </c>
      <c r="D295" s="77">
        <f>'EXTRACTION AT GLOBAL DEA'!I293</f>
        <v>0</v>
      </c>
      <c r="E295" s="66">
        <f>'EXTRACTION AT GLOBAL DEA'!G293</f>
        <v>0</v>
      </c>
      <c r="F295" s="84" t="str">
        <f t="shared" si="12"/>
        <v/>
      </c>
      <c r="G295" s="77">
        <f>'EXTRACTION AT GLOBAL DEA'!K293</f>
        <v>0</v>
      </c>
      <c r="H295" s="77">
        <f>'EXTRACTION AT GLOBAL DEA'!N293</f>
        <v>0</v>
      </c>
      <c r="I295" s="77">
        <f>'EXTRACTION AT GLOBAL DEA'!L293</f>
        <v>0</v>
      </c>
      <c r="J295" s="77">
        <f>'EXTRACTION AT GLOBAL DEA'!M293</f>
        <v>0</v>
      </c>
      <c r="K295" s="77"/>
      <c r="L295" s="77"/>
      <c r="M295" s="78">
        <f>'EXTRACTION AT GLOBAL DEA'!B293</f>
        <v>0</v>
      </c>
      <c r="N295" s="77" t="str">
        <f t="shared" si="13"/>
        <v>janvier</v>
      </c>
      <c r="O295" s="65"/>
      <c r="P295" s="67"/>
      <c r="Q295" s="67"/>
      <c r="R295" s="67"/>
      <c r="S295" s="67"/>
      <c r="T295" s="67"/>
      <c r="U295" s="67"/>
      <c r="V295" s="67"/>
      <c r="W295" s="67"/>
      <c r="X295" s="67"/>
      <c r="Y295" s="67"/>
      <c r="Z295" s="67"/>
      <c r="AA295" s="67"/>
      <c r="AB295" s="68"/>
    </row>
    <row r="296" spans="1:28" hidden="1" x14ac:dyDescent="0.25">
      <c r="A296" s="77">
        <f>'EXTRACTION AT GLOBAL DEA'!D294</f>
        <v>0</v>
      </c>
      <c r="B296" s="77">
        <f>'EXTRACTION AT GLOBAL DEA'!E294</f>
        <v>0</v>
      </c>
      <c r="C296" s="77">
        <f>'EXTRACTION AT GLOBAL DEA'!F294</f>
        <v>0</v>
      </c>
      <c r="D296" s="77">
        <f>'EXTRACTION AT GLOBAL DEA'!I294</f>
        <v>0</v>
      </c>
      <c r="E296" s="66">
        <f>'EXTRACTION AT GLOBAL DEA'!G294</f>
        <v>0</v>
      </c>
      <c r="F296" s="84" t="str">
        <f t="shared" si="12"/>
        <v/>
      </c>
      <c r="G296" s="77">
        <f>'EXTRACTION AT GLOBAL DEA'!K294</f>
        <v>0</v>
      </c>
      <c r="H296" s="77">
        <f>'EXTRACTION AT GLOBAL DEA'!N294</f>
        <v>0</v>
      </c>
      <c r="I296" s="77">
        <f>'EXTRACTION AT GLOBAL DEA'!L294</f>
        <v>0</v>
      </c>
      <c r="J296" s="77">
        <f>'EXTRACTION AT GLOBAL DEA'!M294</f>
        <v>0</v>
      </c>
      <c r="K296" s="77"/>
      <c r="L296" s="77"/>
      <c r="M296" s="78">
        <f>'EXTRACTION AT GLOBAL DEA'!B294</f>
        <v>0</v>
      </c>
      <c r="N296" s="77" t="str">
        <f t="shared" si="13"/>
        <v>janvier</v>
      </c>
      <c r="O296" s="65"/>
      <c r="P296" s="67"/>
      <c r="Q296" s="67"/>
      <c r="R296" s="67"/>
      <c r="S296" s="67"/>
      <c r="T296" s="67"/>
      <c r="U296" s="67"/>
      <c r="V296" s="67"/>
      <c r="W296" s="67"/>
      <c r="X296" s="67"/>
      <c r="Y296" s="67"/>
      <c r="Z296" s="67"/>
      <c r="AA296" s="67"/>
      <c r="AB296" s="68"/>
    </row>
    <row r="297" spans="1:28" hidden="1" x14ac:dyDescent="0.25">
      <c r="A297" s="77">
        <f>'EXTRACTION AT GLOBAL DEA'!D295</f>
        <v>0</v>
      </c>
      <c r="B297" s="77">
        <f>'EXTRACTION AT GLOBAL DEA'!E295</f>
        <v>0</v>
      </c>
      <c r="C297" s="77">
        <f>'EXTRACTION AT GLOBAL DEA'!F295</f>
        <v>0</v>
      </c>
      <c r="D297" s="77">
        <f>'EXTRACTION AT GLOBAL DEA'!I295</f>
        <v>0</v>
      </c>
      <c r="E297" s="66">
        <f>'EXTRACTION AT GLOBAL DEA'!G295</f>
        <v>0</v>
      </c>
      <c r="F297" s="84" t="str">
        <f t="shared" si="12"/>
        <v/>
      </c>
      <c r="G297" s="77">
        <f>'EXTRACTION AT GLOBAL DEA'!K295</f>
        <v>0</v>
      </c>
      <c r="H297" s="77">
        <f>'EXTRACTION AT GLOBAL DEA'!N295</f>
        <v>0</v>
      </c>
      <c r="I297" s="77">
        <f>'EXTRACTION AT GLOBAL DEA'!L295</f>
        <v>0</v>
      </c>
      <c r="J297" s="77">
        <f>'EXTRACTION AT GLOBAL DEA'!M295</f>
        <v>0</v>
      </c>
      <c r="K297" s="77"/>
      <c r="L297" s="77"/>
      <c r="M297" s="78">
        <f>'EXTRACTION AT GLOBAL DEA'!B295</f>
        <v>0</v>
      </c>
      <c r="N297" s="77" t="str">
        <f t="shared" si="13"/>
        <v>janvier</v>
      </c>
      <c r="O297" s="65"/>
      <c r="P297" s="67"/>
      <c r="Q297" s="67"/>
      <c r="R297" s="67"/>
      <c r="S297" s="67"/>
      <c r="T297" s="67"/>
      <c r="U297" s="67"/>
      <c r="V297" s="67"/>
      <c r="W297" s="67"/>
      <c r="X297" s="67"/>
      <c r="Y297" s="67"/>
      <c r="Z297" s="67"/>
      <c r="AA297" s="67"/>
      <c r="AB297" s="68"/>
    </row>
    <row r="298" spans="1:28" hidden="1" x14ac:dyDescent="0.25">
      <c r="A298" s="77">
        <f>'EXTRACTION AT GLOBAL DEA'!D296</f>
        <v>0</v>
      </c>
      <c r="B298" s="77">
        <f>'EXTRACTION AT GLOBAL DEA'!E296</f>
        <v>0</v>
      </c>
      <c r="C298" s="77">
        <f>'EXTRACTION AT GLOBAL DEA'!F296</f>
        <v>0</v>
      </c>
      <c r="D298" s="77">
        <f>'EXTRACTION AT GLOBAL DEA'!I296</f>
        <v>0</v>
      </c>
      <c r="E298" s="66">
        <f>'EXTRACTION AT GLOBAL DEA'!G296</f>
        <v>0</v>
      </c>
      <c r="F298" s="84" t="str">
        <f t="shared" si="12"/>
        <v/>
      </c>
      <c r="G298" s="77">
        <f>'EXTRACTION AT GLOBAL DEA'!K296</f>
        <v>0</v>
      </c>
      <c r="H298" s="77">
        <f>'EXTRACTION AT GLOBAL DEA'!N296</f>
        <v>0</v>
      </c>
      <c r="I298" s="77">
        <f>'EXTRACTION AT GLOBAL DEA'!L296</f>
        <v>0</v>
      </c>
      <c r="J298" s="77">
        <f>'EXTRACTION AT GLOBAL DEA'!M296</f>
        <v>0</v>
      </c>
      <c r="K298" s="77"/>
      <c r="L298" s="77"/>
      <c r="M298" s="78">
        <f>'EXTRACTION AT GLOBAL DEA'!B296</f>
        <v>0</v>
      </c>
      <c r="N298" s="77" t="str">
        <f t="shared" si="13"/>
        <v>janvier</v>
      </c>
      <c r="O298" s="65"/>
      <c r="P298" s="67"/>
      <c r="Q298" s="67"/>
      <c r="R298" s="67"/>
      <c r="S298" s="67"/>
      <c r="T298" s="67"/>
      <c r="U298" s="67"/>
      <c r="V298" s="67"/>
      <c r="W298" s="67"/>
      <c r="X298" s="67"/>
      <c r="Y298" s="67"/>
      <c r="Z298" s="67"/>
      <c r="AA298" s="67"/>
      <c r="AB298" s="68"/>
    </row>
    <row r="299" spans="1:28" hidden="1" x14ac:dyDescent="0.25">
      <c r="A299" s="77">
        <f>'EXTRACTION AT GLOBAL DEA'!D297</f>
        <v>0</v>
      </c>
      <c r="B299" s="77">
        <f>'EXTRACTION AT GLOBAL DEA'!E297</f>
        <v>0</v>
      </c>
      <c r="C299" s="77">
        <f>'EXTRACTION AT GLOBAL DEA'!F297</f>
        <v>0</v>
      </c>
      <c r="D299" s="77">
        <f>'EXTRACTION AT GLOBAL DEA'!I297</f>
        <v>0</v>
      </c>
      <c r="E299" s="66">
        <f>'EXTRACTION AT GLOBAL DEA'!G297</f>
        <v>0</v>
      </c>
      <c r="F299" s="84" t="str">
        <f t="shared" si="12"/>
        <v/>
      </c>
      <c r="G299" s="77">
        <f>'EXTRACTION AT GLOBAL DEA'!K297</f>
        <v>0</v>
      </c>
      <c r="H299" s="77">
        <f>'EXTRACTION AT GLOBAL DEA'!N297</f>
        <v>0</v>
      </c>
      <c r="I299" s="77">
        <f>'EXTRACTION AT GLOBAL DEA'!L297</f>
        <v>0</v>
      </c>
      <c r="J299" s="77">
        <f>'EXTRACTION AT GLOBAL DEA'!M297</f>
        <v>0</v>
      </c>
      <c r="K299" s="77"/>
      <c r="L299" s="77"/>
      <c r="M299" s="78">
        <f>'EXTRACTION AT GLOBAL DEA'!B297</f>
        <v>0</v>
      </c>
      <c r="N299" s="77" t="str">
        <f t="shared" si="13"/>
        <v>janvier</v>
      </c>
      <c r="O299" s="65"/>
      <c r="P299" s="67"/>
      <c r="Q299" s="67"/>
      <c r="R299" s="67"/>
      <c r="S299" s="67"/>
      <c r="T299" s="67"/>
      <c r="U299" s="67"/>
      <c r="V299" s="67"/>
      <c r="W299" s="67"/>
      <c r="X299" s="67"/>
      <c r="Y299" s="67"/>
      <c r="Z299" s="67"/>
      <c r="AA299" s="67"/>
      <c r="AB299" s="68"/>
    </row>
    <row r="300" spans="1:28" hidden="1" x14ac:dyDescent="0.25">
      <c r="A300" s="77">
        <f>'EXTRACTION AT GLOBAL DEA'!D298</f>
        <v>0</v>
      </c>
      <c r="B300" s="77">
        <f>'EXTRACTION AT GLOBAL DEA'!E298</f>
        <v>0</v>
      </c>
      <c r="C300" s="77">
        <f>'EXTRACTION AT GLOBAL DEA'!F298</f>
        <v>0</v>
      </c>
      <c r="D300" s="77">
        <f>'EXTRACTION AT GLOBAL DEA'!I298</f>
        <v>0</v>
      </c>
      <c r="E300" s="66">
        <f>'EXTRACTION AT GLOBAL DEA'!G298</f>
        <v>0</v>
      </c>
      <c r="F300" s="84" t="str">
        <f t="shared" si="12"/>
        <v/>
      </c>
      <c r="G300" s="77">
        <f>'EXTRACTION AT GLOBAL DEA'!K298</f>
        <v>0</v>
      </c>
      <c r="H300" s="77">
        <f>'EXTRACTION AT GLOBAL DEA'!N298</f>
        <v>0</v>
      </c>
      <c r="I300" s="77">
        <f>'EXTRACTION AT GLOBAL DEA'!L298</f>
        <v>0</v>
      </c>
      <c r="J300" s="77">
        <f>'EXTRACTION AT GLOBAL DEA'!M298</f>
        <v>0</v>
      </c>
      <c r="K300" s="77"/>
      <c r="L300" s="77"/>
      <c r="M300" s="78">
        <f>'EXTRACTION AT GLOBAL DEA'!B298</f>
        <v>0</v>
      </c>
      <c r="N300" s="77" t="str">
        <f t="shared" si="13"/>
        <v>janvier</v>
      </c>
      <c r="O300" s="65"/>
      <c r="P300" s="67"/>
      <c r="Q300" s="67"/>
      <c r="R300" s="67"/>
      <c r="S300" s="67"/>
      <c r="T300" s="67"/>
      <c r="U300" s="67"/>
      <c r="V300" s="67"/>
      <c r="W300" s="67"/>
      <c r="X300" s="67"/>
      <c r="Y300" s="67"/>
      <c r="Z300" s="67"/>
      <c r="AA300" s="67"/>
      <c r="AB300" s="68"/>
    </row>
    <row r="301" spans="1:28" hidden="1" x14ac:dyDescent="0.25">
      <c r="A301" s="77">
        <f>'EXTRACTION AT GLOBAL DEA'!D299</f>
        <v>0</v>
      </c>
      <c r="B301" s="77">
        <f>'EXTRACTION AT GLOBAL DEA'!E299</f>
        <v>0</v>
      </c>
      <c r="C301" s="77">
        <f>'EXTRACTION AT GLOBAL DEA'!F299</f>
        <v>0</v>
      </c>
      <c r="D301" s="77">
        <f>'EXTRACTION AT GLOBAL DEA'!I299</f>
        <v>0</v>
      </c>
      <c r="E301" s="66">
        <f>'EXTRACTION AT GLOBAL DEA'!G299</f>
        <v>0</v>
      </c>
      <c r="F301" s="84" t="str">
        <f t="shared" si="12"/>
        <v/>
      </c>
      <c r="G301" s="77">
        <f>'EXTRACTION AT GLOBAL DEA'!K299</f>
        <v>0</v>
      </c>
      <c r="H301" s="77">
        <f>'EXTRACTION AT GLOBAL DEA'!N299</f>
        <v>0</v>
      </c>
      <c r="I301" s="77">
        <f>'EXTRACTION AT GLOBAL DEA'!L299</f>
        <v>0</v>
      </c>
      <c r="J301" s="77">
        <f>'EXTRACTION AT GLOBAL DEA'!M299</f>
        <v>0</v>
      </c>
      <c r="K301" s="77"/>
      <c r="L301" s="77"/>
      <c r="M301" s="78">
        <f>'EXTRACTION AT GLOBAL DEA'!B299</f>
        <v>0</v>
      </c>
      <c r="N301" s="77" t="str">
        <f t="shared" si="13"/>
        <v>janvier</v>
      </c>
      <c r="O301" s="65"/>
      <c r="P301" s="67"/>
      <c r="Q301" s="67"/>
      <c r="R301" s="67"/>
      <c r="S301" s="67"/>
      <c r="T301" s="67"/>
      <c r="U301" s="67"/>
      <c r="V301" s="67"/>
      <c r="W301" s="67"/>
      <c r="X301" s="67"/>
      <c r="Y301" s="67"/>
      <c r="Z301" s="67"/>
      <c r="AA301" s="67"/>
      <c r="AB301" s="68"/>
    </row>
    <row r="302" spans="1:28" hidden="1" x14ac:dyDescent="0.25">
      <c r="A302" s="77">
        <f>'EXTRACTION AT GLOBAL DEA'!D300</f>
        <v>0</v>
      </c>
      <c r="B302" s="77">
        <f>'EXTRACTION AT GLOBAL DEA'!E300</f>
        <v>0</v>
      </c>
      <c r="C302" s="77">
        <f>'EXTRACTION AT GLOBAL DEA'!F300</f>
        <v>0</v>
      </c>
      <c r="D302" s="77">
        <f>'EXTRACTION AT GLOBAL DEA'!I300</f>
        <v>0</v>
      </c>
      <c r="E302" s="66">
        <f>'EXTRACTION AT GLOBAL DEA'!G300</f>
        <v>0</v>
      </c>
      <c r="F302" s="84" t="str">
        <f t="shared" si="12"/>
        <v/>
      </c>
      <c r="G302" s="77">
        <f>'EXTRACTION AT GLOBAL DEA'!K300</f>
        <v>0</v>
      </c>
      <c r="H302" s="77">
        <f>'EXTRACTION AT GLOBAL DEA'!N300</f>
        <v>0</v>
      </c>
      <c r="I302" s="77">
        <f>'EXTRACTION AT GLOBAL DEA'!L300</f>
        <v>0</v>
      </c>
      <c r="J302" s="77">
        <f>'EXTRACTION AT GLOBAL DEA'!M300</f>
        <v>0</v>
      </c>
      <c r="K302" s="77"/>
      <c r="L302" s="77"/>
      <c r="M302" s="78">
        <f>'EXTRACTION AT GLOBAL DEA'!B300</f>
        <v>0</v>
      </c>
      <c r="N302" s="77" t="str">
        <f t="shared" si="13"/>
        <v>janvier</v>
      </c>
      <c r="O302" s="65"/>
      <c r="P302" s="67"/>
      <c r="Q302" s="67"/>
      <c r="R302" s="67"/>
      <c r="S302" s="67"/>
      <c r="T302" s="67"/>
      <c r="U302" s="67"/>
      <c r="V302" s="67"/>
      <c r="W302" s="67"/>
      <c r="X302" s="67"/>
      <c r="Y302" s="67"/>
      <c r="Z302" s="67"/>
      <c r="AA302" s="67"/>
      <c r="AB302" s="68"/>
    </row>
    <row r="303" spans="1:28" hidden="1" x14ac:dyDescent="0.25">
      <c r="A303" s="77">
        <f>'EXTRACTION AT GLOBAL DEA'!D301</f>
        <v>0</v>
      </c>
      <c r="B303" s="77">
        <f>'EXTRACTION AT GLOBAL DEA'!E301</f>
        <v>0</v>
      </c>
      <c r="C303" s="77">
        <f>'EXTRACTION AT GLOBAL DEA'!F301</f>
        <v>0</v>
      </c>
      <c r="D303" s="77">
        <f>'EXTRACTION AT GLOBAL DEA'!I301</f>
        <v>0</v>
      </c>
      <c r="E303" s="66">
        <f>'EXTRACTION AT GLOBAL DEA'!G301</f>
        <v>0</v>
      </c>
      <c r="F303" s="84" t="str">
        <f t="shared" si="12"/>
        <v/>
      </c>
      <c r="G303" s="77">
        <f>'EXTRACTION AT GLOBAL DEA'!K301</f>
        <v>0</v>
      </c>
      <c r="H303" s="77">
        <f>'EXTRACTION AT GLOBAL DEA'!N301</f>
        <v>0</v>
      </c>
      <c r="I303" s="77">
        <f>'EXTRACTION AT GLOBAL DEA'!L301</f>
        <v>0</v>
      </c>
      <c r="J303" s="77">
        <f>'EXTRACTION AT GLOBAL DEA'!M301</f>
        <v>0</v>
      </c>
      <c r="K303" s="77"/>
      <c r="L303" s="77"/>
      <c r="M303" s="78">
        <f>'EXTRACTION AT GLOBAL DEA'!B301</f>
        <v>0</v>
      </c>
      <c r="N303" s="77" t="str">
        <f t="shared" si="13"/>
        <v>janvier</v>
      </c>
      <c r="O303" s="65"/>
      <c r="P303" s="67"/>
      <c r="Q303" s="67"/>
      <c r="R303" s="67"/>
      <c r="S303" s="67"/>
      <c r="T303" s="67"/>
      <c r="U303" s="67"/>
      <c r="V303" s="67"/>
      <c r="W303" s="67"/>
      <c r="X303" s="67"/>
      <c r="Y303" s="67"/>
      <c r="Z303" s="67"/>
      <c r="AA303" s="67"/>
      <c r="AB303" s="68"/>
    </row>
    <row r="304" spans="1:28" hidden="1" x14ac:dyDescent="0.25">
      <c r="A304" s="77">
        <f>'EXTRACTION AT GLOBAL DEA'!D302</f>
        <v>0</v>
      </c>
      <c r="B304" s="77">
        <f>'EXTRACTION AT GLOBAL DEA'!E302</f>
        <v>0</v>
      </c>
      <c r="C304" s="77">
        <f>'EXTRACTION AT GLOBAL DEA'!F302</f>
        <v>0</v>
      </c>
      <c r="D304" s="77">
        <f>'EXTRACTION AT GLOBAL DEA'!I302</f>
        <v>0</v>
      </c>
      <c r="E304" s="66">
        <f>'EXTRACTION AT GLOBAL DEA'!G302</f>
        <v>0</v>
      </c>
      <c r="F304" s="84" t="str">
        <f t="shared" si="12"/>
        <v/>
      </c>
      <c r="G304" s="77">
        <f>'EXTRACTION AT GLOBAL DEA'!K302</f>
        <v>0</v>
      </c>
      <c r="H304" s="77">
        <f>'EXTRACTION AT GLOBAL DEA'!N302</f>
        <v>0</v>
      </c>
      <c r="I304" s="77">
        <f>'EXTRACTION AT GLOBAL DEA'!L302</f>
        <v>0</v>
      </c>
      <c r="J304" s="77">
        <f>'EXTRACTION AT GLOBAL DEA'!M302</f>
        <v>0</v>
      </c>
      <c r="K304" s="77"/>
      <c r="L304" s="77"/>
      <c r="M304" s="78">
        <f>'EXTRACTION AT GLOBAL DEA'!B302</f>
        <v>0</v>
      </c>
      <c r="N304" s="77" t="str">
        <f t="shared" si="13"/>
        <v>janvier</v>
      </c>
      <c r="O304" s="65"/>
      <c r="P304" s="67"/>
      <c r="Q304" s="67"/>
      <c r="R304" s="67"/>
      <c r="S304" s="67"/>
      <c r="T304" s="67"/>
      <c r="U304" s="67"/>
      <c r="V304" s="67"/>
      <c r="W304" s="67"/>
      <c r="X304" s="67"/>
      <c r="Y304" s="67"/>
      <c r="Z304" s="67"/>
      <c r="AA304" s="67"/>
      <c r="AB304" s="68"/>
    </row>
    <row r="305" spans="1:28" hidden="1" x14ac:dyDescent="0.25">
      <c r="A305" s="77">
        <f>'EXTRACTION AT GLOBAL DEA'!D303</f>
        <v>0</v>
      </c>
      <c r="B305" s="77">
        <f>'EXTRACTION AT GLOBAL DEA'!E303</f>
        <v>0</v>
      </c>
      <c r="C305" s="77">
        <f>'EXTRACTION AT GLOBAL DEA'!F303</f>
        <v>0</v>
      </c>
      <c r="D305" s="77">
        <f>'EXTRACTION AT GLOBAL DEA'!I303</f>
        <v>0</v>
      </c>
      <c r="E305" s="66">
        <f>'EXTRACTION AT GLOBAL DEA'!G303</f>
        <v>0</v>
      </c>
      <c r="F305" s="84" t="str">
        <f t="shared" si="12"/>
        <v/>
      </c>
      <c r="G305" s="77">
        <f>'EXTRACTION AT GLOBAL DEA'!K303</f>
        <v>0</v>
      </c>
      <c r="H305" s="77">
        <f>'EXTRACTION AT GLOBAL DEA'!N303</f>
        <v>0</v>
      </c>
      <c r="I305" s="77">
        <f>'EXTRACTION AT GLOBAL DEA'!L303</f>
        <v>0</v>
      </c>
      <c r="J305" s="77">
        <f>'EXTRACTION AT GLOBAL DEA'!M303</f>
        <v>0</v>
      </c>
      <c r="K305" s="77"/>
      <c r="L305" s="77"/>
      <c r="M305" s="78">
        <f>'EXTRACTION AT GLOBAL DEA'!B303</f>
        <v>0</v>
      </c>
      <c r="N305" s="77" t="str">
        <f t="shared" si="13"/>
        <v>janvier</v>
      </c>
      <c r="O305" s="65"/>
      <c r="P305" s="67"/>
      <c r="Q305" s="67"/>
      <c r="R305" s="67"/>
      <c r="S305" s="67"/>
      <c r="T305" s="67"/>
      <c r="U305" s="67"/>
      <c r="V305" s="67"/>
      <c r="W305" s="67"/>
      <c r="X305" s="67"/>
      <c r="Y305" s="67"/>
      <c r="Z305" s="67"/>
      <c r="AA305" s="67"/>
      <c r="AB305" s="68"/>
    </row>
    <row r="306" spans="1:28" hidden="1" x14ac:dyDescent="0.25">
      <c r="A306" s="77">
        <f>'EXTRACTION AT GLOBAL DEA'!D304</f>
        <v>0</v>
      </c>
      <c r="B306" s="77">
        <f>'EXTRACTION AT GLOBAL DEA'!E304</f>
        <v>0</v>
      </c>
      <c r="C306" s="77">
        <f>'EXTRACTION AT GLOBAL DEA'!F304</f>
        <v>0</v>
      </c>
      <c r="D306" s="77">
        <f>'EXTRACTION AT GLOBAL DEA'!I304</f>
        <v>0</v>
      </c>
      <c r="E306" s="66">
        <f>'EXTRACTION AT GLOBAL DEA'!G304</f>
        <v>0</v>
      </c>
      <c r="F306" s="84" t="str">
        <f t="shared" si="12"/>
        <v/>
      </c>
      <c r="G306" s="77">
        <f>'EXTRACTION AT GLOBAL DEA'!K304</f>
        <v>0</v>
      </c>
      <c r="H306" s="77">
        <f>'EXTRACTION AT GLOBAL DEA'!N304</f>
        <v>0</v>
      </c>
      <c r="I306" s="77">
        <f>'EXTRACTION AT GLOBAL DEA'!L304</f>
        <v>0</v>
      </c>
      <c r="J306" s="77">
        <f>'EXTRACTION AT GLOBAL DEA'!M304</f>
        <v>0</v>
      </c>
      <c r="K306" s="77"/>
      <c r="L306" s="77"/>
      <c r="M306" s="78">
        <f>'EXTRACTION AT GLOBAL DEA'!B304</f>
        <v>0</v>
      </c>
      <c r="N306" s="77" t="str">
        <f t="shared" si="13"/>
        <v>janvier</v>
      </c>
      <c r="O306" s="65"/>
      <c r="P306" s="67"/>
      <c r="Q306" s="67"/>
      <c r="R306" s="67"/>
      <c r="S306" s="67"/>
      <c r="T306" s="67"/>
      <c r="U306" s="67"/>
      <c r="V306" s="67"/>
      <c r="W306" s="67"/>
      <c r="X306" s="67"/>
      <c r="Y306" s="67"/>
      <c r="Z306" s="67"/>
      <c r="AA306" s="67"/>
      <c r="AB306" s="68"/>
    </row>
    <row r="307" spans="1:28" hidden="1" x14ac:dyDescent="0.25">
      <c r="A307" s="77">
        <f>'EXTRACTION AT GLOBAL DEA'!D305</f>
        <v>0</v>
      </c>
      <c r="B307" s="77">
        <f>'EXTRACTION AT GLOBAL DEA'!E305</f>
        <v>0</v>
      </c>
      <c r="C307" s="77">
        <f>'EXTRACTION AT GLOBAL DEA'!F305</f>
        <v>0</v>
      </c>
      <c r="D307" s="77">
        <f>'EXTRACTION AT GLOBAL DEA'!I305</f>
        <v>0</v>
      </c>
      <c r="E307" s="66">
        <f>'EXTRACTION AT GLOBAL DEA'!G305</f>
        <v>0</v>
      </c>
      <c r="F307" s="84" t="str">
        <f t="shared" si="12"/>
        <v/>
      </c>
      <c r="G307" s="77">
        <f>'EXTRACTION AT GLOBAL DEA'!K305</f>
        <v>0</v>
      </c>
      <c r="H307" s="77">
        <f>'EXTRACTION AT GLOBAL DEA'!N305</f>
        <v>0</v>
      </c>
      <c r="I307" s="77">
        <f>'EXTRACTION AT GLOBAL DEA'!L305</f>
        <v>0</v>
      </c>
      <c r="J307" s="77">
        <f>'EXTRACTION AT GLOBAL DEA'!M305</f>
        <v>0</v>
      </c>
      <c r="K307" s="77"/>
      <c r="L307" s="77"/>
      <c r="M307" s="78">
        <f>'EXTRACTION AT GLOBAL DEA'!B305</f>
        <v>0</v>
      </c>
      <c r="N307" s="77" t="str">
        <f t="shared" si="13"/>
        <v>janvier</v>
      </c>
      <c r="O307" s="65"/>
      <c r="P307" s="67"/>
      <c r="Q307" s="67"/>
      <c r="R307" s="67"/>
      <c r="S307" s="67"/>
      <c r="T307" s="67"/>
      <c r="U307" s="67"/>
      <c r="V307" s="67"/>
      <c r="W307" s="67"/>
      <c r="X307" s="67"/>
      <c r="Y307" s="67"/>
      <c r="Z307" s="67"/>
      <c r="AA307" s="67"/>
      <c r="AB307" s="68"/>
    </row>
    <row r="308" spans="1:28" hidden="1" x14ac:dyDescent="0.25">
      <c r="A308" s="77">
        <f>'EXTRACTION AT GLOBAL DEA'!D306</f>
        <v>0</v>
      </c>
      <c r="B308" s="77">
        <f>'EXTRACTION AT GLOBAL DEA'!E306</f>
        <v>0</v>
      </c>
      <c r="C308" s="77">
        <f>'EXTRACTION AT GLOBAL DEA'!F306</f>
        <v>0</v>
      </c>
      <c r="D308" s="77">
        <f>'EXTRACTION AT GLOBAL DEA'!I306</f>
        <v>0</v>
      </c>
      <c r="E308" s="66">
        <f>'EXTRACTION AT GLOBAL DEA'!G306</f>
        <v>0</v>
      </c>
      <c r="F308" s="84" t="str">
        <f t="shared" si="12"/>
        <v/>
      </c>
      <c r="G308" s="77">
        <f>'EXTRACTION AT GLOBAL DEA'!K306</f>
        <v>0</v>
      </c>
      <c r="H308" s="77">
        <f>'EXTRACTION AT GLOBAL DEA'!N306</f>
        <v>0</v>
      </c>
      <c r="I308" s="77">
        <f>'EXTRACTION AT GLOBAL DEA'!L306</f>
        <v>0</v>
      </c>
      <c r="J308" s="77">
        <f>'EXTRACTION AT GLOBAL DEA'!M306</f>
        <v>0</v>
      </c>
      <c r="K308" s="77"/>
      <c r="L308" s="77"/>
      <c r="M308" s="78">
        <f>'EXTRACTION AT GLOBAL DEA'!B306</f>
        <v>0</v>
      </c>
      <c r="N308" s="77" t="str">
        <f t="shared" si="13"/>
        <v>janvier</v>
      </c>
      <c r="O308" s="65"/>
      <c r="P308" s="67"/>
      <c r="Q308" s="67"/>
      <c r="R308" s="67"/>
      <c r="S308" s="67"/>
      <c r="T308" s="67"/>
      <c r="U308" s="67"/>
      <c r="V308" s="67"/>
      <c r="W308" s="67"/>
      <c r="X308" s="67"/>
      <c r="Y308" s="67"/>
      <c r="Z308" s="67"/>
      <c r="AA308" s="67"/>
      <c r="AB308" s="68"/>
    </row>
    <row r="309" spans="1:28" hidden="1" x14ac:dyDescent="0.25">
      <c r="A309" s="77">
        <f>'EXTRACTION AT GLOBAL DEA'!D307</f>
        <v>0</v>
      </c>
      <c r="B309" s="77">
        <f>'EXTRACTION AT GLOBAL DEA'!E307</f>
        <v>0</v>
      </c>
      <c r="C309" s="77">
        <f>'EXTRACTION AT GLOBAL DEA'!F307</f>
        <v>0</v>
      </c>
      <c r="D309" s="77">
        <f>'EXTRACTION AT GLOBAL DEA'!I307</f>
        <v>0</v>
      </c>
      <c r="E309" s="66">
        <f>'EXTRACTION AT GLOBAL DEA'!G307</f>
        <v>0</v>
      </c>
      <c r="F309" s="84" t="str">
        <f t="shared" si="12"/>
        <v/>
      </c>
      <c r="G309" s="77">
        <f>'EXTRACTION AT GLOBAL DEA'!K307</f>
        <v>0</v>
      </c>
      <c r="H309" s="77">
        <f>'EXTRACTION AT GLOBAL DEA'!N307</f>
        <v>0</v>
      </c>
      <c r="I309" s="77">
        <f>'EXTRACTION AT GLOBAL DEA'!L307</f>
        <v>0</v>
      </c>
      <c r="J309" s="77">
        <f>'EXTRACTION AT GLOBAL DEA'!M307</f>
        <v>0</v>
      </c>
      <c r="K309" s="77"/>
      <c r="L309" s="77"/>
      <c r="M309" s="78">
        <f>'EXTRACTION AT GLOBAL DEA'!B307</f>
        <v>0</v>
      </c>
      <c r="N309" s="77" t="str">
        <f t="shared" si="13"/>
        <v>janvier</v>
      </c>
      <c r="O309" s="65"/>
      <c r="P309" s="67"/>
      <c r="Q309" s="67"/>
      <c r="R309" s="67"/>
      <c r="S309" s="67"/>
      <c r="T309" s="67"/>
      <c r="U309" s="67"/>
      <c r="V309" s="67"/>
      <c r="W309" s="67"/>
      <c r="X309" s="67"/>
      <c r="Y309" s="67"/>
      <c r="Z309" s="67"/>
      <c r="AA309" s="67"/>
      <c r="AB309" s="68"/>
    </row>
    <row r="310" spans="1:28" hidden="1" x14ac:dyDescent="0.25">
      <c r="A310" s="77">
        <f>'EXTRACTION AT GLOBAL DEA'!D308</f>
        <v>0</v>
      </c>
      <c r="B310" s="77">
        <f>'EXTRACTION AT GLOBAL DEA'!E308</f>
        <v>0</v>
      </c>
      <c r="C310" s="77">
        <f>'EXTRACTION AT GLOBAL DEA'!F308</f>
        <v>0</v>
      </c>
      <c r="D310" s="77">
        <f>'EXTRACTION AT GLOBAL DEA'!I308</f>
        <v>0</v>
      </c>
      <c r="E310" s="66">
        <f>'EXTRACTION AT GLOBAL DEA'!G308</f>
        <v>0</v>
      </c>
      <c r="F310" s="84" t="str">
        <f t="shared" si="12"/>
        <v/>
      </c>
      <c r="G310" s="77">
        <f>'EXTRACTION AT GLOBAL DEA'!K308</f>
        <v>0</v>
      </c>
      <c r="H310" s="77">
        <f>'EXTRACTION AT GLOBAL DEA'!N308</f>
        <v>0</v>
      </c>
      <c r="I310" s="77">
        <f>'EXTRACTION AT GLOBAL DEA'!L308</f>
        <v>0</v>
      </c>
      <c r="J310" s="77">
        <f>'EXTRACTION AT GLOBAL DEA'!M308</f>
        <v>0</v>
      </c>
      <c r="K310" s="77"/>
      <c r="L310" s="77"/>
      <c r="M310" s="78">
        <f>'EXTRACTION AT GLOBAL DEA'!B308</f>
        <v>0</v>
      </c>
      <c r="N310" s="77" t="str">
        <f t="shared" si="13"/>
        <v>janvier</v>
      </c>
      <c r="O310" s="65"/>
      <c r="P310" s="67"/>
      <c r="Q310" s="67"/>
      <c r="R310" s="67"/>
      <c r="S310" s="67"/>
      <c r="T310" s="67"/>
      <c r="U310" s="67"/>
      <c r="V310" s="67"/>
      <c r="W310" s="67"/>
      <c r="X310" s="67"/>
      <c r="Y310" s="67"/>
      <c r="Z310" s="67"/>
      <c r="AA310" s="67"/>
      <c r="AB310" s="68"/>
    </row>
    <row r="311" spans="1:28" hidden="1" x14ac:dyDescent="0.25">
      <c r="A311" s="77">
        <f>'EXTRACTION AT GLOBAL DEA'!D309</f>
        <v>0</v>
      </c>
      <c r="B311" s="77">
        <f>'EXTRACTION AT GLOBAL DEA'!E309</f>
        <v>0</v>
      </c>
      <c r="C311" s="77">
        <f>'EXTRACTION AT GLOBAL DEA'!F309</f>
        <v>0</v>
      </c>
      <c r="D311" s="77">
        <f>'EXTRACTION AT GLOBAL DEA'!I309</f>
        <v>0</v>
      </c>
      <c r="E311" s="66">
        <f>'EXTRACTION AT GLOBAL DEA'!G309</f>
        <v>0</v>
      </c>
      <c r="F311" s="84" t="str">
        <f t="shared" si="12"/>
        <v/>
      </c>
      <c r="G311" s="77">
        <f>'EXTRACTION AT GLOBAL DEA'!K309</f>
        <v>0</v>
      </c>
      <c r="H311" s="77">
        <f>'EXTRACTION AT GLOBAL DEA'!N309</f>
        <v>0</v>
      </c>
      <c r="I311" s="77">
        <f>'EXTRACTION AT GLOBAL DEA'!L309</f>
        <v>0</v>
      </c>
      <c r="J311" s="77">
        <f>'EXTRACTION AT GLOBAL DEA'!M309</f>
        <v>0</v>
      </c>
      <c r="K311" s="77"/>
      <c r="L311" s="77"/>
      <c r="M311" s="78">
        <f>'EXTRACTION AT GLOBAL DEA'!B309</f>
        <v>0</v>
      </c>
      <c r="N311" s="77" t="str">
        <f t="shared" si="13"/>
        <v>janvier</v>
      </c>
      <c r="O311" s="65"/>
      <c r="P311" s="67"/>
      <c r="Q311" s="67"/>
      <c r="R311" s="67"/>
      <c r="S311" s="67"/>
      <c r="T311" s="67"/>
      <c r="U311" s="67"/>
      <c r="V311" s="67"/>
      <c r="W311" s="67"/>
      <c r="X311" s="67"/>
      <c r="Y311" s="67"/>
      <c r="Z311" s="67"/>
      <c r="AA311" s="67"/>
      <c r="AB311" s="68"/>
    </row>
    <row r="312" spans="1:28" hidden="1" x14ac:dyDescent="0.25">
      <c r="A312" s="77">
        <f>'EXTRACTION AT GLOBAL DEA'!D310</f>
        <v>0</v>
      </c>
      <c r="B312" s="77">
        <f>'EXTRACTION AT GLOBAL DEA'!E310</f>
        <v>0</v>
      </c>
      <c r="C312" s="77">
        <f>'EXTRACTION AT GLOBAL DEA'!F310</f>
        <v>0</v>
      </c>
      <c r="D312" s="77">
        <f>'EXTRACTION AT GLOBAL DEA'!I310</f>
        <v>0</v>
      </c>
      <c r="E312" s="66">
        <f>'EXTRACTION AT GLOBAL DEA'!G310</f>
        <v>0</v>
      </c>
      <c r="F312" s="84" t="str">
        <f t="shared" si="12"/>
        <v/>
      </c>
      <c r="G312" s="77">
        <f>'EXTRACTION AT GLOBAL DEA'!K310</f>
        <v>0</v>
      </c>
      <c r="H312" s="77">
        <f>'EXTRACTION AT GLOBAL DEA'!N310</f>
        <v>0</v>
      </c>
      <c r="I312" s="77">
        <f>'EXTRACTION AT GLOBAL DEA'!L310</f>
        <v>0</v>
      </c>
      <c r="J312" s="77">
        <f>'EXTRACTION AT GLOBAL DEA'!M310</f>
        <v>0</v>
      </c>
      <c r="K312" s="77"/>
      <c r="L312" s="77"/>
      <c r="M312" s="78">
        <f>'EXTRACTION AT GLOBAL DEA'!B310</f>
        <v>0</v>
      </c>
      <c r="N312" s="77" t="str">
        <f t="shared" si="13"/>
        <v>janvier</v>
      </c>
      <c r="O312" s="65"/>
      <c r="P312" s="67"/>
      <c r="Q312" s="67"/>
      <c r="R312" s="67"/>
      <c r="S312" s="67"/>
      <c r="T312" s="67"/>
      <c r="U312" s="67"/>
      <c r="V312" s="67"/>
      <c r="W312" s="67"/>
      <c r="X312" s="67"/>
      <c r="Y312" s="67"/>
      <c r="Z312" s="67"/>
      <c r="AA312" s="67"/>
      <c r="AB312" s="68"/>
    </row>
    <row r="313" spans="1:28" hidden="1" x14ac:dyDescent="0.25">
      <c r="A313" s="77">
        <f>'EXTRACTION AT GLOBAL DEA'!D311</f>
        <v>0</v>
      </c>
      <c r="B313" s="77">
        <f>'EXTRACTION AT GLOBAL DEA'!E311</f>
        <v>0</v>
      </c>
      <c r="C313" s="77">
        <f>'EXTRACTION AT GLOBAL DEA'!F311</f>
        <v>0</v>
      </c>
      <c r="D313" s="77">
        <f>'EXTRACTION AT GLOBAL DEA'!I311</f>
        <v>0</v>
      </c>
      <c r="E313" s="66">
        <f>'EXTRACTION AT GLOBAL DEA'!G311</f>
        <v>0</v>
      </c>
      <c r="F313" s="84" t="str">
        <f t="shared" si="12"/>
        <v/>
      </c>
      <c r="G313" s="77">
        <f>'EXTRACTION AT GLOBAL DEA'!K311</f>
        <v>0</v>
      </c>
      <c r="H313" s="77">
        <f>'EXTRACTION AT GLOBAL DEA'!N311</f>
        <v>0</v>
      </c>
      <c r="I313" s="77">
        <f>'EXTRACTION AT GLOBAL DEA'!L311</f>
        <v>0</v>
      </c>
      <c r="J313" s="77">
        <f>'EXTRACTION AT GLOBAL DEA'!M311</f>
        <v>0</v>
      </c>
      <c r="K313" s="77"/>
      <c r="L313" s="77"/>
      <c r="M313" s="78">
        <f>'EXTRACTION AT GLOBAL DEA'!B311</f>
        <v>0</v>
      </c>
      <c r="N313" s="77" t="str">
        <f t="shared" si="13"/>
        <v>janvier</v>
      </c>
      <c r="O313" s="65"/>
      <c r="P313" s="67"/>
      <c r="Q313" s="67"/>
      <c r="R313" s="67"/>
      <c r="S313" s="67"/>
      <c r="T313" s="67"/>
      <c r="U313" s="67"/>
      <c r="V313" s="67"/>
      <c r="W313" s="67"/>
      <c r="X313" s="67"/>
      <c r="Y313" s="67"/>
      <c r="Z313" s="67"/>
      <c r="AA313" s="67"/>
      <c r="AB313" s="68"/>
    </row>
    <row r="314" spans="1:28" hidden="1" x14ac:dyDescent="0.25">
      <c r="A314" s="77">
        <f>'EXTRACTION AT GLOBAL DEA'!D312</f>
        <v>0</v>
      </c>
      <c r="B314" s="77">
        <f>'EXTRACTION AT GLOBAL DEA'!E312</f>
        <v>0</v>
      </c>
      <c r="C314" s="77">
        <f>'EXTRACTION AT GLOBAL DEA'!F312</f>
        <v>0</v>
      </c>
      <c r="D314" s="77">
        <f>'EXTRACTION AT GLOBAL DEA'!I312</f>
        <v>0</v>
      </c>
      <c r="E314" s="66">
        <f>'EXTRACTION AT GLOBAL DEA'!G312</f>
        <v>0</v>
      </c>
      <c r="F314" s="84" t="str">
        <f t="shared" si="12"/>
        <v/>
      </c>
      <c r="G314" s="77">
        <f>'EXTRACTION AT GLOBAL DEA'!K312</f>
        <v>0</v>
      </c>
      <c r="H314" s="77">
        <f>'EXTRACTION AT GLOBAL DEA'!N312</f>
        <v>0</v>
      </c>
      <c r="I314" s="77">
        <f>'EXTRACTION AT GLOBAL DEA'!L312</f>
        <v>0</v>
      </c>
      <c r="J314" s="77">
        <f>'EXTRACTION AT GLOBAL DEA'!M312</f>
        <v>0</v>
      </c>
      <c r="K314" s="77"/>
      <c r="L314" s="77"/>
      <c r="M314" s="78">
        <f>'EXTRACTION AT GLOBAL DEA'!B312</f>
        <v>0</v>
      </c>
      <c r="N314" s="77" t="str">
        <f t="shared" si="13"/>
        <v>janvier</v>
      </c>
      <c r="O314" s="65"/>
      <c r="P314" s="67"/>
      <c r="Q314" s="67"/>
      <c r="R314" s="67"/>
      <c r="S314" s="67"/>
      <c r="T314" s="67"/>
      <c r="U314" s="67"/>
      <c r="V314" s="67"/>
      <c r="W314" s="67"/>
      <c r="X314" s="67"/>
      <c r="Y314" s="67"/>
      <c r="Z314" s="67"/>
      <c r="AA314" s="67"/>
      <c r="AB314" s="68"/>
    </row>
    <row r="315" spans="1:28" hidden="1" x14ac:dyDescent="0.25">
      <c r="A315" s="77">
        <f>'EXTRACTION AT GLOBAL DEA'!D313</f>
        <v>0</v>
      </c>
      <c r="B315" s="77">
        <f>'EXTRACTION AT GLOBAL DEA'!E313</f>
        <v>0</v>
      </c>
      <c r="C315" s="77">
        <f>'EXTRACTION AT GLOBAL DEA'!F313</f>
        <v>0</v>
      </c>
      <c r="D315" s="77">
        <f>'EXTRACTION AT GLOBAL DEA'!I313</f>
        <v>0</v>
      </c>
      <c r="E315" s="66">
        <f>'EXTRACTION AT GLOBAL DEA'!G313</f>
        <v>0</v>
      </c>
      <c r="F315" s="84" t="str">
        <f t="shared" si="12"/>
        <v/>
      </c>
      <c r="G315" s="77">
        <f>'EXTRACTION AT GLOBAL DEA'!K313</f>
        <v>0</v>
      </c>
      <c r="H315" s="77">
        <f>'EXTRACTION AT GLOBAL DEA'!N313</f>
        <v>0</v>
      </c>
      <c r="I315" s="77">
        <f>'EXTRACTION AT GLOBAL DEA'!L313</f>
        <v>0</v>
      </c>
      <c r="J315" s="77">
        <f>'EXTRACTION AT GLOBAL DEA'!M313</f>
        <v>0</v>
      </c>
      <c r="K315" s="77"/>
      <c r="L315" s="77"/>
      <c r="M315" s="78">
        <f>'EXTRACTION AT GLOBAL DEA'!B313</f>
        <v>0</v>
      </c>
      <c r="N315" s="77" t="str">
        <f t="shared" si="13"/>
        <v>janvier</v>
      </c>
      <c r="O315" s="65"/>
      <c r="P315" s="67"/>
      <c r="Q315" s="67"/>
      <c r="R315" s="67"/>
      <c r="S315" s="67"/>
      <c r="T315" s="67"/>
      <c r="U315" s="67"/>
      <c r="V315" s="67"/>
      <c r="W315" s="67"/>
      <c r="X315" s="67"/>
      <c r="Y315" s="67"/>
      <c r="Z315" s="67"/>
      <c r="AA315" s="67"/>
      <c r="AB315" s="68"/>
    </row>
    <row r="316" spans="1:28" hidden="1" x14ac:dyDescent="0.25">
      <c r="A316" s="77">
        <f>'EXTRACTION AT GLOBAL DEA'!D314</f>
        <v>0</v>
      </c>
      <c r="B316" s="77">
        <f>'EXTRACTION AT GLOBAL DEA'!E314</f>
        <v>0</v>
      </c>
      <c r="C316" s="77">
        <f>'EXTRACTION AT GLOBAL DEA'!F314</f>
        <v>0</v>
      </c>
      <c r="D316" s="77">
        <f>'EXTRACTION AT GLOBAL DEA'!I314</f>
        <v>0</v>
      </c>
      <c r="E316" s="66">
        <f>'EXTRACTION AT GLOBAL DEA'!G314</f>
        <v>0</v>
      </c>
      <c r="F316" s="84" t="str">
        <f t="shared" si="12"/>
        <v/>
      </c>
      <c r="G316" s="77">
        <f>'EXTRACTION AT GLOBAL DEA'!K314</f>
        <v>0</v>
      </c>
      <c r="H316" s="77">
        <f>'EXTRACTION AT GLOBAL DEA'!N314</f>
        <v>0</v>
      </c>
      <c r="I316" s="77">
        <f>'EXTRACTION AT GLOBAL DEA'!L314</f>
        <v>0</v>
      </c>
      <c r="J316" s="77">
        <f>'EXTRACTION AT GLOBAL DEA'!M314</f>
        <v>0</v>
      </c>
      <c r="K316" s="77"/>
      <c r="L316" s="77"/>
      <c r="M316" s="78">
        <f>'EXTRACTION AT GLOBAL DEA'!B314</f>
        <v>0</v>
      </c>
      <c r="N316" s="77" t="str">
        <f t="shared" si="13"/>
        <v>janvier</v>
      </c>
      <c r="O316" s="65"/>
      <c r="P316" s="67"/>
      <c r="Q316" s="67"/>
      <c r="R316" s="67"/>
      <c r="S316" s="67"/>
      <c r="T316" s="67"/>
      <c r="U316" s="67"/>
      <c r="V316" s="67"/>
      <c r="W316" s="67"/>
      <c r="X316" s="67"/>
      <c r="Y316" s="67"/>
      <c r="Z316" s="67"/>
      <c r="AA316" s="67"/>
      <c r="AB316" s="68"/>
    </row>
    <row r="317" spans="1:28" hidden="1" x14ac:dyDescent="0.25">
      <c r="A317" s="77">
        <f>'EXTRACTION AT GLOBAL DEA'!D315</f>
        <v>0</v>
      </c>
      <c r="B317" s="77">
        <f>'EXTRACTION AT GLOBAL DEA'!E315</f>
        <v>0</v>
      </c>
      <c r="C317" s="77">
        <f>'EXTRACTION AT GLOBAL DEA'!F315</f>
        <v>0</v>
      </c>
      <c r="D317" s="77">
        <f>'EXTRACTION AT GLOBAL DEA'!I315</f>
        <v>0</v>
      </c>
      <c r="E317" s="66">
        <f>'EXTRACTION AT GLOBAL DEA'!G315</f>
        <v>0</v>
      </c>
      <c r="F317" s="84" t="str">
        <f t="shared" si="12"/>
        <v/>
      </c>
      <c r="G317" s="77">
        <f>'EXTRACTION AT GLOBAL DEA'!K315</f>
        <v>0</v>
      </c>
      <c r="H317" s="77">
        <f>'EXTRACTION AT GLOBAL DEA'!N315</f>
        <v>0</v>
      </c>
      <c r="I317" s="77">
        <f>'EXTRACTION AT GLOBAL DEA'!L315</f>
        <v>0</v>
      </c>
      <c r="J317" s="77">
        <f>'EXTRACTION AT GLOBAL DEA'!M315</f>
        <v>0</v>
      </c>
      <c r="K317" s="77"/>
      <c r="L317" s="77"/>
      <c r="M317" s="78">
        <f>'EXTRACTION AT GLOBAL DEA'!B315</f>
        <v>0</v>
      </c>
      <c r="N317" s="77" t="str">
        <f t="shared" si="13"/>
        <v>janvier</v>
      </c>
      <c r="O317" s="65"/>
      <c r="P317" s="67"/>
      <c r="Q317" s="67"/>
      <c r="R317" s="67"/>
      <c r="S317" s="67"/>
      <c r="T317" s="67"/>
      <c r="U317" s="67"/>
      <c r="V317" s="67"/>
      <c r="W317" s="67"/>
      <c r="X317" s="67"/>
      <c r="Y317" s="67"/>
      <c r="Z317" s="67"/>
      <c r="AA317" s="67"/>
      <c r="AB317" s="68"/>
    </row>
    <row r="318" spans="1:28" hidden="1" x14ac:dyDescent="0.25">
      <c r="A318" s="77">
        <f>'EXTRACTION AT GLOBAL DEA'!D316</f>
        <v>0</v>
      </c>
      <c r="B318" s="77">
        <f>'EXTRACTION AT GLOBAL DEA'!E316</f>
        <v>0</v>
      </c>
      <c r="C318" s="77">
        <f>'EXTRACTION AT GLOBAL DEA'!F316</f>
        <v>0</v>
      </c>
      <c r="D318" s="77">
        <f>'EXTRACTION AT GLOBAL DEA'!I316</f>
        <v>0</v>
      </c>
      <c r="E318" s="66">
        <f>'EXTRACTION AT GLOBAL DEA'!G316</f>
        <v>0</v>
      </c>
      <c r="F318" s="84" t="str">
        <f t="shared" si="12"/>
        <v/>
      </c>
      <c r="G318" s="77">
        <f>'EXTRACTION AT GLOBAL DEA'!K316</f>
        <v>0</v>
      </c>
      <c r="H318" s="77">
        <f>'EXTRACTION AT GLOBAL DEA'!N316</f>
        <v>0</v>
      </c>
      <c r="I318" s="77">
        <f>'EXTRACTION AT GLOBAL DEA'!L316</f>
        <v>0</v>
      </c>
      <c r="J318" s="77">
        <f>'EXTRACTION AT GLOBAL DEA'!M316</f>
        <v>0</v>
      </c>
      <c r="K318" s="77"/>
      <c r="L318" s="77"/>
      <c r="M318" s="78">
        <f>'EXTRACTION AT GLOBAL DEA'!B316</f>
        <v>0</v>
      </c>
      <c r="N318" s="77" t="str">
        <f t="shared" si="13"/>
        <v>janvier</v>
      </c>
      <c r="O318" s="65"/>
      <c r="P318" s="67"/>
      <c r="Q318" s="67"/>
      <c r="R318" s="67"/>
      <c r="S318" s="67"/>
      <c r="T318" s="67"/>
      <c r="U318" s="67"/>
      <c r="V318" s="67"/>
      <c r="W318" s="67"/>
      <c r="X318" s="67"/>
      <c r="Y318" s="67"/>
      <c r="Z318" s="67"/>
      <c r="AA318" s="67"/>
      <c r="AB318" s="68"/>
    </row>
    <row r="319" spans="1:28" hidden="1" x14ac:dyDescent="0.25">
      <c r="A319" s="77">
        <f>'EXTRACTION AT GLOBAL DEA'!D317</f>
        <v>0</v>
      </c>
      <c r="B319" s="77">
        <f>'EXTRACTION AT GLOBAL DEA'!E317</f>
        <v>0</v>
      </c>
      <c r="C319" s="77">
        <f>'EXTRACTION AT GLOBAL DEA'!F317</f>
        <v>0</v>
      </c>
      <c r="D319" s="77">
        <f>'EXTRACTION AT GLOBAL DEA'!I317</f>
        <v>0</v>
      </c>
      <c r="E319" s="66">
        <f>'EXTRACTION AT GLOBAL DEA'!G317</f>
        <v>0</v>
      </c>
      <c r="F319" s="84" t="str">
        <f t="shared" si="12"/>
        <v/>
      </c>
      <c r="G319" s="77">
        <f>'EXTRACTION AT GLOBAL DEA'!K317</f>
        <v>0</v>
      </c>
      <c r="H319" s="77">
        <f>'EXTRACTION AT GLOBAL DEA'!N317</f>
        <v>0</v>
      </c>
      <c r="I319" s="77">
        <f>'EXTRACTION AT GLOBAL DEA'!L317</f>
        <v>0</v>
      </c>
      <c r="J319" s="77">
        <f>'EXTRACTION AT GLOBAL DEA'!M317</f>
        <v>0</v>
      </c>
      <c r="K319" s="77"/>
      <c r="L319" s="77"/>
      <c r="M319" s="78">
        <f>'EXTRACTION AT GLOBAL DEA'!B317</f>
        <v>0</v>
      </c>
      <c r="N319" s="77" t="str">
        <f t="shared" si="13"/>
        <v>janvier</v>
      </c>
      <c r="O319" s="65"/>
      <c r="P319" s="67"/>
      <c r="Q319" s="67"/>
      <c r="R319" s="67"/>
      <c r="S319" s="67"/>
      <c r="T319" s="67"/>
      <c r="U319" s="67"/>
      <c r="V319" s="67"/>
      <c r="W319" s="67"/>
      <c r="X319" s="67"/>
      <c r="Y319" s="67"/>
      <c r="Z319" s="67"/>
      <c r="AA319" s="67"/>
      <c r="AB319" s="68"/>
    </row>
    <row r="320" spans="1:28" hidden="1" x14ac:dyDescent="0.25">
      <c r="A320" s="77">
        <f>'EXTRACTION AT GLOBAL DEA'!D318</f>
        <v>0</v>
      </c>
      <c r="B320" s="77">
        <f>'EXTRACTION AT GLOBAL DEA'!E318</f>
        <v>0</v>
      </c>
      <c r="C320" s="77">
        <f>'EXTRACTION AT GLOBAL DEA'!F318</f>
        <v>0</v>
      </c>
      <c r="D320" s="77">
        <f>'EXTRACTION AT GLOBAL DEA'!I318</f>
        <v>0</v>
      </c>
      <c r="E320" s="66">
        <f>'EXTRACTION AT GLOBAL DEA'!G318</f>
        <v>0</v>
      </c>
      <c r="F320" s="84" t="str">
        <f t="shared" si="12"/>
        <v/>
      </c>
      <c r="G320" s="77">
        <f>'EXTRACTION AT GLOBAL DEA'!K318</f>
        <v>0</v>
      </c>
      <c r="H320" s="77">
        <f>'EXTRACTION AT GLOBAL DEA'!N318</f>
        <v>0</v>
      </c>
      <c r="I320" s="77">
        <f>'EXTRACTION AT GLOBAL DEA'!L318</f>
        <v>0</v>
      </c>
      <c r="J320" s="77">
        <f>'EXTRACTION AT GLOBAL DEA'!M318</f>
        <v>0</v>
      </c>
      <c r="K320" s="77"/>
      <c r="L320" s="77"/>
      <c r="M320" s="78">
        <f>'EXTRACTION AT GLOBAL DEA'!B318</f>
        <v>0</v>
      </c>
      <c r="N320" s="77" t="str">
        <f t="shared" si="13"/>
        <v>janvier</v>
      </c>
      <c r="O320" s="65"/>
      <c r="P320" s="67"/>
      <c r="Q320" s="67"/>
      <c r="R320" s="67"/>
      <c r="S320" s="67"/>
      <c r="T320" s="67"/>
      <c r="U320" s="67"/>
      <c r="V320" s="67"/>
      <c r="W320" s="67"/>
      <c r="X320" s="67"/>
      <c r="Y320" s="67"/>
      <c r="Z320" s="67"/>
      <c r="AA320" s="67"/>
      <c r="AB320" s="68"/>
    </row>
    <row r="321" spans="1:28" hidden="1" x14ac:dyDescent="0.25">
      <c r="A321" s="77">
        <f>'EXTRACTION AT GLOBAL DEA'!D319</f>
        <v>0</v>
      </c>
      <c r="B321" s="77">
        <f>'EXTRACTION AT GLOBAL DEA'!E319</f>
        <v>0</v>
      </c>
      <c r="C321" s="77">
        <f>'EXTRACTION AT GLOBAL DEA'!F319</f>
        <v>0</v>
      </c>
      <c r="D321" s="77">
        <f>'EXTRACTION AT GLOBAL DEA'!I319</f>
        <v>0</v>
      </c>
      <c r="E321" s="66">
        <f>'EXTRACTION AT GLOBAL DEA'!G319</f>
        <v>0</v>
      </c>
      <c r="F321" s="84" t="str">
        <f t="shared" si="12"/>
        <v/>
      </c>
      <c r="G321" s="77">
        <f>'EXTRACTION AT GLOBAL DEA'!K319</f>
        <v>0</v>
      </c>
      <c r="H321" s="77">
        <f>'EXTRACTION AT GLOBAL DEA'!N319</f>
        <v>0</v>
      </c>
      <c r="I321" s="77">
        <f>'EXTRACTION AT GLOBAL DEA'!L319</f>
        <v>0</v>
      </c>
      <c r="J321" s="77">
        <f>'EXTRACTION AT GLOBAL DEA'!M319</f>
        <v>0</v>
      </c>
      <c r="K321" s="77"/>
      <c r="L321" s="77"/>
      <c r="M321" s="78">
        <f>'EXTRACTION AT GLOBAL DEA'!B319</f>
        <v>0</v>
      </c>
      <c r="N321" s="77" t="str">
        <f t="shared" si="13"/>
        <v>janvier</v>
      </c>
      <c r="O321" s="65"/>
      <c r="P321" s="67"/>
      <c r="Q321" s="67"/>
      <c r="R321" s="67"/>
      <c r="S321" s="67"/>
      <c r="T321" s="67"/>
      <c r="U321" s="67"/>
      <c r="V321" s="67"/>
      <c r="W321" s="67"/>
      <c r="X321" s="67"/>
      <c r="Y321" s="67"/>
      <c r="Z321" s="67"/>
      <c r="AA321" s="67"/>
      <c r="AB321" s="68"/>
    </row>
    <row r="322" spans="1:28" hidden="1" x14ac:dyDescent="0.25">
      <c r="A322" s="77">
        <f>'EXTRACTION AT GLOBAL DEA'!D320</f>
        <v>0</v>
      </c>
      <c r="B322" s="77">
        <f>'EXTRACTION AT GLOBAL DEA'!E320</f>
        <v>0</v>
      </c>
      <c r="C322" s="77">
        <f>'EXTRACTION AT GLOBAL DEA'!F320</f>
        <v>0</v>
      </c>
      <c r="D322" s="77">
        <f>'EXTRACTION AT GLOBAL DEA'!I320</f>
        <v>0</v>
      </c>
      <c r="E322" s="66">
        <f>'EXTRACTION AT GLOBAL DEA'!G320</f>
        <v>0</v>
      </c>
      <c r="F322" s="84" t="str">
        <f t="shared" si="12"/>
        <v/>
      </c>
      <c r="G322" s="77">
        <f>'EXTRACTION AT GLOBAL DEA'!K320</f>
        <v>0</v>
      </c>
      <c r="H322" s="77">
        <f>'EXTRACTION AT GLOBAL DEA'!N320</f>
        <v>0</v>
      </c>
      <c r="I322" s="77">
        <f>'EXTRACTION AT GLOBAL DEA'!L320</f>
        <v>0</v>
      </c>
      <c r="J322" s="77">
        <f>'EXTRACTION AT GLOBAL DEA'!M320</f>
        <v>0</v>
      </c>
      <c r="K322" s="77"/>
      <c r="L322" s="77"/>
      <c r="M322" s="78">
        <f>'EXTRACTION AT GLOBAL DEA'!B320</f>
        <v>0</v>
      </c>
      <c r="N322" s="77" t="str">
        <f t="shared" si="13"/>
        <v>janvier</v>
      </c>
      <c r="O322" s="65"/>
      <c r="P322" s="67"/>
      <c r="Q322" s="67"/>
      <c r="R322" s="67"/>
      <c r="S322" s="67"/>
      <c r="T322" s="67"/>
      <c r="U322" s="67"/>
      <c r="V322" s="67"/>
      <c r="W322" s="67"/>
      <c r="X322" s="67"/>
      <c r="Y322" s="67"/>
      <c r="Z322" s="67"/>
      <c r="AA322" s="67"/>
      <c r="AB322" s="68"/>
    </row>
    <row r="323" spans="1:28" hidden="1" x14ac:dyDescent="0.25">
      <c r="A323" s="77">
        <f>'EXTRACTION AT GLOBAL DEA'!D321</f>
        <v>0</v>
      </c>
      <c r="B323" s="77">
        <f>'EXTRACTION AT GLOBAL DEA'!E321</f>
        <v>0</v>
      </c>
      <c r="C323" s="77">
        <f>'EXTRACTION AT GLOBAL DEA'!F321</f>
        <v>0</v>
      </c>
      <c r="D323" s="77">
        <f>'EXTRACTION AT GLOBAL DEA'!I321</f>
        <v>0</v>
      </c>
      <c r="E323" s="66">
        <f>'EXTRACTION AT GLOBAL DEA'!G321</f>
        <v>0</v>
      </c>
      <c r="F323" s="84" t="str">
        <f t="shared" si="12"/>
        <v/>
      </c>
      <c r="G323" s="77">
        <f>'EXTRACTION AT GLOBAL DEA'!K321</f>
        <v>0</v>
      </c>
      <c r="H323" s="77">
        <f>'EXTRACTION AT GLOBAL DEA'!N321</f>
        <v>0</v>
      </c>
      <c r="I323" s="77">
        <f>'EXTRACTION AT GLOBAL DEA'!L321</f>
        <v>0</v>
      </c>
      <c r="J323" s="77">
        <f>'EXTRACTION AT GLOBAL DEA'!M321</f>
        <v>0</v>
      </c>
      <c r="K323" s="77"/>
      <c r="L323" s="77"/>
      <c r="M323" s="78">
        <f>'EXTRACTION AT GLOBAL DEA'!B321</f>
        <v>0</v>
      </c>
      <c r="N323" s="77" t="str">
        <f t="shared" si="13"/>
        <v>janvier</v>
      </c>
      <c r="O323" s="65"/>
      <c r="P323" s="67"/>
      <c r="Q323" s="67"/>
      <c r="R323" s="67"/>
      <c r="S323" s="67"/>
      <c r="T323" s="67"/>
      <c r="U323" s="67"/>
      <c r="V323" s="67"/>
      <c r="W323" s="67"/>
      <c r="X323" s="67"/>
      <c r="Y323" s="67"/>
      <c r="Z323" s="67"/>
      <c r="AA323" s="67"/>
      <c r="AB323" s="68"/>
    </row>
    <row r="324" spans="1:28" hidden="1" x14ac:dyDescent="0.25">
      <c r="A324" s="77">
        <f>'EXTRACTION AT GLOBAL DEA'!D322</f>
        <v>0</v>
      </c>
      <c r="B324" s="77">
        <f>'EXTRACTION AT GLOBAL DEA'!E322</f>
        <v>0</v>
      </c>
      <c r="C324" s="77">
        <f>'EXTRACTION AT GLOBAL DEA'!F322</f>
        <v>0</v>
      </c>
      <c r="D324" s="77">
        <f>'EXTRACTION AT GLOBAL DEA'!I322</f>
        <v>0</v>
      </c>
      <c r="E324" s="66">
        <f>'EXTRACTION AT GLOBAL DEA'!G322</f>
        <v>0</v>
      </c>
      <c r="F324" s="84" t="str">
        <f t="shared" si="12"/>
        <v/>
      </c>
      <c r="G324" s="77">
        <f>'EXTRACTION AT GLOBAL DEA'!K322</f>
        <v>0</v>
      </c>
      <c r="H324" s="77">
        <f>'EXTRACTION AT GLOBAL DEA'!N322</f>
        <v>0</v>
      </c>
      <c r="I324" s="77">
        <f>'EXTRACTION AT GLOBAL DEA'!L322</f>
        <v>0</v>
      </c>
      <c r="J324" s="77">
        <f>'EXTRACTION AT GLOBAL DEA'!M322</f>
        <v>0</v>
      </c>
      <c r="K324" s="77"/>
      <c r="L324" s="77"/>
      <c r="M324" s="78">
        <f>'EXTRACTION AT GLOBAL DEA'!B322</f>
        <v>0</v>
      </c>
      <c r="N324" s="77" t="str">
        <f t="shared" si="13"/>
        <v>janvier</v>
      </c>
      <c r="O324" s="65"/>
      <c r="P324" s="67"/>
      <c r="Q324" s="67"/>
      <c r="R324" s="67"/>
      <c r="S324" s="67"/>
      <c r="T324" s="67"/>
      <c r="U324" s="67"/>
      <c r="V324" s="67"/>
      <c r="W324" s="67"/>
      <c r="X324" s="67"/>
      <c r="Y324" s="67"/>
      <c r="Z324" s="67"/>
      <c r="AA324" s="67"/>
      <c r="AB324" s="68"/>
    </row>
    <row r="325" spans="1:28" hidden="1" x14ac:dyDescent="0.25">
      <c r="A325" s="77">
        <f>'EXTRACTION AT GLOBAL DEA'!D323</f>
        <v>0</v>
      </c>
      <c r="B325" s="77">
        <f>'EXTRACTION AT GLOBAL DEA'!E323</f>
        <v>0</v>
      </c>
      <c r="C325" s="77">
        <f>'EXTRACTION AT GLOBAL DEA'!F323</f>
        <v>0</v>
      </c>
      <c r="D325" s="77">
        <f>'EXTRACTION AT GLOBAL DEA'!I323</f>
        <v>0</v>
      </c>
      <c r="E325" s="66">
        <f>'EXTRACTION AT GLOBAL DEA'!G323</f>
        <v>0</v>
      </c>
      <c r="F325" s="84" t="str">
        <f t="shared" si="12"/>
        <v/>
      </c>
      <c r="G325" s="77">
        <f>'EXTRACTION AT GLOBAL DEA'!K323</f>
        <v>0</v>
      </c>
      <c r="H325" s="77">
        <f>'EXTRACTION AT GLOBAL DEA'!N323</f>
        <v>0</v>
      </c>
      <c r="I325" s="77">
        <f>'EXTRACTION AT GLOBAL DEA'!L323</f>
        <v>0</v>
      </c>
      <c r="J325" s="77">
        <f>'EXTRACTION AT GLOBAL DEA'!M323</f>
        <v>0</v>
      </c>
      <c r="K325" s="77"/>
      <c r="L325" s="77"/>
      <c r="M325" s="78">
        <f>'EXTRACTION AT GLOBAL DEA'!B323</f>
        <v>0</v>
      </c>
      <c r="N325" s="77" t="str">
        <f t="shared" si="13"/>
        <v>janvier</v>
      </c>
      <c r="O325" s="65"/>
      <c r="P325" s="67"/>
      <c r="Q325" s="67"/>
      <c r="R325" s="67"/>
      <c r="S325" s="67"/>
      <c r="T325" s="67"/>
      <c r="U325" s="67"/>
      <c r="V325" s="67"/>
      <c r="W325" s="67"/>
      <c r="X325" s="67"/>
      <c r="Y325" s="67"/>
      <c r="Z325" s="67"/>
      <c r="AA325" s="67"/>
      <c r="AB325" s="68"/>
    </row>
    <row r="326" spans="1:28" hidden="1" x14ac:dyDescent="0.25">
      <c r="A326" s="77">
        <f>'EXTRACTION AT GLOBAL DEA'!D324</f>
        <v>0</v>
      </c>
      <c r="B326" s="77">
        <f>'EXTRACTION AT GLOBAL DEA'!E324</f>
        <v>0</v>
      </c>
      <c r="C326" s="77">
        <f>'EXTRACTION AT GLOBAL DEA'!F324</f>
        <v>0</v>
      </c>
      <c r="D326" s="77">
        <f>'EXTRACTION AT GLOBAL DEA'!I324</f>
        <v>0</v>
      </c>
      <c r="E326" s="66">
        <f>'EXTRACTION AT GLOBAL DEA'!G324</f>
        <v>0</v>
      </c>
      <c r="F326" s="84" t="str">
        <f t="shared" ref="F326:F389" si="14">IF(E326&lt;1,"",IF(E326&lt;20,"Moins de 20 ans",IF(E326&lt;25,"20 à 24 ans",IF(E326&lt;30,"25 à 29 ans",IF(E326&lt;35,"30 à 34 ans",IF(E326&lt;40,"35 à 39 ans",IF(E326&lt;45,"40 à 44 ans",IF(E326&lt;50,"45 à 49 ans",IF(E326&lt;55,"50 à 54 ans",IF(E325&lt;60,"55 à 59 ans",IF(E326&gt;59,"60 ans et plus","")))))))))))</f>
        <v/>
      </c>
      <c r="G326" s="77">
        <f>'EXTRACTION AT GLOBAL DEA'!K324</f>
        <v>0</v>
      </c>
      <c r="H326" s="77">
        <f>'EXTRACTION AT GLOBAL DEA'!N324</f>
        <v>0</v>
      </c>
      <c r="I326" s="77">
        <f>'EXTRACTION AT GLOBAL DEA'!L324</f>
        <v>0</v>
      </c>
      <c r="J326" s="77">
        <f>'EXTRACTION AT GLOBAL DEA'!M324</f>
        <v>0</v>
      </c>
      <c r="K326" s="77"/>
      <c r="L326" s="77"/>
      <c r="M326" s="78">
        <f>'EXTRACTION AT GLOBAL DEA'!B324</f>
        <v>0</v>
      </c>
      <c r="N326" s="77" t="str">
        <f t="shared" ref="N326:N389" si="15">TEXT(M326,"mmmm")</f>
        <v>janvier</v>
      </c>
      <c r="O326" s="65"/>
      <c r="P326" s="67"/>
      <c r="Q326" s="67"/>
      <c r="R326" s="67"/>
      <c r="S326" s="67"/>
      <c r="T326" s="67"/>
      <c r="U326" s="67"/>
      <c r="V326" s="67"/>
      <c r="W326" s="67"/>
      <c r="X326" s="67"/>
      <c r="Y326" s="67"/>
      <c r="Z326" s="67"/>
      <c r="AA326" s="67"/>
      <c r="AB326" s="68"/>
    </row>
    <row r="327" spans="1:28" hidden="1" x14ac:dyDescent="0.25">
      <c r="A327" s="77">
        <f>'EXTRACTION AT GLOBAL DEA'!D325</f>
        <v>0</v>
      </c>
      <c r="B327" s="77">
        <f>'EXTRACTION AT GLOBAL DEA'!E325</f>
        <v>0</v>
      </c>
      <c r="C327" s="77">
        <f>'EXTRACTION AT GLOBAL DEA'!F325</f>
        <v>0</v>
      </c>
      <c r="D327" s="77">
        <f>'EXTRACTION AT GLOBAL DEA'!I325</f>
        <v>0</v>
      </c>
      <c r="E327" s="66">
        <f>'EXTRACTION AT GLOBAL DEA'!G325</f>
        <v>0</v>
      </c>
      <c r="F327" s="84" t="str">
        <f t="shared" si="14"/>
        <v/>
      </c>
      <c r="G327" s="77">
        <f>'EXTRACTION AT GLOBAL DEA'!K325</f>
        <v>0</v>
      </c>
      <c r="H327" s="77">
        <f>'EXTRACTION AT GLOBAL DEA'!N325</f>
        <v>0</v>
      </c>
      <c r="I327" s="77">
        <f>'EXTRACTION AT GLOBAL DEA'!L325</f>
        <v>0</v>
      </c>
      <c r="J327" s="77">
        <f>'EXTRACTION AT GLOBAL DEA'!M325</f>
        <v>0</v>
      </c>
      <c r="K327" s="77"/>
      <c r="L327" s="77"/>
      <c r="M327" s="78">
        <f>'EXTRACTION AT GLOBAL DEA'!B325</f>
        <v>0</v>
      </c>
      <c r="N327" s="77" t="str">
        <f t="shared" si="15"/>
        <v>janvier</v>
      </c>
      <c r="O327" s="65"/>
      <c r="P327" s="67"/>
      <c r="Q327" s="67"/>
      <c r="R327" s="67"/>
      <c r="S327" s="67"/>
      <c r="T327" s="67"/>
      <c r="U327" s="67"/>
      <c r="V327" s="67"/>
      <c r="W327" s="67"/>
      <c r="X327" s="67"/>
      <c r="Y327" s="67"/>
      <c r="Z327" s="67"/>
      <c r="AA327" s="67"/>
      <c r="AB327" s="68"/>
    </row>
    <row r="328" spans="1:28" hidden="1" x14ac:dyDescent="0.25">
      <c r="A328" s="77">
        <f>'EXTRACTION AT GLOBAL DEA'!D326</f>
        <v>0</v>
      </c>
      <c r="B328" s="77">
        <f>'EXTRACTION AT GLOBAL DEA'!E326</f>
        <v>0</v>
      </c>
      <c r="C328" s="77">
        <f>'EXTRACTION AT GLOBAL DEA'!F326</f>
        <v>0</v>
      </c>
      <c r="D328" s="77">
        <f>'EXTRACTION AT GLOBAL DEA'!I326</f>
        <v>0</v>
      </c>
      <c r="E328" s="66">
        <f>'EXTRACTION AT GLOBAL DEA'!G326</f>
        <v>0</v>
      </c>
      <c r="F328" s="84" t="str">
        <f t="shared" si="14"/>
        <v/>
      </c>
      <c r="G328" s="77">
        <f>'EXTRACTION AT GLOBAL DEA'!K326</f>
        <v>0</v>
      </c>
      <c r="H328" s="77">
        <f>'EXTRACTION AT GLOBAL DEA'!N326</f>
        <v>0</v>
      </c>
      <c r="I328" s="77">
        <f>'EXTRACTION AT GLOBAL DEA'!L326</f>
        <v>0</v>
      </c>
      <c r="J328" s="77">
        <f>'EXTRACTION AT GLOBAL DEA'!M326</f>
        <v>0</v>
      </c>
      <c r="K328" s="77"/>
      <c r="L328" s="77"/>
      <c r="M328" s="78">
        <f>'EXTRACTION AT GLOBAL DEA'!B326</f>
        <v>0</v>
      </c>
      <c r="N328" s="77" t="str">
        <f t="shared" si="15"/>
        <v>janvier</v>
      </c>
      <c r="O328" s="65"/>
      <c r="P328" s="67"/>
      <c r="Q328" s="67"/>
      <c r="R328" s="67"/>
      <c r="S328" s="67"/>
      <c r="T328" s="67"/>
      <c r="U328" s="67"/>
      <c r="V328" s="67"/>
      <c r="W328" s="67"/>
      <c r="X328" s="67"/>
      <c r="Y328" s="67"/>
      <c r="Z328" s="67"/>
      <c r="AA328" s="67"/>
      <c r="AB328" s="68"/>
    </row>
    <row r="329" spans="1:28" hidden="1" x14ac:dyDescent="0.25">
      <c r="A329" s="77">
        <f>'EXTRACTION AT GLOBAL DEA'!D327</f>
        <v>0</v>
      </c>
      <c r="B329" s="77">
        <f>'EXTRACTION AT GLOBAL DEA'!E327</f>
        <v>0</v>
      </c>
      <c r="C329" s="77">
        <f>'EXTRACTION AT GLOBAL DEA'!F327</f>
        <v>0</v>
      </c>
      <c r="D329" s="77">
        <f>'EXTRACTION AT GLOBAL DEA'!I327</f>
        <v>0</v>
      </c>
      <c r="E329" s="66">
        <f>'EXTRACTION AT GLOBAL DEA'!G327</f>
        <v>0</v>
      </c>
      <c r="F329" s="84" t="str">
        <f t="shared" si="14"/>
        <v/>
      </c>
      <c r="G329" s="77">
        <f>'EXTRACTION AT GLOBAL DEA'!K327</f>
        <v>0</v>
      </c>
      <c r="H329" s="77">
        <f>'EXTRACTION AT GLOBAL DEA'!N327</f>
        <v>0</v>
      </c>
      <c r="I329" s="77">
        <f>'EXTRACTION AT GLOBAL DEA'!L327</f>
        <v>0</v>
      </c>
      <c r="J329" s="77">
        <f>'EXTRACTION AT GLOBAL DEA'!M327</f>
        <v>0</v>
      </c>
      <c r="K329" s="77"/>
      <c r="L329" s="77"/>
      <c r="M329" s="78">
        <f>'EXTRACTION AT GLOBAL DEA'!B327</f>
        <v>0</v>
      </c>
      <c r="N329" s="77" t="str">
        <f t="shared" si="15"/>
        <v>janvier</v>
      </c>
      <c r="O329" s="65"/>
      <c r="P329" s="67"/>
      <c r="Q329" s="67"/>
      <c r="R329" s="67"/>
      <c r="S329" s="67"/>
      <c r="T329" s="67"/>
      <c r="U329" s="67"/>
      <c r="V329" s="67"/>
      <c r="W329" s="67"/>
      <c r="X329" s="67"/>
      <c r="Y329" s="67"/>
      <c r="Z329" s="67"/>
      <c r="AA329" s="67"/>
      <c r="AB329" s="68"/>
    </row>
    <row r="330" spans="1:28" hidden="1" x14ac:dyDescent="0.25">
      <c r="A330" s="77">
        <f>'EXTRACTION AT GLOBAL DEA'!D328</f>
        <v>0</v>
      </c>
      <c r="B330" s="77">
        <f>'EXTRACTION AT GLOBAL DEA'!E328</f>
        <v>0</v>
      </c>
      <c r="C330" s="77">
        <f>'EXTRACTION AT GLOBAL DEA'!F328</f>
        <v>0</v>
      </c>
      <c r="D330" s="77">
        <f>'EXTRACTION AT GLOBAL DEA'!I328</f>
        <v>0</v>
      </c>
      <c r="E330" s="66">
        <f>'EXTRACTION AT GLOBAL DEA'!G328</f>
        <v>0</v>
      </c>
      <c r="F330" s="84" t="str">
        <f t="shared" si="14"/>
        <v/>
      </c>
      <c r="G330" s="77">
        <f>'EXTRACTION AT GLOBAL DEA'!K328</f>
        <v>0</v>
      </c>
      <c r="H330" s="77">
        <f>'EXTRACTION AT GLOBAL DEA'!N328</f>
        <v>0</v>
      </c>
      <c r="I330" s="77">
        <f>'EXTRACTION AT GLOBAL DEA'!L328</f>
        <v>0</v>
      </c>
      <c r="J330" s="77">
        <f>'EXTRACTION AT GLOBAL DEA'!M328</f>
        <v>0</v>
      </c>
      <c r="K330" s="77"/>
      <c r="L330" s="77"/>
      <c r="M330" s="78">
        <f>'EXTRACTION AT GLOBAL DEA'!B328</f>
        <v>0</v>
      </c>
      <c r="N330" s="77" t="str">
        <f t="shared" si="15"/>
        <v>janvier</v>
      </c>
      <c r="O330" s="65"/>
      <c r="P330" s="67"/>
      <c r="Q330" s="67"/>
      <c r="R330" s="67"/>
      <c r="S330" s="67"/>
      <c r="T330" s="67"/>
      <c r="U330" s="67"/>
      <c r="V330" s="67"/>
      <c r="W330" s="67"/>
      <c r="X330" s="67"/>
      <c r="Y330" s="67"/>
      <c r="Z330" s="67"/>
      <c r="AA330" s="67"/>
      <c r="AB330" s="68"/>
    </row>
    <row r="331" spans="1:28" hidden="1" x14ac:dyDescent="0.25">
      <c r="A331" s="77">
        <f>'EXTRACTION AT GLOBAL DEA'!D329</f>
        <v>0</v>
      </c>
      <c r="B331" s="77">
        <f>'EXTRACTION AT GLOBAL DEA'!E329</f>
        <v>0</v>
      </c>
      <c r="C331" s="77">
        <f>'EXTRACTION AT GLOBAL DEA'!F329</f>
        <v>0</v>
      </c>
      <c r="D331" s="77">
        <f>'EXTRACTION AT GLOBAL DEA'!I329</f>
        <v>0</v>
      </c>
      <c r="E331" s="66">
        <f>'EXTRACTION AT GLOBAL DEA'!G329</f>
        <v>0</v>
      </c>
      <c r="F331" s="84" t="str">
        <f t="shared" si="14"/>
        <v/>
      </c>
      <c r="G331" s="77">
        <f>'EXTRACTION AT GLOBAL DEA'!K329</f>
        <v>0</v>
      </c>
      <c r="H331" s="77">
        <f>'EXTRACTION AT GLOBAL DEA'!N329</f>
        <v>0</v>
      </c>
      <c r="I331" s="77">
        <f>'EXTRACTION AT GLOBAL DEA'!L329</f>
        <v>0</v>
      </c>
      <c r="J331" s="77">
        <f>'EXTRACTION AT GLOBAL DEA'!M329</f>
        <v>0</v>
      </c>
      <c r="K331" s="77"/>
      <c r="L331" s="77"/>
      <c r="M331" s="78">
        <f>'EXTRACTION AT GLOBAL DEA'!B329</f>
        <v>0</v>
      </c>
      <c r="N331" s="77" t="str">
        <f t="shared" si="15"/>
        <v>janvier</v>
      </c>
      <c r="O331" s="65"/>
      <c r="P331" s="67"/>
      <c r="Q331" s="67"/>
      <c r="R331" s="67"/>
      <c r="S331" s="67"/>
      <c r="T331" s="67"/>
      <c r="U331" s="67"/>
      <c r="V331" s="67"/>
      <c r="W331" s="67"/>
      <c r="X331" s="67"/>
      <c r="Y331" s="67"/>
      <c r="Z331" s="67"/>
      <c r="AA331" s="67"/>
      <c r="AB331" s="68"/>
    </row>
    <row r="332" spans="1:28" hidden="1" x14ac:dyDescent="0.25">
      <c r="A332" s="77">
        <f>'EXTRACTION AT GLOBAL DEA'!D330</f>
        <v>0</v>
      </c>
      <c r="B332" s="77">
        <f>'EXTRACTION AT GLOBAL DEA'!E330</f>
        <v>0</v>
      </c>
      <c r="C332" s="77">
        <f>'EXTRACTION AT GLOBAL DEA'!F330</f>
        <v>0</v>
      </c>
      <c r="D332" s="77">
        <f>'EXTRACTION AT GLOBAL DEA'!I330</f>
        <v>0</v>
      </c>
      <c r="E332" s="66">
        <f>'EXTRACTION AT GLOBAL DEA'!G330</f>
        <v>0</v>
      </c>
      <c r="F332" s="84" t="str">
        <f t="shared" si="14"/>
        <v/>
      </c>
      <c r="G332" s="77">
        <f>'EXTRACTION AT GLOBAL DEA'!K330</f>
        <v>0</v>
      </c>
      <c r="H332" s="77">
        <f>'EXTRACTION AT GLOBAL DEA'!N330</f>
        <v>0</v>
      </c>
      <c r="I332" s="77">
        <f>'EXTRACTION AT GLOBAL DEA'!L330</f>
        <v>0</v>
      </c>
      <c r="J332" s="77">
        <f>'EXTRACTION AT GLOBAL DEA'!M330</f>
        <v>0</v>
      </c>
      <c r="K332" s="77"/>
      <c r="L332" s="77"/>
      <c r="M332" s="78">
        <f>'EXTRACTION AT GLOBAL DEA'!B330</f>
        <v>0</v>
      </c>
      <c r="N332" s="77" t="str">
        <f t="shared" si="15"/>
        <v>janvier</v>
      </c>
      <c r="O332" s="65"/>
      <c r="P332" s="67"/>
      <c r="Q332" s="67"/>
      <c r="R332" s="67"/>
      <c r="S332" s="67"/>
      <c r="T332" s="67"/>
      <c r="U332" s="67"/>
      <c r="V332" s="67"/>
      <c r="W332" s="67"/>
      <c r="X332" s="67"/>
      <c r="Y332" s="67"/>
      <c r="Z332" s="67"/>
      <c r="AA332" s="67"/>
      <c r="AB332" s="68"/>
    </row>
    <row r="333" spans="1:28" hidden="1" x14ac:dyDescent="0.25">
      <c r="A333" s="77">
        <f>'EXTRACTION AT GLOBAL DEA'!D331</f>
        <v>0</v>
      </c>
      <c r="B333" s="77">
        <f>'EXTRACTION AT GLOBAL DEA'!E331</f>
        <v>0</v>
      </c>
      <c r="C333" s="77">
        <f>'EXTRACTION AT GLOBAL DEA'!F331</f>
        <v>0</v>
      </c>
      <c r="D333" s="77">
        <f>'EXTRACTION AT GLOBAL DEA'!I331</f>
        <v>0</v>
      </c>
      <c r="E333" s="66">
        <f>'EXTRACTION AT GLOBAL DEA'!G331</f>
        <v>0</v>
      </c>
      <c r="F333" s="84" t="str">
        <f t="shared" si="14"/>
        <v/>
      </c>
      <c r="G333" s="77">
        <f>'EXTRACTION AT GLOBAL DEA'!K331</f>
        <v>0</v>
      </c>
      <c r="H333" s="77">
        <f>'EXTRACTION AT GLOBAL DEA'!N331</f>
        <v>0</v>
      </c>
      <c r="I333" s="77">
        <f>'EXTRACTION AT GLOBAL DEA'!L331</f>
        <v>0</v>
      </c>
      <c r="J333" s="77">
        <f>'EXTRACTION AT GLOBAL DEA'!M331</f>
        <v>0</v>
      </c>
      <c r="K333" s="77"/>
      <c r="L333" s="77"/>
      <c r="M333" s="78">
        <f>'EXTRACTION AT GLOBAL DEA'!B331</f>
        <v>0</v>
      </c>
      <c r="N333" s="77" t="str">
        <f t="shared" si="15"/>
        <v>janvier</v>
      </c>
      <c r="O333" s="65"/>
      <c r="P333" s="67"/>
      <c r="Q333" s="67"/>
      <c r="R333" s="67"/>
      <c r="S333" s="67"/>
      <c r="T333" s="67"/>
      <c r="U333" s="67"/>
      <c r="V333" s="67"/>
      <c r="W333" s="67"/>
      <c r="X333" s="67"/>
      <c r="Y333" s="67"/>
      <c r="Z333" s="67"/>
      <c r="AA333" s="67"/>
      <c r="AB333" s="68"/>
    </row>
    <row r="334" spans="1:28" hidden="1" x14ac:dyDescent="0.25">
      <c r="A334" s="77">
        <f>'EXTRACTION AT GLOBAL DEA'!D332</f>
        <v>0</v>
      </c>
      <c r="B334" s="77">
        <f>'EXTRACTION AT GLOBAL DEA'!E332</f>
        <v>0</v>
      </c>
      <c r="C334" s="77">
        <f>'EXTRACTION AT GLOBAL DEA'!F332</f>
        <v>0</v>
      </c>
      <c r="D334" s="77">
        <f>'EXTRACTION AT GLOBAL DEA'!I332</f>
        <v>0</v>
      </c>
      <c r="E334" s="66">
        <f>'EXTRACTION AT GLOBAL DEA'!G332</f>
        <v>0</v>
      </c>
      <c r="F334" s="84" t="str">
        <f t="shared" si="14"/>
        <v/>
      </c>
      <c r="G334" s="77">
        <f>'EXTRACTION AT GLOBAL DEA'!K332</f>
        <v>0</v>
      </c>
      <c r="H334" s="77">
        <f>'EXTRACTION AT GLOBAL DEA'!N332</f>
        <v>0</v>
      </c>
      <c r="I334" s="77">
        <f>'EXTRACTION AT GLOBAL DEA'!L332</f>
        <v>0</v>
      </c>
      <c r="J334" s="77">
        <f>'EXTRACTION AT GLOBAL DEA'!M332</f>
        <v>0</v>
      </c>
      <c r="K334" s="77"/>
      <c r="L334" s="77"/>
      <c r="M334" s="78">
        <f>'EXTRACTION AT GLOBAL DEA'!B332</f>
        <v>0</v>
      </c>
      <c r="N334" s="77" t="str">
        <f t="shared" si="15"/>
        <v>janvier</v>
      </c>
      <c r="O334" s="65"/>
      <c r="P334" s="67"/>
      <c r="Q334" s="67"/>
      <c r="R334" s="67"/>
      <c r="S334" s="67"/>
      <c r="T334" s="67"/>
      <c r="U334" s="67"/>
      <c r="V334" s="67"/>
      <c r="W334" s="67"/>
      <c r="X334" s="67"/>
      <c r="Y334" s="67"/>
      <c r="Z334" s="67"/>
      <c r="AA334" s="67"/>
      <c r="AB334" s="68"/>
    </row>
    <row r="335" spans="1:28" hidden="1" x14ac:dyDescent="0.25">
      <c r="A335" s="77">
        <f>'EXTRACTION AT GLOBAL DEA'!D333</f>
        <v>0</v>
      </c>
      <c r="B335" s="77">
        <f>'EXTRACTION AT GLOBAL DEA'!E333</f>
        <v>0</v>
      </c>
      <c r="C335" s="77">
        <f>'EXTRACTION AT GLOBAL DEA'!F333</f>
        <v>0</v>
      </c>
      <c r="D335" s="77">
        <f>'EXTRACTION AT GLOBAL DEA'!I333</f>
        <v>0</v>
      </c>
      <c r="E335" s="66">
        <f>'EXTRACTION AT GLOBAL DEA'!G333</f>
        <v>0</v>
      </c>
      <c r="F335" s="84" t="str">
        <f t="shared" si="14"/>
        <v/>
      </c>
      <c r="G335" s="77">
        <f>'EXTRACTION AT GLOBAL DEA'!K333</f>
        <v>0</v>
      </c>
      <c r="H335" s="77">
        <f>'EXTRACTION AT GLOBAL DEA'!N333</f>
        <v>0</v>
      </c>
      <c r="I335" s="77">
        <f>'EXTRACTION AT GLOBAL DEA'!L333</f>
        <v>0</v>
      </c>
      <c r="J335" s="77">
        <f>'EXTRACTION AT GLOBAL DEA'!M333</f>
        <v>0</v>
      </c>
      <c r="K335" s="77"/>
      <c r="L335" s="77"/>
      <c r="M335" s="78">
        <f>'EXTRACTION AT GLOBAL DEA'!B333</f>
        <v>0</v>
      </c>
      <c r="N335" s="77" t="str">
        <f t="shared" si="15"/>
        <v>janvier</v>
      </c>
      <c r="O335" s="65"/>
      <c r="P335" s="67"/>
      <c r="Q335" s="67"/>
      <c r="R335" s="67"/>
      <c r="S335" s="67"/>
      <c r="T335" s="67"/>
      <c r="U335" s="67"/>
      <c r="V335" s="67"/>
      <c r="W335" s="67"/>
      <c r="X335" s="67"/>
      <c r="Y335" s="67"/>
      <c r="Z335" s="67"/>
      <c r="AA335" s="67"/>
      <c r="AB335" s="68"/>
    </row>
    <row r="336" spans="1:28" hidden="1" x14ac:dyDescent="0.25">
      <c r="A336" s="77">
        <f>'EXTRACTION AT GLOBAL DEA'!D334</f>
        <v>0</v>
      </c>
      <c r="B336" s="77">
        <f>'EXTRACTION AT GLOBAL DEA'!E334</f>
        <v>0</v>
      </c>
      <c r="C336" s="77">
        <f>'EXTRACTION AT GLOBAL DEA'!F334</f>
        <v>0</v>
      </c>
      <c r="D336" s="77">
        <f>'EXTRACTION AT GLOBAL DEA'!I334</f>
        <v>0</v>
      </c>
      <c r="E336" s="66">
        <f>'EXTRACTION AT GLOBAL DEA'!G334</f>
        <v>0</v>
      </c>
      <c r="F336" s="84" t="str">
        <f t="shared" si="14"/>
        <v/>
      </c>
      <c r="G336" s="77">
        <f>'EXTRACTION AT GLOBAL DEA'!K334</f>
        <v>0</v>
      </c>
      <c r="H336" s="77">
        <f>'EXTRACTION AT GLOBAL DEA'!N334</f>
        <v>0</v>
      </c>
      <c r="I336" s="77">
        <f>'EXTRACTION AT GLOBAL DEA'!L334</f>
        <v>0</v>
      </c>
      <c r="J336" s="77">
        <f>'EXTRACTION AT GLOBAL DEA'!M334</f>
        <v>0</v>
      </c>
      <c r="K336" s="77"/>
      <c r="L336" s="77"/>
      <c r="M336" s="78">
        <f>'EXTRACTION AT GLOBAL DEA'!B334</f>
        <v>0</v>
      </c>
      <c r="N336" s="77" t="str">
        <f t="shared" si="15"/>
        <v>janvier</v>
      </c>
      <c r="O336" s="65"/>
      <c r="P336" s="67"/>
      <c r="Q336" s="67"/>
      <c r="R336" s="67"/>
      <c r="S336" s="67"/>
      <c r="T336" s="67"/>
      <c r="U336" s="67"/>
      <c r="V336" s="67"/>
      <c r="W336" s="67"/>
      <c r="X336" s="67"/>
      <c r="Y336" s="67"/>
      <c r="Z336" s="67"/>
      <c r="AA336" s="67"/>
      <c r="AB336" s="68"/>
    </row>
    <row r="337" spans="1:28" hidden="1" x14ac:dyDescent="0.25">
      <c r="A337" s="77">
        <f>'EXTRACTION AT GLOBAL DEA'!D335</f>
        <v>0</v>
      </c>
      <c r="B337" s="77">
        <f>'EXTRACTION AT GLOBAL DEA'!E335</f>
        <v>0</v>
      </c>
      <c r="C337" s="77">
        <f>'EXTRACTION AT GLOBAL DEA'!F335</f>
        <v>0</v>
      </c>
      <c r="D337" s="77">
        <f>'EXTRACTION AT GLOBAL DEA'!I335</f>
        <v>0</v>
      </c>
      <c r="E337" s="66">
        <f>'EXTRACTION AT GLOBAL DEA'!G335</f>
        <v>0</v>
      </c>
      <c r="F337" s="84" t="str">
        <f t="shared" si="14"/>
        <v/>
      </c>
      <c r="G337" s="77">
        <f>'EXTRACTION AT GLOBAL DEA'!K335</f>
        <v>0</v>
      </c>
      <c r="H337" s="77">
        <f>'EXTRACTION AT GLOBAL DEA'!N335</f>
        <v>0</v>
      </c>
      <c r="I337" s="77">
        <f>'EXTRACTION AT GLOBAL DEA'!L335</f>
        <v>0</v>
      </c>
      <c r="J337" s="77">
        <f>'EXTRACTION AT GLOBAL DEA'!M335</f>
        <v>0</v>
      </c>
      <c r="K337" s="77"/>
      <c r="L337" s="77"/>
      <c r="M337" s="78">
        <f>'EXTRACTION AT GLOBAL DEA'!B335</f>
        <v>0</v>
      </c>
      <c r="N337" s="77" t="str">
        <f t="shared" si="15"/>
        <v>janvier</v>
      </c>
      <c r="O337" s="65"/>
      <c r="P337" s="67"/>
      <c r="Q337" s="67"/>
      <c r="R337" s="67"/>
      <c r="S337" s="67"/>
      <c r="T337" s="67"/>
      <c r="U337" s="67"/>
      <c r="V337" s="67"/>
      <c r="W337" s="67"/>
      <c r="X337" s="67"/>
      <c r="Y337" s="67"/>
      <c r="Z337" s="67"/>
      <c r="AA337" s="67"/>
      <c r="AB337" s="68"/>
    </row>
    <row r="338" spans="1:28" hidden="1" x14ac:dyDescent="0.25">
      <c r="A338" s="77">
        <f>'EXTRACTION AT GLOBAL DEA'!D336</f>
        <v>0</v>
      </c>
      <c r="B338" s="77">
        <f>'EXTRACTION AT GLOBAL DEA'!E336</f>
        <v>0</v>
      </c>
      <c r="C338" s="77">
        <f>'EXTRACTION AT GLOBAL DEA'!F336</f>
        <v>0</v>
      </c>
      <c r="D338" s="77">
        <f>'EXTRACTION AT GLOBAL DEA'!I336</f>
        <v>0</v>
      </c>
      <c r="E338" s="66">
        <f>'EXTRACTION AT GLOBAL DEA'!G336</f>
        <v>0</v>
      </c>
      <c r="F338" s="84" t="str">
        <f t="shared" si="14"/>
        <v/>
      </c>
      <c r="G338" s="77">
        <f>'EXTRACTION AT GLOBAL DEA'!K336</f>
        <v>0</v>
      </c>
      <c r="H338" s="77">
        <f>'EXTRACTION AT GLOBAL DEA'!N336</f>
        <v>0</v>
      </c>
      <c r="I338" s="77">
        <f>'EXTRACTION AT GLOBAL DEA'!L336</f>
        <v>0</v>
      </c>
      <c r="J338" s="77">
        <f>'EXTRACTION AT GLOBAL DEA'!M336</f>
        <v>0</v>
      </c>
      <c r="K338" s="77"/>
      <c r="L338" s="77"/>
      <c r="M338" s="78">
        <f>'EXTRACTION AT GLOBAL DEA'!B336</f>
        <v>0</v>
      </c>
      <c r="N338" s="77" t="str">
        <f t="shared" si="15"/>
        <v>janvier</v>
      </c>
      <c r="O338" s="65"/>
      <c r="P338" s="67"/>
      <c r="Q338" s="67"/>
      <c r="R338" s="67"/>
      <c r="S338" s="67"/>
      <c r="T338" s="67"/>
      <c r="U338" s="67"/>
      <c r="V338" s="67"/>
      <c r="W338" s="67"/>
      <c r="X338" s="67"/>
      <c r="Y338" s="67"/>
      <c r="Z338" s="67"/>
      <c r="AA338" s="67"/>
      <c r="AB338" s="68"/>
    </row>
    <row r="339" spans="1:28" hidden="1" x14ac:dyDescent="0.25">
      <c r="A339" s="77">
        <f>'EXTRACTION AT GLOBAL DEA'!D337</f>
        <v>0</v>
      </c>
      <c r="B339" s="77">
        <f>'EXTRACTION AT GLOBAL DEA'!E337</f>
        <v>0</v>
      </c>
      <c r="C339" s="77">
        <f>'EXTRACTION AT GLOBAL DEA'!F337</f>
        <v>0</v>
      </c>
      <c r="D339" s="77">
        <f>'EXTRACTION AT GLOBAL DEA'!I337</f>
        <v>0</v>
      </c>
      <c r="E339" s="66">
        <f>'EXTRACTION AT GLOBAL DEA'!G337</f>
        <v>0</v>
      </c>
      <c r="F339" s="84" t="str">
        <f t="shared" si="14"/>
        <v/>
      </c>
      <c r="G339" s="77">
        <f>'EXTRACTION AT GLOBAL DEA'!K337</f>
        <v>0</v>
      </c>
      <c r="H339" s="77">
        <f>'EXTRACTION AT GLOBAL DEA'!N337</f>
        <v>0</v>
      </c>
      <c r="I339" s="77">
        <f>'EXTRACTION AT GLOBAL DEA'!L337</f>
        <v>0</v>
      </c>
      <c r="J339" s="77">
        <f>'EXTRACTION AT GLOBAL DEA'!M337</f>
        <v>0</v>
      </c>
      <c r="K339" s="77"/>
      <c r="L339" s="77"/>
      <c r="M339" s="78">
        <f>'EXTRACTION AT GLOBAL DEA'!B337</f>
        <v>0</v>
      </c>
      <c r="N339" s="77" t="str">
        <f t="shared" si="15"/>
        <v>janvier</v>
      </c>
      <c r="O339" s="65"/>
      <c r="P339" s="67"/>
      <c r="Q339" s="67"/>
      <c r="R339" s="67"/>
      <c r="S339" s="67"/>
      <c r="T339" s="67"/>
      <c r="U339" s="67"/>
      <c r="V339" s="67"/>
      <c r="W339" s="67"/>
      <c r="X339" s="67"/>
      <c r="Y339" s="67"/>
      <c r="Z339" s="67"/>
      <c r="AA339" s="67"/>
      <c r="AB339" s="68"/>
    </row>
    <row r="340" spans="1:28" hidden="1" x14ac:dyDescent="0.25">
      <c r="A340" s="77">
        <f>'EXTRACTION AT GLOBAL DEA'!D338</f>
        <v>0</v>
      </c>
      <c r="B340" s="77">
        <f>'EXTRACTION AT GLOBAL DEA'!E338</f>
        <v>0</v>
      </c>
      <c r="C340" s="77">
        <f>'EXTRACTION AT GLOBAL DEA'!F338</f>
        <v>0</v>
      </c>
      <c r="D340" s="77">
        <f>'EXTRACTION AT GLOBAL DEA'!I338</f>
        <v>0</v>
      </c>
      <c r="E340" s="66">
        <f>'EXTRACTION AT GLOBAL DEA'!G338</f>
        <v>0</v>
      </c>
      <c r="F340" s="84" t="str">
        <f t="shared" si="14"/>
        <v/>
      </c>
      <c r="G340" s="77">
        <f>'EXTRACTION AT GLOBAL DEA'!K338</f>
        <v>0</v>
      </c>
      <c r="H340" s="77">
        <f>'EXTRACTION AT GLOBAL DEA'!N338</f>
        <v>0</v>
      </c>
      <c r="I340" s="77">
        <f>'EXTRACTION AT GLOBAL DEA'!L338</f>
        <v>0</v>
      </c>
      <c r="J340" s="77">
        <f>'EXTRACTION AT GLOBAL DEA'!M338</f>
        <v>0</v>
      </c>
      <c r="K340" s="77"/>
      <c r="L340" s="77"/>
      <c r="M340" s="78">
        <f>'EXTRACTION AT GLOBAL DEA'!B338</f>
        <v>0</v>
      </c>
      <c r="N340" s="77" t="str">
        <f t="shared" si="15"/>
        <v>janvier</v>
      </c>
      <c r="O340" s="65"/>
      <c r="P340" s="67"/>
      <c r="Q340" s="67"/>
      <c r="R340" s="67"/>
      <c r="S340" s="67"/>
      <c r="T340" s="67"/>
      <c r="U340" s="67"/>
      <c r="V340" s="67"/>
      <c r="W340" s="67"/>
      <c r="X340" s="67"/>
      <c r="Y340" s="67"/>
      <c r="Z340" s="67"/>
      <c r="AA340" s="67"/>
      <c r="AB340" s="68"/>
    </row>
    <row r="341" spans="1:28" hidden="1" x14ac:dyDescent="0.25">
      <c r="A341" s="77">
        <f>'EXTRACTION AT GLOBAL DEA'!D339</f>
        <v>0</v>
      </c>
      <c r="B341" s="77">
        <f>'EXTRACTION AT GLOBAL DEA'!E339</f>
        <v>0</v>
      </c>
      <c r="C341" s="77">
        <f>'EXTRACTION AT GLOBAL DEA'!F339</f>
        <v>0</v>
      </c>
      <c r="D341" s="77">
        <f>'EXTRACTION AT GLOBAL DEA'!I339</f>
        <v>0</v>
      </c>
      <c r="E341" s="66">
        <f>'EXTRACTION AT GLOBAL DEA'!G339</f>
        <v>0</v>
      </c>
      <c r="F341" s="84" t="str">
        <f t="shared" si="14"/>
        <v/>
      </c>
      <c r="G341" s="77">
        <f>'EXTRACTION AT GLOBAL DEA'!K339</f>
        <v>0</v>
      </c>
      <c r="H341" s="77">
        <f>'EXTRACTION AT GLOBAL DEA'!N339</f>
        <v>0</v>
      </c>
      <c r="I341" s="77">
        <f>'EXTRACTION AT GLOBAL DEA'!L339</f>
        <v>0</v>
      </c>
      <c r="J341" s="77">
        <f>'EXTRACTION AT GLOBAL DEA'!M339</f>
        <v>0</v>
      </c>
      <c r="K341" s="77"/>
      <c r="L341" s="77"/>
      <c r="M341" s="78">
        <f>'EXTRACTION AT GLOBAL DEA'!B339</f>
        <v>0</v>
      </c>
      <c r="N341" s="77" t="str">
        <f t="shared" si="15"/>
        <v>janvier</v>
      </c>
      <c r="O341" s="65"/>
      <c r="P341" s="67"/>
      <c r="Q341" s="67"/>
      <c r="R341" s="67"/>
      <c r="S341" s="67"/>
      <c r="T341" s="67"/>
      <c r="U341" s="67"/>
      <c r="V341" s="67"/>
      <c r="W341" s="67"/>
      <c r="X341" s="67"/>
      <c r="Y341" s="67"/>
      <c r="Z341" s="67"/>
      <c r="AA341" s="67"/>
      <c r="AB341" s="68"/>
    </row>
    <row r="342" spans="1:28" hidden="1" x14ac:dyDescent="0.25">
      <c r="A342" s="77">
        <f>'EXTRACTION AT GLOBAL DEA'!D340</f>
        <v>0</v>
      </c>
      <c r="B342" s="77">
        <f>'EXTRACTION AT GLOBAL DEA'!E340</f>
        <v>0</v>
      </c>
      <c r="C342" s="77">
        <f>'EXTRACTION AT GLOBAL DEA'!F340</f>
        <v>0</v>
      </c>
      <c r="D342" s="77">
        <f>'EXTRACTION AT GLOBAL DEA'!I340</f>
        <v>0</v>
      </c>
      <c r="E342" s="66">
        <f>'EXTRACTION AT GLOBAL DEA'!G340</f>
        <v>0</v>
      </c>
      <c r="F342" s="84" t="str">
        <f t="shared" si="14"/>
        <v/>
      </c>
      <c r="G342" s="77">
        <f>'EXTRACTION AT GLOBAL DEA'!K340</f>
        <v>0</v>
      </c>
      <c r="H342" s="77">
        <f>'EXTRACTION AT GLOBAL DEA'!N340</f>
        <v>0</v>
      </c>
      <c r="I342" s="77">
        <f>'EXTRACTION AT GLOBAL DEA'!L340</f>
        <v>0</v>
      </c>
      <c r="J342" s="77">
        <f>'EXTRACTION AT GLOBAL DEA'!M340</f>
        <v>0</v>
      </c>
      <c r="K342" s="77"/>
      <c r="L342" s="77"/>
      <c r="M342" s="78">
        <f>'EXTRACTION AT GLOBAL DEA'!B340</f>
        <v>0</v>
      </c>
      <c r="N342" s="77" t="str">
        <f t="shared" si="15"/>
        <v>janvier</v>
      </c>
      <c r="O342" s="65"/>
      <c r="P342" s="67"/>
      <c r="Q342" s="67"/>
      <c r="R342" s="67"/>
      <c r="S342" s="67"/>
      <c r="T342" s="67"/>
      <c r="U342" s="67"/>
      <c r="V342" s="67"/>
      <c r="W342" s="67"/>
      <c r="X342" s="67"/>
      <c r="Y342" s="67"/>
      <c r="Z342" s="67"/>
      <c r="AA342" s="67"/>
      <c r="AB342" s="68"/>
    </row>
    <row r="343" spans="1:28" hidden="1" x14ac:dyDescent="0.25">
      <c r="A343" s="77">
        <f>'EXTRACTION AT GLOBAL DEA'!D341</f>
        <v>0</v>
      </c>
      <c r="B343" s="77">
        <f>'EXTRACTION AT GLOBAL DEA'!E341</f>
        <v>0</v>
      </c>
      <c r="C343" s="77">
        <f>'EXTRACTION AT GLOBAL DEA'!F341</f>
        <v>0</v>
      </c>
      <c r="D343" s="77">
        <f>'EXTRACTION AT GLOBAL DEA'!I341</f>
        <v>0</v>
      </c>
      <c r="E343" s="66">
        <f>'EXTRACTION AT GLOBAL DEA'!G341</f>
        <v>0</v>
      </c>
      <c r="F343" s="84" t="str">
        <f t="shared" si="14"/>
        <v/>
      </c>
      <c r="G343" s="77">
        <f>'EXTRACTION AT GLOBAL DEA'!K341</f>
        <v>0</v>
      </c>
      <c r="H343" s="77">
        <f>'EXTRACTION AT GLOBAL DEA'!N341</f>
        <v>0</v>
      </c>
      <c r="I343" s="77">
        <f>'EXTRACTION AT GLOBAL DEA'!L341</f>
        <v>0</v>
      </c>
      <c r="J343" s="77">
        <f>'EXTRACTION AT GLOBAL DEA'!M341</f>
        <v>0</v>
      </c>
      <c r="K343" s="77"/>
      <c r="L343" s="77"/>
      <c r="M343" s="78">
        <f>'EXTRACTION AT GLOBAL DEA'!B341</f>
        <v>0</v>
      </c>
      <c r="N343" s="77" t="str">
        <f t="shared" si="15"/>
        <v>janvier</v>
      </c>
      <c r="O343" s="65"/>
      <c r="P343" s="67"/>
      <c r="Q343" s="67"/>
      <c r="R343" s="67"/>
      <c r="S343" s="67"/>
      <c r="T343" s="67"/>
      <c r="U343" s="67"/>
      <c r="V343" s="67"/>
      <c r="W343" s="67"/>
      <c r="X343" s="67"/>
      <c r="Y343" s="67"/>
      <c r="Z343" s="67"/>
      <c r="AA343" s="67"/>
      <c r="AB343" s="68"/>
    </row>
    <row r="344" spans="1:28" hidden="1" x14ac:dyDescent="0.25">
      <c r="A344" s="77">
        <f>'EXTRACTION AT GLOBAL DEA'!D342</f>
        <v>0</v>
      </c>
      <c r="B344" s="77">
        <f>'EXTRACTION AT GLOBAL DEA'!E342</f>
        <v>0</v>
      </c>
      <c r="C344" s="77">
        <f>'EXTRACTION AT GLOBAL DEA'!F342</f>
        <v>0</v>
      </c>
      <c r="D344" s="77">
        <f>'EXTRACTION AT GLOBAL DEA'!I342</f>
        <v>0</v>
      </c>
      <c r="E344" s="66">
        <f>'EXTRACTION AT GLOBAL DEA'!G342</f>
        <v>0</v>
      </c>
      <c r="F344" s="84" t="str">
        <f t="shared" si="14"/>
        <v/>
      </c>
      <c r="G344" s="77">
        <f>'EXTRACTION AT GLOBAL DEA'!K342</f>
        <v>0</v>
      </c>
      <c r="H344" s="77">
        <f>'EXTRACTION AT GLOBAL DEA'!N342</f>
        <v>0</v>
      </c>
      <c r="I344" s="77">
        <f>'EXTRACTION AT GLOBAL DEA'!L342</f>
        <v>0</v>
      </c>
      <c r="J344" s="77">
        <f>'EXTRACTION AT GLOBAL DEA'!M342</f>
        <v>0</v>
      </c>
      <c r="K344" s="77"/>
      <c r="L344" s="77"/>
      <c r="M344" s="78">
        <f>'EXTRACTION AT GLOBAL DEA'!B342</f>
        <v>0</v>
      </c>
      <c r="N344" s="77" t="str">
        <f t="shared" si="15"/>
        <v>janvier</v>
      </c>
      <c r="O344" s="65"/>
      <c r="P344" s="67"/>
      <c r="Q344" s="67"/>
      <c r="R344" s="67"/>
      <c r="S344" s="67"/>
      <c r="T344" s="67"/>
      <c r="U344" s="67"/>
      <c r="V344" s="67"/>
      <c r="W344" s="67"/>
      <c r="X344" s="67"/>
      <c r="Y344" s="67"/>
      <c r="Z344" s="67"/>
      <c r="AA344" s="67"/>
      <c r="AB344" s="68"/>
    </row>
    <row r="345" spans="1:28" hidden="1" x14ac:dyDescent="0.25">
      <c r="A345" s="77">
        <f>'EXTRACTION AT GLOBAL DEA'!D343</f>
        <v>0</v>
      </c>
      <c r="B345" s="77">
        <f>'EXTRACTION AT GLOBAL DEA'!E343</f>
        <v>0</v>
      </c>
      <c r="C345" s="77">
        <f>'EXTRACTION AT GLOBAL DEA'!F343</f>
        <v>0</v>
      </c>
      <c r="D345" s="77">
        <f>'EXTRACTION AT GLOBAL DEA'!I343</f>
        <v>0</v>
      </c>
      <c r="E345" s="66">
        <f>'EXTRACTION AT GLOBAL DEA'!G343</f>
        <v>0</v>
      </c>
      <c r="F345" s="84" t="str">
        <f t="shared" si="14"/>
        <v/>
      </c>
      <c r="G345" s="77">
        <f>'EXTRACTION AT GLOBAL DEA'!K343</f>
        <v>0</v>
      </c>
      <c r="H345" s="77">
        <f>'EXTRACTION AT GLOBAL DEA'!N343</f>
        <v>0</v>
      </c>
      <c r="I345" s="77">
        <f>'EXTRACTION AT GLOBAL DEA'!L343</f>
        <v>0</v>
      </c>
      <c r="J345" s="77">
        <f>'EXTRACTION AT GLOBAL DEA'!M343</f>
        <v>0</v>
      </c>
      <c r="K345" s="77"/>
      <c r="L345" s="77"/>
      <c r="M345" s="78">
        <f>'EXTRACTION AT GLOBAL DEA'!B343</f>
        <v>0</v>
      </c>
      <c r="N345" s="77" t="str">
        <f t="shared" si="15"/>
        <v>janvier</v>
      </c>
      <c r="O345" s="65"/>
      <c r="P345" s="67"/>
      <c r="Q345" s="67"/>
      <c r="R345" s="67"/>
      <c r="S345" s="67"/>
      <c r="T345" s="67"/>
      <c r="U345" s="67"/>
      <c r="V345" s="67"/>
      <c r="W345" s="67"/>
      <c r="X345" s="67"/>
      <c r="Y345" s="67"/>
      <c r="Z345" s="67"/>
      <c r="AA345" s="67"/>
      <c r="AB345" s="68"/>
    </row>
    <row r="346" spans="1:28" hidden="1" x14ac:dyDescent="0.25">
      <c r="A346" s="77">
        <f>'EXTRACTION AT GLOBAL DEA'!D344</f>
        <v>0</v>
      </c>
      <c r="B346" s="77">
        <f>'EXTRACTION AT GLOBAL DEA'!E344</f>
        <v>0</v>
      </c>
      <c r="C346" s="77">
        <f>'EXTRACTION AT GLOBAL DEA'!F344</f>
        <v>0</v>
      </c>
      <c r="D346" s="77">
        <f>'EXTRACTION AT GLOBAL DEA'!I344</f>
        <v>0</v>
      </c>
      <c r="E346" s="66">
        <f>'EXTRACTION AT GLOBAL DEA'!G344</f>
        <v>0</v>
      </c>
      <c r="F346" s="84" t="str">
        <f t="shared" si="14"/>
        <v/>
      </c>
      <c r="G346" s="77">
        <f>'EXTRACTION AT GLOBAL DEA'!K344</f>
        <v>0</v>
      </c>
      <c r="H346" s="77">
        <f>'EXTRACTION AT GLOBAL DEA'!N344</f>
        <v>0</v>
      </c>
      <c r="I346" s="77">
        <f>'EXTRACTION AT GLOBAL DEA'!L344</f>
        <v>0</v>
      </c>
      <c r="J346" s="77">
        <f>'EXTRACTION AT GLOBAL DEA'!M344</f>
        <v>0</v>
      </c>
      <c r="K346" s="77"/>
      <c r="L346" s="77"/>
      <c r="M346" s="78">
        <f>'EXTRACTION AT GLOBAL DEA'!B344</f>
        <v>0</v>
      </c>
      <c r="N346" s="77" t="str">
        <f t="shared" si="15"/>
        <v>janvier</v>
      </c>
      <c r="O346" s="65"/>
      <c r="P346" s="67"/>
      <c r="Q346" s="67"/>
      <c r="R346" s="67"/>
      <c r="S346" s="67"/>
      <c r="T346" s="67"/>
      <c r="U346" s="67"/>
      <c r="V346" s="67"/>
      <c r="W346" s="67"/>
      <c r="X346" s="67"/>
      <c r="Y346" s="67"/>
      <c r="Z346" s="67"/>
      <c r="AA346" s="67"/>
      <c r="AB346" s="68"/>
    </row>
    <row r="347" spans="1:28" hidden="1" x14ac:dyDescent="0.25">
      <c r="A347" s="77">
        <f>'EXTRACTION AT GLOBAL DEA'!D345</f>
        <v>0</v>
      </c>
      <c r="B347" s="77">
        <f>'EXTRACTION AT GLOBAL DEA'!E345</f>
        <v>0</v>
      </c>
      <c r="C347" s="77">
        <f>'EXTRACTION AT GLOBAL DEA'!F345</f>
        <v>0</v>
      </c>
      <c r="D347" s="77">
        <f>'EXTRACTION AT GLOBAL DEA'!I345</f>
        <v>0</v>
      </c>
      <c r="E347" s="66">
        <f>'EXTRACTION AT GLOBAL DEA'!G345</f>
        <v>0</v>
      </c>
      <c r="F347" s="84" t="str">
        <f t="shared" si="14"/>
        <v/>
      </c>
      <c r="G347" s="77">
        <f>'EXTRACTION AT GLOBAL DEA'!K345</f>
        <v>0</v>
      </c>
      <c r="H347" s="77">
        <f>'EXTRACTION AT GLOBAL DEA'!N345</f>
        <v>0</v>
      </c>
      <c r="I347" s="77">
        <f>'EXTRACTION AT GLOBAL DEA'!L345</f>
        <v>0</v>
      </c>
      <c r="J347" s="77">
        <f>'EXTRACTION AT GLOBAL DEA'!M345</f>
        <v>0</v>
      </c>
      <c r="K347" s="77"/>
      <c r="L347" s="77"/>
      <c r="M347" s="78">
        <f>'EXTRACTION AT GLOBAL DEA'!B345</f>
        <v>0</v>
      </c>
      <c r="N347" s="77" t="str">
        <f t="shared" si="15"/>
        <v>janvier</v>
      </c>
      <c r="O347" s="65"/>
      <c r="P347" s="67"/>
      <c r="Q347" s="67"/>
      <c r="R347" s="67"/>
      <c r="S347" s="67"/>
      <c r="T347" s="67"/>
      <c r="U347" s="67"/>
      <c r="V347" s="67"/>
      <c r="W347" s="67"/>
      <c r="X347" s="67"/>
      <c r="Y347" s="67"/>
      <c r="Z347" s="67"/>
      <c r="AA347" s="67"/>
      <c r="AB347" s="68"/>
    </row>
    <row r="348" spans="1:28" hidden="1" x14ac:dyDescent="0.25">
      <c r="A348" s="77">
        <f>'EXTRACTION AT GLOBAL DEA'!D346</f>
        <v>0</v>
      </c>
      <c r="B348" s="77">
        <f>'EXTRACTION AT GLOBAL DEA'!E346</f>
        <v>0</v>
      </c>
      <c r="C348" s="77">
        <f>'EXTRACTION AT GLOBAL DEA'!F346</f>
        <v>0</v>
      </c>
      <c r="D348" s="77">
        <f>'EXTRACTION AT GLOBAL DEA'!I346</f>
        <v>0</v>
      </c>
      <c r="E348" s="66">
        <f>'EXTRACTION AT GLOBAL DEA'!G346</f>
        <v>0</v>
      </c>
      <c r="F348" s="84" t="str">
        <f t="shared" si="14"/>
        <v/>
      </c>
      <c r="G348" s="77">
        <f>'EXTRACTION AT GLOBAL DEA'!K346</f>
        <v>0</v>
      </c>
      <c r="H348" s="77">
        <f>'EXTRACTION AT GLOBAL DEA'!N346</f>
        <v>0</v>
      </c>
      <c r="I348" s="77">
        <f>'EXTRACTION AT GLOBAL DEA'!L346</f>
        <v>0</v>
      </c>
      <c r="J348" s="77">
        <f>'EXTRACTION AT GLOBAL DEA'!M346</f>
        <v>0</v>
      </c>
      <c r="K348" s="77"/>
      <c r="L348" s="77"/>
      <c r="M348" s="78">
        <f>'EXTRACTION AT GLOBAL DEA'!B346</f>
        <v>0</v>
      </c>
      <c r="N348" s="77" t="str">
        <f t="shared" si="15"/>
        <v>janvier</v>
      </c>
      <c r="O348" s="65"/>
      <c r="P348" s="67"/>
      <c r="Q348" s="67"/>
      <c r="R348" s="67"/>
      <c r="S348" s="67"/>
      <c r="T348" s="67"/>
      <c r="U348" s="67"/>
      <c r="V348" s="67"/>
      <c r="W348" s="67"/>
      <c r="X348" s="67"/>
      <c r="Y348" s="67"/>
      <c r="Z348" s="67"/>
      <c r="AA348" s="67"/>
      <c r="AB348" s="68"/>
    </row>
    <row r="349" spans="1:28" hidden="1" x14ac:dyDescent="0.25">
      <c r="A349" s="77">
        <f>'EXTRACTION AT GLOBAL DEA'!D347</f>
        <v>0</v>
      </c>
      <c r="B349" s="77">
        <f>'EXTRACTION AT GLOBAL DEA'!E347</f>
        <v>0</v>
      </c>
      <c r="C349" s="77">
        <f>'EXTRACTION AT GLOBAL DEA'!F347</f>
        <v>0</v>
      </c>
      <c r="D349" s="77">
        <f>'EXTRACTION AT GLOBAL DEA'!I347</f>
        <v>0</v>
      </c>
      <c r="E349" s="66">
        <f>'EXTRACTION AT GLOBAL DEA'!G347</f>
        <v>0</v>
      </c>
      <c r="F349" s="84" t="str">
        <f t="shared" si="14"/>
        <v/>
      </c>
      <c r="G349" s="77">
        <f>'EXTRACTION AT GLOBAL DEA'!K347</f>
        <v>0</v>
      </c>
      <c r="H349" s="77">
        <f>'EXTRACTION AT GLOBAL DEA'!N347</f>
        <v>0</v>
      </c>
      <c r="I349" s="77">
        <f>'EXTRACTION AT GLOBAL DEA'!L347</f>
        <v>0</v>
      </c>
      <c r="J349" s="77">
        <f>'EXTRACTION AT GLOBAL DEA'!M347</f>
        <v>0</v>
      </c>
      <c r="K349" s="77"/>
      <c r="L349" s="77"/>
      <c r="M349" s="78">
        <f>'EXTRACTION AT GLOBAL DEA'!B347</f>
        <v>0</v>
      </c>
      <c r="N349" s="77" t="str">
        <f t="shared" si="15"/>
        <v>janvier</v>
      </c>
      <c r="O349" s="65"/>
      <c r="P349" s="67"/>
      <c r="Q349" s="67"/>
      <c r="R349" s="67"/>
      <c r="S349" s="67"/>
      <c r="T349" s="67"/>
      <c r="U349" s="67"/>
      <c r="V349" s="67"/>
      <c r="W349" s="67"/>
      <c r="X349" s="67"/>
      <c r="Y349" s="67"/>
      <c r="Z349" s="67"/>
      <c r="AA349" s="67"/>
      <c r="AB349" s="68"/>
    </row>
    <row r="350" spans="1:28" hidden="1" x14ac:dyDescent="0.25">
      <c r="A350" s="77">
        <f>'EXTRACTION AT GLOBAL DEA'!D348</f>
        <v>0</v>
      </c>
      <c r="B350" s="77">
        <f>'EXTRACTION AT GLOBAL DEA'!E348</f>
        <v>0</v>
      </c>
      <c r="C350" s="77">
        <f>'EXTRACTION AT GLOBAL DEA'!F348</f>
        <v>0</v>
      </c>
      <c r="D350" s="77">
        <f>'EXTRACTION AT GLOBAL DEA'!I348</f>
        <v>0</v>
      </c>
      <c r="E350" s="66">
        <f>'EXTRACTION AT GLOBAL DEA'!G348</f>
        <v>0</v>
      </c>
      <c r="F350" s="84" t="str">
        <f t="shared" si="14"/>
        <v/>
      </c>
      <c r="G350" s="77">
        <f>'EXTRACTION AT GLOBAL DEA'!K348</f>
        <v>0</v>
      </c>
      <c r="H350" s="77">
        <f>'EXTRACTION AT GLOBAL DEA'!N348</f>
        <v>0</v>
      </c>
      <c r="I350" s="77">
        <f>'EXTRACTION AT GLOBAL DEA'!L348</f>
        <v>0</v>
      </c>
      <c r="J350" s="77">
        <f>'EXTRACTION AT GLOBAL DEA'!M348</f>
        <v>0</v>
      </c>
      <c r="K350" s="77"/>
      <c r="L350" s="77"/>
      <c r="M350" s="78">
        <f>'EXTRACTION AT GLOBAL DEA'!B348</f>
        <v>0</v>
      </c>
      <c r="N350" s="77" t="str">
        <f t="shared" si="15"/>
        <v>janvier</v>
      </c>
      <c r="O350" s="65"/>
      <c r="P350" s="67"/>
      <c r="Q350" s="67"/>
      <c r="R350" s="67"/>
      <c r="S350" s="67"/>
      <c r="T350" s="67"/>
      <c r="U350" s="67"/>
      <c r="V350" s="67"/>
      <c r="W350" s="67"/>
      <c r="X350" s="67"/>
      <c r="Y350" s="67"/>
      <c r="Z350" s="67"/>
      <c r="AA350" s="67"/>
      <c r="AB350" s="68"/>
    </row>
    <row r="351" spans="1:28" hidden="1" x14ac:dyDescent="0.25">
      <c r="A351" s="77">
        <f>'EXTRACTION AT GLOBAL DEA'!D349</f>
        <v>0</v>
      </c>
      <c r="B351" s="77">
        <f>'EXTRACTION AT GLOBAL DEA'!E349</f>
        <v>0</v>
      </c>
      <c r="C351" s="77">
        <f>'EXTRACTION AT GLOBAL DEA'!F349</f>
        <v>0</v>
      </c>
      <c r="D351" s="77">
        <f>'EXTRACTION AT GLOBAL DEA'!I349</f>
        <v>0</v>
      </c>
      <c r="E351" s="66">
        <f>'EXTRACTION AT GLOBAL DEA'!G349</f>
        <v>0</v>
      </c>
      <c r="F351" s="84" t="str">
        <f t="shared" si="14"/>
        <v/>
      </c>
      <c r="G351" s="77">
        <f>'EXTRACTION AT GLOBAL DEA'!K349</f>
        <v>0</v>
      </c>
      <c r="H351" s="77">
        <f>'EXTRACTION AT GLOBAL DEA'!N349</f>
        <v>0</v>
      </c>
      <c r="I351" s="77">
        <f>'EXTRACTION AT GLOBAL DEA'!L349</f>
        <v>0</v>
      </c>
      <c r="J351" s="77">
        <f>'EXTRACTION AT GLOBAL DEA'!M349</f>
        <v>0</v>
      </c>
      <c r="K351" s="77"/>
      <c r="L351" s="77"/>
      <c r="M351" s="78">
        <f>'EXTRACTION AT GLOBAL DEA'!B349</f>
        <v>0</v>
      </c>
      <c r="N351" s="77" t="str">
        <f t="shared" si="15"/>
        <v>janvier</v>
      </c>
      <c r="O351" s="65"/>
      <c r="P351" s="67"/>
      <c r="Q351" s="67"/>
      <c r="R351" s="67"/>
      <c r="S351" s="67"/>
      <c r="T351" s="67"/>
      <c r="U351" s="67"/>
      <c r="V351" s="67"/>
      <c r="W351" s="67"/>
      <c r="X351" s="67"/>
      <c r="Y351" s="67"/>
      <c r="Z351" s="67"/>
      <c r="AA351" s="67"/>
      <c r="AB351" s="68"/>
    </row>
    <row r="352" spans="1:28" hidden="1" x14ac:dyDescent="0.25">
      <c r="A352" s="77">
        <f>'EXTRACTION AT GLOBAL DEA'!D350</f>
        <v>0</v>
      </c>
      <c r="B352" s="77">
        <f>'EXTRACTION AT GLOBAL DEA'!E350</f>
        <v>0</v>
      </c>
      <c r="C352" s="77">
        <f>'EXTRACTION AT GLOBAL DEA'!F350</f>
        <v>0</v>
      </c>
      <c r="D352" s="77">
        <f>'EXTRACTION AT GLOBAL DEA'!I350</f>
        <v>0</v>
      </c>
      <c r="E352" s="66">
        <f>'EXTRACTION AT GLOBAL DEA'!G350</f>
        <v>0</v>
      </c>
      <c r="F352" s="84" t="str">
        <f t="shared" si="14"/>
        <v/>
      </c>
      <c r="G352" s="77">
        <f>'EXTRACTION AT GLOBAL DEA'!K350</f>
        <v>0</v>
      </c>
      <c r="H352" s="77">
        <f>'EXTRACTION AT GLOBAL DEA'!N350</f>
        <v>0</v>
      </c>
      <c r="I352" s="77">
        <f>'EXTRACTION AT GLOBAL DEA'!L350</f>
        <v>0</v>
      </c>
      <c r="J352" s="77">
        <f>'EXTRACTION AT GLOBAL DEA'!M350</f>
        <v>0</v>
      </c>
      <c r="K352" s="77"/>
      <c r="L352" s="77"/>
      <c r="M352" s="78">
        <f>'EXTRACTION AT GLOBAL DEA'!B350</f>
        <v>0</v>
      </c>
      <c r="N352" s="77" t="str">
        <f t="shared" si="15"/>
        <v>janvier</v>
      </c>
      <c r="O352" s="65"/>
      <c r="P352" s="67"/>
      <c r="Q352" s="67"/>
      <c r="R352" s="67"/>
      <c r="S352" s="67"/>
      <c r="T352" s="67"/>
      <c r="U352" s="67"/>
      <c r="V352" s="67"/>
      <c r="W352" s="67"/>
      <c r="X352" s="67"/>
      <c r="Y352" s="67"/>
      <c r="Z352" s="67"/>
      <c r="AA352" s="67"/>
      <c r="AB352" s="68"/>
    </row>
    <row r="353" spans="1:28" hidden="1" x14ac:dyDescent="0.25">
      <c r="A353" s="77">
        <f>'EXTRACTION AT GLOBAL DEA'!D351</f>
        <v>0</v>
      </c>
      <c r="B353" s="77">
        <f>'EXTRACTION AT GLOBAL DEA'!E351</f>
        <v>0</v>
      </c>
      <c r="C353" s="77">
        <f>'EXTRACTION AT GLOBAL DEA'!F351</f>
        <v>0</v>
      </c>
      <c r="D353" s="77">
        <f>'EXTRACTION AT GLOBAL DEA'!I351</f>
        <v>0</v>
      </c>
      <c r="E353" s="66">
        <f>'EXTRACTION AT GLOBAL DEA'!G351</f>
        <v>0</v>
      </c>
      <c r="F353" s="84" t="str">
        <f t="shared" si="14"/>
        <v/>
      </c>
      <c r="G353" s="77">
        <f>'EXTRACTION AT GLOBAL DEA'!K351</f>
        <v>0</v>
      </c>
      <c r="H353" s="77">
        <f>'EXTRACTION AT GLOBAL DEA'!N351</f>
        <v>0</v>
      </c>
      <c r="I353" s="77">
        <f>'EXTRACTION AT GLOBAL DEA'!L351</f>
        <v>0</v>
      </c>
      <c r="J353" s="77">
        <f>'EXTRACTION AT GLOBAL DEA'!M351</f>
        <v>0</v>
      </c>
      <c r="K353" s="77"/>
      <c r="L353" s="77"/>
      <c r="M353" s="78">
        <f>'EXTRACTION AT GLOBAL DEA'!B351</f>
        <v>0</v>
      </c>
      <c r="N353" s="77" t="str">
        <f t="shared" si="15"/>
        <v>janvier</v>
      </c>
      <c r="O353" s="65"/>
      <c r="P353" s="67"/>
      <c r="Q353" s="67"/>
      <c r="R353" s="67"/>
      <c r="S353" s="67"/>
      <c r="T353" s="67"/>
      <c r="U353" s="67"/>
      <c r="V353" s="67"/>
      <c r="W353" s="67"/>
      <c r="X353" s="67"/>
      <c r="Y353" s="67"/>
      <c r="Z353" s="67"/>
      <c r="AA353" s="67"/>
      <c r="AB353" s="68"/>
    </row>
    <row r="354" spans="1:28" hidden="1" x14ac:dyDescent="0.25">
      <c r="A354" s="77">
        <f>'EXTRACTION AT GLOBAL DEA'!D352</f>
        <v>0</v>
      </c>
      <c r="B354" s="77">
        <f>'EXTRACTION AT GLOBAL DEA'!E352</f>
        <v>0</v>
      </c>
      <c r="C354" s="77">
        <f>'EXTRACTION AT GLOBAL DEA'!F352</f>
        <v>0</v>
      </c>
      <c r="D354" s="77">
        <f>'EXTRACTION AT GLOBAL DEA'!I352</f>
        <v>0</v>
      </c>
      <c r="E354" s="66">
        <f>'EXTRACTION AT GLOBAL DEA'!G352</f>
        <v>0</v>
      </c>
      <c r="F354" s="84" t="str">
        <f t="shared" si="14"/>
        <v/>
      </c>
      <c r="G354" s="77">
        <f>'EXTRACTION AT GLOBAL DEA'!K352</f>
        <v>0</v>
      </c>
      <c r="H354" s="77">
        <f>'EXTRACTION AT GLOBAL DEA'!N352</f>
        <v>0</v>
      </c>
      <c r="I354" s="77">
        <f>'EXTRACTION AT GLOBAL DEA'!L352</f>
        <v>0</v>
      </c>
      <c r="J354" s="77">
        <f>'EXTRACTION AT GLOBAL DEA'!M352</f>
        <v>0</v>
      </c>
      <c r="K354" s="77"/>
      <c r="L354" s="77"/>
      <c r="M354" s="78">
        <f>'EXTRACTION AT GLOBAL DEA'!B352</f>
        <v>0</v>
      </c>
      <c r="N354" s="77" t="str">
        <f t="shared" si="15"/>
        <v>janvier</v>
      </c>
      <c r="O354" s="65"/>
      <c r="P354" s="67"/>
      <c r="Q354" s="67"/>
      <c r="R354" s="67"/>
      <c r="S354" s="67"/>
      <c r="T354" s="67"/>
      <c r="U354" s="67"/>
      <c r="V354" s="67"/>
      <c r="W354" s="67"/>
      <c r="X354" s="67"/>
      <c r="Y354" s="67"/>
      <c r="Z354" s="67"/>
      <c r="AA354" s="67"/>
      <c r="AB354" s="68"/>
    </row>
    <row r="355" spans="1:28" hidden="1" x14ac:dyDescent="0.25">
      <c r="A355" s="77">
        <f>'EXTRACTION AT GLOBAL DEA'!D353</f>
        <v>0</v>
      </c>
      <c r="B355" s="77">
        <f>'EXTRACTION AT GLOBAL DEA'!E353</f>
        <v>0</v>
      </c>
      <c r="C355" s="77">
        <f>'EXTRACTION AT GLOBAL DEA'!F353</f>
        <v>0</v>
      </c>
      <c r="D355" s="77">
        <f>'EXTRACTION AT GLOBAL DEA'!I353</f>
        <v>0</v>
      </c>
      <c r="E355" s="66">
        <f>'EXTRACTION AT GLOBAL DEA'!G353</f>
        <v>0</v>
      </c>
      <c r="F355" s="84" t="str">
        <f t="shared" si="14"/>
        <v/>
      </c>
      <c r="G355" s="77">
        <f>'EXTRACTION AT GLOBAL DEA'!K353</f>
        <v>0</v>
      </c>
      <c r="H355" s="77">
        <f>'EXTRACTION AT GLOBAL DEA'!N353</f>
        <v>0</v>
      </c>
      <c r="I355" s="77">
        <f>'EXTRACTION AT GLOBAL DEA'!L353</f>
        <v>0</v>
      </c>
      <c r="J355" s="77">
        <f>'EXTRACTION AT GLOBAL DEA'!M353</f>
        <v>0</v>
      </c>
      <c r="K355" s="77"/>
      <c r="L355" s="77"/>
      <c r="M355" s="78">
        <f>'EXTRACTION AT GLOBAL DEA'!B353</f>
        <v>0</v>
      </c>
      <c r="N355" s="77" t="str">
        <f t="shared" si="15"/>
        <v>janvier</v>
      </c>
      <c r="O355" s="65"/>
      <c r="P355" s="67"/>
      <c r="Q355" s="67"/>
      <c r="R355" s="67"/>
      <c r="S355" s="67"/>
      <c r="T355" s="67"/>
      <c r="U355" s="67"/>
      <c r="V355" s="67"/>
      <c r="W355" s="67"/>
      <c r="X355" s="67"/>
      <c r="Y355" s="67"/>
      <c r="Z355" s="67"/>
      <c r="AA355" s="67"/>
      <c r="AB355" s="68"/>
    </row>
    <row r="356" spans="1:28" hidden="1" x14ac:dyDescent="0.25">
      <c r="A356" s="77">
        <f>'EXTRACTION AT GLOBAL DEA'!D354</f>
        <v>0</v>
      </c>
      <c r="B356" s="77">
        <f>'EXTRACTION AT GLOBAL DEA'!E354</f>
        <v>0</v>
      </c>
      <c r="C356" s="77">
        <f>'EXTRACTION AT GLOBAL DEA'!F354</f>
        <v>0</v>
      </c>
      <c r="D356" s="77">
        <f>'EXTRACTION AT GLOBAL DEA'!I354</f>
        <v>0</v>
      </c>
      <c r="E356" s="66">
        <f>'EXTRACTION AT GLOBAL DEA'!G354</f>
        <v>0</v>
      </c>
      <c r="F356" s="84" t="str">
        <f t="shared" si="14"/>
        <v/>
      </c>
      <c r="G356" s="77">
        <f>'EXTRACTION AT GLOBAL DEA'!K354</f>
        <v>0</v>
      </c>
      <c r="H356" s="77">
        <f>'EXTRACTION AT GLOBAL DEA'!N354</f>
        <v>0</v>
      </c>
      <c r="I356" s="77">
        <f>'EXTRACTION AT GLOBAL DEA'!L354</f>
        <v>0</v>
      </c>
      <c r="J356" s="77">
        <f>'EXTRACTION AT GLOBAL DEA'!M354</f>
        <v>0</v>
      </c>
      <c r="K356" s="77"/>
      <c r="L356" s="77"/>
      <c r="M356" s="78">
        <f>'EXTRACTION AT GLOBAL DEA'!B354</f>
        <v>0</v>
      </c>
      <c r="N356" s="77" t="str">
        <f t="shared" si="15"/>
        <v>janvier</v>
      </c>
      <c r="O356" s="65"/>
      <c r="P356" s="67"/>
      <c r="Q356" s="67"/>
      <c r="R356" s="67"/>
      <c r="S356" s="67"/>
      <c r="T356" s="67"/>
      <c r="U356" s="67"/>
      <c r="V356" s="67"/>
      <c r="W356" s="67"/>
      <c r="X356" s="67"/>
      <c r="Y356" s="67"/>
      <c r="Z356" s="67"/>
      <c r="AA356" s="67"/>
      <c r="AB356" s="68"/>
    </row>
    <row r="357" spans="1:28" hidden="1" x14ac:dyDescent="0.25">
      <c r="A357" s="77">
        <f>'EXTRACTION AT GLOBAL DEA'!D355</f>
        <v>0</v>
      </c>
      <c r="B357" s="77">
        <f>'EXTRACTION AT GLOBAL DEA'!E355</f>
        <v>0</v>
      </c>
      <c r="C357" s="77">
        <f>'EXTRACTION AT GLOBAL DEA'!F355</f>
        <v>0</v>
      </c>
      <c r="D357" s="77">
        <f>'EXTRACTION AT GLOBAL DEA'!I355</f>
        <v>0</v>
      </c>
      <c r="E357" s="66">
        <f>'EXTRACTION AT GLOBAL DEA'!G355</f>
        <v>0</v>
      </c>
      <c r="F357" s="84" t="str">
        <f t="shared" si="14"/>
        <v/>
      </c>
      <c r="G357" s="77">
        <f>'EXTRACTION AT GLOBAL DEA'!K355</f>
        <v>0</v>
      </c>
      <c r="H357" s="77">
        <f>'EXTRACTION AT GLOBAL DEA'!N355</f>
        <v>0</v>
      </c>
      <c r="I357" s="77">
        <f>'EXTRACTION AT GLOBAL DEA'!L355</f>
        <v>0</v>
      </c>
      <c r="J357" s="77">
        <f>'EXTRACTION AT GLOBAL DEA'!M355</f>
        <v>0</v>
      </c>
      <c r="K357" s="77"/>
      <c r="L357" s="77"/>
      <c r="M357" s="78">
        <f>'EXTRACTION AT GLOBAL DEA'!B355</f>
        <v>0</v>
      </c>
      <c r="N357" s="77" t="str">
        <f t="shared" si="15"/>
        <v>janvier</v>
      </c>
      <c r="O357" s="65"/>
      <c r="P357" s="67"/>
      <c r="Q357" s="67"/>
      <c r="R357" s="67"/>
      <c r="S357" s="67"/>
      <c r="T357" s="67"/>
      <c r="U357" s="67"/>
      <c r="V357" s="67"/>
      <c r="W357" s="67"/>
      <c r="X357" s="67"/>
      <c r="Y357" s="67"/>
      <c r="Z357" s="67"/>
      <c r="AA357" s="67"/>
      <c r="AB357" s="68"/>
    </row>
    <row r="358" spans="1:28" hidden="1" x14ac:dyDescent="0.25">
      <c r="A358" s="77">
        <f>'EXTRACTION AT GLOBAL DEA'!D356</f>
        <v>0</v>
      </c>
      <c r="B358" s="77">
        <f>'EXTRACTION AT GLOBAL DEA'!E356</f>
        <v>0</v>
      </c>
      <c r="C358" s="77">
        <f>'EXTRACTION AT GLOBAL DEA'!F356</f>
        <v>0</v>
      </c>
      <c r="D358" s="77">
        <f>'EXTRACTION AT GLOBAL DEA'!I356</f>
        <v>0</v>
      </c>
      <c r="E358" s="66">
        <f>'EXTRACTION AT GLOBAL DEA'!G356</f>
        <v>0</v>
      </c>
      <c r="F358" s="84" t="str">
        <f t="shared" si="14"/>
        <v/>
      </c>
      <c r="G358" s="77">
        <f>'EXTRACTION AT GLOBAL DEA'!K356</f>
        <v>0</v>
      </c>
      <c r="H358" s="77">
        <f>'EXTRACTION AT GLOBAL DEA'!N356</f>
        <v>0</v>
      </c>
      <c r="I358" s="77">
        <f>'EXTRACTION AT GLOBAL DEA'!L356</f>
        <v>0</v>
      </c>
      <c r="J358" s="77">
        <f>'EXTRACTION AT GLOBAL DEA'!M356</f>
        <v>0</v>
      </c>
      <c r="K358" s="77"/>
      <c r="L358" s="77"/>
      <c r="M358" s="78">
        <f>'EXTRACTION AT GLOBAL DEA'!B356</f>
        <v>0</v>
      </c>
      <c r="N358" s="77" t="str">
        <f t="shared" si="15"/>
        <v>janvier</v>
      </c>
      <c r="O358" s="65"/>
      <c r="P358" s="67"/>
      <c r="Q358" s="67"/>
      <c r="R358" s="67"/>
      <c r="S358" s="67"/>
      <c r="T358" s="67"/>
      <c r="U358" s="67"/>
      <c r="V358" s="67"/>
      <c r="W358" s="67"/>
      <c r="X358" s="67"/>
      <c r="Y358" s="67"/>
      <c r="Z358" s="67"/>
      <c r="AA358" s="67"/>
      <c r="AB358" s="68"/>
    </row>
    <row r="359" spans="1:28" hidden="1" x14ac:dyDescent="0.25">
      <c r="A359" s="77">
        <f>'EXTRACTION AT GLOBAL DEA'!D357</f>
        <v>0</v>
      </c>
      <c r="B359" s="77">
        <f>'EXTRACTION AT GLOBAL DEA'!E357</f>
        <v>0</v>
      </c>
      <c r="C359" s="77">
        <f>'EXTRACTION AT GLOBAL DEA'!F357</f>
        <v>0</v>
      </c>
      <c r="D359" s="77">
        <f>'EXTRACTION AT GLOBAL DEA'!I357</f>
        <v>0</v>
      </c>
      <c r="E359" s="66">
        <f>'EXTRACTION AT GLOBAL DEA'!G357</f>
        <v>0</v>
      </c>
      <c r="F359" s="84" t="str">
        <f t="shared" si="14"/>
        <v/>
      </c>
      <c r="G359" s="77">
        <f>'EXTRACTION AT GLOBAL DEA'!K357</f>
        <v>0</v>
      </c>
      <c r="H359" s="77">
        <f>'EXTRACTION AT GLOBAL DEA'!N357</f>
        <v>0</v>
      </c>
      <c r="I359" s="77">
        <f>'EXTRACTION AT GLOBAL DEA'!L357</f>
        <v>0</v>
      </c>
      <c r="J359" s="77">
        <f>'EXTRACTION AT GLOBAL DEA'!M357</f>
        <v>0</v>
      </c>
      <c r="K359" s="77"/>
      <c r="L359" s="77"/>
      <c r="M359" s="78">
        <f>'EXTRACTION AT GLOBAL DEA'!B357</f>
        <v>0</v>
      </c>
      <c r="N359" s="77" t="str">
        <f t="shared" si="15"/>
        <v>janvier</v>
      </c>
      <c r="O359" s="65"/>
      <c r="P359" s="67"/>
      <c r="Q359" s="67"/>
      <c r="R359" s="67"/>
      <c r="S359" s="67"/>
      <c r="T359" s="67"/>
      <c r="U359" s="67"/>
      <c r="V359" s="67"/>
      <c r="W359" s="67"/>
      <c r="X359" s="67"/>
      <c r="Y359" s="67"/>
      <c r="Z359" s="67"/>
      <c r="AA359" s="67"/>
      <c r="AB359" s="68"/>
    </row>
    <row r="360" spans="1:28" hidden="1" x14ac:dyDescent="0.25">
      <c r="A360" s="77">
        <f>'EXTRACTION AT GLOBAL DEA'!D358</f>
        <v>0</v>
      </c>
      <c r="B360" s="77">
        <f>'EXTRACTION AT GLOBAL DEA'!E358</f>
        <v>0</v>
      </c>
      <c r="C360" s="77">
        <f>'EXTRACTION AT GLOBAL DEA'!F358</f>
        <v>0</v>
      </c>
      <c r="D360" s="77">
        <f>'EXTRACTION AT GLOBAL DEA'!I358</f>
        <v>0</v>
      </c>
      <c r="E360" s="66">
        <f>'EXTRACTION AT GLOBAL DEA'!G358</f>
        <v>0</v>
      </c>
      <c r="F360" s="84" t="str">
        <f t="shared" si="14"/>
        <v/>
      </c>
      <c r="G360" s="77">
        <f>'EXTRACTION AT GLOBAL DEA'!K358</f>
        <v>0</v>
      </c>
      <c r="H360" s="77">
        <f>'EXTRACTION AT GLOBAL DEA'!N358</f>
        <v>0</v>
      </c>
      <c r="I360" s="77">
        <f>'EXTRACTION AT GLOBAL DEA'!L358</f>
        <v>0</v>
      </c>
      <c r="J360" s="77">
        <f>'EXTRACTION AT GLOBAL DEA'!M358</f>
        <v>0</v>
      </c>
      <c r="K360" s="77"/>
      <c r="L360" s="77"/>
      <c r="M360" s="78">
        <f>'EXTRACTION AT GLOBAL DEA'!B358</f>
        <v>0</v>
      </c>
      <c r="N360" s="77" t="str">
        <f t="shared" si="15"/>
        <v>janvier</v>
      </c>
      <c r="O360" s="65"/>
      <c r="P360" s="67"/>
      <c r="Q360" s="67"/>
      <c r="R360" s="67"/>
      <c r="S360" s="67"/>
      <c r="T360" s="67"/>
      <c r="U360" s="67"/>
      <c r="V360" s="67"/>
      <c r="W360" s="67"/>
      <c r="X360" s="67"/>
      <c r="Y360" s="67"/>
      <c r="Z360" s="67"/>
      <c r="AA360" s="67"/>
      <c r="AB360" s="68"/>
    </row>
    <row r="361" spans="1:28" hidden="1" x14ac:dyDescent="0.25">
      <c r="A361" s="77">
        <f>'EXTRACTION AT GLOBAL DEA'!D359</f>
        <v>0</v>
      </c>
      <c r="B361" s="77">
        <f>'EXTRACTION AT GLOBAL DEA'!E359</f>
        <v>0</v>
      </c>
      <c r="C361" s="77">
        <f>'EXTRACTION AT GLOBAL DEA'!F359</f>
        <v>0</v>
      </c>
      <c r="D361" s="77">
        <f>'EXTRACTION AT GLOBAL DEA'!I359</f>
        <v>0</v>
      </c>
      <c r="E361" s="66">
        <f>'EXTRACTION AT GLOBAL DEA'!G359</f>
        <v>0</v>
      </c>
      <c r="F361" s="84" t="str">
        <f t="shared" si="14"/>
        <v/>
      </c>
      <c r="G361" s="77">
        <f>'EXTRACTION AT GLOBAL DEA'!K359</f>
        <v>0</v>
      </c>
      <c r="H361" s="77">
        <f>'EXTRACTION AT GLOBAL DEA'!N359</f>
        <v>0</v>
      </c>
      <c r="I361" s="77">
        <f>'EXTRACTION AT GLOBAL DEA'!L359</f>
        <v>0</v>
      </c>
      <c r="J361" s="77">
        <f>'EXTRACTION AT GLOBAL DEA'!M359</f>
        <v>0</v>
      </c>
      <c r="K361" s="77"/>
      <c r="L361" s="77"/>
      <c r="M361" s="78">
        <f>'EXTRACTION AT GLOBAL DEA'!B359</f>
        <v>0</v>
      </c>
      <c r="N361" s="77" t="str">
        <f t="shared" si="15"/>
        <v>janvier</v>
      </c>
      <c r="O361" s="65"/>
      <c r="P361" s="67"/>
      <c r="Q361" s="67"/>
      <c r="R361" s="67"/>
      <c r="S361" s="67"/>
      <c r="T361" s="67"/>
      <c r="U361" s="67"/>
      <c r="V361" s="67"/>
      <c r="W361" s="67"/>
      <c r="X361" s="67"/>
      <c r="Y361" s="67"/>
      <c r="Z361" s="67"/>
      <c r="AA361" s="67"/>
      <c r="AB361" s="68"/>
    </row>
    <row r="362" spans="1:28" hidden="1" x14ac:dyDescent="0.25">
      <c r="A362" s="77">
        <f>'EXTRACTION AT GLOBAL DEA'!D360</f>
        <v>0</v>
      </c>
      <c r="B362" s="77">
        <f>'EXTRACTION AT GLOBAL DEA'!E360</f>
        <v>0</v>
      </c>
      <c r="C362" s="77">
        <f>'EXTRACTION AT GLOBAL DEA'!F360</f>
        <v>0</v>
      </c>
      <c r="D362" s="77">
        <f>'EXTRACTION AT GLOBAL DEA'!I360</f>
        <v>0</v>
      </c>
      <c r="E362" s="66">
        <f>'EXTRACTION AT GLOBAL DEA'!G360</f>
        <v>0</v>
      </c>
      <c r="F362" s="84" t="str">
        <f t="shared" si="14"/>
        <v/>
      </c>
      <c r="G362" s="77">
        <f>'EXTRACTION AT GLOBAL DEA'!K360</f>
        <v>0</v>
      </c>
      <c r="H362" s="77">
        <f>'EXTRACTION AT GLOBAL DEA'!N360</f>
        <v>0</v>
      </c>
      <c r="I362" s="77">
        <f>'EXTRACTION AT GLOBAL DEA'!L360</f>
        <v>0</v>
      </c>
      <c r="J362" s="77">
        <f>'EXTRACTION AT GLOBAL DEA'!M360</f>
        <v>0</v>
      </c>
      <c r="K362" s="77"/>
      <c r="L362" s="77"/>
      <c r="M362" s="78">
        <f>'EXTRACTION AT GLOBAL DEA'!B360</f>
        <v>0</v>
      </c>
      <c r="N362" s="77" t="str">
        <f t="shared" si="15"/>
        <v>janvier</v>
      </c>
      <c r="O362" s="65"/>
      <c r="P362" s="67"/>
      <c r="Q362" s="67"/>
      <c r="R362" s="67"/>
      <c r="S362" s="67"/>
      <c r="T362" s="67"/>
      <c r="U362" s="67"/>
      <c r="V362" s="67"/>
      <c r="W362" s="67"/>
      <c r="X362" s="67"/>
      <c r="Y362" s="67"/>
      <c r="Z362" s="67"/>
      <c r="AA362" s="67"/>
      <c r="AB362" s="68"/>
    </row>
    <row r="363" spans="1:28" hidden="1" x14ac:dyDescent="0.25">
      <c r="A363" s="77">
        <f>'EXTRACTION AT GLOBAL DEA'!D361</f>
        <v>0</v>
      </c>
      <c r="B363" s="77">
        <f>'EXTRACTION AT GLOBAL DEA'!E361</f>
        <v>0</v>
      </c>
      <c r="C363" s="77">
        <f>'EXTRACTION AT GLOBAL DEA'!F361</f>
        <v>0</v>
      </c>
      <c r="D363" s="77">
        <f>'EXTRACTION AT GLOBAL DEA'!I361</f>
        <v>0</v>
      </c>
      <c r="E363" s="66">
        <f>'EXTRACTION AT GLOBAL DEA'!G361</f>
        <v>0</v>
      </c>
      <c r="F363" s="84" t="str">
        <f t="shared" si="14"/>
        <v/>
      </c>
      <c r="G363" s="77">
        <f>'EXTRACTION AT GLOBAL DEA'!K361</f>
        <v>0</v>
      </c>
      <c r="H363" s="77">
        <f>'EXTRACTION AT GLOBAL DEA'!N361</f>
        <v>0</v>
      </c>
      <c r="I363" s="77">
        <f>'EXTRACTION AT GLOBAL DEA'!L361</f>
        <v>0</v>
      </c>
      <c r="J363" s="77">
        <f>'EXTRACTION AT GLOBAL DEA'!M361</f>
        <v>0</v>
      </c>
      <c r="K363" s="77"/>
      <c r="L363" s="77"/>
      <c r="M363" s="78">
        <f>'EXTRACTION AT GLOBAL DEA'!B361</f>
        <v>0</v>
      </c>
      <c r="N363" s="77" t="str">
        <f t="shared" si="15"/>
        <v>janvier</v>
      </c>
      <c r="O363" s="65"/>
      <c r="P363" s="67"/>
      <c r="Q363" s="67"/>
      <c r="R363" s="67"/>
      <c r="S363" s="67"/>
      <c r="T363" s="67"/>
      <c r="U363" s="67"/>
      <c r="V363" s="67"/>
      <c r="W363" s="67"/>
      <c r="X363" s="67"/>
      <c r="Y363" s="67"/>
      <c r="Z363" s="67"/>
      <c r="AA363" s="67"/>
      <c r="AB363" s="68"/>
    </row>
    <row r="364" spans="1:28" hidden="1" x14ac:dyDescent="0.25">
      <c r="A364" s="77">
        <f>'EXTRACTION AT GLOBAL DEA'!D362</f>
        <v>0</v>
      </c>
      <c r="B364" s="77">
        <f>'EXTRACTION AT GLOBAL DEA'!E362</f>
        <v>0</v>
      </c>
      <c r="C364" s="77">
        <f>'EXTRACTION AT GLOBAL DEA'!F362</f>
        <v>0</v>
      </c>
      <c r="D364" s="77">
        <f>'EXTRACTION AT GLOBAL DEA'!I362</f>
        <v>0</v>
      </c>
      <c r="E364" s="66">
        <f>'EXTRACTION AT GLOBAL DEA'!G362</f>
        <v>0</v>
      </c>
      <c r="F364" s="84" t="str">
        <f t="shared" si="14"/>
        <v/>
      </c>
      <c r="G364" s="77">
        <f>'EXTRACTION AT GLOBAL DEA'!K362</f>
        <v>0</v>
      </c>
      <c r="H364" s="77">
        <f>'EXTRACTION AT GLOBAL DEA'!N362</f>
        <v>0</v>
      </c>
      <c r="I364" s="77">
        <f>'EXTRACTION AT GLOBAL DEA'!L362</f>
        <v>0</v>
      </c>
      <c r="J364" s="77">
        <f>'EXTRACTION AT GLOBAL DEA'!M362</f>
        <v>0</v>
      </c>
      <c r="K364" s="77"/>
      <c r="L364" s="77"/>
      <c r="M364" s="78">
        <f>'EXTRACTION AT GLOBAL DEA'!B362</f>
        <v>0</v>
      </c>
      <c r="N364" s="77" t="str">
        <f t="shared" si="15"/>
        <v>janvier</v>
      </c>
      <c r="O364" s="65"/>
      <c r="P364" s="67"/>
      <c r="Q364" s="67"/>
      <c r="R364" s="67"/>
      <c r="S364" s="67"/>
      <c r="T364" s="67"/>
      <c r="U364" s="67"/>
      <c r="V364" s="67"/>
      <c r="W364" s="67"/>
      <c r="X364" s="67"/>
      <c r="Y364" s="67"/>
      <c r="Z364" s="67"/>
      <c r="AA364" s="67"/>
      <c r="AB364" s="68"/>
    </row>
    <row r="365" spans="1:28" hidden="1" x14ac:dyDescent="0.25">
      <c r="A365" s="77">
        <f>'EXTRACTION AT GLOBAL DEA'!D363</f>
        <v>0</v>
      </c>
      <c r="B365" s="77">
        <f>'EXTRACTION AT GLOBAL DEA'!E363</f>
        <v>0</v>
      </c>
      <c r="C365" s="77">
        <f>'EXTRACTION AT GLOBAL DEA'!F363</f>
        <v>0</v>
      </c>
      <c r="D365" s="77">
        <f>'EXTRACTION AT GLOBAL DEA'!I363</f>
        <v>0</v>
      </c>
      <c r="E365" s="66">
        <f>'EXTRACTION AT GLOBAL DEA'!G363</f>
        <v>0</v>
      </c>
      <c r="F365" s="84" t="str">
        <f t="shared" si="14"/>
        <v/>
      </c>
      <c r="G365" s="77">
        <f>'EXTRACTION AT GLOBAL DEA'!K363</f>
        <v>0</v>
      </c>
      <c r="H365" s="77">
        <f>'EXTRACTION AT GLOBAL DEA'!N363</f>
        <v>0</v>
      </c>
      <c r="I365" s="77">
        <f>'EXTRACTION AT GLOBAL DEA'!L363</f>
        <v>0</v>
      </c>
      <c r="J365" s="77">
        <f>'EXTRACTION AT GLOBAL DEA'!M363</f>
        <v>0</v>
      </c>
      <c r="K365" s="77"/>
      <c r="L365" s="77"/>
      <c r="M365" s="78">
        <f>'EXTRACTION AT GLOBAL DEA'!B363</f>
        <v>0</v>
      </c>
      <c r="N365" s="77" t="str">
        <f t="shared" si="15"/>
        <v>janvier</v>
      </c>
      <c r="O365" s="65"/>
      <c r="P365" s="67"/>
      <c r="Q365" s="67"/>
      <c r="R365" s="67"/>
      <c r="S365" s="67"/>
      <c r="T365" s="67"/>
      <c r="U365" s="67"/>
      <c r="V365" s="67"/>
      <c r="W365" s="67"/>
      <c r="X365" s="67"/>
      <c r="Y365" s="67"/>
      <c r="Z365" s="67"/>
      <c r="AA365" s="67"/>
      <c r="AB365" s="68"/>
    </row>
    <row r="366" spans="1:28" hidden="1" x14ac:dyDescent="0.25">
      <c r="A366" s="77">
        <f>'EXTRACTION AT GLOBAL DEA'!D364</f>
        <v>0</v>
      </c>
      <c r="B366" s="77">
        <f>'EXTRACTION AT GLOBAL DEA'!E364</f>
        <v>0</v>
      </c>
      <c r="C366" s="77">
        <f>'EXTRACTION AT GLOBAL DEA'!F364</f>
        <v>0</v>
      </c>
      <c r="D366" s="77">
        <f>'EXTRACTION AT GLOBAL DEA'!I364</f>
        <v>0</v>
      </c>
      <c r="E366" s="66">
        <f>'EXTRACTION AT GLOBAL DEA'!G364</f>
        <v>0</v>
      </c>
      <c r="F366" s="84" t="str">
        <f t="shared" si="14"/>
        <v/>
      </c>
      <c r="G366" s="77">
        <f>'EXTRACTION AT GLOBAL DEA'!K364</f>
        <v>0</v>
      </c>
      <c r="H366" s="77">
        <f>'EXTRACTION AT GLOBAL DEA'!N364</f>
        <v>0</v>
      </c>
      <c r="I366" s="77">
        <f>'EXTRACTION AT GLOBAL DEA'!L364</f>
        <v>0</v>
      </c>
      <c r="J366" s="77">
        <f>'EXTRACTION AT GLOBAL DEA'!M364</f>
        <v>0</v>
      </c>
      <c r="K366" s="77"/>
      <c r="L366" s="77"/>
      <c r="M366" s="78">
        <f>'EXTRACTION AT GLOBAL DEA'!B364</f>
        <v>0</v>
      </c>
      <c r="N366" s="77" t="str">
        <f t="shared" si="15"/>
        <v>janvier</v>
      </c>
      <c r="O366" s="65"/>
      <c r="P366" s="67"/>
      <c r="Q366" s="67"/>
      <c r="R366" s="67"/>
      <c r="S366" s="67"/>
      <c r="T366" s="67"/>
      <c r="U366" s="67"/>
      <c r="V366" s="67"/>
      <c r="W366" s="67"/>
      <c r="X366" s="67"/>
      <c r="Y366" s="67"/>
      <c r="Z366" s="67"/>
      <c r="AA366" s="67"/>
      <c r="AB366" s="68"/>
    </row>
    <row r="367" spans="1:28" hidden="1" x14ac:dyDescent="0.25">
      <c r="A367" s="77">
        <f>'EXTRACTION AT GLOBAL DEA'!D365</f>
        <v>0</v>
      </c>
      <c r="B367" s="77">
        <f>'EXTRACTION AT GLOBAL DEA'!E365</f>
        <v>0</v>
      </c>
      <c r="C367" s="77">
        <f>'EXTRACTION AT GLOBAL DEA'!F365</f>
        <v>0</v>
      </c>
      <c r="D367" s="77">
        <f>'EXTRACTION AT GLOBAL DEA'!I365</f>
        <v>0</v>
      </c>
      <c r="E367" s="66">
        <f>'EXTRACTION AT GLOBAL DEA'!G365</f>
        <v>0</v>
      </c>
      <c r="F367" s="84" t="str">
        <f t="shared" si="14"/>
        <v/>
      </c>
      <c r="G367" s="77">
        <f>'EXTRACTION AT GLOBAL DEA'!K365</f>
        <v>0</v>
      </c>
      <c r="H367" s="77">
        <f>'EXTRACTION AT GLOBAL DEA'!N365</f>
        <v>0</v>
      </c>
      <c r="I367" s="77">
        <f>'EXTRACTION AT GLOBAL DEA'!L365</f>
        <v>0</v>
      </c>
      <c r="J367" s="77">
        <f>'EXTRACTION AT GLOBAL DEA'!M365</f>
        <v>0</v>
      </c>
      <c r="K367" s="77"/>
      <c r="L367" s="77"/>
      <c r="M367" s="78">
        <f>'EXTRACTION AT GLOBAL DEA'!B365</f>
        <v>0</v>
      </c>
      <c r="N367" s="77" t="str">
        <f t="shared" si="15"/>
        <v>janvier</v>
      </c>
      <c r="O367" s="65"/>
      <c r="P367" s="67"/>
      <c r="Q367" s="67"/>
      <c r="R367" s="67"/>
      <c r="S367" s="67"/>
      <c r="T367" s="67"/>
      <c r="U367" s="67"/>
      <c r="V367" s="67"/>
      <c r="W367" s="67"/>
      <c r="X367" s="67"/>
      <c r="Y367" s="67"/>
      <c r="Z367" s="67"/>
      <c r="AA367" s="67"/>
      <c r="AB367" s="68"/>
    </row>
    <row r="368" spans="1:28" hidden="1" x14ac:dyDescent="0.25">
      <c r="A368" s="77">
        <f>'EXTRACTION AT GLOBAL DEA'!D366</f>
        <v>0</v>
      </c>
      <c r="B368" s="77">
        <f>'EXTRACTION AT GLOBAL DEA'!E366</f>
        <v>0</v>
      </c>
      <c r="C368" s="77">
        <f>'EXTRACTION AT GLOBAL DEA'!F366</f>
        <v>0</v>
      </c>
      <c r="D368" s="77">
        <f>'EXTRACTION AT GLOBAL DEA'!I366</f>
        <v>0</v>
      </c>
      <c r="E368" s="66">
        <f>'EXTRACTION AT GLOBAL DEA'!G366</f>
        <v>0</v>
      </c>
      <c r="F368" s="84" t="str">
        <f t="shared" si="14"/>
        <v/>
      </c>
      <c r="G368" s="77">
        <f>'EXTRACTION AT GLOBAL DEA'!K366</f>
        <v>0</v>
      </c>
      <c r="H368" s="77">
        <f>'EXTRACTION AT GLOBAL DEA'!N366</f>
        <v>0</v>
      </c>
      <c r="I368" s="77">
        <f>'EXTRACTION AT GLOBAL DEA'!L366</f>
        <v>0</v>
      </c>
      <c r="J368" s="77">
        <f>'EXTRACTION AT GLOBAL DEA'!M366</f>
        <v>0</v>
      </c>
      <c r="K368" s="77"/>
      <c r="L368" s="77"/>
      <c r="M368" s="78">
        <f>'EXTRACTION AT GLOBAL DEA'!B366</f>
        <v>0</v>
      </c>
      <c r="N368" s="77" t="str">
        <f t="shared" si="15"/>
        <v>janvier</v>
      </c>
      <c r="O368" s="65"/>
      <c r="P368" s="67"/>
      <c r="Q368" s="67"/>
      <c r="R368" s="67"/>
      <c r="S368" s="67"/>
      <c r="T368" s="67"/>
      <c r="U368" s="67"/>
      <c r="V368" s="67"/>
      <c r="W368" s="67"/>
      <c r="X368" s="67"/>
      <c r="Y368" s="67"/>
      <c r="Z368" s="67"/>
      <c r="AA368" s="67"/>
      <c r="AB368" s="68"/>
    </row>
    <row r="369" spans="1:28" hidden="1" x14ac:dyDescent="0.25">
      <c r="A369" s="77">
        <f>'EXTRACTION AT GLOBAL DEA'!D367</f>
        <v>0</v>
      </c>
      <c r="B369" s="77">
        <f>'EXTRACTION AT GLOBAL DEA'!E367</f>
        <v>0</v>
      </c>
      <c r="C369" s="77">
        <f>'EXTRACTION AT GLOBAL DEA'!F367</f>
        <v>0</v>
      </c>
      <c r="D369" s="77">
        <f>'EXTRACTION AT GLOBAL DEA'!I367</f>
        <v>0</v>
      </c>
      <c r="E369" s="66">
        <f>'EXTRACTION AT GLOBAL DEA'!G367</f>
        <v>0</v>
      </c>
      <c r="F369" s="84" t="str">
        <f t="shared" si="14"/>
        <v/>
      </c>
      <c r="G369" s="77">
        <f>'EXTRACTION AT GLOBAL DEA'!K367</f>
        <v>0</v>
      </c>
      <c r="H369" s="77">
        <f>'EXTRACTION AT GLOBAL DEA'!N367</f>
        <v>0</v>
      </c>
      <c r="I369" s="77">
        <f>'EXTRACTION AT GLOBAL DEA'!L367</f>
        <v>0</v>
      </c>
      <c r="J369" s="77">
        <f>'EXTRACTION AT GLOBAL DEA'!M367</f>
        <v>0</v>
      </c>
      <c r="K369" s="77"/>
      <c r="L369" s="77"/>
      <c r="M369" s="78">
        <f>'EXTRACTION AT GLOBAL DEA'!B367</f>
        <v>0</v>
      </c>
      <c r="N369" s="77" t="str">
        <f t="shared" si="15"/>
        <v>janvier</v>
      </c>
      <c r="O369" s="65"/>
      <c r="P369" s="67"/>
      <c r="Q369" s="67"/>
      <c r="R369" s="67"/>
      <c r="S369" s="67"/>
      <c r="T369" s="67"/>
      <c r="U369" s="67"/>
      <c r="V369" s="67"/>
      <c r="W369" s="67"/>
      <c r="X369" s="67"/>
      <c r="Y369" s="67"/>
      <c r="Z369" s="67"/>
      <c r="AA369" s="67"/>
      <c r="AB369" s="68"/>
    </row>
    <row r="370" spans="1:28" hidden="1" x14ac:dyDescent="0.25">
      <c r="A370" s="77">
        <f>'EXTRACTION AT GLOBAL DEA'!D368</f>
        <v>0</v>
      </c>
      <c r="B370" s="77">
        <f>'EXTRACTION AT GLOBAL DEA'!E368</f>
        <v>0</v>
      </c>
      <c r="C370" s="77">
        <f>'EXTRACTION AT GLOBAL DEA'!F368</f>
        <v>0</v>
      </c>
      <c r="D370" s="77">
        <f>'EXTRACTION AT GLOBAL DEA'!I368</f>
        <v>0</v>
      </c>
      <c r="E370" s="66">
        <f>'EXTRACTION AT GLOBAL DEA'!G368</f>
        <v>0</v>
      </c>
      <c r="F370" s="84" t="str">
        <f t="shared" si="14"/>
        <v/>
      </c>
      <c r="G370" s="77">
        <f>'EXTRACTION AT GLOBAL DEA'!K368</f>
        <v>0</v>
      </c>
      <c r="H370" s="77">
        <f>'EXTRACTION AT GLOBAL DEA'!N368</f>
        <v>0</v>
      </c>
      <c r="I370" s="77">
        <f>'EXTRACTION AT GLOBAL DEA'!L368</f>
        <v>0</v>
      </c>
      <c r="J370" s="77">
        <f>'EXTRACTION AT GLOBAL DEA'!M368</f>
        <v>0</v>
      </c>
      <c r="K370" s="77"/>
      <c r="L370" s="77"/>
      <c r="M370" s="78">
        <f>'EXTRACTION AT GLOBAL DEA'!B368</f>
        <v>0</v>
      </c>
      <c r="N370" s="77" t="str">
        <f t="shared" si="15"/>
        <v>janvier</v>
      </c>
      <c r="O370" s="65"/>
      <c r="P370" s="67"/>
      <c r="Q370" s="67"/>
      <c r="R370" s="67"/>
      <c r="S370" s="67"/>
      <c r="T370" s="67"/>
      <c r="U370" s="67"/>
      <c r="V370" s="67"/>
      <c r="W370" s="67"/>
      <c r="X370" s="67"/>
      <c r="Y370" s="67"/>
      <c r="Z370" s="67"/>
      <c r="AA370" s="67"/>
      <c r="AB370" s="68"/>
    </row>
    <row r="371" spans="1:28" hidden="1" x14ac:dyDescent="0.25">
      <c r="A371" s="77">
        <f>'EXTRACTION AT GLOBAL DEA'!D369</f>
        <v>0</v>
      </c>
      <c r="B371" s="77">
        <f>'EXTRACTION AT GLOBAL DEA'!E369</f>
        <v>0</v>
      </c>
      <c r="C371" s="77">
        <f>'EXTRACTION AT GLOBAL DEA'!F369</f>
        <v>0</v>
      </c>
      <c r="D371" s="77">
        <f>'EXTRACTION AT GLOBAL DEA'!I369</f>
        <v>0</v>
      </c>
      <c r="E371" s="66">
        <f>'EXTRACTION AT GLOBAL DEA'!G369</f>
        <v>0</v>
      </c>
      <c r="F371" s="84" t="str">
        <f t="shared" si="14"/>
        <v/>
      </c>
      <c r="G371" s="77">
        <f>'EXTRACTION AT GLOBAL DEA'!K369</f>
        <v>0</v>
      </c>
      <c r="H371" s="77">
        <f>'EXTRACTION AT GLOBAL DEA'!N369</f>
        <v>0</v>
      </c>
      <c r="I371" s="77">
        <f>'EXTRACTION AT GLOBAL DEA'!L369</f>
        <v>0</v>
      </c>
      <c r="J371" s="77">
        <f>'EXTRACTION AT GLOBAL DEA'!M369</f>
        <v>0</v>
      </c>
      <c r="K371" s="77"/>
      <c r="L371" s="77"/>
      <c r="M371" s="78">
        <f>'EXTRACTION AT GLOBAL DEA'!B369</f>
        <v>0</v>
      </c>
      <c r="N371" s="77" t="str">
        <f t="shared" si="15"/>
        <v>janvier</v>
      </c>
      <c r="O371" s="65"/>
      <c r="P371" s="67"/>
      <c r="Q371" s="67"/>
      <c r="R371" s="67"/>
      <c r="S371" s="67"/>
      <c r="T371" s="67"/>
      <c r="U371" s="67"/>
      <c r="V371" s="67"/>
      <c r="W371" s="67"/>
      <c r="X371" s="67"/>
      <c r="Y371" s="67"/>
      <c r="Z371" s="67"/>
      <c r="AA371" s="67"/>
      <c r="AB371" s="68"/>
    </row>
    <row r="372" spans="1:28" hidden="1" x14ac:dyDescent="0.25">
      <c r="A372" s="77">
        <f>'EXTRACTION AT GLOBAL DEA'!D370</f>
        <v>0</v>
      </c>
      <c r="B372" s="77">
        <f>'EXTRACTION AT GLOBAL DEA'!E370</f>
        <v>0</v>
      </c>
      <c r="C372" s="77">
        <f>'EXTRACTION AT GLOBAL DEA'!F370</f>
        <v>0</v>
      </c>
      <c r="D372" s="77">
        <f>'EXTRACTION AT GLOBAL DEA'!I370</f>
        <v>0</v>
      </c>
      <c r="E372" s="66">
        <f>'EXTRACTION AT GLOBAL DEA'!G370</f>
        <v>0</v>
      </c>
      <c r="F372" s="84" t="str">
        <f t="shared" si="14"/>
        <v/>
      </c>
      <c r="G372" s="77">
        <f>'EXTRACTION AT GLOBAL DEA'!K370</f>
        <v>0</v>
      </c>
      <c r="H372" s="77">
        <f>'EXTRACTION AT GLOBAL DEA'!N370</f>
        <v>0</v>
      </c>
      <c r="I372" s="77">
        <f>'EXTRACTION AT GLOBAL DEA'!L370</f>
        <v>0</v>
      </c>
      <c r="J372" s="77">
        <f>'EXTRACTION AT GLOBAL DEA'!M370</f>
        <v>0</v>
      </c>
      <c r="K372" s="77"/>
      <c r="L372" s="77"/>
      <c r="M372" s="78">
        <f>'EXTRACTION AT GLOBAL DEA'!B370</f>
        <v>0</v>
      </c>
      <c r="N372" s="77" t="str">
        <f t="shared" si="15"/>
        <v>janvier</v>
      </c>
      <c r="O372" s="65"/>
      <c r="P372" s="67"/>
      <c r="Q372" s="67"/>
      <c r="R372" s="67"/>
      <c r="S372" s="67"/>
      <c r="T372" s="67"/>
      <c r="U372" s="67"/>
      <c r="V372" s="67"/>
      <c r="W372" s="67"/>
      <c r="X372" s="67"/>
      <c r="Y372" s="67"/>
      <c r="Z372" s="67"/>
      <c r="AA372" s="67"/>
      <c r="AB372" s="68"/>
    </row>
    <row r="373" spans="1:28" hidden="1" x14ac:dyDescent="0.25">
      <c r="A373" s="77">
        <f>'EXTRACTION AT GLOBAL DEA'!D371</f>
        <v>0</v>
      </c>
      <c r="B373" s="77">
        <f>'EXTRACTION AT GLOBAL DEA'!E371</f>
        <v>0</v>
      </c>
      <c r="C373" s="77">
        <f>'EXTRACTION AT GLOBAL DEA'!F371</f>
        <v>0</v>
      </c>
      <c r="D373" s="77">
        <f>'EXTRACTION AT GLOBAL DEA'!I371</f>
        <v>0</v>
      </c>
      <c r="E373" s="66">
        <f>'EXTRACTION AT GLOBAL DEA'!G371</f>
        <v>0</v>
      </c>
      <c r="F373" s="84" t="str">
        <f t="shared" si="14"/>
        <v/>
      </c>
      <c r="G373" s="77">
        <f>'EXTRACTION AT GLOBAL DEA'!K371</f>
        <v>0</v>
      </c>
      <c r="H373" s="77">
        <f>'EXTRACTION AT GLOBAL DEA'!N371</f>
        <v>0</v>
      </c>
      <c r="I373" s="77">
        <f>'EXTRACTION AT GLOBAL DEA'!L371</f>
        <v>0</v>
      </c>
      <c r="J373" s="77">
        <f>'EXTRACTION AT GLOBAL DEA'!M371</f>
        <v>0</v>
      </c>
      <c r="K373" s="77"/>
      <c r="L373" s="77"/>
      <c r="M373" s="78">
        <f>'EXTRACTION AT GLOBAL DEA'!B371</f>
        <v>0</v>
      </c>
      <c r="N373" s="77" t="str">
        <f t="shared" si="15"/>
        <v>janvier</v>
      </c>
      <c r="O373" s="65"/>
      <c r="P373" s="67"/>
      <c r="Q373" s="67"/>
      <c r="R373" s="67"/>
      <c r="S373" s="67"/>
      <c r="T373" s="67"/>
      <c r="U373" s="67"/>
      <c r="V373" s="67"/>
      <c r="W373" s="67"/>
      <c r="X373" s="67"/>
      <c r="Y373" s="67"/>
      <c r="Z373" s="67"/>
      <c r="AA373" s="67"/>
      <c r="AB373" s="68"/>
    </row>
    <row r="374" spans="1:28" hidden="1" x14ac:dyDescent="0.25">
      <c r="A374" s="77">
        <f>'EXTRACTION AT GLOBAL DEA'!D372</f>
        <v>0</v>
      </c>
      <c r="B374" s="77">
        <f>'EXTRACTION AT GLOBAL DEA'!E372</f>
        <v>0</v>
      </c>
      <c r="C374" s="77">
        <f>'EXTRACTION AT GLOBAL DEA'!F372</f>
        <v>0</v>
      </c>
      <c r="D374" s="77">
        <f>'EXTRACTION AT GLOBAL DEA'!I372</f>
        <v>0</v>
      </c>
      <c r="E374" s="66">
        <f>'EXTRACTION AT GLOBAL DEA'!G372</f>
        <v>0</v>
      </c>
      <c r="F374" s="84" t="str">
        <f t="shared" si="14"/>
        <v/>
      </c>
      <c r="G374" s="77">
        <f>'EXTRACTION AT GLOBAL DEA'!K372</f>
        <v>0</v>
      </c>
      <c r="H374" s="77">
        <f>'EXTRACTION AT GLOBAL DEA'!N372</f>
        <v>0</v>
      </c>
      <c r="I374" s="77">
        <f>'EXTRACTION AT GLOBAL DEA'!L372</f>
        <v>0</v>
      </c>
      <c r="J374" s="77">
        <f>'EXTRACTION AT GLOBAL DEA'!M372</f>
        <v>0</v>
      </c>
      <c r="K374" s="77"/>
      <c r="L374" s="77"/>
      <c r="M374" s="78">
        <f>'EXTRACTION AT GLOBAL DEA'!B372</f>
        <v>0</v>
      </c>
      <c r="N374" s="77" t="str">
        <f t="shared" si="15"/>
        <v>janvier</v>
      </c>
      <c r="O374" s="65"/>
      <c r="P374" s="67"/>
      <c r="Q374" s="67"/>
      <c r="R374" s="67"/>
      <c r="S374" s="67"/>
      <c r="T374" s="67"/>
      <c r="U374" s="67"/>
      <c r="V374" s="67"/>
      <c r="W374" s="67"/>
      <c r="X374" s="67"/>
      <c r="Y374" s="67"/>
      <c r="Z374" s="67"/>
      <c r="AA374" s="67"/>
      <c r="AB374" s="68"/>
    </row>
    <row r="375" spans="1:28" hidden="1" x14ac:dyDescent="0.25">
      <c r="A375" s="77">
        <f>'EXTRACTION AT GLOBAL DEA'!D373</f>
        <v>0</v>
      </c>
      <c r="B375" s="77">
        <f>'EXTRACTION AT GLOBAL DEA'!E373</f>
        <v>0</v>
      </c>
      <c r="C375" s="77">
        <f>'EXTRACTION AT GLOBAL DEA'!F373</f>
        <v>0</v>
      </c>
      <c r="D375" s="77">
        <f>'EXTRACTION AT GLOBAL DEA'!I373</f>
        <v>0</v>
      </c>
      <c r="E375" s="66">
        <f>'EXTRACTION AT GLOBAL DEA'!G373</f>
        <v>0</v>
      </c>
      <c r="F375" s="84" t="str">
        <f t="shared" si="14"/>
        <v/>
      </c>
      <c r="G375" s="77">
        <f>'EXTRACTION AT GLOBAL DEA'!K373</f>
        <v>0</v>
      </c>
      <c r="H375" s="77">
        <f>'EXTRACTION AT GLOBAL DEA'!N373</f>
        <v>0</v>
      </c>
      <c r="I375" s="77">
        <f>'EXTRACTION AT GLOBAL DEA'!L373</f>
        <v>0</v>
      </c>
      <c r="J375" s="77">
        <f>'EXTRACTION AT GLOBAL DEA'!M373</f>
        <v>0</v>
      </c>
      <c r="K375" s="77"/>
      <c r="L375" s="77"/>
      <c r="M375" s="78">
        <f>'EXTRACTION AT GLOBAL DEA'!B373</f>
        <v>0</v>
      </c>
      <c r="N375" s="77" t="str">
        <f t="shared" si="15"/>
        <v>janvier</v>
      </c>
      <c r="O375" s="65"/>
      <c r="P375" s="67"/>
      <c r="Q375" s="67"/>
      <c r="R375" s="67"/>
      <c r="S375" s="67"/>
      <c r="T375" s="67"/>
      <c r="U375" s="67"/>
      <c r="V375" s="67"/>
      <c r="W375" s="67"/>
      <c r="X375" s="67"/>
      <c r="Y375" s="67"/>
      <c r="Z375" s="67"/>
      <c r="AA375" s="67"/>
      <c r="AB375" s="68"/>
    </row>
    <row r="376" spans="1:28" hidden="1" x14ac:dyDescent="0.25">
      <c r="A376" s="77">
        <f>'EXTRACTION AT GLOBAL DEA'!D374</f>
        <v>0</v>
      </c>
      <c r="B376" s="77">
        <f>'EXTRACTION AT GLOBAL DEA'!E374</f>
        <v>0</v>
      </c>
      <c r="C376" s="77">
        <f>'EXTRACTION AT GLOBAL DEA'!F374</f>
        <v>0</v>
      </c>
      <c r="D376" s="77">
        <f>'EXTRACTION AT GLOBAL DEA'!I374</f>
        <v>0</v>
      </c>
      <c r="E376" s="66">
        <f>'EXTRACTION AT GLOBAL DEA'!G374</f>
        <v>0</v>
      </c>
      <c r="F376" s="84" t="str">
        <f t="shared" si="14"/>
        <v/>
      </c>
      <c r="G376" s="77">
        <f>'EXTRACTION AT GLOBAL DEA'!K374</f>
        <v>0</v>
      </c>
      <c r="H376" s="77">
        <f>'EXTRACTION AT GLOBAL DEA'!N374</f>
        <v>0</v>
      </c>
      <c r="I376" s="77">
        <f>'EXTRACTION AT GLOBAL DEA'!L374</f>
        <v>0</v>
      </c>
      <c r="J376" s="77">
        <f>'EXTRACTION AT GLOBAL DEA'!M374</f>
        <v>0</v>
      </c>
      <c r="K376" s="77"/>
      <c r="L376" s="77"/>
      <c r="M376" s="78">
        <f>'EXTRACTION AT GLOBAL DEA'!B374</f>
        <v>0</v>
      </c>
      <c r="N376" s="77" t="str">
        <f t="shared" si="15"/>
        <v>janvier</v>
      </c>
      <c r="O376" s="65"/>
      <c r="P376" s="67"/>
      <c r="Q376" s="67"/>
      <c r="R376" s="67"/>
      <c r="S376" s="67"/>
      <c r="T376" s="67"/>
      <c r="U376" s="67"/>
      <c r="V376" s="67"/>
      <c r="W376" s="67"/>
      <c r="X376" s="67"/>
      <c r="Y376" s="67"/>
      <c r="Z376" s="67"/>
      <c r="AA376" s="67"/>
      <c r="AB376" s="68"/>
    </row>
    <row r="377" spans="1:28" hidden="1" x14ac:dyDescent="0.25">
      <c r="A377" s="77">
        <f>'EXTRACTION AT GLOBAL DEA'!D375</f>
        <v>0</v>
      </c>
      <c r="B377" s="77">
        <f>'EXTRACTION AT GLOBAL DEA'!E375</f>
        <v>0</v>
      </c>
      <c r="C377" s="77">
        <f>'EXTRACTION AT GLOBAL DEA'!F375</f>
        <v>0</v>
      </c>
      <c r="D377" s="77">
        <f>'EXTRACTION AT GLOBAL DEA'!I375</f>
        <v>0</v>
      </c>
      <c r="E377" s="66">
        <f>'EXTRACTION AT GLOBAL DEA'!G375</f>
        <v>0</v>
      </c>
      <c r="F377" s="84" t="str">
        <f t="shared" si="14"/>
        <v/>
      </c>
      <c r="G377" s="77">
        <f>'EXTRACTION AT GLOBAL DEA'!K375</f>
        <v>0</v>
      </c>
      <c r="H377" s="77">
        <f>'EXTRACTION AT GLOBAL DEA'!N375</f>
        <v>0</v>
      </c>
      <c r="I377" s="77">
        <f>'EXTRACTION AT GLOBAL DEA'!L375</f>
        <v>0</v>
      </c>
      <c r="J377" s="77">
        <f>'EXTRACTION AT GLOBAL DEA'!M375</f>
        <v>0</v>
      </c>
      <c r="K377" s="77"/>
      <c r="L377" s="77"/>
      <c r="M377" s="78">
        <f>'EXTRACTION AT GLOBAL DEA'!B375</f>
        <v>0</v>
      </c>
      <c r="N377" s="77" t="str">
        <f t="shared" si="15"/>
        <v>janvier</v>
      </c>
      <c r="O377" s="65"/>
      <c r="P377" s="67"/>
      <c r="Q377" s="67"/>
      <c r="R377" s="67"/>
      <c r="S377" s="67"/>
      <c r="T377" s="67"/>
      <c r="U377" s="67"/>
      <c r="V377" s="67"/>
      <c r="W377" s="67"/>
      <c r="X377" s="67"/>
      <c r="Y377" s="67"/>
      <c r="Z377" s="67"/>
      <c r="AA377" s="67"/>
      <c r="AB377" s="68"/>
    </row>
    <row r="378" spans="1:28" hidden="1" x14ac:dyDescent="0.25">
      <c r="A378" s="77">
        <f>'EXTRACTION AT GLOBAL DEA'!D376</f>
        <v>0</v>
      </c>
      <c r="B378" s="77">
        <f>'EXTRACTION AT GLOBAL DEA'!E376</f>
        <v>0</v>
      </c>
      <c r="C378" s="77">
        <f>'EXTRACTION AT GLOBAL DEA'!F376</f>
        <v>0</v>
      </c>
      <c r="D378" s="77">
        <f>'EXTRACTION AT GLOBAL DEA'!I376</f>
        <v>0</v>
      </c>
      <c r="E378" s="66">
        <f>'EXTRACTION AT GLOBAL DEA'!G376</f>
        <v>0</v>
      </c>
      <c r="F378" s="84" t="str">
        <f t="shared" si="14"/>
        <v/>
      </c>
      <c r="G378" s="77">
        <f>'EXTRACTION AT GLOBAL DEA'!K376</f>
        <v>0</v>
      </c>
      <c r="H378" s="77">
        <f>'EXTRACTION AT GLOBAL DEA'!N376</f>
        <v>0</v>
      </c>
      <c r="I378" s="77">
        <f>'EXTRACTION AT GLOBAL DEA'!L376</f>
        <v>0</v>
      </c>
      <c r="J378" s="77">
        <f>'EXTRACTION AT GLOBAL DEA'!M376</f>
        <v>0</v>
      </c>
      <c r="K378" s="77"/>
      <c r="L378" s="77"/>
      <c r="M378" s="78">
        <f>'EXTRACTION AT GLOBAL DEA'!B376</f>
        <v>0</v>
      </c>
      <c r="N378" s="77" t="str">
        <f t="shared" si="15"/>
        <v>janvier</v>
      </c>
      <c r="O378" s="65"/>
      <c r="P378" s="67"/>
      <c r="Q378" s="67"/>
      <c r="R378" s="67"/>
      <c r="S378" s="67"/>
      <c r="T378" s="67"/>
      <c r="U378" s="67"/>
      <c r="V378" s="67"/>
      <c r="W378" s="67"/>
      <c r="X378" s="67"/>
      <c r="Y378" s="67"/>
      <c r="Z378" s="67"/>
      <c r="AA378" s="67"/>
      <c r="AB378" s="68"/>
    </row>
    <row r="379" spans="1:28" hidden="1" x14ac:dyDescent="0.25">
      <c r="A379" s="77">
        <f>'EXTRACTION AT GLOBAL DEA'!D377</f>
        <v>0</v>
      </c>
      <c r="B379" s="77">
        <f>'EXTRACTION AT GLOBAL DEA'!E377</f>
        <v>0</v>
      </c>
      <c r="C379" s="77">
        <f>'EXTRACTION AT GLOBAL DEA'!F377</f>
        <v>0</v>
      </c>
      <c r="D379" s="77">
        <f>'EXTRACTION AT GLOBAL DEA'!I377</f>
        <v>0</v>
      </c>
      <c r="E379" s="66">
        <f>'EXTRACTION AT GLOBAL DEA'!G377</f>
        <v>0</v>
      </c>
      <c r="F379" s="84" t="str">
        <f t="shared" si="14"/>
        <v/>
      </c>
      <c r="G379" s="77">
        <f>'EXTRACTION AT GLOBAL DEA'!K377</f>
        <v>0</v>
      </c>
      <c r="H379" s="77">
        <f>'EXTRACTION AT GLOBAL DEA'!N377</f>
        <v>0</v>
      </c>
      <c r="I379" s="77">
        <f>'EXTRACTION AT GLOBAL DEA'!L377</f>
        <v>0</v>
      </c>
      <c r="J379" s="77">
        <f>'EXTRACTION AT GLOBAL DEA'!M377</f>
        <v>0</v>
      </c>
      <c r="K379" s="77"/>
      <c r="L379" s="77"/>
      <c r="M379" s="78">
        <f>'EXTRACTION AT GLOBAL DEA'!B377</f>
        <v>0</v>
      </c>
      <c r="N379" s="77" t="str">
        <f t="shared" si="15"/>
        <v>janvier</v>
      </c>
      <c r="O379" s="65"/>
      <c r="P379" s="67"/>
      <c r="Q379" s="67"/>
      <c r="R379" s="67"/>
      <c r="S379" s="67"/>
      <c r="T379" s="67"/>
      <c r="U379" s="67"/>
      <c r="V379" s="67"/>
      <c r="W379" s="67"/>
      <c r="X379" s="67"/>
      <c r="Y379" s="67"/>
      <c r="Z379" s="67"/>
      <c r="AA379" s="67"/>
      <c r="AB379" s="68"/>
    </row>
    <row r="380" spans="1:28" hidden="1" x14ac:dyDescent="0.25">
      <c r="A380" s="77">
        <f>'EXTRACTION AT GLOBAL DEA'!D378</f>
        <v>0</v>
      </c>
      <c r="B380" s="77">
        <f>'EXTRACTION AT GLOBAL DEA'!E378</f>
        <v>0</v>
      </c>
      <c r="C380" s="77">
        <f>'EXTRACTION AT GLOBAL DEA'!F378</f>
        <v>0</v>
      </c>
      <c r="D380" s="77">
        <f>'EXTRACTION AT GLOBAL DEA'!I378</f>
        <v>0</v>
      </c>
      <c r="E380" s="66">
        <f>'EXTRACTION AT GLOBAL DEA'!G378</f>
        <v>0</v>
      </c>
      <c r="F380" s="84" t="str">
        <f t="shared" si="14"/>
        <v/>
      </c>
      <c r="G380" s="77">
        <f>'EXTRACTION AT GLOBAL DEA'!K378</f>
        <v>0</v>
      </c>
      <c r="H380" s="77">
        <f>'EXTRACTION AT GLOBAL DEA'!N378</f>
        <v>0</v>
      </c>
      <c r="I380" s="77">
        <f>'EXTRACTION AT GLOBAL DEA'!L378</f>
        <v>0</v>
      </c>
      <c r="J380" s="77">
        <f>'EXTRACTION AT GLOBAL DEA'!M378</f>
        <v>0</v>
      </c>
      <c r="K380" s="77"/>
      <c r="L380" s="77"/>
      <c r="M380" s="78">
        <f>'EXTRACTION AT GLOBAL DEA'!B378</f>
        <v>0</v>
      </c>
      <c r="N380" s="77" t="str">
        <f t="shared" si="15"/>
        <v>janvier</v>
      </c>
      <c r="O380" s="65"/>
      <c r="P380" s="67"/>
      <c r="Q380" s="67"/>
      <c r="R380" s="67"/>
      <c r="S380" s="67"/>
      <c r="T380" s="67"/>
      <c r="U380" s="67"/>
      <c r="V380" s="67"/>
      <c r="W380" s="67"/>
      <c r="X380" s="67"/>
      <c r="Y380" s="67"/>
      <c r="Z380" s="67"/>
      <c r="AA380" s="67"/>
      <c r="AB380" s="68"/>
    </row>
    <row r="381" spans="1:28" hidden="1" x14ac:dyDescent="0.25">
      <c r="A381" s="77">
        <f>'EXTRACTION AT GLOBAL DEA'!D379</f>
        <v>0</v>
      </c>
      <c r="B381" s="77">
        <f>'EXTRACTION AT GLOBAL DEA'!E379</f>
        <v>0</v>
      </c>
      <c r="C381" s="77">
        <f>'EXTRACTION AT GLOBAL DEA'!F379</f>
        <v>0</v>
      </c>
      <c r="D381" s="77">
        <f>'EXTRACTION AT GLOBAL DEA'!I379</f>
        <v>0</v>
      </c>
      <c r="E381" s="66">
        <f>'EXTRACTION AT GLOBAL DEA'!G379</f>
        <v>0</v>
      </c>
      <c r="F381" s="84" t="str">
        <f t="shared" si="14"/>
        <v/>
      </c>
      <c r="G381" s="77">
        <f>'EXTRACTION AT GLOBAL DEA'!K379</f>
        <v>0</v>
      </c>
      <c r="H381" s="77">
        <f>'EXTRACTION AT GLOBAL DEA'!N379</f>
        <v>0</v>
      </c>
      <c r="I381" s="77">
        <f>'EXTRACTION AT GLOBAL DEA'!L379</f>
        <v>0</v>
      </c>
      <c r="J381" s="77">
        <f>'EXTRACTION AT GLOBAL DEA'!M379</f>
        <v>0</v>
      </c>
      <c r="K381" s="77"/>
      <c r="L381" s="77"/>
      <c r="M381" s="78">
        <f>'EXTRACTION AT GLOBAL DEA'!B379</f>
        <v>0</v>
      </c>
      <c r="N381" s="77" t="str">
        <f t="shared" si="15"/>
        <v>janvier</v>
      </c>
      <c r="O381" s="65"/>
      <c r="P381" s="67"/>
      <c r="Q381" s="67"/>
      <c r="R381" s="67"/>
      <c r="S381" s="67"/>
      <c r="T381" s="67"/>
      <c r="U381" s="67"/>
      <c r="V381" s="67"/>
      <c r="W381" s="67"/>
      <c r="X381" s="67"/>
      <c r="Y381" s="67"/>
      <c r="Z381" s="67"/>
      <c r="AA381" s="67"/>
      <c r="AB381" s="68"/>
    </row>
    <row r="382" spans="1:28" hidden="1" x14ac:dyDescent="0.25">
      <c r="A382" s="77">
        <f>'EXTRACTION AT GLOBAL DEA'!D380</f>
        <v>0</v>
      </c>
      <c r="B382" s="77">
        <f>'EXTRACTION AT GLOBAL DEA'!E380</f>
        <v>0</v>
      </c>
      <c r="C382" s="77">
        <f>'EXTRACTION AT GLOBAL DEA'!F380</f>
        <v>0</v>
      </c>
      <c r="D382" s="77">
        <f>'EXTRACTION AT GLOBAL DEA'!I380</f>
        <v>0</v>
      </c>
      <c r="E382" s="66">
        <f>'EXTRACTION AT GLOBAL DEA'!G380</f>
        <v>0</v>
      </c>
      <c r="F382" s="84" t="str">
        <f t="shared" si="14"/>
        <v/>
      </c>
      <c r="G382" s="77">
        <f>'EXTRACTION AT GLOBAL DEA'!K380</f>
        <v>0</v>
      </c>
      <c r="H382" s="77">
        <f>'EXTRACTION AT GLOBAL DEA'!N380</f>
        <v>0</v>
      </c>
      <c r="I382" s="77">
        <f>'EXTRACTION AT GLOBAL DEA'!L380</f>
        <v>0</v>
      </c>
      <c r="J382" s="77">
        <f>'EXTRACTION AT GLOBAL DEA'!M380</f>
        <v>0</v>
      </c>
      <c r="K382" s="77"/>
      <c r="L382" s="77"/>
      <c r="M382" s="78">
        <f>'EXTRACTION AT GLOBAL DEA'!B380</f>
        <v>0</v>
      </c>
      <c r="N382" s="77" t="str">
        <f t="shared" si="15"/>
        <v>janvier</v>
      </c>
      <c r="O382" s="65"/>
      <c r="P382" s="67"/>
      <c r="Q382" s="67"/>
      <c r="R382" s="67"/>
      <c r="S382" s="67"/>
      <c r="T382" s="67"/>
      <c r="U382" s="67"/>
      <c r="V382" s="67"/>
      <c r="W382" s="67"/>
      <c r="X382" s="67"/>
      <c r="Y382" s="67"/>
      <c r="Z382" s="67"/>
      <c r="AA382" s="67"/>
      <c r="AB382" s="68"/>
    </row>
    <row r="383" spans="1:28" hidden="1" x14ac:dyDescent="0.25">
      <c r="A383" s="77">
        <f>'EXTRACTION AT GLOBAL DEA'!D381</f>
        <v>0</v>
      </c>
      <c r="B383" s="77">
        <f>'EXTRACTION AT GLOBAL DEA'!E381</f>
        <v>0</v>
      </c>
      <c r="C383" s="77">
        <f>'EXTRACTION AT GLOBAL DEA'!F381</f>
        <v>0</v>
      </c>
      <c r="D383" s="77">
        <f>'EXTRACTION AT GLOBAL DEA'!I381</f>
        <v>0</v>
      </c>
      <c r="E383" s="66">
        <f>'EXTRACTION AT GLOBAL DEA'!G381</f>
        <v>0</v>
      </c>
      <c r="F383" s="84" t="str">
        <f t="shared" si="14"/>
        <v/>
      </c>
      <c r="G383" s="77">
        <f>'EXTRACTION AT GLOBAL DEA'!K381</f>
        <v>0</v>
      </c>
      <c r="H383" s="77">
        <f>'EXTRACTION AT GLOBAL DEA'!N381</f>
        <v>0</v>
      </c>
      <c r="I383" s="77">
        <f>'EXTRACTION AT GLOBAL DEA'!L381</f>
        <v>0</v>
      </c>
      <c r="J383" s="77">
        <f>'EXTRACTION AT GLOBAL DEA'!M381</f>
        <v>0</v>
      </c>
      <c r="K383" s="77"/>
      <c r="L383" s="77"/>
      <c r="M383" s="78">
        <f>'EXTRACTION AT GLOBAL DEA'!B381</f>
        <v>0</v>
      </c>
      <c r="N383" s="77" t="str">
        <f t="shared" si="15"/>
        <v>janvier</v>
      </c>
      <c r="O383" s="65"/>
      <c r="P383" s="67"/>
      <c r="Q383" s="67"/>
      <c r="R383" s="67"/>
      <c r="S383" s="67"/>
      <c r="T383" s="67"/>
      <c r="U383" s="67"/>
      <c r="V383" s="67"/>
      <c r="W383" s="67"/>
      <c r="X383" s="67"/>
      <c r="Y383" s="67"/>
      <c r="Z383" s="67"/>
      <c r="AA383" s="67"/>
      <c r="AB383" s="68"/>
    </row>
    <row r="384" spans="1:28" hidden="1" x14ac:dyDescent="0.25">
      <c r="A384" s="77">
        <f>'EXTRACTION AT GLOBAL DEA'!D382</f>
        <v>0</v>
      </c>
      <c r="B384" s="77">
        <f>'EXTRACTION AT GLOBAL DEA'!E382</f>
        <v>0</v>
      </c>
      <c r="C384" s="77">
        <f>'EXTRACTION AT GLOBAL DEA'!F382</f>
        <v>0</v>
      </c>
      <c r="D384" s="77">
        <f>'EXTRACTION AT GLOBAL DEA'!I382</f>
        <v>0</v>
      </c>
      <c r="E384" s="66">
        <f>'EXTRACTION AT GLOBAL DEA'!G382</f>
        <v>0</v>
      </c>
      <c r="F384" s="84" t="str">
        <f t="shared" si="14"/>
        <v/>
      </c>
      <c r="G384" s="77">
        <f>'EXTRACTION AT GLOBAL DEA'!K382</f>
        <v>0</v>
      </c>
      <c r="H384" s="77">
        <f>'EXTRACTION AT GLOBAL DEA'!N382</f>
        <v>0</v>
      </c>
      <c r="I384" s="77">
        <f>'EXTRACTION AT GLOBAL DEA'!L382</f>
        <v>0</v>
      </c>
      <c r="J384" s="77">
        <f>'EXTRACTION AT GLOBAL DEA'!M382</f>
        <v>0</v>
      </c>
      <c r="K384" s="77"/>
      <c r="L384" s="77"/>
      <c r="M384" s="78">
        <f>'EXTRACTION AT GLOBAL DEA'!B382</f>
        <v>0</v>
      </c>
      <c r="N384" s="77" t="str">
        <f t="shared" si="15"/>
        <v>janvier</v>
      </c>
      <c r="O384" s="65"/>
      <c r="P384" s="67"/>
      <c r="Q384" s="67"/>
      <c r="R384" s="67"/>
      <c r="S384" s="67"/>
      <c r="T384" s="67"/>
      <c r="U384" s="67"/>
      <c r="V384" s="67"/>
      <c r="W384" s="67"/>
      <c r="X384" s="67"/>
      <c r="Y384" s="67"/>
      <c r="Z384" s="67"/>
      <c r="AA384" s="67"/>
      <c r="AB384" s="68"/>
    </row>
    <row r="385" spans="1:28" hidden="1" x14ac:dyDescent="0.25">
      <c r="A385" s="77">
        <f>'EXTRACTION AT GLOBAL DEA'!D383</f>
        <v>0</v>
      </c>
      <c r="B385" s="77">
        <f>'EXTRACTION AT GLOBAL DEA'!E383</f>
        <v>0</v>
      </c>
      <c r="C385" s="77">
        <f>'EXTRACTION AT GLOBAL DEA'!F383</f>
        <v>0</v>
      </c>
      <c r="D385" s="77">
        <f>'EXTRACTION AT GLOBAL DEA'!I383</f>
        <v>0</v>
      </c>
      <c r="E385" s="66">
        <f>'EXTRACTION AT GLOBAL DEA'!G383</f>
        <v>0</v>
      </c>
      <c r="F385" s="84" t="str">
        <f t="shared" si="14"/>
        <v/>
      </c>
      <c r="G385" s="77">
        <f>'EXTRACTION AT GLOBAL DEA'!K383</f>
        <v>0</v>
      </c>
      <c r="H385" s="77">
        <f>'EXTRACTION AT GLOBAL DEA'!N383</f>
        <v>0</v>
      </c>
      <c r="I385" s="77">
        <f>'EXTRACTION AT GLOBAL DEA'!L383</f>
        <v>0</v>
      </c>
      <c r="J385" s="77">
        <f>'EXTRACTION AT GLOBAL DEA'!M383</f>
        <v>0</v>
      </c>
      <c r="K385" s="77"/>
      <c r="L385" s="77"/>
      <c r="M385" s="78">
        <f>'EXTRACTION AT GLOBAL DEA'!B383</f>
        <v>0</v>
      </c>
      <c r="N385" s="77" t="str">
        <f t="shared" si="15"/>
        <v>janvier</v>
      </c>
      <c r="O385" s="65"/>
      <c r="P385" s="67"/>
      <c r="Q385" s="67"/>
      <c r="R385" s="67"/>
      <c r="S385" s="67"/>
      <c r="T385" s="67"/>
      <c r="U385" s="67"/>
      <c r="V385" s="67"/>
      <c r="W385" s="67"/>
      <c r="X385" s="67"/>
      <c r="Y385" s="67"/>
      <c r="Z385" s="67"/>
      <c r="AA385" s="67"/>
      <c r="AB385" s="68"/>
    </row>
    <row r="386" spans="1:28" hidden="1" x14ac:dyDescent="0.25">
      <c r="A386" s="77">
        <f>'EXTRACTION AT GLOBAL DEA'!D384</f>
        <v>0</v>
      </c>
      <c r="B386" s="77">
        <f>'EXTRACTION AT GLOBAL DEA'!E384</f>
        <v>0</v>
      </c>
      <c r="C386" s="77">
        <f>'EXTRACTION AT GLOBAL DEA'!F384</f>
        <v>0</v>
      </c>
      <c r="D386" s="77">
        <f>'EXTRACTION AT GLOBAL DEA'!I384</f>
        <v>0</v>
      </c>
      <c r="E386" s="66">
        <f>'EXTRACTION AT GLOBAL DEA'!G384</f>
        <v>0</v>
      </c>
      <c r="F386" s="84" t="str">
        <f t="shared" si="14"/>
        <v/>
      </c>
      <c r="G386" s="77">
        <f>'EXTRACTION AT GLOBAL DEA'!K384</f>
        <v>0</v>
      </c>
      <c r="H386" s="77">
        <f>'EXTRACTION AT GLOBAL DEA'!N384</f>
        <v>0</v>
      </c>
      <c r="I386" s="77">
        <f>'EXTRACTION AT GLOBAL DEA'!L384</f>
        <v>0</v>
      </c>
      <c r="J386" s="77">
        <f>'EXTRACTION AT GLOBAL DEA'!M384</f>
        <v>0</v>
      </c>
      <c r="K386" s="77"/>
      <c r="L386" s="77"/>
      <c r="M386" s="78">
        <f>'EXTRACTION AT GLOBAL DEA'!B384</f>
        <v>0</v>
      </c>
      <c r="N386" s="77" t="str">
        <f t="shared" si="15"/>
        <v>janvier</v>
      </c>
      <c r="O386" s="65"/>
      <c r="P386" s="67"/>
      <c r="Q386" s="67"/>
      <c r="R386" s="67"/>
      <c r="S386" s="67"/>
      <c r="T386" s="67"/>
      <c r="U386" s="67"/>
      <c r="V386" s="67"/>
      <c r="W386" s="67"/>
      <c r="X386" s="67"/>
      <c r="Y386" s="67"/>
      <c r="Z386" s="67"/>
      <c r="AA386" s="67"/>
      <c r="AB386" s="68"/>
    </row>
    <row r="387" spans="1:28" hidden="1" x14ac:dyDescent="0.25">
      <c r="A387" s="77">
        <f>'EXTRACTION AT GLOBAL DEA'!D385</f>
        <v>0</v>
      </c>
      <c r="B387" s="77">
        <f>'EXTRACTION AT GLOBAL DEA'!E385</f>
        <v>0</v>
      </c>
      <c r="C387" s="77">
        <f>'EXTRACTION AT GLOBAL DEA'!F385</f>
        <v>0</v>
      </c>
      <c r="D387" s="77">
        <f>'EXTRACTION AT GLOBAL DEA'!I385</f>
        <v>0</v>
      </c>
      <c r="E387" s="66">
        <f>'EXTRACTION AT GLOBAL DEA'!G385</f>
        <v>0</v>
      </c>
      <c r="F387" s="84" t="str">
        <f t="shared" si="14"/>
        <v/>
      </c>
      <c r="G387" s="77">
        <f>'EXTRACTION AT GLOBAL DEA'!K385</f>
        <v>0</v>
      </c>
      <c r="H387" s="77">
        <f>'EXTRACTION AT GLOBAL DEA'!N385</f>
        <v>0</v>
      </c>
      <c r="I387" s="77">
        <f>'EXTRACTION AT GLOBAL DEA'!L385</f>
        <v>0</v>
      </c>
      <c r="J387" s="77">
        <f>'EXTRACTION AT GLOBAL DEA'!M385</f>
        <v>0</v>
      </c>
      <c r="K387" s="77"/>
      <c r="L387" s="77"/>
      <c r="M387" s="78">
        <f>'EXTRACTION AT GLOBAL DEA'!B385</f>
        <v>0</v>
      </c>
      <c r="N387" s="77" t="str">
        <f t="shared" si="15"/>
        <v>janvier</v>
      </c>
      <c r="O387" s="65"/>
      <c r="P387" s="67"/>
      <c r="Q387" s="67"/>
      <c r="R387" s="67"/>
      <c r="S387" s="67"/>
      <c r="T387" s="67"/>
      <c r="U387" s="67"/>
      <c r="V387" s="67"/>
      <c r="W387" s="67"/>
      <c r="X387" s="67"/>
      <c r="Y387" s="67"/>
      <c r="Z387" s="67"/>
      <c r="AA387" s="67"/>
      <c r="AB387" s="68"/>
    </row>
    <row r="388" spans="1:28" hidden="1" x14ac:dyDescent="0.25">
      <c r="A388" s="77">
        <f>'EXTRACTION AT GLOBAL DEA'!D386</f>
        <v>0</v>
      </c>
      <c r="B388" s="77">
        <f>'EXTRACTION AT GLOBAL DEA'!E386</f>
        <v>0</v>
      </c>
      <c r="C388" s="77">
        <f>'EXTRACTION AT GLOBAL DEA'!F386</f>
        <v>0</v>
      </c>
      <c r="D388" s="77">
        <f>'EXTRACTION AT GLOBAL DEA'!I386</f>
        <v>0</v>
      </c>
      <c r="E388" s="66">
        <f>'EXTRACTION AT GLOBAL DEA'!G386</f>
        <v>0</v>
      </c>
      <c r="F388" s="84" t="str">
        <f t="shared" si="14"/>
        <v/>
      </c>
      <c r="G388" s="77">
        <f>'EXTRACTION AT GLOBAL DEA'!K386</f>
        <v>0</v>
      </c>
      <c r="H388" s="77">
        <f>'EXTRACTION AT GLOBAL DEA'!N386</f>
        <v>0</v>
      </c>
      <c r="I388" s="77">
        <f>'EXTRACTION AT GLOBAL DEA'!L386</f>
        <v>0</v>
      </c>
      <c r="J388" s="77">
        <f>'EXTRACTION AT GLOBAL DEA'!M386</f>
        <v>0</v>
      </c>
      <c r="K388" s="77"/>
      <c r="L388" s="77"/>
      <c r="M388" s="78">
        <f>'EXTRACTION AT GLOBAL DEA'!B386</f>
        <v>0</v>
      </c>
      <c r="N388" s="77" t="str">
        <f t="shared" si="15"/>
        <v>janvier</v>
      </c>
      <c r="O388" s="65"/>
      <c r="P388" s="67"/>
      <c r="Q388" s="67"/>
      <c r="R388" s="67"/>
      <c r="S388" s="67"/>
      <c r="T388" s="67"/>
      <c r="U388" s="67"/>
      <c r="V388" s="67"/>
      <c r="W388" s="67"/>
      <c r="X388" s="67"/>
      <c r="Y388" s="67"/>
      <c r="Z388" s="67"/>
      <c r="AA388" s="67"/>
      <c r="AB388" s="68"/>
    </row>
    <row r="389" spans="1:28" hidden="1" x14ac:dyDescent="0.25">
      <c r="A389" s="77">
        <f>'EXTRACTION AT GLOBAL DEA'!D387</f>
        <v>0</v>
      </c>
      <c r="B389" s="77">
        <f>'EXTRACTION AT GLOBAL DEA'!E387</f>
        <v>0</v>
      </c>
      <c r="C389" s="77">
        <f>'EXTRACTION AT GLOBAL DEA'!F387</f>
        <v>0</v>
      </c>
      <c r="D389" s="77">
        <f>'EXTRACTION AT GLOBAL DEA'!I387</f>
        <v>0</v>
      </c>
      <c r="E389" s="66">
        <f>'EXTRACTION AT GLOBAL DEA'!G387</f>
        <v>0</v>
      </c>
      <c r="F389" s="84" t="str">
        <f t="shared" si="14"/>
        <v/>
      </c>
      <c r="G389" s="77">
        <f>'EXTRACTION AT GLOBAL DEA'!K387</f>
        <v>0</v>
      </c>
      <c r="H389" s="77">
        <f>'EXTRACTION AT GLOBAL DEA'!N387</f>
        <v>0</v>
      </c>
      <c r="I389" s="77">
        <f>'EXTRACTION AT GLOBAL DEA'!L387</f>
        <v>0</v>
      </c>
      <c r="J389" s="77">
        <f>'EXTRACTION AT GLOBAL DEA'!M387</f>
        <v>0</v>
      </c>
      <c r="K389" s="77"/>
      <c r="L389" s="77"/>
      <c r="M389" s="78">
        <f>'EXTRACTION AT GLOBAL DEA'!B387</f>
        <v>0</v>
      </c>
      <c r="N389" s="77" t="str">
        <f t="shared" si="15"/>
        <v>janvier</v>
      </c>
      <c r="O389" s="65"/>
      <c r="P389" s="67"/>
      <c r="Q389" s="67"/>
      <c r="R389" s="67"/>
      <c r="S389" s="67"/>
      <c r="T389" s="67"/>
      <c r="U389" s="67"/>
      <c r="V389" s="67"/>
      <c r="W389" s="67"/>
      <c r="X389" s="67"/>
      <c r="Y389" s="67"/>
      <c r="Z389" s="67"/>
      <c r="AA389" s="67"/>
      <c r="AB389" s="68"/>
    </row>
    <row r="390" spans="1:28" hidden="1" x14ac:dyDescent="0.25">
      <c r="A390" s="77">
        <f>'EXTRACTION AT GLOBAL DEA'!D388</f>
        <v>0</v>
      </c>
      <c r="B390" s="77">
        <f>'EXTRACTION AT GLOBAL DEA'!E388</f>
        <v>0</v>
      </c>
      <c r="C390" s="77">
        <f>'EXTRACTION AT GLOBAL DEA'!F388</f>
        <v>0</v>
      </c>
      <c r="D390" s="77">
        <f>'EXTRACTION AT GLOBAL DEA'!I388</f>
        <v>0</v>
      </c>
      <c r="E390" s="66">
        <f>'EXTRACTION AT GLOBAL DEA'!G388</f>
        <v>0</v>
      </c>
      <c r="F390" s="84" t="str">
        <f t="shared" ref="F390:F453" si="16">IF(E390&lt;1,"",IF(E390&lt;20,"Moins de 20 ans",IF(E390&lt;25,"20 à 24 ans",IF(E390&lt;30,"25 à 29 ans",IF(E390&lt;35,"30 à 34 ans",IF(E390&lt;40,"35 à 39 ans",IF(E390&lt;45,"40 à 44 ans",IF(E390&lt;50,"45 à 49 ans",IF(E390&lt;55,"50 à 54 ans",IF(E389&lt;60,"55 à 59 ans",IF(E390&gt;59,"60 ans et plus","")))))))))))</f>
        <v/>
      </c>
      <c r="G390" s="77">
        <f>'EXTRACTION AT GLOBAL DEA'!K388</f>
        <v>0</v>
      </c>
      <c r="H390" s="77">
        <f>'EXTRACTION AT GLOBAL DEA'!N388</f>
        <v>0</v>
      </c>
      <c r="I390" s="77">
        <f>'EXTRACTION AT GLOBAL DEA'!L388</f>
        <v>0</v>
      </c>
      <c r="J390" s="77">
        <f>'EXTRACTION AT GLOBAL DEA'!M388</f>
        <v>0</v>
      </c>
      <c r="K390" s="77"/>
      <c r="L390" s="77"/>
      <c r="M390" s="78">
        <f>'EXTRACTION AT GLOBAL DEA'!B388</f>
        <v>0</v>
      </c>
      <c r="N390" s="77" t="str">
        <f t="shared" ref="N390:N453" si="17">TEXT(M390,"mmmm")</f>
        <v>janvier</v>
      </c>
      <c r="O390" s="65"/>
      <c r="P390" s="67"/>
      <c r="Q390" s="67"/>
      <c r="R390" s="67"/>
      <c r="S390" s="67"/>
      <c r="T390" s="67"/>
      <c r="U390" s="67"/>
      <c r="V390" s="67"/>
      <c r="W390" s="67"/>
      <c r="X390" s="67"/>
      <c r="Y390" s="67"/>
      <c r="Z390" s="67"/>
      <c r="AA390" s="67"/>
      <c r="AB390" s="68"/>
    </row>
    <row r="391" spans="1:28" hidden="1" x14ac:dyDescent="0.25">
      <c r="A391" s="77">
        <f>'EXTRACTION AT GLOBAL DEA'!D389</f>
        <v>0</v>
      </c>
      <c r="B391" s="77">
        <f>'EXTRACTION AT GLOBAL DEA'!E389</f>
        <v>0</v>
      </c>
      <c r="C391" s="77">
        <f>'EXTRACTION AT GLOBAL DEA'!F389</f>
        <v>0</v>
      </c>
      <c r="D391" s="77">
        <f>'EXTRACTION AT GLOBAL DEA'!I389</f>
        <v>0</v>
      </c>
      <c r="E391" s="66">
        <f>'EXTRACTION AT GLOBAL DEA'!G389</f>
        <v>0</v>
      </c>
      <c r="F391" s="84" t="str">
        <f t="shared" si="16"/>
        <v/>
      </c>
      <c r="G391" s="77">
        <f>'EXTRACTION AT GLOBAL DEA'!K389</f>
        <v>0</v>
      </c>
      <c r="H391" s="77">
        <f>'EXTRACTION AT GLOBAL DEA'!N389</f>
        <v>0</v>
      </c>
      <c r="I391" s="77">
        <f>'EXTRACTION AT GLOBAL DEA'!L389</f>
        <v>0</v>
      </c>
      <c r="J391" s="77">
        <f>'EXTRACTION AT GLOBAL DEA'!M389</f>
        <v>0</v>
      </c>
      <c r="K391" s="77"/>
      <c r="L391" s="77"/>
      <c r="M391" s="78">
        <f>'EXTRACTION AT GLOBAL DEA'!B389</f>
        <v>0</v>
      </c>
      <c r="N391" s="77" t="str">
        <f t="shared" si="17"/>
        <v>janvier</v>
      </c>
      <c r="O391" s="65"/>
      <c r="P391" s="67"/>
      <c r="Q391" s="67"/>
      <c r="R391" s="67"/>
      <c r="S391" s="67"/>
      <c r="T391" s="67"/>
      <c r="U391" s="67"/>
      <c r="V391" s="67"/>
      <c r="W391" s="67"/>
      <c r="X391" s="67"/>
      <c r="Y391" s="67"/>
      <c r="Z391" s="67"/>
      <c r="AA391" s="67"/>
      <c r="AB391" s="68"/>
    </row>
    <row r="392" spans="1:28" hidden="1" x14ac:dyDescent="0.25">
      <c r="A392" s="77">
        <f>'EXTRACTION AT GLOBAL DEA'!D390</f>
        <v>0</v>
      </c>
      <c r="B392" s="77">
        <f>'EXTRACTION AT GLOBAL DEA'!E390</f>
        <v>0</v>
      </c>
      <c r="C392" s="77">
        <f>'EXTRACTION AT GLOBAL DEA'!F390</f>
        <v>0</v>
      </c>
      <c r="D392" s="77">
        <f>'EXTRACTION AT GLOBAL DEA'!I390</f>
        <v>0</v>
      </c>
      <c r="E392" s="66">
        <f>'EXTRACTION AT GLOBAL DEA'!G390</f>
        <v>0</v>
      </c>
      <c r="F392" s="84" t="str">
        <f t="shared" si="16"/>
        <v/>
      </c>
      <c r="G392" s="77">
        <f>'EXTRACTION AT GLOBAL DEA'!K390</f>
        <v>0</v>
      </c>
      <c r="H392" s="77">
        <f>'EXTRACTION AT GLOBAL DEA'!N390</f>
        <v>0</v>
      </c>
      <c r="I392" s="77">
        <f>'EXTRACTION AT GLOBAL DEA'!L390</f>
        <v>0</v>
      </c>
      <c r="J392" s="77">
        <f>'EXTRACTION AT GLOBAL DEA'!M390</f>
        <v>0</v>
      </c>
      <c r="K392" s="77"/>
      <c r="L392" s="77"/>
      <c r="M392" s="78">
        <f>'EXTRACTION AT GLOBAL DEA'!B390</f>
        <v>0</v>
      </c>
      <c r="N392" s="77" t="str">
        <f t="shared" si="17"/>
        <v>janvier</v>
      </c>
      <c r="O392" s="65"/>
      <c r="P392" s="67"/>
      <c r="Q392" s="67"/>
      <c r="R392" s="67"/>
      <c r="S392" s="67"/>
      <c r="T392" s="67"/>
      <c r="U392" s="67"/>
      <c r="V392" s="67"/>
      <c r="W392" s="67"/>
      <c r="X392" s="67"/>
      <c r="Y392" s="67"/>
      <c r="Z392" s="67"/>
      <c r="AA392" s="67"/>
      <c r="AB392" s="68"/>
    </row>
    <row r="393" spans="1:28" hidden="1" x14ac:dyDescent="0.25">
      <c r="A393" s="77">
        <f>'EXTRACTION AT GLOBAL DEA'!D391</f>
        <v>0</v>
      </c>
      <c r="B393" s="77">
        <f>'EXTRACTION AT GLOBAL DEA'!E391</f>
        <v>0</v>
      </c>
      <c r="C393" s="77">
        <f>'EXTRACTION AT GLOBAL DEA'!F391</f>
        <v>0</v>
      </c>
      <c r="D393" s="77">
        <f>'EXTRACTION AT GLOBAL DEA'!I391</f>
        <v>0</v>
      </c>
      <c r="E393" s="66">
        <f>'EXTRACTION AT GLOBAL DEA'!G391</f>
        <v>0</v>
      </c>
      <c r="F393" s="84" t="str">
        <f t="shared" si="16"/>
        <v/>
      </c>
      <c r="G393" s="77">
        <f>'EXTRACTION AT GLOBAL DEA'!K391</f>
        <v>0</v>
      </c>
      <c r="H393" s="77">
        <f>'EXTRACTION AT GLOBAL DEA'!N391</f>
        <v>0</v>
      </c>
      <c r="I393" s="77">
        <f>'EXTRACTION AT GLOBAL DEA'!L391</f>
        <v>0</v>
      </c>
      <c r="J393" s="77">
        <f>'EXTRACTION AT GLOBAL DEA'!M391</f>
        <v>0</v>
      </c>
      <c r="K393" s="77"/>
      <c r="L393" s="77"/>
      <c r="M393" s="78">
        <f>'EXTRACTION AT GLOBAL DEA'!B391</f>
        <v>0</v>
      </c>
      <c r="N393" s="77" t="str">
        <f t="shared" si="17"/>
        <v>janvier</v>
      </c>
      <c r="O393" s="65"/>
      <c r="P393" s="67"/>
      <c r="Q393" s="67"/>
      <c r="R393" s="67"/>
      <c r="S393" s="67"/>
      <c r="T393" s="67"/>
      <c r="U393" s="67"/>
      <c r="V393" s="67"/>
      <c r="W393" s="67"/>
      <c r="X393" s="67"/>
      <c r="Y393" s="67"/>
      <c r="Z393" s="67"/>
      <c r="AA393" s="67"/>
      <c r="AB393" s="68"/>
    </row>
    <row r="394" spans="1:28" hidden="1" x14ac:dyDescent="0.25">
      <c r="A394" s="77">
        <f>'EXTRACTION AT GLOBAL DEA'!D392</f>
        <v>0</v>
      </c>
      <c r="B394" s="77">
        <f>'EXTRACTION AT GLOBAL DEA'!E392</f>
        <v>0</v>
      </c>
      <c r="C394" s="77">
        <f>'EXTRACTION AT GLOBAL DEA'!F392</f>
        <v>0</v>
      </c>
      <c r="D394" s="77">
        <f>'EXTRACTION AT GLOBAL DEA'!I392</f>
        <v>0</v>
      </c>
      <c r="E394" s="66">
        <f>'EXTRACTION AT GLOBAL DEA'!G392</f>
        <v>0</v>
      </c>
      <c r="F394" s="84" t="str">
        <f t="shared" si="16"/>
        <v/>
      </c>
      <c r="G394" s="77">
        <f>'EXTRACTION AT GLOBAL DEA'!K392</f>
        <v>0</v>
      </c>
      <c r="H394" s="77">
        <f>'EXTRACTION AT GLOBAL DEA'!N392</f>
        <v>0</v>
      </c>
      <c r="I394" s="77">
        <f>'EXTRACTION AT GLOBAL DEA'!L392</f>
        <v>0</v>
      </c>
      <c r="J394" s="77">
        <f>'EXTRACTION AT GLOBAL DEA'!M392</f>
        <v>0</v>
      </c>
      <c r="K394" s="77"/>
      <c r="L394" s="77"/>
      <c r="M394" s="78">
        <f>'EXTRACTION AT GLOBAL DEA'!B392</f>
        <v>0</v>
      </c>
      <c r="N394" s="77" t="str">
        <f t="shared" si="17"/>
        <v>janvier</v>
      </c>
      <c r="O394" s="65"/>
      <c r="P394" s="67"/>
      <c r="Q394" s="67"/>
      <c r="R394" s="67"/>
      <c r="S394" s="67"/>
      <c r="T394" s="67"/>
      <c r="U394" s="67"/>
      <c r="V394" s="67"/>
      <c r="W394" s="67"/>
      <c r="X394" s="67"/>
      <c r="Y394" s="67"/>
      <c r="Z394" s="67"/>
      <c r="AA394" s="67"/>
      <c r="AB394" s="68"/>
    </row>
    <row r="395" spans="1:28" hidden="1" x14ac:dyDescent="0.25">
      <c r="A395" s="77">
        <f>'EXTRACTION AT GLOBAL DEA'!D393</f>
        <v>0</v>
      </c>
      <c r="B395" s="77">
        <f>'EXTRACTION AT GLOBAL DEA'!E393</f>
        <v>0</v>
      </c>
      <c r="C395" s="77">
        <f>'EXTRACTION AT GLOBAL DEA'!F393</f>
        <v>0</v>
      </c>
      <c r="D395" s="77">
        <f>'EXTRACTION AT GLOBAL DEA'!I393</f>
        <v>0</v>
      </c>
      <c r="E395" s="66">
        <f>'EXTRACTION AT GLOBAL DEA'!G393</f>
        <v>0</v>
      </c>
      <c r="F395" s="84" t="str">
        <f t="shared" si="16"/>
        <v/>
      </c>
      <c r="G395" s="77">
        <f>'EXTRACTION AT GLOBAL DEA'!K393</f>
        <v>0</v>
      </c>
      <c r="H395" s="77">
        <f>'EXTRACTION AT GLOBAL DEA'!N393</f>
        <v>0</v>
      </c>
      <c r="I395" s="77">
        <f>'EXTRACTION AT GLOBAL DEA'!L393</f>
        <v>0</v>
      </c>
      <c r="J395" s="77">
        <f>'EXTRACTION AT GLOBAL DEA'!M393</f>
        <v>0</v>
      </c>
      <c r="K395" s="77"/>
      <c r="L395" s="77"/>
      <c r="M395" s="78">
        <f>'EXTRACTION AT GLOBAL DEA'!B393</f>
        <v>0</v>
      </c>
      <c r="N395" s="77" t="str">
        <f t="shared" si="17"/>
        <v>janvier</v>
      </c>
      <c r="O395" s="65"/>
      <c r="P395" s="67"/>
      <c r="Q395" s="67"/>
      <c r="R395" s="67"/>
      <c r="S395" s="67"/>
      <c r="T395" s="67"/>
      <c r="U395" s="67"/>
      <c r="V395" s="67"/>
      <c r="W395" s="67"/>
      <c r="X395" s="67"/>
      <c r="Y395" s="67"/>
      <c r="Z395" s="67"/>
      <c r="AA395" s="67"/>
      <c r="AB395" s="68"/>
    </row>
    <row r="396" spans="1:28" hidden="1" x14ac:dyDescent="0.25">
      <c r="A396" s="77">
        <f>'EXTRACTION AT GLOBAL DEA'!D394</f>
        <v>0</v>
      </c>
      <c r="B396" s="77">
        <f>'EXTRACTION AT GLOBAL DEA'!E394</f>
        <v>0</v>
      </c>
      <c r="C396" s="77">
        <f>'EXTRACTION AT GLOBAL DEA'!F394</f>
        <v>0</v>
      </c>
      <c r="D396" s="77">
        <f>'EXTRACTION AT GLOBAL DEA'!I394</f>
        <v>0</v>
      </c>
      <c r="E396" s="66">
        <f>'EXTRACTION AT GLOBAL DEA'!G394</f>
        <v>0</v>
      </c>
      <c r="F396" s="84" t="str">
        <f t="shared" si="16"/>
        <v/>
      </c>
      <c r="G396" s="77">
        <f>'EXTRACTION AT GLOBAL DEA'!K394</f>
        <v>0</v>
      </c>
      <c r="H396" s="77">
        <f>'EXTRACTION AT GLOBAL DEA'!N394</f>
        <v>0</v>
      </c>
      <c r="I396" s="77">
        <f>'EXTRACTION AT GLOBAL DEA'!L394</f>
        <v>0</v>
      </c>
      <c r="J396" s="77">
        <f>'EXTRACTION AT GLOBAL DEA'!M394</f>
        <v>0</v>
      </c>
      <c r="K396" s="77"/>
      <c r="L396" s="77"/>
      <c r="M396" s="78">
        <f>'EXTRACTION AT GLOBAL DEA'!B394</f>
        <v>0</v>
      </c>
      <c r="N396" s="77" t="str">
        <f t="shared" si="17"/>
        <v>janvier</v>
      </c>
      <c r="O396" s="65"/>
      <c r="P396" s="67"/>
      <c r="Q396" s="67"/>
      <c r="R396" s="67"/>
      <c r="S396" s="67"/>
      <c r="T396" s="67"/>
      <c r="U396" s="67"/>
      <c r="V396" s="67"/>
      <c r="W396" s="67"/>
      <c r="X396" s="67"/>
      <c r="Y396" s="67"/>
      <c r="Z396" s="67"/>
      <c r="AA396" s="67"/>
      <c r="AB396" s="68"/>
    </row>
    <row r="397" spans="1:28" hidden="1" x14ac:dyDescent="0.25">
      <c r="A397" s="77">
        <f>'EXTRACTION AT GLOBAL DEA'!D395</f>
        <v>0</v>
      </c>
      <c r="B397" s="77">
        <f>'EXTRACTION AT GLOBAL DEA'!E395</f>
        <v>0</v>
      </c>
      <c r="C397" s="77">
        <f>'EXTRACTION AT GLOBAL DEA'!F395</f>
        <v>0</v>
      </c>
      <c r="D397" s="77">
        <f>'EXTRACTION AT GLOBAL DEA'!I395</f>
        <v>0</v>
      </c>
      <c r="E397" s="66">
        <f>'EXTRACTION AT GLOBAL DEA'!G395</f>
        <v>0</v>
      </c>
      <c r="F397" s="84" t="str">
        <f t="shared" si="16"/>
        <v/>
      </c>
      <c r="G397" s="77">
        <f>'EXTRACTION AT GLOBAL DEA'!K395</f>
        <v>0</v>
      </c>
      <c r="H397" s="77">
        <f>'EXTRACTION AT GLOBAL DEA'!N395</f>
        <v>0</v>
      </c>
      <c r="I397" s="77">
        <f>'EXTRACTION AT GLOBAL DEA'!L395</f>
        <v>0</v>
      </c>
      <c r="J397" s="77">
        <f>'EXTRACTION AT GLOBAL DEA'!M395</f>
        <v>0</v>
      </c>
      <c r="K397" s="77"/>
      <c r="L397" s="77"/>
      <c r="M397" s="78">
        <f>'EXTRACTION AT GLOBAL DEA'!B395</f>
        <v>0</v>
      </c>
      <c r="N397" s="77" t="str">
        <f t="shared" si="17"/>
        <v>janvier</v>
      </c>
      <c r="O397" s="65"/>
      <c r="P397" s="67"/>
      <c r="Q397" s="67"/>
      <c r="R397" s="67"/>
      <c r="S397" s="67"/>
      <c r="T397" s="67"/>
      <c r="U397" s="67"/>
      <c r="V397" s="67"/>
      <c r="W397" s="67"/>
      <c r="X397" s="67"/>
      <c r="Y397" s="67"/>
      <c r="Z397" s="67"/>
      <c r="AA397" s="67"/>
      <c r="AB397" s="68"/>
    </row>
    <row r="398" spans="1:28" hidden="1" x14ac:dyDescent="0.25">
      <c r="A398" s="77">
        <f>'EXTRACTION AT GLOBAL DEA'!D396</f>
        <v>0</v>
      </c>
      <c r="B398" s="77">
        <f>'EXTRACTION AT GLOBAL DEA'!E396</f>
        <v>0</v>
      </c>
      <c r="C398" s="77">
        <f>'EXTRACTION AT GLOBAL DEA'!F396</f>
        <v>0</v>
      </c>
      <c r="D398" s="77">
        <f>'EXTRACTION AT GLOBAL DEA'!I396</f>
        <v>0</v>
      </c>
      <c r="E398" s="66">
        <f>'EXTRACTION AT GLOBAL DEA'!G396</f>
        <v>0</v>
      </c>
      <c r="F398" s="84" t="str">
        <f t="shared" si="16"/>
        <v/>
      </c>
      <c r="G398" s="77">
        <f>'EXTRACTION AT GLOBAL DEA'!K396</f>
        <v>0</v>
      </c>
      <c r="H398" s="77">
        <f>'EXTRACTION AT GLOBAL DEA'!N396</f>
        <v>0</v>
      </c>
      <c r="I398" s="77">
        <f>'EXTRACTION AT GLOBAL DEA'!L396</f>
        <v>0</v>
      </c>
      <c r="J398" s="77">
        <f>'EXTRACTION AT GLOBAL DEA'!M396</f>
        <v>0</v>
      </c>
      <c r="K398" s="77"/>
      <c r="L398" s="77"/>
      <c r="M398" s="78">
        <f>'EXTRACTION AT GLOBAL DEA'!B396</f>
        <v>0</v>
      </c>
      <c r="N398" s="77" t="str">
        <f t="shared" si="17"/>
        <v>janvier</v>
      </c>
      <c r="O398" s="65"/>
      <c r="P398" s="67"/>
      <c r="Q398" s="67"/>
      <c r="R398" s="67"/>
      <c r="S398" s="67"/>
      <c r="T398" s="67"/>
      <c r="U398" s="67"/>
      <c r="V398" s="67"/>
      <c r="W398" s="67"/>
      <c r="X398" s="67"/>
      <c r="Y398" s="67"/>
      <c r="Z398" s="67"/>
      <c r="AA398" s="67"/>
      <c r="AB398" s="68"/>
    </row>
    <row r="399" spans="1:28" hidden="1" x14ac:dyDescent="0.25">
      <c r="A399" s="77">
        <f>'EXTRACTION AT GLOBAL DEA'!D397</f>
        <v>0</v>
      </c>
      <c r="B399" s="77">
        <f>'EXTRACTION AT GLOBAL DEA'!E397</f>
        <v>0</v>
      </c>
      <c r="C399" s="77">
        <f>'EXTRACTION AT GLOBAL DEA'!F397</f>
        <v>0</v>
      </c>
      <c r="D399" s="77">
        <f>'EXTRACTION AT GLOBAL DEA'!I397</f>
        <v>0</v>
      </c>
      <c r="E399" s="66">
        <f>'EXTRACTION AT GLOBAL DEA'!G397</f>
        <v>0</v>
      </c>
      <c r="F399" s="84" t="str">
        <f t="shared" si="16"/>
        <v/>
      </c>
      <c r="G399" s="77">
        <f>'EXTRACTION AT GLOBAL DEA'!K397</f>
        <v>0</v>
      </c>
      <c r="H399" s="77">
        <f>'EXTRACTION AT GLOBAL DEA'!N397</f>
        <v>0</v>
      </c>
      <c r="I399" s="77">
        <f>'EXTRACTION AT GLOBAL DEA'!L397</f>
        <v>0</v>
      </c>
      <c r="J399" s="77">
        <f>'EXTRACTION AT GLOBAL DEA'!M397</f>
        <v>0</v>
      </c>
      <c r="K399" s="77"/>
      <c r="L399" s="77"/>
      <c r="M399" s="78">
        <f>'EXTRACTION AT GLOBAL DEA'!B397</f>
        <v>0</v>
      </c>
      <c r="N399" s="77" t="str">
        <f t="shared" si="17"/>
        <v>janvier</v>
      </c>
      <c r="O399" s="65"/>
      <c r="P399" s="67"/>
      <c r="Q399" s="67"/>
      <c r="R399" s="67"/>
      <c r="S399" s="67"/>
      <c r="T399" s="67"/>
      <c r="U399" s="67"/>
      <c r="V399" s="67"/>
      <c r="W399" s="67"/>
      <c r="X399" s="67"/>
      <c r="Y399" s="67"/>
      <c r="Z399" s="67"/>
      <c r="AA399" s="67"/>
      <c r="AB399" s="68"/>
    </row>
    <row r="400" spans="1:28" hidden="1" x14ac:dyDescent="0.25">
      <c r="A400" s="77">
        <f>'EXTRACTION AT GLOBAL DEA'!D398</f>
        <v>0</v>
      </c>
      <c r="B400" s="77">
        <f>'EXTRACTION AT GLOBAL DEA'!E398</f>
        <v>0</v>
      </c>
      <c r="C400" s="77">
        <f>'EXTRACTION AT GLOBAL DEA'!F398</f>
        <v>0</v>
      </c>
      <c r="D400" s="77">
        <f>'EXTRACTION AT GLOBAL DEA'!I398</f>
        <v>0</v>
      </c>
      <c r="E400" s="66">
        <f>'EXTRACTION AT GLOBAL DEA'!G398</f>
        <v>0</v>
      </c>
      <c r="F400" s="84" t="str">
        <f t="shared" si="16"/>
        <v/>
      </c>
      <c r="G400" s="77">
        <f>'EXTRACTION AT GLOBAL DEA'!K398</f>
        <v>0</v>
      </c>
      <c r="H400" s="77">
        <f>'EXTRACTION AT GLOBAL DEA'!N398</f>
        <v>0</v>
      </c>
      <c r="I400" s="77">
        <f>'EXTRACTION AT GLOBAL DEA'!L398</f>
        <v>0</v>
      </c>
      <c r="J400" s="77">
        <f>'EXTRACTION AT GLOBAL DEA'!M398</f>
        <v>0</v>
      </c>
      <c r="K400" s="77"/>
      <c r="L400" s="77"/>
      <c r="M400" s="78">
        <f>'EXTRACTION AT GLOBAL DEA'!B398</f>
        <v>0</v>
      </c>
      <c r="N400" s="77" t="str">
        <f t="shared" si="17"/>
        <v>janvier</v>
      </c>
      <c r="O400" s="65"/>
      <c r="P400" s="67"/>
      <c r="Q400" s="67"/>
      <c r="R400" s="67"/>
      <c r="S400" s="67"/>
      <c r="T400" s="67"/>
      <c r="U400" s="67"/>
      <c r="V400" s="67"/>
      <c r="W400" s="67"/>
      <c r="X400" s="67"/>
      <c r="Y400" s="67"/>
      <c r="Z400" s="67"/>
      <c r="AA400" s="67"/>
      <c r="AB400" s="68"/>
    </row>
    <row r="401" spans="1:28" hidden="1" x14ac:dyDescent="0.25">
      <c r="A401" s="77">
        <f>'EXTRACTION AT GLOBAL DEA'!D399</f>
        <v>0</v>
      </c>
      <c r="B401" s="77">
        <f>'EXTRACTION AT GLOBAL DEA'!E399</f>
        <v>0</v>
      </c>
      <c r="C401" s="77">
        <f>'EXTRACTION AT GLOBAL DEA'!F399</f>
        <v>0</v>
      </c>
      <c r="D401" s="77">
        <f>'EXTRACTION AT GLOBAL DEA'!I399</f>
        <v>0</v>
      </c>
      <c r="E401" s="66">
        <f>'EXTRACTION AT GLOBAL DEA'!G399</f>
        <v>0</v>
      </c>
      <c r="F401" s="84" t="str">
        <f t="shared" si="16"/>
        <v/>
      </c>
      <c r="G401" s="77">
        <f>'EXTRACTION AT GLOBAL DEA'!K399</f>
        <v>0</v>
      </c>
      <c r="H401" s="77">
        <f>'EXTRACTION AT GLOBAL DEA'!N399</f>
        <v>0</v>
      </c>
      <c r="I401" s="77">
        <f>'EXTRACTION AT GLOBAL DEA'!L399</f>
        <v>0</v>
      </c>
      <c r="J401" s="77">
        <f>'EXTRACTION AT GLOBAL DEA'!M399</f>
        <v>0</v>
      </c>
      <c r="K401" s="77"/>
      <c r="L401" s="77"/>
      <c r="M401" s="78">
        <f>'EXTRACTION AT GLOBAL DEA'!B399</f>
        <v>0</v>
      </c>
      <c r="N401" s="77" t="str">
        <f t="shared" si="17"/>
        <v>janvier</v>
      </c>
      <c r="O401" s="65"/>
      <c r="P401" s="67"/>
      <c r="Q401" s="67"/>
      <c r="R401" s="67"/>
      <c r="S401" s="67"/>
      <c r="T401" s="67"/>
      <c r="U401" s="67"/>
      <c r="V401" s="67"/>
      <c r="W401" s="67"/>
      <c r="X401" s="67"/>
      <c r="Y401" s="67"/>
      <c r="Z401" s="67"/>
      <c r="AA401" s="67"/>
      <c r="AB401" s="68"/>
    </row>
    <row r="402" spans="1:28" hidden="1" x14ac:dyDescent="0.25">
      <c r="A402" s="77">
        <f>'EXTRACTION AT GLOBAL DEA'!D400</f>
        <v>0</v>
      </c>
      <c r="B402" s="77">
        <f>'EXTRACTION AT GLOBAL DEA'!E400</f>
        <v>0</v>
      </c>
      <c r="C402" s="77">
        <f>'EXTRACTION AT GLOBAL DEA'!F400</f>
        <v>0</v>
      </c>
      <c r="D402" s="77">
        <f>'EXTRACTION AT GLOBAL DEA'!I400</f>
        <v>0</v>
      </c>
      <c r="E402" s="66">
        <f>'EXTRACTION AT GLOBAL DEA'!G400</f>
        <v>0</v>
      </c>
      <c r="F402" s="84" t="str">
        <f t="shared" si="16"/>
        <v/>
      </c>
      <c r="G402" s="77">
        <f>'EXTRACTION AT GLOBAL DEA'!K400</f>
        <v>0</v>
      </c>
      <c r="H402" s="77">
        <f>'EXTRACTION AT GLOBAL DEA'!N400</f>
        <v>0</v>
      </c>
      <c r="I402" s="77">
        <f>'EXTRACTION AT GLOBAL DEA'!L400</f>
        <v>0</v>
      </c>
      <c r="J402" s="77">
        <f>'EXTRACTION AT GLOBAL DEA'!M400</f>
        <v>0</v>
      </c>
      <c r="K402" s="77"/>
      <c r="L402" s="77"/>
      <c r="M402" s="78">
        <f>'EXTRACTION AT GLOBAL DEA'!B400</f>
        <v>0</v>
      </c>
      <c r="N402" s="77" t="str">
        <f t="shared" si="17"/>
        <v>janvier</v>
      </c>
      <c r="O402" s="65"/>
      <c r="P402" s="67"/>
      <c r="Q402" s="67"/>
      <c r="R402" s="67"/>
      <c r="S402" s="67"/>
      <c r="T402" s="67"/>
      <c r="U402" s="67"/>
      <c r="V402" s="67"/>
      <c r="W402" s="67"/>
      <c r="X402" s="67"/>
      <c r="Y402" s="67"/>
      <c r="Z402" s="67"/>
      <c r="AA402" s="67"/>
      <c r="AB402" s="68"/>
    </row>
    <row r="403" spans="1:28" hidden="1" x14ac:dyDescent="0.25">
      <c r="A403" s="77">
        <f>'EXTRACTION AT GLOBAL DEA'!D401</f>
        <v>0</v>
      </c>
      <c r="B403" s="77">
        <f>'EXTRACTION AT GLOBAL DEA'!E401</f>
        <v>0</v>
      </c>
      <c r="C403" s="77">
        <f>'EXTRACTION AT GLOBAL DEA'!F401</f>
        <v>0</v>
      </c>
      <c r="D403" s="77">
        <f>'EXTRACTION AT GLOBAL DEA'!I401</f>
        <v>0</v>
      </c>
      <c r="E403" s="66">
        <f>'EXTRACTION AT GLOBAL DEA'!G401</f>
        <v>0</v>
      </c>
      <c r="F403" s="84" t="str">
        <f t="shared" si="16"/>
        <v/>
      </c>
      <c r="G403" s="77">
        <f>'EXTRACTION AT GLOBAL DEA'!K401</f>
        <v>0</v>
      </c>
      <c r="H403" s="77">
        <f>'EXTRACTION AT GLOBAL DEA'!N401</f>
        <v>0</v>
      </c>
      <c r="I403" s="77">
        <f>'EXTRACTION AT GLOBAL DEA'!L401</f>
        <v>0</v>
      </c>
      <c r="J403" s="77">
        <f>'EXTRACTION AT GLOBAL DEA'!M401</f>
        <v>0</v>
      </c>
      <c r="K403" s="77"/>
      <c r="L403" s="77"/>
      <c r="M403" s="78">
        <f>'EXTRACTION AT GLOBAL DEA'!B401</f>
        <v>0</v>
      </c>
      <c r="N403" s="77" t="str">
        <f t="shared" si="17"/>
        <v>janvier</v>
      </c>
      <c r="O403" s="65"/>
      <c r="P403" s="67"/>
      <c r="Q403" s="67"/>
      <c r="R403" s="67"/>
      <c r="S403" s="67"/>
      <c r="T403" s="67"/>
      <c r="U403" s="67"/>
      <c r="V403" s="67"/>
      <c r="W403" s="67"/>
      <c r="X403" s="67"/>
      <c r="Y403" s="67"/>
      <c r="Z403" s="67"/>
      <c r="AA403" s="67"/>
      <c r="AB403" s="68"/>
    </row>
    <row r="404" spans="1:28" hidden="1" x14ac:dyDescent="0.25">
      <c r="A404" s="77">
        <f>'EXTRACTION AT GLOBAL DEA'!D402</f>
        <v>0</v>
      </c>
      <c r="B404" s="77">
        <f>'EXTRACTION AT GLOBAL DEA'!E402</f>
        <v>0</v>
      </c>
      <c r="C404" s="77">
        <f>'EXTRACTION AT GLOBAL DEA'!F402</f>
        <v>0</v>
      </c>
      <c r="D404" s="77">
        <f>'EXTRACTION AT GLOBAL DEA'!I402</f>
        <v>0</v>
      </c>
      <c r="E404" s="66">
        <f>'EXTRACTION AT GLOBAL DEA'!G402</f>
        <v>0</v>
      </c>
      <c r="F404" s="84" t="str">
        <f t="shared" si="16"/>
        <v/>
      </c>
      <c r="G404" s="77">
        <f>'EXTRACTION AT GLOBAL DEA'!K402</f>
        <v>0</v>
      </c>
      <c r="H404" s="77">
        <f>'EXTRACTION AT GLOBAL DEA'!N402</f>
        <v>0</v>
      </c>
      <c r="I404" s="77">
        <f>'EXTRACTION AT GLOBAL DEA'!L402</f>
        <v>0</v>
      </c>
      <c r="J404" s="77">
        <f>'EXTRACTION AT GLOBAL DEA'!M402</f>
        <v>0</v>
      </c>
      <c r="K404" s="77"/>
      <c r="L404" s="77"/>
      <c r="M404" s="78">
        <f>'EXTRACTION AT GLOBAL DEA'!B402</f>
        <v>0</v>
      </c>
      <c r="N404" s="77" t="str">
        <f t="shared" si="17"/>
        <v>janvier</v>
      </c>
      <c r="O404" s="65"/>
      <c r="P404" s="67"/>
      <c r="Q404" s="67"/>
      <c r="R404" s="67"/>
      <c r="S404" s="67"/>
      <c r="T404" s="67"/>
      <c r="U404" s="67"/>
      <c r="V404" s="67"/>
      <c r="W404" s="67"/>
      <c r="X404" s="67"/>
      <c r="Y404" s="67"/>
      <c r="Z404" s="67"/>
      <c r="AA404" s="67"/>
      <c r="AB404" s="68"/>
    </row>
    <row r="405" spans="1:28" hidden="1" x14ac:dyDescent="0.25">
      <c r="A405" s="77">
        <f>'EXTRACTION AT GLOBAL DEA'!D403</f>
        <v>0</v>
      </c>
      <c r="B405" s="77">
        <f>'EXTRACTION AT GLOBAL DEA'!E403</f>
        <v>0</v>
      </c>
      <c r="C405" s="77">
        <f>'EXTRACTION AT GLOBAL DEA'!F403</f>
        <v>0</v>
      </c>
      <c r="D405" s="77">
        <f>'EXTRACTION AT GLOBAL DEA'!I403</f>
        <v>0</v>
      </c>
      <c r="E405" s="66">
        <f>'EXTRACTION AT GLOBAL DEA'!G403</f>
        <v>0</v>
      </c>
      <c r="F405" s="84" t="str">
        <f t="shared" si="16"/>
        <v/>
      </c>
      <c r="G405" s="77">
        <f>'EXTRACTION AT GLOBAL DEA'!K403</f>
        <v>0</v>
      </c>
      <c r="H405" s="77">
        <f>'EXTRACTION AT GLOBAL DEA'!N403</f>
        <v>0</v>
      </c>
      <c r="I405" s="77">
        <f>'EXTRACTION AT GLOBAL DEA'!L403</f>
        <v>0</v>
      </c>
      <c r="J405" s="77">
        <f>'EXTRACTION AT GLOBAL DEA'!M403</f>
        <v>0</v>
      </c>
      <c r="K405" s="77"/>
      <c r="L405" s="77"/>
      <c r="M405" s="78">
        <f>'EXTRACTION AT GLOBAL DEA'!B403</f>
        <v>0</v>
      </c>
      <c r="N405" s="77" t="str">
        <f t="shared" si="17"/>
        <v>janvier</v>
      </c>
      <c r="O405" s="65"/>
      <c r="P405" s="67"/>
      <c r="Q405" s="67"/>
      <c r="R405" s="67"/>
      <c r="S405" s="67"/>
      <c r="T405" s="67"/>
      <c r="U405" s="67"/>
      <c r="V405" s="67"/>
      <c r="W405" s="67"/>
      <c r="X405" s="67"/>
      <c r="Y405" s="67"/>
      <c r="Z405" s="67"/>
      <c r="AA405" s="67"/>
      <c r="AB405" s="68"/>
    </row>
    <row r="406" spans="1:28" hidden="1" x14ac:dyDescent="0.25">
      <c r="A406" s="77">
        <f>'EXTRACTION AT GLOBAL DEA'!D404</f>
        <v>0</v>
      </c>
      <c r="B406" s="77">
        <f>'EXTRACTION AT GLOBAL DEA'!E404</f>
        <v>0</v>
      </c>
      <c r="C406" s="77">
        <f>'EXTRACTION AT GLOBAL DEA'!F404</f>
        <v>0</v>
      </c>
      <c r="D406" s="77">
        <f>'EXTRACTION AT GLOBAL DEA'!I404</f>
        <v>0</v>
      </c>
      <c r="E406" s="66">
        <f>'EXTRACTION AT GLOBAL DEA'!G404</f>
        <v>0</v>
      </c>
      <c r="F406" s="84" t="str">
        <f t="shared" si="16"/>
        <v/>
      </c>
      <c r="G406" s="77">
        <f>'EXTRACTION AT GLOBAL DEA'!K404</f>
        <v>0</v>
      </c>
      <c r="H406" s="77">
        <f>'EXTRACTION AT GLOBAL DEA'!N404</f>
        <v>0</v>
      </c>
      <c r="I406" s="77">
        <f>'EXTRACTION AT GLOBAL DEA'!L404</f>
        <v>0</v>
      </c>
      <c r="J406" s="77">
        <f>'EXTRACTION AT GLOBAL DEA'!M404</f>
        <v>0</v>
      </c>
      <c r="K406" s="77"/>
      <c r="L406" s="77"/>
      <c r="M406" s="78">
        <f>'EXTRACTION AT GLOBAL DEA'!B404</f>
        <v>0</v>
      </c>
      <c r="N406" s="77" t="str">
        <f t="shared" si="17"/>
        <v>janvier</v>
      </c>
      <c r="O406" s="65"/>
      <c r="P406" s="67"/>
      <c r="Q406" s="67"/>
      <c r="R406" s="67"/>
      <c r="S406" s="67"/>
      <c r="T406" s="67"/>
      <c r="U406" s="67"/>
      <c r="V406" s="67"/>
      <c r="W406" s="67"/>
      <c r="X406" s="67"/>
      <c r="Y406" s="67"/>
      <c r="Z406" s="67"/>
      <c r="AA406" s="67"/>
      <c r="AB406" s="68"/>
    </row>
    <row r="407" spans="1:28" hidden="1" x14ac:dyDescent="0.25">
      <c r="A407" s="77">
        <f>'EXTRACTION AT GLOBAL DEA'!D405</f>
        <v>0</v>
      </c>
      <c r="B407" s="77">
        <f>'EXTRACTION AT GLOBAL DEA'!E405</f>
        <v>0</v>
      </c>
      <c r="C407" s="77">
        <f>'EXTRACTION AT GLOBAL DEA'!F405</f>
        <v>0</v>
      </c>
      <c r="D407" s="77">
        <f>'EXTRACTION AT GLOBAL DEA'!I405</f>
        <v>0</v>
      </c>
      <c r="E407" s="66">
        <f>'EXTRACTION AT GLOBAL DEA'!G405</f>
        <v>0</v>
      </c>
      <c r="F407" s="84" t="str">
        <f t="shared" si="16"/>
        <v/>
      </c>
      <c r="G407" s="77">
        <f>'EXTRACTION AT GLOBAL DEA'!K405</f>
        <v>0</v>
      </c>
      <c r="H407" s="77">
        <f>'EXTRACTION AT GLOBAL DEA'!N405</f>
        <v>0</v>
      </c>
      <c r="I407" s="77">
        <f>'EXTRACTION AT GLOBAL DEA'!L405</f>
        <v>0</v>
      </c>
      <c r="J407" s="77">
        <f>'EXTRACTION AT GLOBAL DEA'!M405</f>
        <v>0</v>
      </c>
      <c r="K407" s="77"/>
      <c r="L407" s="77"/>
      <c r="M407" s="78">
        <f>'EXTRACTION AT GLOBAL DEA'!B405</f>
        <v>0</v>
      </c>
      <c r="N407" s="77" t="str">
        <f t="shared" si="17"/>
        <v>janvier</v>
      </c>
      <c r="O407" s="65"/>
      <c r="P407" s="67"/>
      <c r="Q407" s="67"/>
      <c r="R407" s="67"/>
      <c r="S407" s="67"/>
      <c r="T407" s="67"/>
      <c r="U407" s="67"/>
      <c r="V407" s="67"/>
      <c r="W407" s="67"/>
      <c r="X407" s="67"/>
      <c r="Y407" s="67"/>
      <c r="Z407" s="67"/>
      <c r="AA407" s="67"/>
      <c r="AB407" s="68"/>
    </row>
    <row r="408" spans="1:28" hidden="1" x14ac:dyDescent="0.25">
      <c r="A408" s="77">
        <f>'EXTRACTION AT GLOBAL DEA'!D406</f>
        <v>0</v>
      </c>
      <c r="B408" s="77">
        <f>'EXTRACTION AT GLOBAL DEA'!E406</f>
        <v>0</v>
      </c>
      <c r="C408" s="77">
        <f>'EXTRACTION AT GLOBAL DEA'!F406</f>
        <v>0</v>
      </c>
      <c r="D408" s="77">
        <f>'EXTRACTION AT GLOBAL DEA'!I406</f>
        <v>0</v>
      </c>
      <c r="E408" s="66">
        <f>'EXTRACTION AT GLOBAL DEA'!G406</f>
        <v>0</v>
      </c>
      <c r="F408" s="84" t="str">
        <f t="shared" si="16"/>
        <v/>
      </c>
      <c r="G408" s="77">
        <f>'EXTRACTION AT GLOBAL DEA'!K406</f>
        <v>0</v>
      </c>
      <c r="H408" s="77">
        <f>'EXTRACTION AT GLOBAL DEA'!N406</f>
        <v>0</v>
      </c>
      <c r="I408" s="77">
        <f>'EXTRACTION AT GLOBAL DEA'!L406</f>
        <v>0</v>
      </c>
      <c r="J408" s="77">
        <f>'EXTRACTION AT GLOBAL DEA'!M406</f>
        <v>0</v>
      </c>
      <c r="K408" s="77"/>
      <c r="L408" s="77"/>
      <c r="M408" s="78">
        <f>'EXTRACTION AT GLOBAL DEA'!B406</f>
        <v>0</v>
      </c>
      <c r="N408" s="77" t="str">
        <f t="shared" si="17"/>
        <v>janvier</v>
      </c>
      <c r="O408" s="65"/>
      <c r="P408" s="67"/>
      <c r="Q408" s="67"/>
      <c r="R408" s="67"/>
      <c r="S408" s="67"/>
      <c r="T408" s="67"/>
      <c r="U408" s="67"/>
      <c r="V408" s="67"/>
      <c r="W408" s="67"/>
      <c r="X408" s="67"/>
      <c r="Y408" s="67"/>
      <c r="Z408" s="67"/>
      <c r="AA408" s="67"/>
      <c r="AB408" s="68"/>
    </row>
    <row r="409" spans="1:28" hidden="1" x14ac:dyDescent="0.25">
      <c r="A409" s="77">
        <f>'EXTRACTION AT GLOBAL DEA'!D407</f>
        <v>0</v>
      </c>
      <c r="B409" s="77">
        <f>'EXTRACTION AT GLOBAL DEA'!E407</f>
        <v>0</v>
      </c>
      <c r="C409" s="77">
        <f>'EXTRACTION AT GLOBAL DEA'!F407</f>
        <v>0</v>
      </c>
      <c r="D409" s="77">
        <f>'EXTRACTION AT GLOBAL DEA'!I407</f>
        <v>0</v>
      </c>
      <c r="E409" s="66">
        <f>'EXTRACTION AT GLOBAL DEA'!G407</f>
        <v>0</v>
      </c>
      <c r="F409" s="84" t="str">
        <f t="shared" si="16"/>
        <v/>
      </c>
      <c r="G409" s="77">
        <f>'EXTRACTION AT GLOBAL DEA'!K407</f>
        <v>0</v>
      </c>
      <c r="H409" s="77">
        <f>'EXTRACTION AT GLOBAL DEA'!N407</f>
        <v>0</v>
      </c>
      <c r="I409" s="77">
        <f>'EXTRACTION AT GLOBAL DEA'!L407</f>
        <v>0</v>
      </c>
      <c r="J409" s="77">
        <f>'EXTRACTION AT GLOBAL DEA'!M407</f>
        <v>0</v>
      </c>
      <c r="K409" s="77"/>
      <c r="L409" s="77"/>
      <c r="M409" s="78">
        <f>'EXTRACTION AT GLOBAL DEA'!B407</f>
        <v>0</v>
      </c>
      <c r="N409" s="77" t="str">
        <f t="shared" si="17"/>
        <v>janvier</v>
      </c>
      <c r="O409" s="65"/>
      <c r="P409" s="67"/>
      <c r="Q409" s="67"/>
      <c r="R409" s="67"/>
      <c r="S409" s="67"/>
      <c r="T409" s="67"/>
      <c r="U409" s="67"/>
      <c r="V409" s="67"/>
      <c r="W409" s="67"/>
      <c r="X409" s="67"/>
      <c r="Y409" s="67"/>
      <c r="Z409" s="67"/>
      <c r="AA409" s="67"/>
      <c r="AB409" s="68"/>
    </row>
    <row r="410" spans="1:28" hidden="1" x14ac:dyDescent="0.25">
      <c r="A410" s="77">
        <f>'EXTRACTION AT GLOBAL DEA'!D408</f>
        <v>0</v>
      </c>
      <c r="B410" s="77">
        <f>'EXTRACTION AT GLOBAL DEA'!E408</f>
        <v>0</v>
      </c>
      <c r="C410" s="77">
        <f>'EXTRACTION AT GLOBAL DEA'!F408</f>
        <v>0</v>
      </c>
      <c r="D410" s="77">
        <f>'EXTRACTION AT GLOBAL DEA'!I408</f>
        <v>0</v>
      </c>
      <c r="E410" s="66">
        <f>'EXTRACTION AT GLOBAL DEA'!G408</f>
        <v>0</v>
      </c>
      <c r="F410" s="84" t="str">
        <f t="shared" si="16"/>
        <v/>
      </c>
      <c r="G410" s="77">
        <f>'EXTRACTION AT GLOBAL DEA'!K408</f>
        <v>0</v>
      </c>
      <c r="H410" s="77">
        <f>'EXTRACTION AT GLOBAL DEA'!N408</f>
        <v>0</v>
      </c>
      <c r="I410" s="77">
        <f>'EXTRACTION AT GLOBAL DEA'!L408</f>
        <v>0</v>
      </c>
      <c r="J410" s="77">
        <f>'EXTRACTION AT GLOBAL DEA'!M408</f>
        <v>0</v>
      </c>
      <c r="K410" s="77"/>
      <c r="L410" s="77"/>
      <c r="M410" s="78">
        <f>'EXTRACTION AT GLOBAL DEA'!B408</f>
        <v>0</v>
      </c>
      <c r="N410" s="77" t="str">
        <f t="shared" si="17"/>
        <v>janvier</v>
      </c>
      <c r="O410" s="65"/>
      <c r="P410" s="67"/>
      <c r="Q410" s="67"/>
      <c r="R410" s="67"/>
      <c r="S410" s="67"/>
      <c r="T410" s="67"/>
      <c r="U410" s="67"/>
      <c r="V410" s="67"/>
      <c r="W410" s="67"/>
      <c r="X410" s="67"/>
      <c r="Y410" s="67"/>
      <c r="Z410" s="67"/>
      <c r="AA410" s="67"/>
      <c r="AB410" s="68"/>
    </row>
    <row r="411" spans="1:28" hidden="1" x14ac:dyDescent="0.25">
      <c r="A411" s="77">
        <f>'EXTRACTION AT GLOBAL DEA'!D409</f>
        <v>0</v>
      </c>
      <c r="B411" s="77">
        <f>'EXTRACTION AT GLOBAL DEA'!E409</f>
        <v>0</v>
      </c>
      <c r="C411" s="77">
        <f>'EXTRACTION AT GLOBAL DEA'!F409</f>
        <v>0</v>
      </c>
      <c r="D411" s="77">
        <f>'EXTRACTION AT GLOBAL DEA'!I409</f>
        <v>0</v>
      </c>
      <c r="E411" s="66">
        <f>'EXTRACTION AT GLOBAL DEA'!G409</f>
        <v>0</v>
      </c>
      <c r="F411" s="84" t="str">
        <f t="shared" si="16"/>
        <v/>
      </c>
      <c r="G411" s="77">
        <f>'EXTRACTION AT GLOBAL DEA'!K409</f>
        <v>0</v>
      </c>
      <c r="H411" s="77">
        <f>'EXTRACTION AT GLOBAL DEA'!N409</f>
        <v>0</v>
      </c>
      <c r="I411" s="77">
        <f>'EXTRACTION AT GLOBAL DEA'!L409</f>
        <v>0</v>
      </c>
      <c r="J411" s="77">
        <f>'EXTRACTION AT GLOBAL DEA'!M409</f>
        <v>0</v>
      </c>
      <c r="K411" s="77"/>
      <c r="L411" s="77"/>
      <c r="M411" s="78">
        <f>'EXTRACTION AT GLOBAL DEA'!B409</f>
        <v>0</v>
      </c>
      <c r="N411" s="77" t="str">
        <f t="shared" si="17"/>
        <v>janvier</v>
      </c>
      <c r="O411" s="65"/>
      <c r="P411" s="67"/>
      <c r="Q411" s="67"/>
      <c r="R411" s="67"/>
      <c r="S411" s="67"/>
      <c r="T411" s="67"/>
      <c r="U411" s="67"/>
      <c r="V411" s="67"/>
      <c r="W411" s="67"/>
      <c r="X411" s="67"/>
      <c r="Y411" s="67"/>
      <c r="Z411" s="67"/>
      <c r="AA411" s="67"/>
      <c r="AB411" s="68"/>
    </row>
    <row r="412" spans="1:28" hidden="1" x14ac:dyDescent="0.25">
      <c r="A412" s="77">
        <f>'EXTRACTION AT GLOBAL DEA'!D410</f>
        <v>0</v>
      </c>
      <c r="B412" s="77">
        <f>'EXTRACTION AT GLOBAL DEA'!E410</f>
        <v>0</v>
      </c>
      <c r="C412" s="77">
        <f>'EXTRACTION AT GLOBAL DEA'!F410</f>
        <v>0</v>
      </c>
      <c r="D412" s="77">
        <f>'EXTRACTION AT GLOBAL DEA'!I410</f>
        <v>0</v>
      </c>
      <c r="E412" s="66">
        <f>'EXTRACTION AT GLOBAL DEA'!G410</f>
        <v>0</v>
      </c>
      <c r="F412" s="84" t="str">
        <f t="shared" si="16"/>
        <v/>
      </c>
      <c r="G412" s="77">
        <f>'EXTRACTION AT GLOBAL DEA'!K410</f>
        <v>0</v>
      </c>
      <c r="H412" s="77">
        <f>'EXTRACTION AT GLOBAL DEA'!N410</f>
        <v>0</v>
      </c>
      <c r="I412" s="77">
        <f>'EXTRACTION AT GLOBAL DEA'!L410</f>
        <v>0</v>
      </c>
      <c r="J412" s="77">
        <f>'EXTRACTION AT GLOBAL DEA'!M410</f>
        <v>0</v>
      </c>
      <c r="K412" s="77"/>
      <c r="L412" s="77"/>
      <c r="M412" s="78">
        <f>'EXTRACTION AT GLOBAL DEA'!B410</f>
        <v>0</v>
      </c>
      <c r="N412" s="77" t="str">
        <f t="shared" si="17"/>
        <v>janvier</v>
      </c>
      <c r="O412" s="65"/>
      <c r="P412" s="67"/>
      <c r="Q412" s="67"/>
      <c r="R412" s="67"/>
      <c r="S412" s="67"/>
      <c r="T412" s="67"/>
      <c r="U412" s="67"/>
      <c r="V412" s="67"/>
      <c r="W412" s="67"/>
      <c r="X412" s="67"/>
      <c r="Y412" s="67"/>
      <c r="Z412" s="67"/>
      <c r="AA412" s="67"/>
      <c r="AB412" s="68"/>
    </row>
    <row r="413" spans="1:28" hidden="1" x14ac:dyDescent="0.25">
      <c r="A413" s="77">
        <f>'EXTRACTION AT GLOBAL DEA'!D411</f>
        <v>0</v>
      </c>
      <c r="B413" s="77">
        <f>'EXTRACTION AT GLOBAL DEA'!E411</f>
        <v>0</v>
      </c>
      <c r="C413" s="77">
        <f>'EXTRACTION AT GLOBAL DEA'!F411</f>
        <v>0</v>
      </c>
      <c r="D413" s="77">
        <f>'EXTRACTION AT GLOBAL DEA'!I411</f>
        <v>0</v>
      </c>
      <c r="E413" s="66">
        <f>'EXTRACTION AT GLOBAL DEA'!G411</f>
        <v>0</v>
      </c>
      <c r="F413" s="84" t="str">
        <f t="shared" si="16"/>
        <v/>
      </c>
      <c r="G413" s="77">
        <f>'EXTRACTION AT GLOBAL DEA'!K411</f>
        <v>0</v>
      </c>
      <c r="H413" s="77">
        <f>'EXTRACTION AT GLOBAL DEA'!N411</f>
        <v>0</v>
      </c>
      <c r="I413" s="77">
        <f>'EXTRACTION AT GLOBAL DEA'!L411</f>
        <v>0</v>
      </c>
      <c r="J413" s="77">
        <f>'EXTRACTION AT GLOBAL DEA'!M411</f>
        <v>0</v>
      </c>
      <c r="K413" s="77"/>
      <c r="L413" s="77"/>
      <c r="M413" s="78">
        <f>'EXTRACTION AT GLOBAL DEA'!B411</f>
        <v>0</v>
      </c>
      <c r="N413" s="77" t="str">
        <f t="shared" si="17"/>
        <v>janvier</v>
      </c>
      <c r="O413" s="65"/>
      <c r="P413" s="67"/>
      <c r="Q413" s="67"/>
      <c r="R413" s="67"/>
      <c r="S413" s="67"/>
      <c r="T413" s="67"/>
      <c r="U413" s="67"/>
      <c r="V413" s="67"/>
      <c r="W413" s="67"/>
      <c r="X413" s="67"/>
      <c r="Y413" s="67"/>
      <c r="Z413" s="67"/>
      <c r="AA413" s="67"/>
      <c r="AB413" s="68"/>
    </row>
    <row r="414" spans="1:28" hidden="1" x14ac:dyDescent="0.25">
      <c r="A414" s="77">
        <f>'EXTRACTION AT GLOBAL DEA'!D412</f>
        <v>0</v>
      </c>
      <c r="B414" s="77">
        <f>'EXTRACTION AT GLOBAL DEA'!E412</f>
        <v>0</v>
      </c>
      <c r="C414" s="77">
        <f>'EXTRACTION AT GLOBAL DEA'!F412</f>
        <v>0</v>
      </c>
      <c r="D414" s="77">
        <f>'EXTRACTION AT GLOBAL DEA'!I412</f>
        <v>0</v>
      </c>
      <c r="E414" s="66">
        <f>'EXTRACTION AT GLOBAL DEA'!G412</f>
        <v>0</v>
      </c>
      <c r="F414" s="84" t="str">
        <f t="shared" si="16"/>
        <v/>
      </c>
      <c r="G414" s="77">
        <f>'EXTRACTION AT GLOBAL DEA'!K412</f>
        <v>0</v>
      </c>
      <c r="H414" s="77">
        <f>'EXTRACTION AT GLOBAL DEA'!N412</f>
        <v>0</v>
      </c>
      <c r="I414" s="77">
        <f>'EXTRACTION AT GLOBAL DEA'!L412</f>
        <v>0</v>
      </c>
      <c r="J414" s="77">
        <f>'EXTRACTION AT GLOBAL DEA'!M412</f>
        <v>0</v>
      </c>
      <c r="K414" s="77"/>
      <c r="L414" s="77"/>
      <c r="M414" s="78">
        <f>'EXTRACTION AT GLOBAL DEA'!B412</f>
        <v>0</v>
      </c>
      <c r="N414" s="77" t="str">
        <f t="shared" si="17"/>
        <v>janvier</v>
      </c>
      <c r="O414" s="65"/>
      <c r="P414" s="67"/>
      <c r="Q414" s="67"/>
      <c r="R414" s="67"/>
      <c r="S414" s="67"/>
      <c r="T414" s="67"/>
      <c r="U414" s="67"/>
      <c r="V414" s="67"/>
      <c r="W414" s="67"/>
      <c r="X414" s="67"/>
      <c r="Y414" s="67"/>
      <c r="Z414" s="67"/>
      <c r="AA414" s="67"/>
      <c r="AB414" s="68"/>
    </row>
    <row r="415" spans="1:28" hidden="1" x14ac:dyDescent="0.25">
      <c r="A415" s="77">
        <f>'EXTRACTION AT GLOBAL DEA'!D413</f>
        <v>0</v>
      </c>
      <c r="B415" s="77">
        <f>'EXTRACTION AT GLOBAL DEA'!E413</f>
        <v>0</v>
      </c>
      <c r="C415" s="77">
        <f>'EXTRACTION AT GLOBAL DEA'!F413</f>
        <v>0</v>
      </c>
      <c r="D415" s="77">
        <f>'EXTRACTION AT GLOBAL DEA'!I413</f>
        <v>0</v>
      </c>
      <c r="E415" s="66">
        <f>'EXTRACTION AT GLOBAL DEA'!G413</f>
        <v>0</v>
      </c>
      <c r="F415" s="84" t="str">
        <f t="shared" si="16"/>
        <v/>
      </c>
      <c r="G415" s="77">
        <f>'EXTRACTION AT GLOBAL DEA'!K413</f>
        <v>0</v>
      </c>
      <c r="H415" s="77">
        <f>'EXTRACTION AT GLOBAL DEA'!N413</f>
        <v>0</v>
      </c>
      <c r="I415" s="77">
        <f>'EXTRACTION AT GLOBAL DEA'!L413</f>
        <v>0</v>
      </c>
      <c r="J415" s="77">
        <f>'EXTRACTION AT GLOBAL DEA'!M413</f>
        <v>0</v>
      </c>
      <c r="K415" s="77"/>
      <c r="L415" s="77"/>
      <c r="M415" s="78">
        <f>'EXTRACTION AT GLOBAL DEA'!B413</f>
        <v>0</v>
      </c>
      <c r="N415" s="77" t="str">
        <f t="shared" si="17"/>
        <v>janvier</v>
      </c>
      <c r="O415" s="65"/>
      <c r="P415" s="67"/>
      <c r="Q415" s="67"/>
      <c r="R415" s="67"/>
      <c r="S415" s="67"/>
      <c r="T415" s="67"/>
      <c r="U415" s="67"/>
      <c r="V415" s="67"/>
      <c r="W415" s="67"/>
      <c r="X415" s="67"/>
      <c r="Y415" s="67"/>
      <c r="Z415" s="67"/>
      <c r="AA415" s="67"/>
      <c r="AB415" s="68"/>
    </row>
    <row r="416" spans="1:28" hidden="1" x14ac:dyDescent="0.25">
      <c r="A416" s="77">
        <f>'EXTRACTION AT GLOBAL DEA'!D414</f>
        <v>0</v>
      </c>
      <c r="B416" s="77">
        <f>'EXTRACTION AT GLOBAL DEA'!E414</f>
        <v>0</v>
      </c>
      <c r="C416" s="77">
        <f>'EXTRACTION AT GLOBAL DEA'!F414</f>
        <v>0</v>
      </c>
      <c r="D416" s="77">
        <f>'EXTRACTION AT GLOBAL DEA'!I414</f>
        <v>0</v>
      </c>
      <c r="E416" s="66">
        <f>'EXTRACTION AT GLOBAL DEA'!G414</f>
        <v>0</v>
      </c>
      <c r="F416" s="84" t="str">
        <f t="shared" si="16"/>
        <v/>
      </c>
      <c r="G416" s="77">
        <f>'EXTRACTION AT GLOBAL DEA'!K414</f>
        <v>0</v>
      </c>
      <c r="H416" s="77">
        <f>'EXTRACTION AT GLOBAL DEA'!N414</f>
        <v>0</v>
      </c>
      <c r="I416" s="77">
        <f>'EXTRACTION AT GLOBAL DEA'!L414</f>
        <v>0</v>
      </c>
      <c r="J416" s="77">
        <f>'EXTRACTION AT GLOBAL DEA'!M414</f>
        <v>0</v>
      </c>
      <c r="K416" s="77"/>
      <c r="L416" s="77"/>
      <c r="M416" s="78">
        <f>'EXTRACTION AT GLOBAL DEA'!B414</f>
        <v>0</v>
      </c>
      <c r="N416" s="77" t="str">
        <f t="shared" si="17"/>
        <v>janvier</v>
      </c>
      <c r="O416" s="65"/>
      <c r="P416" s="67"/>
      <c r="Q416" s="67"/>
      <c r="R416" s="67"/>
      <c r="S416" s="67"/>
      <c r="T416" s="67"/>
      <c r="U416" s="67"/>
      <c r="V416" s="67"/>
      <c r="W416" s="67"/>
      <c r="X416" s="67"/>
      <c r="Y416" s="67"/>
      <c r="Z416" s="67"/>
      <c r="AA416" s="67"/>
      <c r="AB416" s="68"/>
    </row>
    <row r="417" spans="1:28" hidden="1" x14ac:dyDescent="0.25">
      <c r="A417" s="77">
        <f>'EXTRACTION AT GLOBAL DEA'!D415</f>
        <v>0</v>
      </c>
      <c r="B417" s="77">
        <f>'EXTRACTION AT GLOBAL DEA'!E415</f>
        <v>0</v>
      </c>
      <c r="C417" s="77">
        <f>'EXTRACTION AT GLOBAL DEA'!F415</f>
        <v>0</v>
      </c>
      <c r="D417" s="77">
        <f>'EXTRACTION AT GLOBAL DEA'!I415</f>
        <v>0</v>
      </c>
      <c r="E417" s="66">
        <f>'EXTRACTION AT GLOBAL DEA'!G415</f>
        <v>0</v>
      </c>
      <c r="F417" s="84" t="str">
        <f t="shared" si="16"/>
        <v/>
      </c>
      <c r="G417" s="77">
        <f>'EXTRACTION AT GLOBAL DEA'!K415</f>
        <v>0</v>
      </c>
      <c r="H417" s="77">
        <f>'EXTRACTION AT GLOBAL DEA'!N415</f>
        <v>0</v>
      </c>
      <c r="I417" s="77">
        <f>'EXTRACTION AT GLOBAL DEA'!L415</f>
        <v>0</v>
      </c>
      <c r="J417" s="77">
        <f>'EXTRACTION AT GLOBAL DEA'!M415</f>
        <v>0</v>
      </c>
      <c r="K417" s="77"/>
      <c r="L417" s="77"/>
      <c r="M417" s="78">
        <f>'EXTRACTION AT GLOBAL DEA'!B415</f>
        <v>0</v>
      </c>
      <c r="N417" s="77" t="str">
        <f t="shared" si="17"/>
        <v>janvier</v>
      </c>
      <c r="O417" s="65"/>
      <c r="P417" s="67"/>
      <c r="Q417" s="67"/>
      <c r="R417" s="67"/>
      <c r="S417" s="67"/>
      <c r="T417" s="67"/>
      <c r="U417" s="67"/>
      <c r="V417" s="67"/>
      <c r="W417" s="67"/>
      <c r="X417" s="67"/>
      <c r="Y417" s="67"/>
      <c r="Z417" s="67"/>
      <c r="AA417" s="67"/>
      <c r="AB417" s="68"/>
    </row>
    <row r="418" spans="1:28" hidden="1" x14ac:dyDescent="0.25">
      <c r="A418" s="77">
        <f>'EXTRACTION AT GLOBAL DEA'!D416</f>
        <v>0</v>
      </c>
      <c r="B418" s="77">
        <f>'EXTRACTION AT GLOBAL DEA'!E416</f>
        <v>0</v>
      </c>
      <c r="C418" s="77">
        <f>'EXTRACTION AT GLOBAL DEA'!F416</f>
        <v>0</v>
      </c>
      <c r="D418" s="77">
        <f>'EXTRACTION AT GLOBAL DEA'!I416</f>
        <v>0</v>
      </c>
      <c r="E418" s="66">
        <f>'EXTRACTION AT GLOBAL DEA'!G416</f>
        <v>0</v>
      </c>
      <c r="F418" s="84" t="str">
        <f t="shared" si="16"/>
        <v/>
      </c>
      <c r="G418" s="77">
        <f>'EXTRACTION AT GLOBAL DEA'!K416</f>
        <v>0</v>
      </c>
      <c r="H418" s="77">
        <f>'EXTRACTION AT GLOBAL DEA'!N416</f>
        <v>0</v>
      </c>
      <c r="I418" s="77">
        <f>'EXTRACTION AT GLOBAL DEA'!L416</f>
        <v>0</v>
      </c>
      <c r="J418" s="77">
        <f>'EXTRACTION AT GLOBAL DEA'!M416</f>
        <v>0</v>
      </c>
      <c r="K418" s="77"/>
      <c r="L418" s="77"/>
      <c r="M418" s="78">
        <f>'EXTRACTION AT GLOBAL DEA'!B416</f>
        <v>0</v>
      </c>
      <c r="N418" s="77" t="str">
        <f t="shared" si="17"/>
        <v>janvier</v>
      </c>
      <c r="O418" s="65"/>
      <c r="P418" s="67"/>
      <c r="Q418" s="67"/>
      <c r="R418" s="67"/>
      <c r="S418" s="67"/>
      <c r="T418" s="67"/>
      <c r="U418" s="67"/>
      <c r="V418" s="67"/>
      <c r="W418" s="67"/>
      <c r="X418" s="67"/>
      <c r="Y418" s="67"/>
      <c r="Z418" s="67"/>
      <c r="AA418" s="67"/>
      <c r="AB418" s="68"/>
    </row>
    <row r="419" spans="1:28" hidden="1" x14ac:dyDescent="0.25">
      <c r="A419" s="77">
        <f>'EXTRACTION AT GLOBAL DEA'!D417</f>
        <v>0</v>
      </c>
      <c r="B419" s="77">
        <f>'EXTRACTION AT GLOBAL DEA'!E417</f>
        <v>0</v>
      </c>
      <c r="C419" s="77">
        <f>'EXTRACTION AT GLOBAL DEA'!F417</f>
        <v>0</v>
      </c>
      <c r="D419" s="77">
        <f>'EXTRACTION AT GLOBAL DEA'!I417</f>
        <v>0</v>
      </c>
      <c r="E419" s="66">
        <f>'EXTRACTION AT GLOBAL DEA'!G417</f>
        <v>0</v>
      </c>
      <c r="F419" s="84" t="str">
        <f t="shared" si="16"/>
        <v/>
      </c>
      <c r="G419" s="77">
        <f>'EXTRACTION AT GLOBAL DEA'!K417</f>
        <v>0</v>
      </c>
      <c r="H419" s="77">
        <f>'EXTRACTION AT GLOBAL DEA'!N417</f>
        <v>0</v>
      </c>
      <c r="I419" s="77">
        <f>'EXTRACTION AT GLOBAL DEA'!L417</f>
        <v>0</v>
      </c>
      <c r="J419" s="77">
        <f>'EXTRACTION AT GLOBAL DEA'!M417</f>
        <v>0</v>
      </c>
      <c r="K419" s="77"/>
      <c r="L419" s="77"/>
      <c r="M419" s="78">
        <f>'EXTRACTION AT GLOBAL DEA'!B417</f>
        <v>0</v>
      </c>
      <c r="N419" s="77" t="str">
        <f t="shared" si="17"/>
        <v>janvier</v>
      </c>
      <c r="O419" s="65"/>
      <c r="P419" s="67"/>
      <c r="Q419" s="67"/>
      <c r="R419" s="67"/>
      <c r="S419" s="67"/>
      <c r="T419" s="67"/>
      <c r="U419" s="67"/>
      <c r="V419" s="67"/>
      <c r="W419" s="67"/>
      <c r="X419" s="67"/>
      <c r="Y419" s="67"/>
      <c r="Z419" s="67"/>
      <c r="AA419" s="67"/>
      <c r="AB419" s="68"/>
    </row>
    <row r="420" spans="1:28" hidden="1" x14ac:dyDescent="0.25">
      <c r="A420" s="77">
        <f>'EXTRACTION AT GLOBAL DEA'!D418</f>
        <v>0</v>
      </c>
      <c r="B420" s="77">
        <f>'EXTRACTION AT GLOBAL DEA'!E418</f>
        <v>0</v>
      </c>
      <c r="C420" s="77">
        <f>'EXTRACTION AT GLOBAL DEA'!F418</f>
        <v>0</v>
      </c>
      <c r="D420" s="77">
        <f>'EXTRACTION AT GLOBAL DEA'!I418</f>
        <v>0</v>
      </c>
      <c r="E420" s="66">
        <f>'EXTRACTION AT GLOBAL DEA'!G418</f>
        <v>0</v>
      </c>
      <c r="F420" s="84" t="str">
        <f t="shared" si="16"/>
        <v/>
      </c>
      <c r="G420" s="77">
        <f>'EXTRACTION AT GLOBAL DEA'!K418</f>
        <v>0</v>
      </c>
      <c r="H420" s="77">
        <f>'EXTRACTION AT GLOBAL DEA'!N418</f>
        <v>0</v>
      </c>
      <c r="I420" s="77">
        <f>'EXTRACTION AT GLOBAL DEA'!L418</f>
        <v>0</v>
      </c>
      <c r="J420" s="77">
        <f>'EXTRACTION AT GLOBAL DEA'!M418</f>
        <v>0</v>
      </c>
      <c r="K420" s="77"/>
      <c r="L420" s="77"/>
      <c r="M420" s="78">
        <f>'EXTRACTION AT GLOBAL DEA'!B418</f>
        <v>0</v>
      </c>
      <c r="N420" s="77" t="str">
        <f t="shared" si="17"/>
        <v>janvier</v>
      </c>
      <c r="O420" s="65"/>
      <c r="P420" s="67"/>
      <c r="Q420" s="67"/>
      <c r="R420" s="67"/>
      <c r="S420" s="67"/>
      <c r="T420" s="67"/>
      <c r="U420" s="67"/>
      <c r="V420" s="67"/>
      <c r="W420" s="67"/>
      <c r="X420" s="67"/>
      <c r="Y420" s="67"/>
      <c r="Z420" s="67"/>
      <c r="AA420" s="67"/>
      <c r="AB420" s="68"/>
    </row>
    <row r="421" spans="1:28" hidden="1" x14ac:dyDescent="0.25">
      <c r="A421" s="77">
        <f>'EXTRACTION AT GLOBAL DEA'!D419</f>
        <v>0</v>
      </c>
      <c r="B421" s="77">
        <f>'EXTRACTION AT GLOBAL DEA'!E419</f>
        <v>0</v>
      </c>
      <c r="C421" s="77">
        <f>'EXTRACTION AT GLOBAL DEA'!F419</f>
        <v>0</v>
      </c>
      <c r="D421" s="77">
        <f>'EXTRACTION AT GLOBAL DEA'!I419</f>
        <v>0</v>
      </c>
      <c r="E421" s="66">
        <f>'EXTRACTION AT GLOBAL DEA'!G419</f>
        <v>0</v>
      </c>
      <c r="F421" s="84" t="str">
        <f t="shared" si="16"/>
        <v/>
      </c>
      <c r="G421" s="77">
        <f>'EXTRACTION AT GLOBAL DEA'!K419</f>
        <v>0</v>
      </c>
      <c r="H421" s="77">
        <f>'EXTRACTION AT GLOBAL DEA'!N419</f>
        <v>0</v>
      </c>
      <c r="I421" s="77">
        <f>'EXTRACTION AT GLOBAL DEA'!L419</f>
        <v>0</v>
      </c>
      <c r="J421" s="77">
        <f>'EXTRACTION AT GLOBAL DEA'!M419</f>
        <v>0</v>
      </c>
      <c r="K421" s="77"/>
      <c r="L421" s="77"/>
      <c r="M421" s="78">
        <f>'EXTRACTION AT GLOBAL DEA'!B419</f>
        <v>0</v>
      </c>
      <c r="N421" s="77" t="str">
        <f t="shared" si="17"/>
        <v>janvier</v>
      </c>
      <c r="O421" s="65"/>
      <c r="P421" s="67"/>
      <c r="Q421" s="67"/>
      <c r="R421" s="67"/>
      <c r="S421" s="67"/>
      <c r="T421" s="67"/>
      <c r="U421" s="67"/>
      <c r="V421" s="67"/>
      <c r="W421" s="67"/>
      <c r="X421" s="67"/>
      <c r="Y421" s="67"/>
      <c r="Z421" s="67"/>
      <c r="AA421" s="67"/>
      <c r="AB421" s="68"/>
    </row>
    <row r="422" spans="1:28" hidden="1" x14ac:dyDescent="0.25">
      <c r="A422" s="77">
        <f>'EXTRACTION AT GLOBAL DEA'!D420</f>
        <v>0</v>
      </c>
      <c r="B422" s="77">
        <f>'EXTRACTION AT GLOBAL DEA'!E420</f>
        <v>0</v>
      </c>
      <c r="C422" s="77">
        <f>'EXTRACTION AT GLOBAL DEA'!F420</f>
        <v>0</v>
      </c>
      <c r="D422" s="77">
        <f>'EXTRACTION AT GLOBAL DEA'!I420</f>
        <v>0</v>
      </c>
      <c r="E422" s="66">
        <f>'EXTRACTION AT GLOBAL DEA'!G420</f>
        <v>0</v>
      </c>
      <c r="F422" s="84" t="str">
        <f t="shared" si="16"/>
        <v/>
      </c>
      <c r="G422" s="77">
        <f>'EXTRACTION AT GLOBAL DEA'!K420</f>
        <v>0</v>
      </c>
      <c r="H422" s="77">
        <f>'EXTRACTION AT GLOBAL DEA'!N420</f>
        <v>0</v>
      </c>
      <c r="I422" s="77">
        <f>'EXTRACTION AT GLOBAL DEA'!L420</f>
        <v>0</v>
      </c>
      <c r="J422" s="77">
        <f>'EXTRACTION AT GLOBAL DEA'!M420</f>
        <v>0</v>
      </c>
      <c r="K422" s="77"/>
      <c r="L422" s="77"/>
      <c r="M422" s="78">
        <f>'EXTRACTION AT GLOBAL DEA'!B420</f>
        <v>0</v>
      </c>
      <c r="N422" s="77" t="str">
        <f t="shared" si="17"/>
        <v>janvier</v>
      </c>
      <c r="O422" s="65"/>
      <c r="P422" s="67"/>
      <c r="Q422" s="67"/>
      <c r="R422" s="67"/>
      <c r="S422" s="67"/>
      <c r="T422" s="67"/>
      <c r="U422" s="67"/>
      <c r="V422" s="67"/>
      <c r="W422" s="67"/>
      <c r="X422" s="67"/>
      <c r="Y422" s="67"/>
      <c r="Z422" s="67"/>
      <c r="AA422" s="67"/>
      <c r="AB422" s="68"/>
    </row>
    <row r="423" spans="1:28" hidden="1" x14ac:dyDescent="0.25">
      <c r="A423" s="77">
        <f>'EXTRACTION AT GLOBAL DEA'!D421</f>
        <v>0</v>
      </c>
      <c r="B423" s="77">
        <f>'EXTRACTION AT GLOBAL DEA'!E421</f>
        <v>0</v>
      </c>
      <c r="C423" s="77">
        <f>'EXTRACTION AT GLOBAL DEA'!F421</f>
        <v>0</v>
      </c>
      <c r="D423" s="77">
        <f>'EXTRACTION AT GLOBAL DEA'!I421</f>
        <v>0</v>
      </c>
      <c r="E423" s="66">
        <f>'EXTRACTION AT GLOBAL DEA'!G421</f>
        <v>0</v>
      </c>
      <c r="F423" s="84" t="str">
        <f t="shared" si="16"/>
        <v/>
      </c>
      <c r="G423" s="77">
        <f>'EXTRACTION AT GLOBAL DEA'!K421</f>
        <v>0</v>
      </c>
      <c r="H423" s="77">
        <f>'EXTRACTION AT GLOBAL DEA'!N421</f>
        <v>0</v>
      </c>
      <c r="I423" s="77">
        <f>'EXTRACTION AT GLOBAL DEA'!L421</f>
        <v>0</v>
      </c>
      <c r="J423" s="77">
        <f>'EXTRACTION AT GLOBAL DEA'!M421</f>
        <v>0</v>
      </c>
      <c r="K423" s="77"/>
      <c r="L423" s="77"/>
      <c r="M423" s="78">
        <f>'EXTRACTION AT GLOBAL DEA'!B421</f>
        <v>0</v>
      </c>
      <c r="N423" s="77" t="str">
        <f t="shared" si="17"/>
        <v>janvier</v>
      </c>
      <c r="O423" s="65"/>
      <c r="P423" s="67"/>
      <c r="Q423" s="67"/>
      <c r="R423" s="67"/>
      <c r="S423" s="67"/>
      <c r="T423" s="67"/>
      <c r="U423" s="67"/>
      <c r="V423" s="67"/>
      <c r="W423" s="67"/>
      <c r="X423" s="67"/>
      <c r="Y423" s="67"/>
      <c r="Z423" s="67"/>
      <c r="AA423" s="67"/>
      <c r="AB423" s="68"/>
    </row>
    <row r="424" spans="1:28" hidden="1" x14ac:dyDescent="0.25">
      <c r="A424" s="77">
        <f>'EXTRACTION AT GLOBAL DEA'!D422</f>
        <v>0</v>
      </c>
      <c r="B424" s="77">
        <f>'EXTRACTION AT GLOBAL DEA'!E422</f>
        <v>0</v>
      </c>
      <c r="C424" s="77">
        <f>'EXTRACTION AT GLOBAL DEA'!F422</f>
        <v>0</v>
      </c>
      <c r="D424" s="77">
        <f>'EXTRACTION AT GLOBAL DEA'!I422</f>
        <v>0</v>
      </c>
      <c r="E424" s="66">
        <f>'EXTRACTION AT GLOBAL DEA'!G422</f>
        <v>0</v>
      </c>
      <c r="F424" s="84" t="str">
        <f t="shared" si="16"/>
        <v/>
      </c>
      <c r="G424" s="77">
        <f>'EXTRACTION AT GLOBAL DEA'!K422</f>
        <v>0</v>
      </c>
      <c r="H424" s="77">
        <f>'EXTRACTION AT GLOBAL DEA'!N422</f>
        <v>0</v>
      </c>
      <c r="I424" s="77">
        <f>'EXTRACTION AT GLOBAL DEA'!L422</f>
        <v>0</v>
      </c>
      <c r="J424" s="77">
        <f>'EXTRACTION AT GLOBAL DEA'!M422</f>
        <v>0</v>
      </c>
      <c r="K424" s="77"/>
      <c r="L424" s="77"/>
      <c r="M424" s="78">
        <f>'EXTRACTION AT GLOBAL DEA'!B422</f>
        <v>0</v>
      </c>
      <c r="N424" s="77" t="str">
        <f t="shared" si="17"/>
        <v>janvier</v>
      </c>
      <c r="O424" s="65"/>
      <c r="P424" s="67"/>
      <c r="Q424" s="67"/>
      <c r="R424" s="67"/>
      <c r="S424" s="67"/>
      <c r="T424" s="67"/>
      <c r="U424" s="67"/>
      <c r="V424" s="67"/>
      <c r="W424" s="67"/>
      <c r="X424" s="67"/>
      <c r="Y424" s="67"/>
      <c r="Z424" s="67"/>
      <c r="AA424" s="67"/>
      <c r="AB424" s="68"/>
    </row>
    <row r="425" spans="1:28" hidden="1" x14ac:dyDescent="0.25">
      <c r="A425" s="77">
        <f>'EXTRACTION AT GLOBAL DEA'!D423</f>
        <v>0</v>
      </c>
      <c r="B425" s="77">
        <f>'EXTRACTION AT GLOBAL DEA'!E423</f>
        <v>0</v>
      </c>
      <c r="C425" s="77">
        <f>'EXTRACTION AT GLOBAL DEA'!F423</f>
        <v>0</v>
      </c>
      <c r="D425" s="77">
        <f>'EXTRACTION AT GLOBAL DEA'!I423</f>
        <v>0</v>
      </c>
      <c r="E425" s="66">
        <f>'EXTRACTION AT GLOBAL DEA'!G423</f>
        <v>0</v>
      </c>
      <c r="F425" s="84" t="str">
        <f t="shared" si="16"/>
        <v/>
      </c>
      <c r="G425" s="77">
        <f>'EXTRACTION AT GLOBAL DEA'!K423</f>
        <v>0</v>
      </c>
      <c r="H425" s="77">
        <f>'EXTRACTION AT GLOBAL DEA'!N423</f>
        <v>0</v>
      </c>
      <c r="I425" s="77">
        <f>'EXTRACTION AT GLOBAL DEA'!L423</f>
        <v>0</v>
      </c>
      <c r="J425" s="77">
        <f>'EXTRACTION AT GLOBAL DEA'!M423</f>
        <v>0</v>
      </c>
      <c r="K425" s="77"/>
      <c r="L425" s="77"/>
      <c r="M425" s="78">
        <f>'EXTRACTION AT GLOBAL DEA'!B423</f>
        <v>0</v>
      </c>
      <c r="N425" s="77" t="str">
        <f t="shared" si="17"/>
        <v>janvier</v>
      </c>
      <c r="O425" s="65"/>
      <c r="P425" s="67"/>
      <c r="Q425" s="67"/>
      <c r="R425" s="67"/>
      <c r="S425" s="67"/>
      <c r="T425" s="67"/>
      <c r="U425" s="67"/>
      <c r="V425" s="67"/>
      <c r="W425" s="67"/>
      <c r="X425" s="67"/>
      <c r="Y425" s="67"/>
      <c r="Z425" s="67"/>
      <c r="AA425" s="67"/>
      <c r="AB425" s="68"/>
    </row>
    <row r="426" spans="1:28" hidden="1" x14ac:dyDescent="0.25">
      <c r="A426" s="77">
        <f>'EXTRACTION AT GLOBAL DEA'!D424</f>
        <v>0</v>
      </c>
      <c r="B426" s="77">
        <f>'EXTRACTION AT GLOBAL DEA'!E424</f>
        <v>0</v>
      </c>
      <c r="C426" s="77">
        <f>'EXTRACTION AT GLOBAL DEA'!F424</f>
        <v>0</v>
      </c>
      <c r="D426" s="77">
        <f>'EXTRACTION AT GLOBAL DEA'!I424</f>
        <v>0</v>
      </c>
      <c r="E426" s="66">
        <f>'EXTRACTION AT GLOBAL DEA'!G424</f>
        <v>0</v>
      </c>
      <c r="F426" s="84" t="str">
        <f t="shared" si="16"/>
        <v/>
      </c>
      <c r="G426" s="77">
        <f>'EXTRACTION AT GLOBAL DEA'!K424</f>
        <v>0</v>
      </c>
      <c r="H426" s="77">
        <f>'EXTRACTION AT GLOBAL DEA'!N424</f>
        <v>0</v>
      </c>
      <c r="I426" s="77">
        <f>'EXTRACTION AT GLOBAL DEA'!L424</f>
        <v>0</v>
      </c>
      <c r="J426" s="77">
        <f>'EXTRACTION AT GLOBAL DEA'!M424</f>
        <v>0</v>
      </c>
      <c r="K426" s="77"/>
      <c r="L426" s="77"/>
      <c r="M426" s="78">
        <f>'EXTRACTION AT GLOBAL DEA'!B424</f>
        <v>0</v>
      </c>
      <c r="N426" s="77" t="str">
        <f t="shared" si="17"/>
        <v>janvier</v>
      </c>
      <c r="O426" s="65"/>
      <c r="P426" s="67"/>
      <c r="Q426" s="67"/>
      <c r="R426" s="67"/>
      <c r="S426" s="67"/>
      <c r="T426" s="67"/>
      <c r="U426" s="67"/>
      <c r="V426" s="67"/>
      <c r="W426" s="67"/>
      <c r="X426" s="67"/>
      <c r="Y426" s="67"/>
      <c r="Z426" s="67"/>
      <c r="AA426" s="67"/>
      <c r="AB426" s="68"/>
    </row>
    <row r="427" spans="1:28" hidden="1" x14ac:dyDescent="0.25">
      <c r="A427" s="77">
        <f>'EXTRACTION AT GLOBAL DEA'!D425</f>
        <v>0</v>
      </c>
      <c r="B427" s="77">
        <f>'EXTRACTION AT GLOBAL DEA'!E425</f>
        <v>0</v>
      </c>
      <c r="C427" s="77">
        <f>'EXTRACTION AT GLOBAL DEA'!F425</f>
        <v>0</v>
      </c>
      <c r="D427" s="77">
        <f>'EXTRACTION AT GLOBAL DEA'!I425</f>
        <v>0</v>
      </c>
      <c r="E427" s="66">
        <f>'EXTRACTION AT GLOBAL DEA'!G425</f>
        <v>0</v>
      </c>
      <c r="F427" s="84" t="str">
        <f t="shared" si="16"/>
        <v/>
      </c>
      <c r="G427" s="77">
        <f>'EXTRACTION AT GLOBAL DEA'!K425</f>
        <v>0</v>
      </c>
      <c r="H427" s="77">
        <f>'EXTRACTION AT GLOBAL DEA'!N425</f>
        <v>0</v>
      </c>
      <c r="I427" s="77">
        <f>'EXTRACTION AT GLOBAL DEA'!L425</f>
        <v>0</v>
      </c>
      <c r="J427" s="77">
        <f>'EXTRACTION AT GLOBAL DEA'!M425</f>
        <v>0</v>
      </c>
      <c r="K427" s="77"/>
      <c r="L427" s="77"/>
      <c r="M427" s="78">
        <f>'EXTRACTION AT GLOBAL DEA'!B425</f>
        <v>0</v>
      </c>
      <c r="N427" s="77" t="str">
        <f t="shared" si="17"/>
        <v>janvier</v>
      </c>
      <c r="O427" s="65"/>
      <c r="P427" s="67"/>
      <c r="Q427" s="67"/>
      <c r="R427" s="67"/>
      <c r="S427" s="67"/>
      <c r="T427" s="67"/>
      <c r="U427" s="67"/>
      <c r="V427" s="67"/>
      <c r="W427" s="67"/>
      <c r="X427" s="67"/>
      <c r="Y427" s="67"/>
      <c r="Z427" s="67"/>
      <c r="AA427" s="67"/>
      <c r="AB427" s="68"/>
    </row>
    <row r="428" spans="1:28" hidden="1" x14ac:dyDescent="0.25">
      <c r="A428" s="77">
        <f>'EXTRACTION AT GLOBAL DEA'!D426</f>
        <v>0</v>
      </c>
      <c r="B428" s="77">
        <f>'EXTRACTION AT GLOBAL DEA'!E426</f>
        <v>0</v>
      </c>
      <c r="C428" s="77">
        <f>'EXTRACTION AT GLOBAL DEA'!F426</f>
        <v>0</v>
      </c>
      <c r="D428" s="77">
        <f>'EXTRACTION AT GLOBAL DEA'!I426</f>
        <v>0</v>
      </c>
      <c r="E428" s="66">
        <f>'EXTRACTION AT GLOBAL DEA'!G426</f>
        <v>0</v>
      </c>
      <c r="F428" s="84" t="str">
        <f t="shared" si="16"/>
        <v/>
      </c>
      <c r="G428" s="77">
        <f>'EXTRACTION AT GLOBAL DEA'!K426</f>
        <v>0</v>
      </c>
      <c r="H428" s="77">
        <f>'EXTRACTION AT GLOBAL DEA'!N426</f>
        <v>0</v>
      </c>
      <c r="I428" s="77">
        <f>'EXTRACTION AT GLOBAL DEA'!L426</f>
        <v>0</v>
      </c>
      <c r="J428" s="77">
        <f>'EXTRACTION AT GLOBAL DEA'!M426</f>
        <v>0</v>
      </c>
      <c r="K428" s="77"/>
      <c r="L428" s="77"/>
      <c r="M428" s="78">
        <f>'EXTRACTION AT GLOBAL DEA'!B426</f>
        <v>0</v>
      </c>
      <c r="N428" s="77" t="str">
        <f t="shared" si="17"/>
        <v>janvier</v>
      </c>
      <c r="O428" s="65"/>
      <c r="P428" s="67"/>
      <c r="Q428" s="67"/>
      <c r="R428" s="67"/>
      <c r="S428" s="67"/>
      <c r="T428" s="67"/>
      <c r="U428" s="67"/>
      <c r="V428" s="67"/>
      <c r="W428" s="67"/>
      <c r="X428" s="67"/>
      <c r="Y428" s="67"/>
      <c r="Z428" s="67"/>
      <c r="AA428" s="67"/>
      <c r="AB428" s="68"/>
    </row>
    <row r="429" spans="1:28" hidden="1" x14ac:dyDescent="0.25">
      <c r="A429" s="77">
        <f>'EXTRACTION AT GLOBAL DEA'!D427</f>
        <v>0</v>
      </c>
      <c r="B429" s="77">
        <f>'EXTRACTION AT GLOBAL DEA'!E427</f>
        <v>0</v>
      </c>
      <c r="C429" s="77">
        <f>'EXTRACTION AT GLOBAL DEA'!F427</f>
        <v>0</v>
      </c>
      <c r="D429" s="77">
        <f>'EXTRACTION AT GLOBAL DEA'!I427</f>
        <v>0</v>
      </c>
      <c r="E429" s="66">
        <f>'EXTRACTION AT GLOBAL DEA'!G427</f>
        <v>0</v>
      </c>
      <c r="F429" s="84" t="str">
        <f t="shared" si="16"/>
        <v/>
      </c>
      <c r="G429" s="77">
        <f>'EXTRACTION AT GLOBAL DEA'!K427</f>
        <v>0</v>
      </c>
      <c r="H429" s="77">
        <f>'EXTRACTION AT GLOBAL DEA'!N427</f>
        <v>0</v>
      </c>
      <c r="I429" s="77">
        <f>'EXTRACTION AT GLOBAL DEA'!L427</f>
        <v>0</v>
      </c>
      <c r="J429" s="77">
        <f>'EXTRACTION AT GLOBAL DEA'!M427</f>
        <v>0</v>
      </c>
      <c r="K429" s="77"/>
      <c r="L429" s="77"/>
      <c r="M429" s="78">
        <f>'EXTRACTION AT GLOBAL DEA'!B427</f>
        <v>0</v>
      </c>
      <c r="N429" s="77" t="str">
        <f t="shared" si="17"/>
        <v>janvier</v>
      </c>
      <c r="O429" s="65"/>
      <c r="P429" s="67"/>
      <c r="Q429" s="67"/>
      <c r="R429" s="67"/>
      <c r="S429" s="67"/>
      <c r="T429" s="67"/>
      <c r="U429" s="67"/>
      <c r="V429" s="67"/>
      <c r="W429" s="67"/>
      <c r="X429" s="67"/>
      <c r="Y429" s="67"/>
      <c r="Z429" s="67"/>
      <c r="AA429" s="67"/>
      <c r="AB429" s="68"/>
    </row>
    <row r="430" spans="1:28" hidden="1" x14ac:dyDescent="0.25">
      <c r="A430" s="77">
        <f>'EXTRACTION AT GLOBAL DEA'!D428</f>
        <v>0</v>
      </c>
      <c r="B430" s="77">
        <f>'EXTRACTION AT GLOBAL DEA'!E428</f>
        <v>0</v>
      </c>
      <c r="C430" s="77">
        <f>'EXTRACTION AT GLOBAL DEA'!F428</f>
        <v>0</v>
      </c>
      <c r="D430" s="77">
        <f>'EXTRACTION AT GLOBAL DEA'!I428</f>
        <v>0</v>
      </c>
      <c r="E430" s="66">
        <f>'EXTRACTION AT GLOBAL DEA'!G428</f>
        <v>0</v>
      </c>
      <c r="F430" s="84" t="str">
        <f t="shared" si="16"/>
        <v/>
      </c>
      <c r="G430" s="77">
        <f>'EXTRACTION AT GLOBAL DEA'!K428</f>
        <v>0</v>
      </c>
      <c r="H430" s="77">
        <f>'EXTRACTION AT GLOBAL DEA'!N428</f>
        <v>0</v>
      </c>
      <c r="I430" s="77">
        <f>'EXTRACTION AT GLOBAL DEA'!L428</f>
        <v>0</v>
      </c>
      <c r="J430" s="77">
        <f>'EXTRACTION AT GLOBAL DEA'!M428</f>
        <v>0</v>
      </c>
      <c r="K430" s="77"/>
      <c r="L430" s="77"/>
      <c r="M430" s="78">
        <f>'EXTRACTION AT GLOBAL DEA'!B428</f>
        <v>0</v>
      </c>
      <c r="N430" s="77" t="str">
        <f t="shared" si="17"/>
        <v>janvier</v>
      </c>
      <c r="O430" s="65"/>
      <c r="P430" s="67"/>
      <c r="Q430" s="67"/>
      <c r="R430" s="67"/>
      <c r="S430" s="67"/>
      <c r="T430" s="67"/>
      <c r="U430" s="67"/>
      <c r="V430" s="67"/>
      <c r="W430" s="67"/>
      <c r="X430" s="67"/>
      <c r="Y430" s="67"/>
      <c r="Z430" s="67"/>
      <c r="AA430" s="67"/>
      <c r="AB430" s="68"/>
    </row>
    <row r="431" spans="1:28" hidden="1" x14ac:dyDescent="0.25">
      <c r="A431" s="77">
        <f>'EXTRACTION AT GLOBAL DEA'!D429</f>
        <v>0</v>
      </c>
      <c r="B431" s="77">
        <f>'EXTRACTION AT GLOBAL DEA'!E429</f>
        <v>0</v>
      </c>
      <c r="C431" s="77">
        <f>'EXTRACTION AT GLOBAL DEA'!F429</f>
        <v>0</v>
      </c>
      <c r="D431" s="77">
        <f>'EXTRACTION AT GLOBAL DEA'!I429</f>
        <v>0</v>
      </c>
      <c r="E431" s="66">
        <f>'EXTRACTION AT GLOBAL DEA'!G429</f>
        <v>0</v>
      </c>
      <c r="F431" s="84" t="str">
        <f t="shared" si="16"/>
        <v/>
      </c>
      <c r="G431" s="77">
        <f>'EXTRACTION AT GLOBAL DEA'!K429</f>
        <v>0</v>
      </c>
      <c r="H431" s="77">
        <f>'EXTRACTION AT GLOBAL DEA'!N429</f>
        <v>0</v>
      </c>
      <c r="I431" s="77">
        <f>'EXTRACTION AT GLOBAL DEA'!L429</f>
        <v>0</v>
      </c>
      <c r="J431" s="77">
        <f>'EXTRACTION AT GLOBAL DEA'!M429</f>
        <v>0</v>
      </c>
      <c r="K431" s="77"/>
      <c r="L431" s="77"/>
      <c r="M431" s="78">
        <f>'EXTRACTION AT GLOBAL DEA'!B429</f>
        <v>0</v>
      </c>
      <c r="N431" s="77" t="str">
        <f t="shared" si="17"/>
        <v>janvier</v>
      </c>
      <c r="O431" s="65"/>
      <c r="P431" s="67"/>
      <c r="Q431" s="67"/>
      <c r="R431" s="67"/>
      <c r="S431" s="67"/>
      <c r="T431" s="67"/>
      <c r="U431" s="67"/>
      <c r="V431" s="67"/>
      <c r="W431" s="67"/>
      <c r="X431" s="67"/>
      <c r="Y431" s="67"/>
      <c r="Z431" s="67"/>
      <c r="AA431" s="67"/>
      <c r="AB431" s="68"/>
    </row>
    <row r="432" spans="1:28" hidden="1" x14ac:dyDescent="0.25">
      <c r="A432" s="77">
        <f>'EXTRACTION AT GLOBAL DEA'!D430</f>
        <v>0</v>
      </c>
      <c r="B432" s="77">
        <f>'EXTRACTION AT GLOBAL DEA'!E430</f>
        <v>0</v>
      </c>
      <c r="C432" s="77">
        <f>'EXTRACTION AT GLOBAL DEA'!F430</f>
        <v>0</v>
      </c>
      <c r="D432" s="77">
        <f>'EXTRACTION AT GLOBAL DEA'!I430</f>
        <v>0</v>
      </c>
      <c r="E432" s="66">
        <f>'EXTRACTION AT GLOBAL DEA'!G430</f>
        <v>0</v>
      </c>
      <c r="F432" s="84" t="str">
        <f t="shared" si="16"/>
        <v/>
      </c>
      <c r="G432" s="77">
        <f>'EXTRACTION AT GLOBAL DEA'!K430</f>
        <v>0</v>
      </c>
      <c r="H432" s="77">
        <f>'EXTRACTION AT GLOBAL DEA'!N430</f>
        <v>0</v>
      </c>
      <c r="I432" s="77">
        <f>'EXTRACTION AT GLOBAL DEA'!L430</f>
        <v>0</v>
      </c>
      <c r="J432" s="77">
        <f>'EXTRACTION AT GLOBAL DEA'!M430</f>
        <v>0</v>
      </c>
      <c r="K432" s="77"/>
      <c r="L432" s="77"/>
      <c r="M432" s="78">
        <f>'EXTRACTION AT GLOBAL DEA'!B430</f>
        <v>0</v>
      </c>
      <c r="N432" s="77" t="str">
        <f t="shared" si="17"/>
        <v>janvier</v>
      </c>
      <c r="O432" s="65"/>
      <c r="P432" s="67"/>
      <c r="Q432" s="67"/>
      <c r="R432" s="67"/>
      <c r="S432" s="67"/>
      <c r="T432" s="67"/>
      <c r="U432" s="67"/>
      <c r="V432" s="67"/>
      <c r="W432" s="67"/>
      <c r="X432" s="67"/>
      <c r="Y432" s="67"/>
      <c r="Z432" s="67"/>
      <c r="AA432" s="67"/>
      <c r="AB432" s="68"/>
    </row>
    <row r="433" spans="1:28" hidden="1" x14ac:dyDescent="0.25">
      <c r="A433" s="77">
        <f>'EXTRACTION AT GLOBAL DEA'!D431</f>
        <v>0</v>
      </c>
      <c r="B433" s="77">
        <f>'EXTRACTION AT GLOBAL DEA'!E431</f>
        <v>0</v>
      </c>
      <c r="C433" s="77">
        <f>'EXTRACTION AT GLOBAL DEA'!F431</f>
        <v>0</v>
      </c>
      <c r="D433" s="77">
        <f>'EXTRACTION AT GLOBAL DEA'!I431</f>
        <v>0</v>
      </c>
      <c r="E433" s="66">
        <f>'EXTRACTION AT GLOBAL DEA'!G431</f>
        <v>0</v>
      </c>
      <c r="F433" s="84" t="str">
        <f t="shared" si="16"/>
        <v/>
      </c>
      <c r="G433" s="77">
        <f>'EXTRACTION AT GLOBAL DEA'!K431</f>
        <v>0</v>
      </c>
      <c r="H433" s="77">
        <f>'EXTRACTION AT GLOBAL DEA'!N431</f>
        <v>0</v>
      </c>
      <c r="I433" s="77">
        <f>'EXTRACTION AT GLOBAL DEA'!L431</f>
        <v>0</v>
      </c>
      <c r="J433" s="77">
        <f>'EXTRACTION AT GLOBAL DEA'!M431</f>
        <v>0</v>
      </c>
      <c r="K433" s="77"/>
      <c r="L433" s="77"/>
      <c r="M433" s="78">
        <f>'EXTRACTION AT GLOBAL DEA'!B431</f>
        <v>0</v>
      </c>
      <c r="N433" s="77" t="str">
        <f t="shared" si="17"/>
        <v>janvier</v>
      </c>
      <c r="O433" s="65"/>
      <c r="P433" s="67"/>
      <c r="Q433" s="67"/>
      <c r="R433" s="67"/>
      <c r="S433" s="67"/>
      <c r="T433" s="67"/>
      <c r="U433" s="67"/>
      <c r="V433" s="67"/>
      <c r="W433" s="67"/>
      <c r="X433" s="67"/>
      <c r="Y433" s="67"/>
      <c r="Z433" s="67"/>
      <c r="AA433" s="67"/>
      <c r="AB433" s="68"/>
    </row>
    <row r="434" spans="1:28" hidden="1" x14ac:dyDescent="0.25">
      <c r="A434" s="77">
        <f>'EXTRACTION AT GLOBAL DEA'!D432</f>
        <v>0</v>
      </c>
      <c r="B434" s="77">
        <f>'EXTRACTION AT GLOBAL DEA'!E432</f>
        <v>0</v>
      </c>
      <c r="C434" s="77">
        <f>'EXTRACTION AT GLOBAL DEA'!F432</f>
        <v>0</v>
      </c>
      <c r="D434" s="77">
        <f>'EXTRACTION AT GLOBAL DEA'!I432</f>
        <v>0</v>
      </c>
      <c r="E434" s="66">
        <f>'EXTRACTION AT GLOBAL DEA'!G432</f>
        <v>0</v>
      </c>
      <c r="F434" s="84" t="str">
        <f t="shared" si="16"/>
        <v/>
      </c>
      <c r="G434" s="77">
        <f>'EXTRACTION AT GLOBAL DEA'!K432</f>
        <v>0</v>
      </c>
      <c r="H434" s="77">
        <f>'EXTRACTION AT GLOBAL DEA'!N432</f>
        <v>0</v>
      </c>
      <c r="I434" s="77">
        <f>'EXTRACTION AT GLOBAL DEA'!L432</f>
        <v>0</v>
      </c>
      <c r="J434" s="77">
        <f>'EXTRACTION AT GLOBAL DEA'!M432</f>
        <v>0</v>
      </c>
      <c r="K434" s="77"/>
      <c r="L434" s="77"/>
      <c r="M434" s="78">
        <f>'EXTRACTION AT GLOBAL DEA'!B432</f>
        <v>0</v>
      </c>
      <c r="N434" s="77" t="str">
        <f t="shared" si="17"/>
        <v>janvier</v>
      </c>
      <c r="O434" s="65"/>
      <c r="P434" s="67"/>
      <c r="Q434" s="67"/>
      <c r="R434" s="67"/>
      <c r="S434" s="67"/>
      <c r="T434" s="67"/>
      <c r="U434" s="67"/>
      <c r="V434" s="67"/>
      <c r="W434" s="67"/>
      <c r="X434" s="67"/>
      <c r="Y434" s="67"/>
      <c r="Z434" s="67"/>
      <c r="AA434" s="67"/>
      <c r="AB434" s="68"/>
    </row>
    <row r="435" spans="1:28" hidden="1" x14ac:dyDescent="0.25">
      <c r="A435" s="77">
        <f>'EXTRACTION AT GLOBAL DEA'!D433</f>
        <v>0</v>
      </c>
      <c r="B435" s="77">
        <f>'EXTRACTION AT GLOBAL DEA'!E433</f>
        <v>0</v>
      </c>
      <c r="C435" s="77">
        <f>'EXTRACTION AT GLOBAL DEA'!F433</f>
        <v>0</v>
      </c>
      <c r="D435" s="77">
        <f>'EXTRACTION AT GLOBAL DEA'!I433</f>
        <v>0</v>
      </c>
      <c r="E435" s="66">
        <f>'EXTRACTION AT GLOBAL DEA'!G433</f>
        <v>0</v>
      </c>
      <c r="F435" s="84" t="str">
        <f t="shared" si="16"/>
        <v/>
      </c>
      <c r="G435" s="77">
        <f>'EXTRACTION AT GLOBAL DEA'!K433</f>
        <v>0</v>
      </c>
      <c r="H435" s="77">
        <f>'EXTRACTION AT GLOBAL DEA'!N433</f>
        <v>0</v>
      </c>
      <c r="I435" s="77">
        <f>'EXTRACTION AT GLOBAL DEA'!L433</f>
        <v>0</v>
      </c>
      <c r="J435" s="77">
        <f>'EXTRACTION AT GLOBAL DEA'!M433</f>
        <v>0</v>
      </c>
      <c r="K435" s="77"/>
      <c r="L435" s="77"/>
      <c r="M435" s="78">
        <f>'EXTRACTION AT GLOBAL DEA'!B433</f>
        <v>0</v>
      </c>
      <c r="N435" s="77" t="str">
        <f t="shared" si="17"/>
        <v>janvier</v>
      </c>
      <c r="O435" s="65"/>
      <c r="P435" s="67"/>
      <c r="Q435" s="67"/>
      <c r="R435" s="67"/>
      <c r="S435" s="67"/>
      <c r="T435" s="67"/>
      <c r="U435" s="67"/>
      <c r="V435" s="67"/>
      <c r="W435" s="67"/>
      <c r="X435" s="67"/>
      <c r="Y435" s="67"/>
      <c r="Z435" s="67"/>
      <c r="AA435" s="67"/>
      <c r="AB435" s="68"/>
    </row>
    <row r="436" spans="1:28" hidden="1" x14ac:dyDescent="0.25">
      <c r="A436" s="77">
        <f>'EXTRACTION AT GLOBAL DEA'!D434</f>
        <v>0</v>
      </c>
      <c r="B436" s="77">
        <f>'EXTRACTION AT GLOBAL DEA'!E434</f>
        <v>0</v>
      </c>
      <c r="C436" s="77">
        <f>'EXTRACTION AT GLOBAL DEA'!F434</f>
        <v>0</v>
      </c>
      <c r="D436" s="77">
        <f>'EXTRACTION AT GLOBAL DEA'!I434</f>
        <v>0</v>
      </c>
      <c r="E436" s="66">
        <f>'EXTRACTION AT GLOBAL DEA'!G434</f>
        <v>0</v>
      </c>
      <c r="F436" s="84" t="str">
        <f t="shared" si="16"/>
        <v/>
      </c>
      <c r="G436" s="77">
        <f>'EXTRACTION AT GLOBAL DEA'!K434</f>
        <v>0</v>
      </c>
      <c r="H436" s="77">
        <f>'EXTRACTION AT GLOBAL DEA'!N434</f>
        <v>0</v>
      </c>
      <c r="I436" s="77">
        <f>'EXTRACTION AT GLOBAL DEA'!L434</f>
        <v>0</v>
      </c>
      <c r="J436" s="77">
        <f>'EXTRACTION AT GLOBAL DEA'!M434</f>
        <v>0</v>
      </c>
      <c r="K436" s="77"/>
      <c r="L436" s="77"/>
      <c r="M436" s="78">
        <f>'EXTRACTION AT GLOBAL DEA'!B434</f>
        <v>0</v>
      </c>
      <c r="N436" s="77" t="str">
        <f t="shared" si="17"/>
        <v>janvier</v>
      </c>
      <c r="O436" s="65"/>
      <c r="P436" s="67"/>
      <c r="Q436" s="67"/>
      <c r="R436" s="67"/>
      <c r="S436" s="67"/>
      <c r="T436" s="67"/>
      <c r="U436" s="67"/>
      <c r="V436" s="67"/>
      <c r="W436" s="67"/>
      <c r="X436" s="67"/>
      <c r="Y436" s="67"/>
      <c r="Z436" s="67"/>
      <c r="AA436" s="67"/>
      <c r="AB436" s="68"/>
    </row>
    <row r="437" spans="1:28" hidden="1" x14ac:dyDescent="0.25">
      <c r="A437" s="77">
        <f>'EXTRACTION AT GLOBAL DEA'!D435</f>
        <v>0</v>
      </c>
      <c r="B437" s="77">
        <f>'EXTRACTION AT GLOBAL DEA'!E435</f>
        <v>0</v>
      </c>
      <c r="C437" s="77">
        <f>'EXTRACTION AT GLOBAL DEA'!F435</f>
        <v>0</v>
      </c>
      <c r="D437" s="77">
        <f>'EXTRACTION AT GLOBAL DEA'!I435</f>
        <v>0</v>
      </c>
      <c r="E437" s="66">
        <f>'EXTRACTION AT GLOBAL DEA'!G435</f>
        <v>0</v>
      </c>
      <c r="F437" s="84" t="str">
        <f t="shared" si="16"/>
        <v/>
      </c>
      <c r="G437" s="77">
        <f>'EXTRACTION AT GLOBAL DEA'!K435</f>
        <v>0</v>
      </c>
      <c r="H437" s="77">
        <f>'EXTRACTION AT GLOBAL DEA'!N435</f>
        <v>0</v>
      </c>
      <c r="I437" s="77">
        <f>'EXTRACTION AT GLOBAL DEA'!L435</f>
        <v>0</v>
      </c>
      <c r="J437" s="77">
        <f>'EXTRACTION AT GLOBAL DEA'!M435</f>
        <v>0</v>
      </c>
      <c r="K437" s="77"/>
      <c r="L437" s="77"/>
      <c r="M437" s="78">
        <f>'EXTRACTION AT GLOBAL DEA'!B435</f>
        <v>0</v>
      </c>
      <c r="N437" s="77" t="str">
        <f t="shared" si="17"/>
        <v>janvier</v>
      </c>
      <c r="O437" s="65"/>
      <c r="P437" s="67"/>
      <c r="Q437" s="67"/>
      <c r="R437" s="67"/>
      <c r="S437" s="67"/>
      <c r="T437" s="67"/>
      <c r="U437" s="67"/>
      <c r="V437" s="67"/>
      <c r="W437" s="67"/>
      <c r="X437" s="67"/>
      <c r="Y437" s="67"/>
      <c r="Z437" s="67"/>
      <c r="AA437" s="67"/>
      <c r="AB437" s="68"/>
    </row>
    <row r="438" spans="1:28" hidden="1" x14ac:dyDescent="0.25">
      <c r="A438" s="77">
        <f>'EXTRACTION AT GLOBAL DEA'!D436</f>
        <v>0</v>
      </c>
      <c r="B438" s="77">
        <f>'EXTRACTION AT GLOBAL DEA'!E436</f>
        <v>0</v>
      </c>
      <c r="C438" s="77">
        <f>'EXTRACTION AT GLOBAL DEA'!F436</f>
        <v>0</v>
      </c>
      <c r="D438" s="77">
        <f>'EXTRACTION AT GLOBAL DEA'!I436</f>
        <v>0</v>
      </c>
      <c r="E438" s="66">
        <f>'EXTRACTION AT GLOBAL DEA'!G436</f>
        <v>0</v>
      </c>
      <c r="F438" s="84" t="str">
        <f t="shared" si="16"/>
        <v/>
      </c>
      <c r="G438" s="77">
        <f>'EXTRACTION AT GLOBAL DEA'!K436</f>
        <v>0</v>
      </c>
      <c r="H438" s="77">
        <f>'EXTRACTION AT GLOBAL DEA'!N436</f>
        <v>0</v>
      </c>
      <c r="I438" s="77">
        <f>'EXTRACTION AT GLOBAL DEA'!L436</f>
        <v>0</v>
      </c>
      <c r="J438" s="77">
        <f>'EXTRACTION AT GLOBAL DEA'!M436</f>
        <v>0</v>
      </c>
      <c r="K438" s="77"/>
      <c r="L438" s="77"/>
      <c r="M438" s="78">
        <f>'EXTRACTION AT GLOBAL DEA'!B436</f>
        <v>0</v>
      </c>
      <c r="N438" s="77" t="str">
        <f t="shared" si="17"/>
        <v>janvier</v>
      </c>
      <c r="O438" s="65"/>
      <c r="P438" s="67"/>
      <c r="Q438" s="67"/>
      <c r="R438" s="67"/>
      <c r="S438" s="67"/>
      <c r="T438" s="67"/>
      <c r="U438" s="67"/>
      <c r="V438" s="67"/>
      <c r="W438" s="67"/>
      <c r="X438" s="67"/>
      <c r="Y438" s="67"/>
      <c r="Z438" s="67"/>
      <c r="AA438" s="67"/>
      <c r="AB438" s="68"/>
    </row>
    <row r="439" spans="1:28" hidden="1" x14ac:dyDescent="0.25">
      <c r="A439" s="77">
        <f>'EXTRACTION AT GLOBAL DEA'!D437</f>
        <v>0</v>
      </c>
      <c r="B439" s="77">
        <f>'EXTRACTION AT GLOBAL DEA'!E437</f>
        <v>0</v>
      </c>
      <c r="C439" s="77">
        <f>'EXTRACTION AT GLOBAL DEA'!F437</f>
        <v>0</v>
      </c>
      <c r="D439" s="77">
        <f>'EXTRACTION AT GLOBAL DEA'!I437</f>
        <v>0</v>
      </c>
      <c r="E439" s="66">
        <f>'EXTRACTION AT GLOBAL DEA'!G437</f>
        <v>0</v>
      </c>
      <c r="F439" s="84" t="str">
        <f t="shared" si="16"/>
        <v/>
      </c>
      <c r="G439" s="77">
        <f>'EXTRACTION AT GLOBAL DEA'!K437</f>
        <v>0</v>
      </c>
      <c r="H439" s="77">
        <f>'EXTRACTION AT GLOBAL DEA'!N437</f>
        <v>0</v>
      </c>
      <c r="I439" s="77">
        <f>'EXTRACTION AT GLOBAL DEA'!L437</f>
        <v>0</v>
      </c>
      <c r="J439" s="77">
        <f>'EXTRACTION AT GLOBAL DEA'!M437</f>
        <v>0</v>
      </c>
      <c r="K439" s="77"/>
      <c r="L439" s="77"/>
      <c r="M439" s="78">
        <f>'EXTRACTION AT GLOBAL DEA'!B437</f>
        <v>0</v>
      </c>
      <c r="N439" s="77" t="str">
        <f t="shared" si="17"/>
        <v>janvier</v>
      </c>
      <c r="O439" s="65"/>
      <c r="P439" s="67"/>
      <c r="Q439" s="67"/>
      <c r="R439" s="67"/>
      <c r="S439" s="67"/>
      <c r="T439" s="67"/>
      <c r="U439" s="67"/>
      <c r="V439" s="67"/>
      <c r="W439" s="67"/>
      <c r="X439" s="67"/>
      <c r="Y439" s="67"/>
      <c r="Z439" s="67"/>
      <c r="AA439" s="67"/>
      <c r="AB439" s="68"/>
    </row>
    <row r="440" spans="1:28" hidden="1" x14ac:dyDescent="0.25">
      <c r="A440" s="77">
        <f>'EXTRACTION AT GLOBAL DEA'!D438</f>
        <v>0</v>
      </c>
      <c r="B440" s="77">
        <f>'EXTRACTION AT GLOBAL DEA'!E438</f>
        <v>0</v>
      </c>
      <c r="C440" s="77">
        <f>'EXTRACTION AT GLOBAL DEA'!F438</f>
        <v>0</v>
      </c>
      <c r="D440" s="77">
        <f>'EXTRACTION AT GLOBAL DEA'!I438</f>
        <v>0</v>
      </c>
      <c r="E440" s="66">
        <f>'EXTRACTION AT GLOBAL DEA'!G438</f>
        <v>0</v>
      </c>
      <c r="F440" s="84" t="str">
        <f t="shared" si="16"/>
        <v/>
      </c>
      <c r="G440" s="77">
        <f>'EXTRACTION AT GLOBAL DEA'!K438</f>
        <v>0</v>
      </c>
      <c r="H440" s="77">
        <f>'EXTRACTION AT GLOBAL DEA'!N438</f>
        <v>0</v>
      </c>
      <c r="I440" s="77">
        <f>'EXTRACTION AT GLOBAL DEA'!L438</f>
        <v>0</v>
      </c>
      <c r="J440" s="77">
        <f>'EXTRACTION AT GLOBAL DEA'!M438</f>
        <v>0</v>
      </c>
      <c r="K440" s="77"/>
      <c r="L440" s="77"/>
      <c r="M440" s="78">
        <f>'EXTRACTION AT GLOBAL DEA'!B438</f>
        <v>0</v>
      </c>
      <c r="N440" s="77" t="str">
        <f t="shared" si="17"/>
        <v>janvier</v>
      </c>
      <c r="O440" s="65"/>
      <c r="P440" s="67"/>
      <c r="Q440" s="67"/>
      <c r="R440" s="67"/>
      <c r="S440" s="67"/>
      <c r="T440" s="67"/>
      <c r="U440" s="67"/>
      <c r="V440" s="67"/>
      <c r="W440" s="67"/>
      <c r="X440" s="67"/>
      <c r="Y440" s="67"/>
      <c r="Z440" s="67"/>
      <c r="AA440" s="67"/>
      <c r="AB440" s="68"/>
    </row>
    <row r="441" spans="1:28" hidden="1" x14ac:dyDescent="0.25">
      <c r="A441" s="77">
        <f>'EXTRACTION AT GLOBAL DEA'!D439</f>
        <v>0</v>
      </c>
      <c r="B441" s="77">
        <f>'EXTRACTION AT GLOBAL DEA'!E439</f>
        <v>0</v>
      </c>
      <c r="C441" s="77">
        <f>'EXTRACTION AT GLOBAL DEA'!F439</f>
        <v>0</v>
      </c>
      <c r="D441" s="77">
        <f>'EXTRACTION AT GLOBAL DEA'!I439</f>
        <v>0</v>
      </c>
      <c r="E441" s="66">
        <f>'EXTRACTION AT GLOBAL DEA'!G439</f>
        <v>0</v>
      </c>
      <c r="F441" s="84" t="str">
        <f t="shared" si="16"/>
        <v/>
      </c>
      <c r="G441" s="77">
        <f>'EXTRACTION AT GLOBAL DEA'!K439</f>
        <v>0</v>
      </c>
      <c r="H441" s="77">
        <f>'EXTRACTION AT GLOBAL DEA'!N439</f>
        <v>0</v>
      </c>
      <c r="I441" s="77">
        <f>'EXTRACTION AT GLOBAL DEA'!L439</f>
        <v>0</v>
      </c>
      <c r="J441" s="77">
        <f>'EXTRACTION AT GLOBAL DEA'!M439</f>
        <v>0</v>
      </c>
      <c r="K441" s="77"/>
      <c r="L441" s="77"/>
      <c r="M441" s="78">
        <f>'EXTRACTION AT GLOBAL DEA'!B439</f>
        <v>0</v>
      </c>
      <c r="N441" s="77" t="str">
        <f t="shared" si="17"/>
        <v>janvier</v>
      </c>
      <c r="O441" s="65"/>
      <c r="P441" s="67"/>
      <c r="Q441" s="67"/>
      <c r="R441" s="67"/>
      <c r="S441" s="67"/>
      <c r="T441" s="67"/>
      <c r="U441" s="67"/>
      <c r="V441" s="67"/>
      <c r="W441" s="67"/>
      <c r="X441" s="67"/>
      <c r="Y441" s="67"/>
      <c r="Z441" s="67"/>
      <c r="AA441" s="67"/>
      <c r="AB441" s="68"/>
    </row>
    <row r="442" spans="1:28" hidden="1" x14ac:dyDescent="0.25">
      <c r="A442" s="77">
        <f>'EXTRACTION AT GLOBAL DEA'!D440</f>
        <v>0</v>
      </c>
      <c r="B442" s="77">
        <f>'EXTRACTION AT GLOBAL DEA'!E440</f>
        <v>0</v>
      </c>
      <c r="C442" s="77">
        <f>'EXTRACTION AT GLOBAL DEA'!F440</f>
        <v>0</v>
      </c>
      <c r="D442" s="77">
        <f>'EXTRACTION AT GLOBAL DEA'!I440</f>
        <v>0</v>
      </c>
      <c r="E442" s="66">
        <f>'EXTRACTION AT GLOBAL DEA'!G440</f>
        <v>0</v>
      </c>
      <c r="F442" s="84" t="str">
        <f t="shared" si="16"/>
        <v/>
      </c>
      <c r="G442" s="77">
        <f>'EXTRACTION AT GLOBAL DEA'!K440</f>
        <v>0</v>
      </c>
      <c r="H442" s="77">
        <f>'EXTRACTION AT GLOBAL DEA'!N440</f>
        <v>0</v>
      </c>
      <c r="I442" s="77">
        <f>'EXTRACTION AT GLOBAL DEA'!L440</f>
        <v>0</v>
      </c>
      <c r="J442" s="77">
        <f>'EXTRACTION AT GLOBAL DEA'!M440</f>
        <v>0</v>
      </c>
      <c r="K442" s="77"/>
      <c r="L442" s="77"/>
      <c r="M442" s="78">
        <f>'EXTRACTION AT GLOBAL DEA'!B440</f>
        <v>0</v>
      </c>
      <c r="N442" s="77" t="str">
        <f t="shared" si="17"/>
        <v>janvier</v>
      </c>
      <c r="O442" s="65"/>
      <c r="P442" s="67"/>
      <c r="Q442" s="67"/>
      <c r="R442" s="67"/>
      <c r="S442" s="67"/>
      <c r="T442" s="67"/>
      <c r="U442" s="67"/>
      <c r="V442" s="67"/>
      <c r="W442" s="67"/>
      <c r="X442" s="67"/>
      <c r="Y442" s="67"/>
      <c r="Z442" s="67"/>
      <c r="AA442" s="67"/>
      <c r="AB442" s="68"/>
    </row>
    <row r="443" spans="1:28" hidden="1" x14ac:dyDescent="0.25">
      <c r="A443" s="77">
        <f>'EXTRACTION AT GLOBAL DEA'!D441</f>
        <v>0</v>
      </c>
      <c r="B443" s="77">
        <f>'EXTRACTION AT GLOBAL DEA'!E441</f>
        <v>0</v>
      </c>
      <c r="C443" s="77">
        <f>'EXTRACTION AT GLOBAL DEA'!F441</f>
        <v>0</v>
      </c>
      <c r="D443" s="77">
        <f>'EXTRACTION AT GLOBAL DEA'!I441</f>
        <v>0</v>
      </c>
      <c r="E443" s="66">
        <f>'EXTRACTION AT GLOBAL DEA'!G441</f>
        <v>0</v>
      </c>
      <c r="F443" s="84" t="str">
        <f t="shared" si="16"/>
        <v/>
      </c>
      <c r="G443" s="77">
        <f>'EXTRACTION AT GLOBAL DEA'!K441</f>
        <v>0</v>
      </c>
      <c r="H443" s="77">
        <f>'EXTRACTION AT GLOBAL DEA'!N441</f>
        <v>0</v>
      </c>
      <c r="I443" s="77">
        <f>'EXTRACTION AT GLOBAL DEA'!L441</f>
        <v>0</v>
      </c>
      <c r="J443" s="77">
        <f>'EXTRACTION AT GLOBAL DEA'!M441</f>
        <v>0</v>
      </c>
      <c r="K443" s="77"/>
      <c r="L443" s="77"/>
      <c r="M443" s="78">
        <f>'EXTRACTION AT GLOBAL DEA'!B441</f>
        <v>0</v>
      </c>
      <c r="N443" s="77" t="str">
        <f t="shared" si="17"/>
        <v>janvier</v>
      </c>
      <c r="O443" s="65"/>
      <c r="P443" s="67"/>
      <c r="Q443" s="67"/>
      <c r="R443" s="67"/>
      <c r="S443" s="67"/>
      <c r="T443" s="67"/>
      <c r="U443" s="67"/>
      <c r="V443" s="67"/>
      <c r="W443" s="67"/>
      <c r="X443" s="67"/>
      <c r="Y443" s="67"/>
      <c r="Z443" s="67"/>
      <c r="AA443" s="67"/>
      <c r="AB443" s="68"/>
    </row>
    <row r="444" spans="1:28" hidden="1" x14ac:dyDescent="0.25">
      <c r="A444" s="77">
        <f>'EXTRACTION AT GLOBAL DEA'!D442</f>
        <v>0</v>
      </c>
      <c r="B444" s="77">
        <f>'EXTRACTION AT GLOBAL DEA'!E442</f>
        <v>0</v>
      </c>
      <c r="C444" s="77">
        <f>'EXTRACTION AT GLOBAL DEA'!F442</f>
        <v>0</v>
      </c>
      <c r="D444" s="77">
        <f>'EXTRACTION AT GLOBAL DEA'!I442</f>
        <v>0</v>
      </c>
      <c r="E444" s="66">
        <f>'EXTRACTION AT GLOBAL DEA'!G442</f>
        <v>0</v>
      </c>
      <c r="F444" s="84" t="str">
        <f t="shared" si="16"/>
        <v/>
      </c>
      <c r="G444" s="77">
        <f>'EXTRACTION AT GLOBAL DEA'!K442</f>
        <v>0</v>
      </c>
      <c r="H444" s="77">
        <f>'EXTRACTION AT GLOBAL DEA'!N442</f>
        <v>0</v>
      </c>
      <c r="I444" s="77">
        <f>'EXTRACTION AT GLOBAL DEA'!L442</f>
        <v>0</v>
      </c>
      <c r="J444" s="77">
        <f>'EXTRACTION AT GLOBAL DEA'!M442</f>
        <v>0</v>
      </c>
      <c r="K444" s="77"/>
      <c r="L444" s="77"/>
      <c r="M444" s="78">
        <f>'EXTRACTION AT GLOBAL DEA'!B442</f>
        <v>0</v>
      </c>
      <c r="N444" s="77" t="str">
        <f t="shared" si="17"/>
        <v>janvier</v>
      </c>
      <c r="O444" s="65"/>
      <c r="P444" s="67"/>
      <c r="Q444" s="67"/>
      <c r="R444" s="67"/>
      <c r="S444" s="67"/>
      <c r="T444" s="67"/>
      <c r="U444" s="67"/>
      <c r="V444" s="67"/>
      <c r="W444" s="67"/>
      <c r="X444" s="67"/>
      <c r="Y444" s="67"/>
      <c r="Z444" s="67"/>
      <c r="AA444" s="67"/>
      <c r="AB444" s="68"/>
    </row>
    <row r="445" spans="1:28" hidden="1" x14ac:dyDescent="0.25">
      <c r="A445" s="77">
        <f>'EXTRACTION AT GLOBAL DEA'!D443</f>
        <v>0</v>
      </c>
      <c r="B445" s="77">
        <f>'EXTRACTION AT GLOBAL DEA'!E443</f>
        <v>0</v>
      </c>
      <c r="C445" s="77">
        <f>'EXTRACTION AT GLOBAL DEA'!F443</f>
        <v>0</v>
      </c>
      <c r="D445" s="77">
        <f>'EXTRACTION AT GLOBAL DEA'!I443</f>
        <v>0</v>
      </c>
      <c r="E445" s="66">
        <f>'EXTRACTION AT GLOBAL DEA'!G443</f>
        <v>0</v>
      </c>
      <c r="F445" s="84" t="str">
        <f t="shared" si="16"/>
        <v/>
      </c>
      <c r="G445" s="77">
        <f>'EXTRACTION AT GLOBAL DEA'!K443</f>
        <v>0</v>
      </c>
      <c r="H445" s="77">
        <f>'EXTRACTION AT GLOBAL DEA'!N443</f>
        <v>0</v>
      </c>
      <c r="I445" s="77">
        <f>'EXTRACTION AT GLOBAL DEA'!L443</f>
        <v>0</v>
      </c>
      <c r="J445" s="77">
        <f>'EXTRACTION AT GLOBAL DEA'!M443</f>
        <v>0</v>
      </c>
      <c r="K445" s="77"/>
      <c r="L445" s="77"/>
      <c r="M445" s="78">
        <f>'EXTRACTION AT GLOBAL DEA'!B443</f>
        <v>0</v>
      </c>
      <c r="N445" s="77" t="str">
        <f t="shared" si="17"/>
        <v>janvier</v>
      </c>
      <c r="O445" s="65"/>
      <c r="P445" s="67"/>
      <c r="Q445" s="67"/>
      <c r="R445" s="67"/>
      <c r="S445" s="67"/>
      <c r="T445" s="67"/>
      <c r="U445" s="67"/>
      <c r="V445" s="67"/>
      <c r="W445" s="67"/>
      <c r="X445" s="67"/>
      <c r="Y445" s="67"/>
      <c r="Z445" s="67"/>
      <c r="AA445" s="67"/>
      <c r="AB445" s="68"/>
    </row>
    <row r="446" spans="1:28" hidden="1" x14ac:dyDescent="0.25">
      <c r="A446" s="77">
        <f>'EXTRACTION AT GLOBAL DEA'!D444</f>
        <v>0</v>
      </c>
      <c r="B446" s="77">
        <f>'EXTRACTION AT GLOBAL DEA'!E444</f>
        <v>0</v>
      </c>
      <c r="C446" s="77">
        <f>'EXTRACTION AT GLOBAL DEA'!F444</f>
        <v>0</v>
      </c>
      <c r="D446" s="77">
        <f>'EXTRACTION AT GLOBAL DEA'!I444</f>
        <v>0</v>
      </c>
      <c r="E446" s="66">
        <f>'EXTRACTION AT GLOBAL DEA'!G444</f>
        <v>0</v>
      </c>
      <c r="F446" s="84" t="str">
        <f t="shared" si="16"/>
        <v/>
      </c>
      <c r="G446" s="77">
        <f>'EXTRACTION AT GLOBAL DEA'!K444</f>
        <v>0</v>
      </c>
      <c r="H446" s="77">
        <f>'EXTRACTION AT GLOBAL DEA'!N444</f>
        <v>0</v>
      </c>
      <c r="I446" s="77">
        <f>'EXTRACTION AT GLOBAL DEA'!L444</f>
        <v>0</v>
      </c>
      <c r="J446" s="77">
        <f>'EXTRACTION AT GLOBAL DEA'!M444</f>
        <v>0</v>
      </c>
      <c r="K446" s="77"/>
      <c r="L446" s="77"/>
      <c r="M446" s="78">
        <f>'EXTRACTION AT GLOBAL DEA'!B444</f>
        <v>0</v>
      </c>
      <c r="N446" s="77" t="str">
        <f t="shared" si="17"/>
        <v>janvier</v>
      </c>
      <c r="O446" s="65"/>
      <c r="P446" s="67"/>
      <c r="Q446" s="67"/>
      <c r="R446" s="67"/>
      <c r="S446" s="67"/>
      <c r="T446" s="67"/>
      <c r="U446" s="67"/>
      <c r="V446" s="67"/>
      <c r="W446" s="67"/>
      <c r="X446" s="67"/>
      <c r="Y446" s="67"/>
      <c r="Z446" s="67"/>
      <c r="AA446" s="67"/>
      <c r="AB446" s="68"/>
    </row>
    <row r="447" spans="1:28" hidden="1" x14ac:dyDescent="0.25">
      <c r="A447" s="77">
        <f>'EXTRACTION AT GLOBAL DEA'!D445</f>
        <v>0</v>
      </c>
      <c r="B447" s="77">
        <f>'EXTRACTION AT GLOBAL DEA'!E445</f>
        <v>0</v>
      </c>
      <c r="C447" s="77">
        <f>'EXTRACTION AT GLOBAL DEA'!F445</f>
        <v>0</v>
      </c>
      <c r="D447" s="77">
        <f>'EXTRACTION AT GLOBAL DEA'!I445</f>
        <v>0</v>
      </c>
      <c r="E447" s="66">
        <f>'EXTRACTION AT GLOBAL DEA'!G445</f>
        <v>0</v>
      </c>
      <c r="F447" s="84" t="str">
        <f t="shared" si="16"/>
        <v/>
      </c>
      <c r="G447" s="77">
        <f>'EXTRACTION AT GLOBAL DEA'!K445</f>
        <v>0</v>
      </c>
      <c r="H447" s="77">
        <f>'EXTRACTION AT GLOBAL DEA'!N445</f>
        <v>0</v>
      </c>
      <c r="I447" s="77">
        <f>'EXTRACTION AT GLOBAL DEA'!L445</f>
        <v>0</v>
      </c>
      <c r="J447" s="77">
        <f>'EXTRACTION AT GLOBAL DEA'!M445</f>
        <v>0</v>
      </c>
      <c r="K447" s="77"/>
      <c r="L447" s="77"/>
      <c r="M447" s="78">
        <f>'EXTRACTION AT GLOBAL DEA'!B445</f>
        <v>0</v>
      </c>
      <c r="N447" s="77" t="str">
        <f t="shared" si="17"/>
        <v>janvier</v>
      </c>
      <c r="O447" s="65"/>
      <c r="P447" s="67"/>
      <c r="Q447" s="67"/>
      <c r="R447" s="67"/>
      <c r="S447" s="67"/>
      <c r="T447" s="67"/>
      <c r="U447" s="67"/>
      <c r="V447" s="67"/>
      <c r="W447" s="67"/>
      <c r="X447" s="67"/>
      <c r="Y447" s="67"/>
      <c r="Z447" s="67"/>
      <c r="AA447" s="67"/>
      <c r="AB447" s="68"/>
    </row>
    <row r="448" spans="1:28" hidden="1" x14ac:dyDescent="0.25">
      <c r="A448" s="77">
        <f>'EXTRACTION AT GLOBAL DEA'!D446</f>
        <v>0</v>
      </c>
      <c r="B448" s="77">
        <f>'EXTRACTION AT GLOBAL DEA'!E446</f>
        <v>0</v>
      </c>
      <c r="C448" s="77">
        <f>'EXTRACTION AT GLOBAL DEA'!F446</f>
        <v>0</v>
      </c>
      <c r="D448" s="77">
        <f>'EXTRACTION AT GLOBAL DEA'!I446</f>
        <v>0</v>
      </c>
      <c r="E448" s="66">
        <f>'EXTRACTION AT GLOBAL DEA'!G446</f>
        <v>0</v>
      </c>
      <c r="F448" s="84" t="str">
        <f t="shared" si="16"/>
        <v/>
      </c>
      <c r="G448" s="77">
        <f>'EXTRACTION AT GLOBAL DEA'!K446</f>
        <v>0</v>
      </c>
      <c r="H448" s="77">
        <f>'EXTRACTION AT GLOBAL DEA'!N446</f>
        <v>0</v>
      </c>
      <c r="I448" s="77">
        <f>'EXTRACTION AT GLOBAL DEA'!L446</f>
        <v>0</v>
      </c>
      <c r="J448" s="77">
        <f>'EXTRACTION AT GLOBAL DEA'!M446</f>
        <v>0</v>
      </c>
      <c r="K448" s="77"/>
      <c r="L448" s="77"/>
      <c r="M448" s="78">
        <f>'EXTRACTION AT GLOBAL DEA'!B446</f>
        <v>0</v>
      </c>
      <c r="N448" s="77" t="str">
        <f t="shared" si="17"/>
        <v>janvier</v>
      </c>
      <c r="O448" s="65"/>
      <c r="P448" s="67"/>
      <c r="Q448" s="67"/>
      <c r="R448" s="67"/>
      <c r="S448" s="67"/>
      <c r="T448" s="67"/>
      <c r="U448" s="67"/>
      <c r="V448" s="67"/>
      <c r="W448" s="67"/>
      <c r="X448" s="67"/>
      <c r="Y448" s="67"/>
      <c r="Z448" s="67"/>
      <c r="AA448" s="67"/>
      <c r="AB448" s="68"/>
    </row>
    <row r="449" spans="1:28" hidden="1" x14ac:dyDescent="0.25">
      <c r="A449" s="77">
        <f>'EXTRACTION AT GLOBAL DEA'!D447</f>
        <v>0</v>
      </c>
      <c r="B449" s="77">
        <f>'EXTRACTION AT GLOBAL DEA'!E447</f>
        <v>0</v>
      </c>
      <c r="C449" s="77">
        <f>'EXTRACTION AT GLOBAL DEA'!F447</f>
        <v>0</v>
      </c>
      <c r="D449" s="77">
        <f>'EXTRACTION AT GLOBAL DEA'!I447</f>
        <v>0</v>
      </c>
      <c r="E449" s="66">
        <f>'EXTRACTION AT GLOBAL DEA'!G447</f>
        <v>0</v>
      </c>
      <c r="F449" s="84" t="str">
        <f t="shared" si="16"/>
        <v/>
      </c>
      <c r="G449" s="77">
        <f>'EXTRACTION AT GLOBAL DEA'!K447</f>
        <v>0</v>
      </c>
      <c r="H449" s="77">
        <f>'EXTRACTION AT GLOBAL DEA'!N447</f>
        <v>0</v>
      </c>
      <c r="I449" s="77">
        <f>'EXTRACTION AT GLOBAL DEA'!L447</f>
        <v>0</v>
      </c>
      <c r="J449" s="77">
        <f>'EXTRACTION AT GLOBAL DEA'!M447</f>
        <v>0</v>
      </c>
      <c r="K449" s="77"/>
      <c r="L449" s="77"/>
      <c r="M449" s="78">
        <f>'EXTRACTION AT GLOBAL DEA'!B447</f>
        <v>0</v>
      </c>
      <c r="N449" s="77" t="str">
        <f t="shared" si="17"/>
        <v>janvier</v>
      </c>
      <c r="O449" s="65"/>
      <c r="P449" s="67"/>
      <c r="Q449" s="67"/>
      <c r="R449" s="67"/>
      <c r="S449" s="67"/>
      <c r="T449" s="67"/>
      <c r="U449" s="67"/>
      <c r="V449" s="67"/>
      <c r="W449" s="67"/>
      <c r="X449" s="67"/>
      <c r="Y449" s="67"/>
      <c r="Z449" s="67"/>
      <c r="AA449" s="67"/>
      <c r="AB449" s="68"/>
    </row>
    <row r="450" spans="1:28" hidden="1" x14ac:dyDescent="0.25">
      <c r="A450" s="77">
        <f>'EXTRACTION AT GLOBAL DEA'!D448</f>
        <v>0</v>
      </c>
      <c r="B450" s="77">
        <f>'EXTRACTION AT GLOBAL DEA'!E448</f>
        <v>0</v>
      </c>
      <c r="C450" s="77">
        <f>'EXTRACTION AT GLOBAL DEA'!F448</f>
        <v>0</v>
      </c>
      <c r="D450" s="77">
        <f>'EXTRACTION AT GLOBAL DEA'!I448</f>
        <v>0</v>
      </c>
      <c r="E450" s="66">
        <f>'EXTRACTION AT GLOBAL DEA'!G448</f>
        <v>0</v>
      </c>
      <c r="F450" s="84" t="str">
        <f t="shared" si="16"/>
        <v/>
      </c>
      <c r="G450" s="77">
        <f>'EXTRACTION AT GLOBAL DEA'!K448</f>
        <v>0</v>
      </c>
      <c r="H450" s="77">
        <f>'EXTRACTION AT GLOBAL DEA'!N448</f>
        <v>0</v>
      </c>
      <c r="I450" s="77">
        <f>'EXTRACTION AT GLOBAL DEA'!L448</f>
        <v>0</v>
      </c>
      <c r="J450" s="77">
        <f>'EXTRACTION AT GLOBAL DEA'!M448</f>
        <v>0</v>
      </c>
      <c r="K450" s="77"/>
      <c r="L450" s="77"/>
      <c r="M450" s="78">
        <f>'EXTRACTION AT GLOBAL DEA'!B448</f>
        <v>0</v>
      </c>
      <c r="N450" s="77" t="str">
        <f t="shared" si="17"/>
        <v>janvier</v>
      </c>
      <c r="O450" s="65"/>
      <c r="P450" s="67"/>
      <c r="Q450" s="67"/>
      <c r="R450" s="67"/>
      <c r="S450" s="67"/>
      <c r="T450" s="67"/>
      <c r="U450" s="67"/>
      <c r="V450" s="67"/>
      <c r="W450" s="67"/>
      <c r="X450" s="67"/>
      <c r="Y450" s="67"/>
      <c r="Z450" s="67"/>
      <c r="AA450" s="67"/>
      <c r="AB450" s="68"/>
    </row>
    <row r="451" spans="1:28" hidden="1" x14ac:dyDescent="0.25">
      <c r="A451" s="77">
        <f>'EXTRACTION AT GLOBAL DEA'!D449</f>
        <v>0</v>
      </c>
      <c r="B451" s="77">
        <f>'EXTRACTION AT GLOBAL DEA'!E449</f>
        <v>0</v>
      </c>
      <c r="C451" s="77">
        <f>'EXTRACTION AT GLOBAL DEA'!F449</f>
        <v>0</v>
      </c>
      <c r="D451" s="77">
        <f>'EXTRACTION AT GLOBAL DEA'!I449</f>
        <v>0</v>
      </c>
      <c r="E451" s="66">
        <f>'EXTRACTION AT GLOBAL DEA'!G449</f>
        <v>0</v>
      </c>
      <c r="F451" s="84" t="str">
        <f t="shared" si="16"/>
        <v/>
      </c>
      <c r="G451" s="77">
        <f>'EXTRACTION AT GLOBAL DEA'!K449</f>
        <v>0</v>
      </c>
      <c r="H451" s="77">
        <f>'EXTRACTION AT GLOBAL DEA'!N449</f>
        <v>0</v>
      </c>
      <c r="I451" s="77">
        <f>'EXTRACTION AT GLOBAL DEA'!L449</f>
        <v>0</v>
      </c>
      <c r="J451" s="77">
        <f>'EXTRACTION AT GLOBAL DEA'!M449</f>
        <v>0</v>
      </c>
      <c r="K451" s="77"/>
      <c r="L451" s="77"/>
      <c r="M451" s="78">
        <f>'EXTRACTION AT GLOBAL DEA'!B449</f>
        <v>0</v>
      </c>
      <c r="N451" s="77" t="str">
        <f t="shared" si="17"/>
        <v>janvier</v>
      </c>
      <c r="O451" s="65"/>
      <c r="P451" s="67"/>
      <c r="Q451" s="67"/>
      <c r="R451" s="67"/>
      <c r="S451" s="67"/>
      <c r="T451" s="67"/>
      <c r="U451" s="67"/>
      <c r="V451" s="67"/>
      <c r="W451" s="67"/>
      <c r="X451" s="67"/>
      <c r="Y451" s="67"/>
      <c r="Z451" s="67"/>
      <c r="AA451" s="67"/>
      <c r="AB451" s="68"/>
    </row>
    <row r="452" spans="1:28" hidden="1" x14ac:dyDescent="0.25">
      <c r="A452" s="77">
        <f>'EXTRACTION AT GLOBAL DEA'!D450</f>
        <v>0</v>
      </c>
      <c r="B452" s="77">
        <f>'EXTRACTION AT GLOBAL DEA'!E450</f>
        <v>0</v>
      </c>
      <c r="C452" s="77">
        <f>'EXTRACTION AT GLOBAL DEA'!F450</f>
        <v>0</v>
      </c>
      <c r="D452" s="77">
        <f>'EXTRACTION AT GLOBAL DEA'!I450</f>
        <v>0</v>
      </c>
      <c r="E452" s="66">
        <f>'EXTRACTION AT GLOBAL DEA'!G450</f>
        <v>0</v>
      </c>
      <c r="F452" s="84" t="str">
        <f t="shared" si="16"/>
        <v/>
      </c>
      <c r="G452" s="77">
        <f>'EXTRACTION AT GLOBAL DEA'!K450</f>
        <v>0</v>
      </c>
      <c r="H452" s="77">
        <f>'EXTRACTION AT GLOBAL DEA'!N450</f>
        <v>0</v>
      </c>
      <c r="I452" s="77">
        <f>'EXTRACTION AT GLOBAL DEA'!L450</f>
        <v>0</v>
      </c>
      <c r="J452" s="77">
        <f>'EXTRACTION AT GLOBAL DEA'!M450</f>
        <v>0</v>
      </c>
      <c r="K452" s="77"/>
      <c r="L452" s="77"/>
      <c r="M452" s="78">
        <f>'EXTRACTION AT GLOBAL DEA'!B450</f>
        <v>0</v>
      </c>
      <c r="N452" s="77" t="str">
        <f t="shared" si="17"/>
        <v>janvier</v>
      </c>
      <c r="O452" s="65"/>
      <c r="P452" s="67"/>
      <c r="Q452" s="67"/>
      <c r="R452" s="67"/>
      <c r="S452" s="67"/>
      <c r="T452" s="67"/>
      <c r="U452" s="67"/>
      <c r="V452" s="67"/>
      <c r="W452" s="67"/>
      <c r="X452" s="67"/>
      <c r="Y452" s="67"/>
      <c r="Z452" s="67"/>
      <c r="AA452" s="67"/>
      <c r="AB452" s="68"/>
    </row>
    <row r="453" spans="1:28" hidden="1" x14ac:dyDescent="0.25">
      <c r="A453" s="77">
        <f>'EXTRACTION AT GLOBAL DEA'!D451</f>
        <v>0</v>
      </c>
      <c r="B453" s="77">
        <f>'EXTRACTION AT GLOBAL DEA'!E451</f>
        <v>0</v>
      </c>
      <c r="C453" s="77">
        <f>'EXTRACTION AT GLOBAL DEA'!F451</f>
        <v>0</v>
      </c>
      <c r="D453" s="77">
        <f>'EXTRACTION AT GLOBAL DEA'!I451</f>
        <v>0</v>
      </c>
      <c r="E453" s="66">
        <f>'EXTRACTION AT GLOBAL DEA'!G451</f>
        <v>0</v>
      </c>
      <c r="F453" s="84" t="str">
        <f t="shared" si="16"/>
        <v/>
      </c>
      <c r="G453" s="77">
        <f>'EXTRACTION AT GLOBAL DEA'!K451</f>
        <v>0</v>
      </c>
      <c r="H453" s="77">
        <f>'EXTRACTION AT GLOBAL DEA'!N451</f>
        <v>0</v>
      </c>
      <c r="I453" s="77">
        <f>'EXTRACTION AT GLOBAL DEA'!L451</f>
        <v>0</v>
      </c>
      <c r="J453" s="77">
        <f>'EXTRACTION AT GLOBAL DEA'!M451</f>
        <v>0</v>
      </c>
      <c r="K453" s="77"/>
      <c r="L453" s="77"/>
      <c r="M453" s="78">
        <f>'EXTRACTION AT GLOBAL DEA'!B451</f>
        <v>0</v>
      </c>
      <c r="N453" s="77" t="str">
        <f t="shared" si="17"/>
        <v>janvier</v>
      </c>
      <c r="O453" s="65"/>
      <c r="P453" s="67"/>
      <c r="Q453" s="67"/>
      <c r="R453" s="67"/>
      <c r="S453" s="67"/>
      <c r="T453" s="67"/>
      <c r="U453" s="67"/>
      <c r="V453" s="67"/>
      <c r="W453" s="67"/>
      <c r="X453" s="67"/>
      <c r="Y453" s="67"/>
      <c r="Z453" s="67"/>
      <c r="AA453" s="67"/>
      <c r="AB453" s="68"/>
    </row>
    <row r="454" spans="1:28" hidden="1" x14ac:dyDescent="0.25">
      <c r="A454" s="77">
        <f>'EXTRACTION AT GLOBAL DEA'!D452</f>
        <v>0</v>
      </c>
      <c r="B454" s="77">
        <f>'EXTRACTION AT GLOBAL DEA'!E452</f>
        <v>0</v>
      </c>
      <c r="C454" s="77">
        <f>'EXTRACTION AT GLOBAL DEA'!F452</f>
        <v>0</v>
      </c>
      <c r="D454" s="77">
        <f>'EXTRACTION AT GLOBAL DEA'!I452</f>
        <v>0</v>
      </c>
      <c r="E454" s="66">
        <f>'EXTRACTION AT GLOBAL DEA'!G452</f>
        <v>0</v>
      </c>
      <c r="F454" s="84" t="str">
        <f t="shared" ref="F454:F503" si="18">IF(E454&lt;1,"",IF(E454&lt;20,"Moins de 20 ans",IF(E454&lt;25,"20 à 24 ans",IF(E454&lt;30,"25 à 29 ans",IF(E454&lt;35,"30 à 34 ans",IF(E454&lt;40,"35 à 39 ans",IF(E454&lt;45,"40 à 44 ans",IF(E454&lt;50,"45 à 49 ans",IF(E454&lt;55,"50 à 54 ans",IF(E453&lt;60,"55 à 59 ans",IF(E454&gt;59,"60 ans et plus","")))))))))))</f>
        <v/>
      </c>
      <c r="G454" s="77">
        <f>'EXTRACTION AT GLOBAL DEA'!K452</f>
        <v>0</v>
      </c>
      <c r="H454" s="77">
        <f>'EXTRACTION AT GLOBAL DEA'!N452</f>
        <v>0</v>
      </c>
      <c r="I454" s="77">
        <f>'EXTRACTION AT GLOBAL DEA'!L452</f>
        <v>0</v>
      </c>
      <c r="J454" s="77">
        <f>'EXTRACTION AT GLOBAL DEA'!M452</f>
        <v>0</v>
      </c>
      <c r="K454" s="77"/>
      <c r="L454" s="77"/>
      <c r="M454" s="78">
        <f>'EXTRACTION AT GLOBAL DEA'!B452</f>
        <v>0</v>
      </c>
      <c r="N454" s="77" t="str">
        <f t="shared" ref="N454:N503" si="19">TEXT(M454,"mmmm")</f>
        <v>janvier</v>
      </c>
      <c r="O454" s="65"/>
      <c r="P454" s="67"/>
      <c r="Q454" s="67"/>
      <c r="R454" s="67"/>
      <c r="S454" s="67"/>
      <c r="T454" s="67"/>
      <c r="U454" s="67"/>
      <c r="V454" s="67"/>
      <c r="W454" s="67"/>
      <c r="X454" s="67"/>
      <c r="Y454" s="67"/>
      <c r="Z454" s="67"/>
      <c r="AA454" s="67"/>
      <c r="AB454" s="68"/>
    </row>
    <row r="455" spans="1:28" hidden="1" x14ac:dyDescent="0.25">
      <c r="A455" s="77">
        <f>'EXTRACTION AT GLOBAL DEA'!D453</f>
        <v>0</v>
      </c>
      <c r="B455" s="77">
        <f>'EXTRACTION AT GLOBAL DEA'!E453</f>
        <v>0</v>
      </c>
      <c r="C455" s="77">
        <f>'EXTRACTION AT GLOBAL DEA'!F453</f>
        <v>0</v>
      </c>
      <c r="D455" s="77">
        <f>'EXTRACTION AT GLOBAL DEA'!I453</f>
        <v>0</v>
      </c>
      <c r="E455" s="66">
        <f>'EXTRACTION AT GLOBAL DEA'!G453</f>
        <v>0</v>
      </c>
      <c r="F455" s="84" t="str">
        <f t="shared" si="18"/>
        <v/>
      </c>
      <c r="G455" s="77">
        <f>'EXTRACTION AT GLOBAL DEA'!K453</f>
        <v>0</v>
      </c>
      <c r="H455" s="77">
        <f>'EXTRACTION AT GLOBAL DEA'!N453</f>
        <v>0</v>
      </c>
      <c r="I455" s="77">
        <f>'EXTRACTION AT GLOBAL DEA'!L453</f>
        <v>0</v>
      </c>
      <c r="J455" s="77">
        <f>'EXTRACTION AT GLOBAL DEA'!M453</f>
        <v>0</v>
      </c>
      <c r="K455" s="77"/>
      <c r="L455" s="77"/>
      <c r="M455" s="78">
        <f>'EXTRACTION AT GLOBAL DEA'!B453</f>
        <v>0</v>
      </c>
      <c r="N455" s="77" t="str">
        <f t="shared" si="19"/>
        <v>janvier</v>
      </c>
      <c r="O455" s="65"/>
      <c r="P455" s="67"/>
      <c r="Q455" s="67"/>
      <c r="R455" s="67"/>
      <c r="S455" s="67"/>
      <c r="T455" s="67"/>
      <c r="U455" s="67"/>
      <c r="V455" s="67"/>
      <c r="W455" s="67"/>
      <c r="X455" s="67"/>
      <c r="Y455" s="67"/>
      <c r="Z455" s="67"/>
      <c r="AA455" s="67"/>
      <c r="AB455" s="68"/>
    </row>
    <row r="456" spans="1:28" hidden="1" x14ac:dyDescent="0.25">
      <c r="A456" s="77">
        <f>'EXTRACTION AT GLOBAL DEA'!D454</f>
        <v>0</v>
      </c>
      <c r="B456" s="77">
        <f>'EXTRACTION AT GLOBAL DEA'!E454</f>
        <v>0</v>
      </c>
      <c r="C456" s="77">
        <f>'EXTRACTION AT GLOBAL DEA'!F454</f>
        <v>0</v>
      </c>
      <c r="D456" s="77">
        <f>'EXTRACTION AT GLOBAL DEA'!I454</f>
        <v>0</v>
      </c>
      <c r="E456" s="66">
        <f>'EXTRACTION AT GLOBAL DEA'!G454</f>
        <v>0</v>
      </c>
      <c r="F456" s="84" t="str">
        <f t="shared" si="18"/>
        <v/>
      </c>
      <c r="G456" s="77">
        <f>'EXTRACTION AT GLOBAL DEA'!K454</f>
        <v>0</v>
      </c>
      <c r="H456" s="77">
        <f>'EXTRACTION AT GLOBAL DEA'!N454</f>
        <v>0</v>
      </c>
      <c r="I456" s="77">
        <f>'EXTRACTION AT GLOBAL DEA'!L454</f>
        <v>0</v>
      </c>
      <c r="J456" s="77">
        <f>'EXTRACTION AT GLOBAL DEA'!M454</f>
        <v>0</v>
      </c>
      <c r="K456" s="77"/>
      <c r="L456" s="77"/>
      <c r="M456" s="78">
        <f>'EXTRACTION AT GLOBAL DEA'!B454</f>
        <v>0</v>
      </c>
      <c r="N456" s="77" t="str">
        <f t="shared" si="19"/>
        <v>janvier</v>
      </c>
      <c r="O456" s="65"/>
      <c r="P456" s="67"/>
      <c r="Q456" s="67"/>
      <c r="R456" s="67"/>
      <c r="S456" s="67"/>
      <c r="T456" s="67"/>
      <c r="U456" s="67"/>
      <c r="V456" s="67"/>
      <c r="W456" s="67"/>
      <c r="X456" s="67"/>
      <c r="Y456" s="67"/>
      <c r="Z456" s="67"/>
      <c r="AA456" s="67"/>
      <c r="AB456" s="68"/>
    </row>
    <row r="457" spans="1:28" hidden="1" x14ac:dyDescent="0.25">
      <c r="A457" s="77">
        <f>'EXTRACTION AT GLOBAL DEA'!D455</f>
        <v>0</v>
      </c>
      <c r="B457" s="77">
        <f>'EXTRACTION AT GLOBAL DEA'!E455</f>
        <v>0</v>
      </c>
      <c r="C457" s="77">
        <f>'EXTRACTION AT GLOBAL DEA'!F455</f>
        <v>0</v>
      </c>
      <c r="D457" s="77">
        <f>'EXTRACTION AT GLOBAL DEA'!I455</f>
        <v>0</v>
      </c>
      <c r="E457" s="66">
        <f>'EXTRACTION AT GLOBAL DEA'!G455</f>
        <v>0</v>
      </c>
      <c r="F457" s="84" t="str">
        <f t="shared" si="18"/>
        <v/>
      </c>
      <c r="G457" s="77">
        <f>'EXTRACTION AT GLOBAL DEA'!K455</f>
        <v>0</v>
      </c>
      <c r="H457" s="77">
        <f>'EXTRACTION AT GLOBAL DEA'!N455</f>
        <v>0</v>
      </c>
      <c r="I457" s="77">
        <f>'EXTRACTION AT GLOBAL DEA'!L455</f>
        <v>0</v>
      </c>
      <c r="J457" s="77">
        <f>'EXTRACTION AT GLOBAL DEA'!M455</f>
        <v>0</v>
      </c>
      <c r="K457" s="77"/>
      <c r="L457" s="77"/>
      <c r="M457" s="78">
        <f>'EXTRACTION AT GLOBAL DEA'!B455</f>
        <v>0</v>
      </c>
      <c r="N457" s="77" t="str">
        <f t="shared" si="19"/>
        <v>janvier</v>
      </c>
      <c r="O457" s="65"/>
      <c r="P457" s="67"/>
      <c r="Q457" s="67"/>
      <c r="R457" s="67"/>
      <c r="S457" s="67"/>
      <c r="T457" s="67"/>
      <c r="U457" s="67"/>
      <c r="V457" s="67"/>
      <c r="W457" s="67"/>
      <c r="X457" s="67"/>
      <c r="Y457" s="67"/>
      <c r="Z457" s="67"/>
      <c r="AA457" s="67"/>
      <c r="AB457" s="68"/>
    </row>
    <row r="458" spans="1:28" hidden="1" x14ac:dyDescent="0.25">
      <c r="A458" s="77">
        <f>'EXTRACTION AT GLOBAL DEA'!D456</f>
        <v>0</v>
      </c>
      <c r="B458" s="77">
        <f>'EXTRACTION AT GLOBAL DEA'!E456</f>
        <v>0</v>
      </c>
      <c r="C458" s="77">
        <f>'EXTRACTION AT GLOBAL DEA'!F456</f>
        <v>0</v>
      </c>
      <c r="D458" s="77">
        <f>'EXTRACTION AT GLOBAL DEA'!I456</f>
        <v>0</v>
      </c>
      <c r="E458" s="66">
        <f>'EXTRACTION AT GLOBAL DEA'!G456</f>
        <v>0</v>
      </c>
      <c r="F458" s="84" t="str">
        <f t="shared" si="18"/>
        <v/>
      </c>
      <c r="G458" s="77">
        <f>'EXTRACTION AT GLOBAL DEA'!K456</f>
        <v>0</v>
      </c>
      <c r="H458" s="77">
        <f>'EXTRACTION AT GLOBAL DEA'!N456</f>
        <v>0</v>
      </c>
      <c r="I458" s="77">
        <f>'EXTRACTION AT GLOBAL DEA'!L456</f>
        <v>0</v>
      </c>
      <c r="J458" s="77">
        <f>'EXTRACTION AT GLOBAL DEA'!M456</f>
        <v>0</v>
      </c>
      <c r="K458" s="77"/>
      <c r="L458" s="77"/>
      <c r="M458" s="78">
        <f>'EXTRACTION AT GLOBAL DEA'!B456</f>
        <v>0</v>
      </c>
      <c r="N458" s="77" t="str">
        <f t="shared" si="19"/>
        <v>janvier</v>
      </c>
      <c r="O458" s="65"/>
      <c r="P458" s="67"/>
      <c r="Q458" s="67"/>
      <c r="R458" s="67"/>
      <c r="S458" s="67"/>
      <c r="T458" s="67"/>
      <c r="U458" s="67"/>
      <c r="V458" s="67"/>
      <c r="W458" s="67"/>
      <c r="X458" s="67"/>
      <c r="Y458" s="67"/>
      <c r="Z458" s="67"/>
      <c r="AA458" s="67"/>
      <c r="AB458" s="68"/>
    </row>
    <row r="459" spans="1:28" hidden="1" x14ac:dyDescent="0.25">
      <c r="A459" s="77">
        <f>'EXTRACTION AT GLOBAL DEA'!D457</f>
        <v>0</v>
      </c>
      <c r="B459" s="77">
        <f>'EXTRACTION AT GLOBAL DEA'!E457</f>
        <v>0</v>
      </c>
      <c r="C459" s="77">
        <f>'EXTRACTION AT GLOBAL DEA'!F457</f>
        <v>0</v>
      </c>
      <c r="D459" s="77">
        <f>'EXTRACTION AT GLOBAL DEA'!I457</f>
        <v>0</v>
      </c>
      <c r="E459" s="66">
        <f>'EXTRACTION AT GLOBAL DEA'!G457</f>
        <v>0</v>
      </c>
      <c r="F459" s="84" t="str">
        <f t="shared" si="18"/>
        <v/>
      </c>
      <c r="G459" s="77">
        <f>'EXTRACTION AT GLOBAL DEA'!K457</f>
        <v>0</v>
      </c>
      <c r="H459" s="77">
        <f>'EXTRACTION AT GLOBAL DEA'!N457</f>
        <v>0</v>
      </c>
      <c r="I459" s="77">
        <f>'EXTRACTION AT GLOBAL DEA'!L457</f>
        <v>0</v>
      </c>
      <c r="J459" s="77">
        <f>'EXTRACTION AT GLOBAL DEA'!M457</f>
        <v>0</v>
      </c>
      <c r="K459" s="77"/>
      <c r="L459" s="77"/>
      <c r="M459" s="78">
        <f>'EXTRACTION AT GLOBAL DEA'!B457</f>
        <v>0</v>
      </c>
      <c r="N459" s="77" t="str">
        <f t="shared" si="19"/>
        <v>janvier</v>
      </c>
      <c r="O459" s="65"/>
      <c r="P459" s="67"/>
      <c r="Q459" s="67"/>
      <c r="R459" s="67"/>
      <c r="S459" s="67"/>
      <c r="T459" s="67"/>
      <c r="U459" s="67"/>
      <c r="V459" s="67"/>
      <c r="W459" s="67"/>
      <c r="X459" s="67"/>
      <c r="Y459" s="67"/>
      <c r="Z459" s="67"/>
      <c r="AA459" s="67"/>
      <c r="AB459" s="68"/>
    </row>
    <row r="460" spans="1:28" hidden="1" x14ac:dyDescent="0.25">
      <c r="A460" s="77">
        <f>'EXTRACTION AT GLOBAL DEA'!D458</f>
        <v>0</v>
      </c>
      <c r="B460" s="77">
        <f>'EXTRACTION AT GLOBAL DEA'!E458</f>
        <v>0</v>
      </c>
      <c r="C460" s="77">
        <f>'EXTRACTION AT GLOBAL DEA'!F458</f>
        <v>0</v>
      </c>
      <c r="D460" s="77">
        <f>'EXTRACTION AT GLOBAL DEA'!I458</f>
        <v>0</v>
      </c>
      <c r="E460" s="66">
        <f>'EXTRACTION AT GLOBAL DEA'!G458</f>
        <v>0</v>
      </c>
      <c r="F460" s="84" t="str">
        <f t="shared" si="18"/>
        <v/>
      </c>
      <c r="G460" s="77">
        <f>'EXTRACTION AT GLOBAL DEA'!K458</f>
        <v>0</v>
      </c>
      <c r="H460" s="77">
        <f>'EXTRACTION AT GLOBAL DEA'!N458</f>
        <v>0</v>
      </c>
      <c r="I460" s="77">
        <f>'EXTRACTION AT GLOBAL DEA'!L458</f>
        <v>0</v>
      </c>
      <c r="J460" s="77">
        <f>'EXTRACTION AT GLOBAL DEA'!M458</f>
        <v>0</v>
      </c>
      <c r="K460" s="77"/>
      <c r="L460" s="77"/>
      <c r="M460" s="78">
        <f>'EXTRACTION AT GLOBAL DEA'!B458</f>
        <v>0</v>
      </c>
      <c r="N460" s="77" t="str">
        <f t="shared" si="19"/>
        <v>janvier</v>
      </c>
      <c r="O460" s="65"/>
      <c r="P460" s="67"/>
      <c r="Q460" s="67"/>
      <c r="R460" s="67"/>
      <c r="S460" s="67"/>
      <c r="T460" s="67"/>
      <c r="U460" s="67"/>
      <c r="V460" s="67"/>
      <c r="W460" s="67"/>
      <c r="X460" s="67"/>
      <c r="Y460" s="67"/>
      <c r="Z460" s="67"/>
      <c r="AA460" s="67"/>
      <c r="AB460" s="68"/>
    </row>
    <row r="461" spans="1:28" hidden="1" x14ac:dyDescent="0.25">
      <c r="A461" s="77">
        <f>'EXTRACTION AT GLOBAL DEA'!D459</f>
        <v>0</v>
      </c>
      <c r="B461" s="77">
        <f>'EXTRACTION AT GLOBAL DEA'!E459</f>
        <v>0</v>
      </c>
      <c r="C461" s="77">
        <f>'EXTRACTION AT GLOBAL DEA'!F459</f>
        <v>0</v>
      </c>
      <c r="D461" s="77">
        <f>'EXTRACTION AT GLOBAL DEA'!I459</f>
        <v>0</v>
      </c>
      <c r="E461" s="66">
        <f>'EXTRACTION AT GLOBAL DEA'!G459</f>
        <v>0</v>
      </c>
      <c r="F461" s="84" t="str">
        <f t="shared" si="18"/>
        <v/>
      </c>
      <c r="G461" s="77">
        <f>'EXTRACTION AT GLOBAL DEA'!K459</f>
        <v>0</v>
      </c>
      <c r="H461" s="77">
        <f>'EXTRACTION AT GLOBAL DEA'!N459</f>
        <v>0</v>
      </c>
      <c r="I461" s="77">
        <f>'EXTRACTION AT GLOBAL DEA'!L459</f>
        <v>0</v>
      </c>
      <c r="J461" s="77">
        <f>'EXTRACTION AT GLOBAL DEA'!M459</f>
        <v>0</v>
      </c>
      <c r="K461" s="77"/>
      <c r="L461" s="77"/>
      <c r="M461" s="78">
        <f>'EXTRACTION AT GLOBAL DEA'!B459</f>
        <v>0</v>
      </c>
      <c r="N461" s="77" t="str">
        <f t="shared" si="19"/>
        <v>janvier</v>
      </c>
      <c r="O461" s="65"/>
      <c r="P461" s="67"/>
      <c r="Q461" s="67"/>
      <c r="R461" s="67"/>
      <c r="S461" s="67"/>
      <c r="T461" s="67"/>
      <c r="U461" s="67"/>
      <c r="V461" s="67"/>
      <c r="W461" s="67"/>
      <c r="X461" s="67"/>
      <c r="Y461" s="67"/>
      <c r="Z461" s="67"/>
      <c r="AA461" s="67"/>
      <c r="AB461" s="68"/>
    </row>
    <row r="462" spans="1:28" hidden="1" x14ac:dyDescent="0.25">
      <c r="A462" s="77">
        <f>'EXTRACTION AT GLOBAL DEA'!D460</f>
        <v>0</v>
      </c>
      <c r="B462" s="77">
        <f>'EXTRACTION AT GLOBAL DEA'!E460</f>
        <v>0</v>
      </c>
      <c r="C462" s="77">
        <f>'EXTRACTION AT GLOBAL DEA'!F460</f>
        <v>0</v>
      </c>
      <c r="D462" s="77">
        <f>'EXTRACTION AT GLOBAL DEA'!I460</f>
        <v>0</v>
      </c>
      <c r="E462" s="66">
        <f>'EXTRACTION AT GLOBAL DEA'!G460</f>
        <v>0</v>
      </c>
      <c r="F462" s="84" t="str">
        <f t="shared" si="18"/>
        <v/>
      </c>
      <c r="G462" s="77">
        <f>'EXTRACTION AT GLOBAL DEA'!K460</f>
        <v>0</v>
      </c>
      <c r="H462" s="77">
        <f>'EXTRACTION AT GLOBAL DEA'!N460</f>
        <v>0</v>
      </c>
      <c r="I462" s="77">
        <f>'EXTRACTION AT GLOBAL DEA'!L460</f>
        <v>0</v>
      </c>
      <c r="J462" s="77">
        <f>'EXTRACTION AT GLOBAL DEA'!M460</f>
        <v>0</v>
      </c>
      <c r="K462" s="77"/>
      <c r="L462" s="77"/>
      <c r="M462" s="78">
        <f>'EXTRACTION AT GLOBAL DEA'!B460</f>
        <v>0</v>
      </c>
      <c r="N462" s="77" t="str">
        <f t="shared" si="19"/>
        <v>janvier</v>
      </c>
      <c r="O462" s="65"/>
      <c r="P462" s="67"/>
      <c r="Q462" s="67"/>
      <c r="R462" s="67"/>
      <c r="S462" s="67"/>
      <c r="T462" s="67"/>
      <c r="U462" s="67"/>
      <c r="V462" s="67"/>
      <c r="W462" s="67"/>
      <c r="X462" s="67"/>
      <c r="Y462" s="67"/>
      <c r="Z462" s="67"/>
      <c r="AA462" s="67"/>
      <c r="AB462" s="68"/>
    </row>
    <row r="463" spans="1:28" hidden="1" x14ac:dyDescent="0.25">
      <c r="A463" s="77">
        <f>'EXTRACTION AT GLOBAL DEA'!D461</f>
        <v>0</v>
      </c>
      <c r="B463" s="77">
        <f>'EXTRACTION AT GLOBAL DEA'!E461</f>
        <v>0</v>
      </c>
      <c r="C463" s="77">
        <f>'EXTRACTION AT GLOBAL DEA'!F461</f>
        <v>0</v>
      </c>
      <c r="D463" s="77">
        <f>'EXTRACTION AT GLOBAL DEA'!I461</f>
        <v>0</v>
      </c>
      <c r="E463" s="66">
        <f>'EXTRACTION AT GLOBAL DEA'!G461</f>
        <v>0</v>
      </c>
      <c r="F463" s="84" t="str">
        <f t="shared" si="18"/>
        <v/>
      </c>
      <c r="G463" s="77">
        <f>'EXTRACTION AT GLOBAL DEA'!K461</f>
        <v>0</v>
      </c>
      <c r="H463" s="77">
        <f>'EXTRACTION AT GLOBAL DEA'!N461</f>
        <v>0</v>
      </c>
      <c r="I463" s="77">
        <f>'EXTRACTION AT GLOBAL DEA'!L461</f>
        <v>0</v>
      </c>
      <c r="J463" s="77">
        <f>'EXTRACTION AT GLOBAL DEA'!M461</f>
        <v>0</v>
      </c>
      <c r="K463" s="77"/>
      <c r="L463" s="77"/>
      <c r="M463" s="78">
        <f>'EXTRACTION AT GLOBAL DEA'!B461</f>
        <v>0</v>
      </c>
      <c r="N463" s="77" t="str">
        <f t="shared" si="19"/>
        <v>janvier</v>
      </c>
      <c r="O463" s="65"/>
      <c r="P463" s="67"/>
      <c r="Q463" s="67"/>
      <c r="R463" s="67"/>
      <c r="S463" s="67"/>
      <c r="T463" s="67"/>
      <c r="U463" s="67"/>
      <c r="V463" s="67"/>
      <c r="W463" s="67"/>
      <c r="X463" s="67"/>
      <c r="Y463" s="67"/>
      <c r="Z463" s="67"/>
      <c r="AA463" s="67"/>
      <c r="AB463" s="68"/>
    </row>
    <row r="464" spans="1:28" hidden="1" x14ac:dyDescent="0.25">
      <c r="A464" s="77">
        <f>'EXTRACTION AT GLOBAL DEA'!D462</f>
        <v>0</v>
      </c>
      <c r="B464" s="77">
        <f>'EXTRACTION AT GLOBAL DEA'!E462</f>
        <v>0</v>
      </c>
      <c r="C464" s="77">
        <f>'EXTRACTION AT GLOBAL DEA'!F462</f>
        <v>0</v>
      </c>
      <c r="D464" s="77">
        <f>'EXTRACTION AT GLOBAL DEA'!I462</f>
        <v>0</v>
      </c>
      <c r="E464" s="66">
        <f>'EXTRACTION AT GLOBAL DEA'!G462</f>
        <v>0</v>
      </c>
      <c r="F464" s="84" t="str">
        <f t="shared" si="18"/>
        <v/>
      </c>
      <c r="G464" s="77">
        <f>'EXTRACTION AT GLOBAL DEA'!K462</f>
        <v>0</v>
      </c>
      <c r="H464" s="77">
        <f>'EXTRACTION AT GLOBAL DEA'!N462</f>
        <v>0</v>
      </c>
      <c r="I464" s="77">
        <f>'EXTRACTION AT GLOBAL DEA'!L462</f>
        <v>0</v>
      </c>
      <c r="J464" s="77">
        <f>'EXTRACTION AT GLOBAL DEA'!M462</f>
        <v>0</v>
      </c>
      <c r="K464" s="77"/>
      <c r="L464" s="77"/>
      <c r="M464" s="78">
        <f>'EXTRACTION AT GLOBAL DEA'!B462</f>
        <v>0</v>
      </c>
      <c r="N464" s="77" t="str">
        <f t="shared" si="19"/>
        <v>janvier</v>
      </c>
      <c r="O464" s="65"/>
      <c r="P464" s="67"/>
      <c r="Q464" s="67"/>
      <c r="R464" s="67"/>
      <c r="S464" s="67"/>
      <c r="T464" s="67"/>
      <c r="U464" s="67"/>
      <c r="V464" s="67"/>
      <c r="W464" s="67"/>
      <c r="X464" s="67"/>
      <c r="Y464" s="67"/>
      <c r="Z464" s="67"/>
      <c r="AA464" s="67"/>
      <c r="AB464" s="68"/>
    </row>
    <row r="465" spans="1:28" hidden="1" x14ac:dyDescent="0.25">
      <c r="A465" s="77">
        <f>'EXTRACTION AT GLOBAL DEA'!D463</f>
        <v>0</v>
      </c>
      <c r="B465" s="77">
        <f>'EXTRACTION AT GLOBAL DEA'!E463</f>
        <v>0</v>
      </c>
      <c r="C465" s="77">
        <f>'EXTRACTION AT GLOBAL DEA'!F463</f>
        <v>0</v>
      </c>
      <c r="D465" s="77">
        <f>'EXTRACTION AT GLOBAL DEA'!I463</f>
        <v>0</v>
      </c>
      <c r="E465" s="66">
        <f>'EXTRACTION AT GLOBAL DEA'!G463</f>
        <v>0</v>
      </c>
      <c r="F465" s="84" t="str">
        <f t="shared" si="18"/>
        <v/>
      </c>
      <c r="G465" s="77">
        <f>'EXTRACTION AT GLOBAL DEA'!K463</f>
        <v>0</v>
      </c>
      <c r="H465" s="77">
        <f>'EXTRACTION AT GLOBAL DEA'!N463</f>
        <v>0</v>
      </c>
      <c r="I465" s="77">
        <f>'EXTRACTION AT GLOBAL DEA'!L463</f>
        <v>0</v>
      </c>
      <c r="J465" s="77">
        <f>'EXTRACTION AT GLOBAL DEA'!M463</f>
        <v>0</v>
      </c>
      <c r="K465" s="77"/>
      <c r="L465" s="77"/>
      <c r="M465" s="78">
        <f>'EXTRACTION AT GLOBAL DEA'!B463</f>
        <v>0</v>
      </c>
      <c r="N465" s="77" t="str">
        <f t="shared" si="19"/>
        <v>janvier</v>
      </c>
      <c r="O465" s="65"/>
      <c r="P465" s="67"/>
      <c r="Q465" s="67"/>
      <c r="R465" s="67"/>
      <c r="S465" s="67"/>
      <c r="T465" s="67"/>
      <c r="U465" s="67"/>
      <c r="V465" s="67"/>
      <c r="W465" s="67"/>
      <c r="X465" s="67"/>
      <c r="Y465" s="67"/>
      <c r="Z465" s="67"/>
      <c r="AA465" s="67"/>
      <c r="AB465" s="68"/>
    </row>
    <row r="466" spans="1:28" hidden="1" x14ac:dyDescent="0.25">
      <c r="A466" s="77">
        <f>'EXTRACTION AT GLOBAL DEA'!D464</f>
        <v>0</v>
      </c>
      <c r="B466" s="77">
        <f>'EXTRACTION AT GLOBAL DEA'!E464</f>
        <v>0</v>
      </c>
      <c r="C466" s="77">
        <f>'EXTRACTION AT GLOBAL DEA'!F464</f>
        <v>0</v>
      </c>
      <c r="D466" s="77">
        <f>'EXTRACTION AT GLOBAL DEA'!I464</f>
        <v>0</v>
      </c>
      <c r="E466" s="66">
        <f>'EXTRACTION AT GLOBAL DEA'!G464</f>
        <v>0</v>
      </c>
      <c r="F466" s="84" t="str">
        <f t="shared" si="18"/>
        <v/>
      </c>
      <c r="G466" s="77">
        <f>'EXTRACTION AT GLOBAL DEA'!K464</f>
        <v>0</v>
      </c>
      <c r="H466" s="77">
        <f>'EXTRACTION AT GLOBAL DEA'!N464</f>
        <v>0</v>
      </c>
      <c r="I466" s="77">
        <f>'EXTRACTION AT GLOBAL DEA'!L464</f>
        <v>0</v>
      </c>
      <c r="J466" s="77">
        <f>'EXTRACTION AT GLOBAL DEA'!M464</f>
        <v>0</v>
      </c>
      <c r="K466" s="77"/>
      <c r="L466" s="77"/>
      <c r="M466" s="78">
        <f>'EXTRACTION AT GLOBAL DEA'!B464</f>
        <v>0</v>
      </c>
      <c r="N466" s="77" t="str">
        <f t="shared" si="19"/>
        <v>janvier</v>
      </c>
      <c r="O466" s="65"/>
      <c r="P466" s="67"/>
      <c r="Q466" s="67"/>
      <c r="R466" s="67"/>
      <c r="S466" s="67"/>
      <c r="T466" s="67"/>
      <c r="U466" s="67"/>
      <c r="V466" s="67"/>
      <c r="W466" s="67"/>
      <c r="X466" s="67"/>
      <c r="Y466" s="67"/>
      <c r="Z466" s="67"/>
      <c r="AA466" s="67"/>
      <c r="AB466" s="68"/>
    </row>
    <row r="467" spans="1:28" hidden="1" x14ac:dyDescent="0.25">
      <c r="A467" s="77">
        <f>'EXTRACTION AT GLOBAL DEA'!D465</f>
        <v>0</v>
      </c>
      <c r="B467" s="77">
        <f>'EXTRACTION AT GLOBAL DEA'!E465</f>
        <v>0</v>
      </c>
      <c r="C467" s="77">
        <f>'EXTRACTION AT GLOBAL DEA'!F465</f>
        <v>0</v>
      </c>
      <c r="D467" s="77">
        <f>'EXTRACTION AT GLOBAL DEA'!I465</f>
        <v>0</v>
      </c>
      <c r="E467" s="66">
        <f>'EXTRACTION AT GLOBAL DEA'!G465</f>
        <v>0</v>
      </c>
      <c r="F467" s="84" t="str">
        <f t="shared" si="18"/>
        <v/>
      </c>
      <c r="G467" s="77">
        <f>'EXTRACTION AT GLOBAL DEA'!K465</f>
        <v>0</v>
      </c>
      <c r="H467" s="77">
        <f>'EXTRACTION AT GLOBAL DEA'!N465</f>
        <v>0</v>
      </c>
      <c r="I467" s="77">
        <f>'EXTRACTION AT GLOBAL DEA'!L465</f>
        <v>0</v>
      </c>
      <c r="J467" s="77">
        <f>'EXTRACTION AT GLOBAL DEA'!M465</f>
        <v>0</v>
      </c>
      <c r="K467" s="77"/>
      <c r="L467" s="77"/>
      <c r="M467" s="78">
        <f>'EXTRACTION AT GLOBAL DEA'!B465</f>
        <v>0</v>
      </c>
      <c r="N467" s="77" t="str">
        <f t="shared" si="19"/>
        <v>janvier</v>
      </c>
      <c r="O467" s="65"/>
      <c r="P467" s="67"/>
      <c r="Q467" s="67"/>
      <c r="R467" s="67"/>
      <c r="S467" s="67"/>
      <c r="T467" s="67"/>
      <c r="U467" s="67"/>
      <c r="V467" s="67"/>
      <c r="W467" s="67"/>
      <c r="X467" s="67"/>
      <c r="Y467" s="67"/>
      <c r="Z467" s="67"/>
      <c r="AA467" s="67"/>
      <c r="AB467" s="68"/>
    </row>
    <row r="468" spans="1:28" hidden="1" x14ac:dyDescent="0.25">
      <c r="A468" s="77">
        <f>'EXTRACTION AT GLOBAL DEA'!D466</f>
        <v>0</v>
      </c>
      <c r="B468" s="77">
        <f>'EXTRACTION AT GLOBAL DEA'!E466</f>
        <v>0</v>
      </c>
      <c r="C468" s="77">
        <f>'EXTRACTION AT GLOBAL DEA'!F466</f>
        <v>0</v>
      </c>
      <c r="D468" s="77">
        <f>'EXTRACTION AT GLOBAL DEA'!I466</f>
        <v>0</v>
      </c>
      <c r="E468" s="66">
        <f>'EXTRACTION AT GLOBAL DEA'!G466</f>
        <v>0</v>
      </c>
      <c r="F468" s="84" t="str">
        <f t="shared" si="18"/>
        <v/>
      </c>
      <c r="G468" s="77">
        <f>'EXTRACTION AT GLOBAL DEA'!K466</f>
        <v>0</v>
      </c>
      <c r="H468" s="77">
        <f>'EXTRACTION AT GLOBAL DEA'!N466</f>
        <v>0</v>
      </c>
      <c r="I468" s="77">
        <f>'EXTRACTION AT GLOBAL DEA'!L466</f>
        <v>0</v>
      </c>
      <c r="J468" s="77">
        <f>'EXTRACTION AT GLOBAL DEA'!M466</f>
        <v>0</v>
      </c>
      <c r="K468" s="77"/>
      <c r="L468" s="77"/>
      <c r="M468" s="78">
        <f>'EXTRACTION AT GLOBAL DEA'!B466</f>
        <v>0</v>
      </c>
      <c r="N468" s="77" t="str">
        <f t="shared" si="19"/>
        <v>janvier</v>
      </c>
      <c r="O468" s="65"/>
      <c r="P468" s="67"/>
      <c r="Q468" s="67"/>
      <c r="R468" s="67"/>
      <c r="S468" s="67"/>
      <c r="T468" s="67"/>
      <c r="U468" s="67"/>
      <c r="V468" s="67"/>
      <c r="W468" s="67"/>
      <c r="X468" s="67"/>
      <c r="Y468" s="67"/>
      <c r="Z468" s="67"/>
      <c r="AA468" s="67"/>
      <c r="AB468" s="68"/>
    </row>
    <row r="469" spans="1:28" hidden="1" x14ac:dyDescent="0.25">
      <c r="A469" s="77">
        <f>'EXTRACTION AT GLOBAL DEA'!D467</f>
        <v>0</v>
      </c>
      <c r="B469" s="77">
        <f>'EXTRACTION AT GLOBAL DEA'!E467</f>
        <v>0</v>
      </c>
      <c r="C469" s="77">
        <f>'EXTRACTION AT GLOBAL DEA'!F467</f>
        <v>0</v>
      </c>
      <c r="D469" s="77">
        <f>'EXTRACTION AT GLOBAL DEA'!I467</f>
        <v>0</v>
      </c>
      <c r="E469" s="66">
        <f>'EXTRACTION AT GLOBAL DEA'!G467</f>
        <v>0</v>
      </c>
      <c r="F469" s="84" t="str">
        <f t="shared" si="18"/>
        <v/>
      </c>
      <c r="G469" s="77">
        <f>'EXTRACTION AT GLOBAL DEA'!K467</f>
        <v>0</v>
      </c>
      <c r="H469" s="77">
        <f>'EXTRACTION AT GLOBAL DEA'!N467</f>
        <v>0</v>
      </c>
      <c r="I469" s="77">
        <f>'EXTRACTION AT GLOBAL DEA'!L467</f>
        <v>0</v>
      </c>
      <c r="J469" s="77">
        <f>'EXTRACTION AT GLOBAL DEA'!M467</f>
        <v>0</v>
      </c>
      <c r="K469" s="77"/>
      <c r="L469" s="77"/>
      <c r="M469" s="78">
        <f>'EXTRACTION AT GLOBAL DEA'!B467</f>
        <v>0</v>
      </c>
      <c r="N469" s="77" t="str">
        <f t="shared" si="19"/>
        <v>janvier</v>
      </c>
      <c r="O469" s="65"/>
      <c r="P469" s="67"/>
      <c r="Q469" s="67"/>
      <c r="R469" s="67"/>
      <c r="S469" s="67"/>
      <c r="T469" s="67"/>
      <c r="U469" s="67"/>
      <c r="V469" s="67"/>
      <c r="W469" s="67"/>
      <c r="X469" s="67"/>
      <c r="Y469" s="67"/>
      <c r="Z469" s="67"/>
      <c r="AA469" s="67"/>
      <c r="AB469" s="68"/>
    </row>
    <row r="470" spans="1:28" hidden="1" x14ac:dyDescent="0.25">
      <c r="A470" s="77">
        <f>'EXTRACTION AT GLOBAL DEA'!D468</f>
        <v>0</v>
      </c>
      <c r="B470" s="77">
        <f>'EXTRACTION AT GLOBAL DEA'!E468</f>
        <v>0</v>
      </c>
      <c r="C470" s="77">
        <f>'EXTRACTION AT GLOBAL DEA'!F468</f>
        <v>0</v>
      </c>
      <c r="D470" s="77">
        <f>'EXTRACTION AT GLOBAL DEA'!I468</f>
        <v>0</v>
      </c>
      <c r="E470" s="66">
        <f>'EXTRACTION AT GLOBAL DEA'!G468</f>
        <v>0</v>
      </c>
      <c r="F470" s="84" t="str">
        <f t="shared" si="18"/>
        <v/>
      </c>
      <c r="G470" s="77">
        <f>'EXTRACTION AT GLOBAL DEA'!K468</f>
        <v>0</v>
      </c>
      <c r="H470" s="77">
        <f>'EXTRACTION AT GLOBAL DEA'!N468</f>
        <v>0</v>
      </c>
      <c r="I470" s="77">
        <f>'EXTRACTION AT GLOBAL DEA'!L468</f>
        <v>0</v>
      </c>
      <c r="J470" s="77">
        <f>'EXTRACTION AT GLOBAL DEA'!M468</f>
        <v>0</v>
      </c>
      <c r="K470" s="77"/>
      <c r="L470" s="77"/>
      <c r="M470" s="78">
        <f>'EXTRACTION AT GLOBAL DEA'!B468</f>
        <v>0</v>
      </c>
      <c r="N470" s="77" t="str">
        <f t="shared" si="19"/>
        <v>janvier</v>
      </c>
      <c r="O470" s="65"/>
      <c r="P470" s="67"/>
      <c r="Q470" s="67"/>
      <c r="R470" s="67"/>
      <c r="S470" s="67"/>
      <c r="T470" s="67"/>
      <c r="U470" s="67"/>
      <c r="V470" s="67"/>
      <c r="W470" s="67"/>
      <c r="X470" s="67"/>
      <c r="Y470" s="67"/>
      <c r="Z470" s="67"/>
      <c r="AA470" s="67"/>
      <c r="AB470" s="68"/>
    </row>
    <row r="471" spans="1:28" hidden="1" x14ac:dyDescent="0.25">
      <c r="A471" s="77">
        <f>'EXTRACTION AT GLOBAL DEA'!D469</f>
        <v>0</v>
      </c>
      <c r="B471" s="77">
        <f>'EXTRACTION AT GLOBAL DEA'!E469</f>
        <v>0</v>
      </c>
      <c r="C471" s="77">
        <f>'EXTRACTION AT GLOBAL DEA'!F469</f>
        <v>0</v>
      </c>
      <c r="D471" s="77">
        <f>'EXTRACTION AT GLOBAL DEA'!I469</f>
        <v>0</v>
      </c>
      <c r="E471" s="66">
        <f>'EXTRACTION AT GLOBAL DEA'!G469</f>
        <v>0</v>
      </c>
      <c r="F471" s="84" t="str">
        <f t="shared" si="18"/>
        <v/>
      </c>
      <c r="G471" s="77">
        <f>'EXTRACTION AT GLOBAL DEA'!K469</f>
        <v>0</v>
      </c>
      <c r="H471" s="77">
        <f>'EXTRACTION AT GLOBAL DEA'!N469</f>
        <v>0</v>
      </c>
      <c r="I471" s="77">
        <f>'EXTRACTION AT GLOBAL DEA'!L469</f>
        <v>0</v>
      </c>
      <c r="J471" s="77">
        <f>'EXTRACTION AT GLOBAL DEA'!M469</f>
        <v>0</v>
      </c>
      <c r="K471" s="77"/>
      <c r="L471" s="77"/>
      <c r="M471" s="78">
        <f>'EXTRACTION AT GLOBAL DEA'!B469</f>
        <v>0</v>
      </c>
      <c r="N471" s="77" t="str">
        <f t="shared" si="19"/>
        <v>janvier</v>
      </c>
      <c r="O471" s="65"/>
      <c r="P471" s="67"/>
      <c r="Q471" s="67"/>
      <c r="R471" s="67"/>
      <c r="S471" s="67"/>
      <c r="T471" s="67"/>
      <c r="U471" s="67"/>
      <c r="V471" s="67"/>
      <c r="W471" s="67"/>
      <c r="X471" s="67"/>
      <c r="Y471" s="67"/>
      <c r="Z471" s="67"/>
      <c r="AA471" s="67"/>
      <c r="AB471" s="68"/>
    </row>
    <row r="472" spans="1:28" hidden="1" x14ac:dyDescent="0.25">
      <c r="A472" s="77">
        <f>'EXTRACTION AT GLOBAL DEA'!D470</f>
        <v>0</v>
      </c>
      <c r="B472" s="77">
        <f>'EXTRACTION AT GLOBAL DEA'!E470</f>
        <v>0</v>
      </c>
      <c r="C472" s="77">
        <f>'EXTRACTION AT GLOBAL DEA'!F470</f>
        <v>0</v>
      </c>
      <c r="D472" s="77">
        <f>'EXTRACTION AT GLOBAL DEA'!I470</f>
        <v>0</v>
      </c>
      <c r="E472" s="66">
        <f>'EXTRACTION AT GLOBAL DEA'!G470</f>
        <v>0</v>
      </c>
      <c r="F472" s="84" t="str">
        <f t="shared" si="18"/>
        <v/>
      </c>
      <c r="G472" s="77">
        <f>'EXTRACTION AT GLOBAL DEA'!K470</f>
        <v>0</v>
      </c>
      <c r="H472" s="77">
        <f>'EXTRACTION AT GLOBAL DEA'!N470</f>
        <v>0</v>
      </c>
      <c r="I472" s="77">
        <f>'EXTRACTION AT GLOBAL DEA'!L470</f>
        <v>0</v>
      </c>
      <c r="J472" s="77">
        <f>'EXTRACTION AT GLOBAL DEA'!M470</f>
        <v>0</v>
      </c>
      <c r="K472" s="77"/>
      <c r="L472" s="77"/>
      <c r="M472" s="78">
        <f>'EXTRACTION AT GLOBAL DEA'!B470</f>
        <v>0</v>
      </c>
      <c r="N472" s="77" t="str">
        <f t="shared" si="19"/>
        <v>janvier</v>
      </c>
      <c r="O472" s="65"/>
      <c r="P472" s="67"/>
      <c r="Q472" s="67"/>
      <c r="R472" s="67"/>
      <c r="S472" s="67"/>
      <c r="T472" s="67"/>
      <c r="U472" s="67"/>
      <c r="V472" s="67"/>
      <c r="W472" s="67"/>
      <c r="X472" s="67"/>
      <c r="Y472" s="67"/>
      <c r="Z472" s="67"/>
      <c r="AA472" s="67"/>
      <c r="AB472" s="68">
        <f t="shared" si="11"/>
        <v>0</v>
      </c>
    </row>
    <row r="473" spans="1:28" hidden="1" x14ac:dyDescent="0.25">
      <c r="A473" s="77">
        <f>'EXTRACTION AT GLOBAL DEA'!D471</f>
        <v>0</v>
      </c>
      <c r="B473" s="77">
        <f>'EXTRACTION AT GLOBAL DEA'!E471</f>
        <v>0</v>
      </c>
      <c r="C473" s="77">
        <f>'EXTRACTION AT GLOBAL DEA'!F471</f>
        <v>0</v>
      </c>
      <c r="D473" s="77">
        <f>'EXTRACTION AT GLOBAL DEA'!I471</f>
        <v>0</v>
      </c>
      <c r="E473" s="66">
        <f>'EXTRACTION AT GLOBAL DEA'!G471</f>
        <v>0</v>
      </c>
      <c r="F473" s="84" t="str">
        <f t="shared" si="18"/>
        <v/>
      </c>
      <c r="G473" s="77">
        <f>'EXTRACTION AT GLOBAL DEA'!K471</f>
        <v>0</v>
      </c>
      <c r="H473" s="77">
        <f>'EXTRACTION AT GLOBAL DEA'!N471</f>
        <v>0</v>
      </c>
      <c r="I473" s="77">
        <f>'EXTRACTION AT GLOBAL DEA'!L471</f>
        <v>0</v>
      </c>
      <c r="J473" s="77">
        <f>'EXTRACTION AT GLOBAL DEA'!M471</f>
        <v>0</v>
      </c>
      <c r="K473" s="77"/>
      <c r="L473" s="77"/>
      <c r="M473" s="78">
        <f>'EXTRACTION AT GLOBAL DEA'!B471</f>
        <v>0</v>
      </c>
      <c r="N473" s="77" t="str">
        <f t="shared" si="19"/>
        <v>janvier</v>
      </c>
      <c r="O473" s="65"/>
      <c r="P473" s="67"/>
      <c r="Q473" s="67"/>
      <c r="R473" s="67"/>
      <c r="S473" s="67"/>
      <c r="T473" s="67"/>
      <c r="U473" s="67"/>
      <c r="V473" s="67"/>
      <c r="W473" s="67"/>
      <c r="X473" s="67"/>
      <c r="Y473" s="67"/>
      <c r="Z473" s="67"/>
      <c r="AA473" s="67"/>
      <c r="AB473" s="68">
        <f t="shared" si="11"/>
        <v>0</v>
      </c>
    </row>
    <row r="474" spans="1:28" hidden="1" x14ac:dyDescent="0.25">
      <c r="A474" s="77">
        <f>'EXTRACTION AT GLOBAL DEA'!D472</f>
        <v>0</v>
      </c>
      <c r="B474" s="77">
        <f>'EXTRACTION AT GLOBAL DEA'!E472</f>
        <v>0</v>
      </c>
      <c r="C474" s="77">
        <f>'EXTRACTION AT GLOBAL DEA'!F472</f>
        <v>0</v>
      </c>
      <c r="D474" s="77">
        <f>'EXTRACTION AT GLOBAL DEA'!I472</f>
        <v>0</v>
      </c>
      <c r="E474" s="66">
        <f>'EXTRACTION AT GLOBAL DEA'!G472</f>
        <v>0</v>
      </c>
      <c r="F474" s="84" t="str">
        <f t="shared" si="18"/>
        <v/>
      </c>
      <c r="G474" s="77">
        <f>'EXTRACTION AT GLOBAL DEA'!K472</f>
        <v>0</v>
      </c>
      <c r="H474" s="77">
        <f>'EXTRACTION AT GLOBAL DEA'!N472</f>
        <v>0</v>
      </c>
      <c r="I474" s="77">
        <f>'EXTRACTION AT GLOBAL DEA'!L472</f>
        <v>0</v>
      </c>
      <c r="J474" s="77">
        <f>'EXTRACTION AT GLOBAL DEA'!M472</f>
        <v>0</v>
      </c>
      <c r="K474" s="77"/>
      <c r="L474" s="77"/>
      <c r="M474" s="78">
        <f>'EXTRACTION AT GLOBAL DEA'!B472</f>
        <v>0</v>
      </c>
      <c r="N474" s="77" t="str">
        <f t="shared" si="19"/>
        <v>janvier</v>
      </c>
      <c r="O474" s="65"/>
      <c r="P474" s="67"/>
      <c r="Q474" s="67"/>
      <c r="R474" s="67"/>
      <c r="S474" s="67"/>
      <c r="T474" s="67"/>
      <c r="U474" s="67"/>
      <c r="V474" s="67"/>
      <c r="W474" s="67"/>
      <c r="X474" s="67"/>
      <c r="Y474" s="67"/>
      <c r="Z474" s="67"/>
      <c r="AA474" s="67"/>
      <c r="AB474" s="68">
        <f t="shared" si="11"/>
        <v>0</v>
      </c>
    </row>
    <row r="475" spans="1:28" hidden="1" x14ac:dyDescent="0.25">
      <c r="A475" s="77">
        <f>'EXTRACTION AT GLOBAL DEA'!D473</f>
        <v>0</v>
      </c>
      <c r="B475" s="77">
        <f>'EXTRACTION AT GLOBAL DEA'!E473</f>
        <v>0</v>
      </c>
      <c r="C475" s="77">
        <f>'EXTRACTION AT GLOBAL DEA'!F473</f>
        <v>0</v>
      </c>
      <c r="D475" s="77">
        <f>'EXTRACTION AT GLOBAL DEA'!I473</f>
        <v>0</v>
      </c>
      <c r="E475" s="66">
        <f>'EXTRACTION AT GLOBAL DEA'!G473</f>
        <v>0</v>
      </c>
      <c r="F475" s="84" t="str">
        <f t="shared" si="18"/>
        <v/>
      </c>
      <c r="G475" s="77">
        <f>'EXTRACTION AT GLOBAL DEA'!K473</f>
        <v>0</v>
      </c>
      <c r="H475" s="77">
        <f>'EXTRACTION AT GLOBAL DEA'!N473</f>
        <v>0</v>
      </c>
      <c r="I475" s="77">
        <f>'EXTRACTION AT GLOBAL DEA'!L473</f>
        <v>0</v>
      </c>
      <c r="J475" s="77">
        <f>'EXTRACTION AT GLOBAL DEA'!M473</f>
        <v>0</v>
      </c>
      <c r="K475" s="77"/>
      <c r="L475" s="77"/>
      <c r="M475" s="78">
        <f>'EXTRACTION AT GLOBAL DEA'!B473</f>
        <v>0</v>
      </c>
      <c r="N475" s="77" t="str">
        <f t="shared" si="19"/>
        <v>janvier</v>
      </c>
      <c r="O475" s="65"/>
      <c r="P475" s="67"/>
      <c r="Q475" s="67"/>
      <c r="R475" s="67"/>
      <c r="S475" s="67"/>
      <c r="T475" s="67"/>
      <c r="U475" s="67"/>
      <c r="V475" s="67"/>
      <c r="W475" s="67"/>
      <c r="X475" s="67"/>
      <c r="Y475" s="67"/>
      <c r="Z475" s="67"/>
      <c r="AA475" s="67"/>
      <c r="AB475" s="68">
        <f t="shared" si="11"/>
        <v>0</v>
      </c>
    </row>
    <row r="476" spans="1:28" hidden="1" x14ac:dyDescent="0.25">
      <c r="A476" s="77">
        <f>'EXTRACTION AT GLOBAL DEA'!D474</f>
        <v>0</v>
      </c>
      <c r="B476" s="77">
        <f>'EXTRACTION AT GLOBAL DEA'!E474</f>
        <v>0</v>
      </c>
      <c r="C476" s="77">
        <f>'EXTRACTION AT GLOBAL DEA'!F474</f>
        <v>0</v>
      </c>
      <c r="D476" s="77">
        <f>'EXTRACTION AT GLOBAL DEA'!I474</f>
        <v>0</v>
      </c>
      <c r="E476" s="66">
        <f>'EXTRACTION AT GLOBAL DEA'!G474</f>
        <v>0</v>
      </c>
      <c r="F476" s="84" t="str">
        <f t="shared" si="18"/>
        <v/>
      </c>
      <c r="G476" s="77">
        <f>'EXTRACTION AT GLOBAL DEA'!K474</f>
        <v>0</v>
      </c>
      <c r="H476" s="77">
        <f>'EXTRACTION AT GLOBAL DEA'!N474</f>
        <v>0</v>
      </c>
      <c r="I476" s="77">
        <f>'EXTRACTION AT GLOBAL DEA'!L474</f>
        <v>0</v>
      </c>
      <c r="J476" s="77">
        <f>'EXTRACTION AT GLOBAL DEA'!M474</f>
        <v>0</v>
      </c>
      <c r="K476" s="77"/>
      <c r="L476" s="77"/>
      <c r="M476" s="78">
        <f>'EXTRACTION AT GLOBAL DEA'!B474</f>
        <v>0</v>
      </c>
      <c r="N476" s="77" t="str">
        <f t="shared" si="19"/>
        <v>janvier</v>
      </c>
      <c r="O476" s="65"/>
      <c r="P476" s="67"/>
      <c r="Q476" s="67"/>
      <c r="R476" s="67"/>
      <c r="S476" s="67"/>
      <c r="T476" s="67"/>
      <c r="U476" s="67"/>
      <c r="V476" s="67"/>
      <c r="W476" s="67"/>
      <c r="X476" s="67"/>
      <c r="Y476" s="67"/>
      <c r="Z476" s="67"/>
      <c r="AA476" s="67"/>
      <c r="AB476" s="68">
        <f t="shared" si="11"/>
        <v>0</v>
      </c>
    </row>
    <row r="477" spans="1:28" hidden="1" x14ac:dyDescent="0.25">
      <c r="A477" s="77">
        <f>'EXTRACTION AT GLOBAL DEA'!D475</f>
        <v>0</v>
      </c>
      <c r="B477" s="77">
        <f>'EXTRACTION AT GLOBAL DEA'!E475</f>
        <v>0</v>
      </c>
      <c r="C477" s="77">
        <f>'EXTRACTION AT GLOBAL DEA'!F475</f>
        <v>0</v>
      </c>
      <c r="D477" s="77">
        <f>'EXTRACTION AT GLOBAL DEA'!I475</f>
        <v>0</v>
      </c>
      <c r="E477" s="66">
        <f>'EXTRACTION AT GLOBAL DEA'!G475</f>
        <v>0</v>
      </c>
      <c r="F477" s="84" t="str">
        <f t="shared" si="18"/>
        <v/>
      </c>
      <c r="G477" s="77">
        <f>'EXTRACTION AT GLOBAL DEA'!K475</f>
        <v>0</v>
      </c>
      <c r="H477" s="77">
        <f>'EXTRACTION AT GLOBAL DEA'!N475</f>
        <v>0</v>
      </c>
      <c r="I477" s="77">
        <f>'EXTRACTION AT GLOBAL DEA'!L475</f>
        <v>0</v>
      </c>
      <c r="J477" s="77">
        <f>'EXTRACTION AT GLOBAL DEA'!M475</f>
        <v>0</v>
      </c>
      <c r="K477" s="77"/>
      <c r="L477" s="77"/>
      <c r="M477" s="78">
        <f>'EXTRACTION AT GLOBAL DEA'!B475</f>
        <v>0</v>
      </c>
      <c r="N477" s="77" t="str">
        <f t="shared" si="19"/>
        <v>janvier</v>
      </c>
      <c r="O477" s="65"/>
      <c r="P477" s="67"/>
      <c r="Q477" s="67"/>
      <c r="R477" s="67"/>
      <c r="S477" s="67"/>
      <c r="T477" s="67"/>
      <c r="U477" s="67"/>
      <c r="V477" s="67"/>
      <c r="W477" s="67"/>
      <c r="X477" s="67"/>
      <c r="Y477" s="67"/>
      <c r="Z477" s="67"/>
      <c r="AA477" s="67"/>
      <c r="AB477" s="68">
        <f t="shared" si="11"/>
        <v>0</v>
      </c>
    </row>
    <row r="478" spans="1:28" hidden="1" x14ac:dyDescent="0.25">
      <c r="A478" s="77">
        <f>'EXTRACTION AT GLOBAL DEA'!D476</f>
        <v>0</v>
      </c>
      <c r="B478" s="77">
        <f>'EXTRACTION AT GLOBAL DEA'!E476</f>
        <v>0</v>
      </c>
      <c r="C478" s="77">
        <f>'EXTRACTION AT GLOBAL DEA'!F476</f>
        <v>0</v>
      </c>
      <c r="D478" s="77">
        <f>'EXTRACTION AT GLOBAL DEA'!I476</f>
        <v>0</v>
      </c>
      <c r="E478" s="66">
        <f>'EXTRACTION AT GLOBAL DEA'!G476</f>
        <v>0</v>
      </c>
      <c r="F478" s="84" t="str">
        <f t="shared" si="18"/>
        <v/>
      </c>
      <c r="G478" s="77">
        <f>'EXTRACTION AT GLOBAL DEA'!K476</f>
        <v>0</v>
      </c>
      <c r="H478" s="77">
        <f>'EXTRACTION AT GLOBAL DEA'!N476</f>
        <v>0</v>
      </c>
      <c r="I478" s="77">
        <f>'EXTRACTION AT GLOBAL DEA'!L476</f>
        <v>0</v>
      </c>
      <c r="J478" s="77">
        <f>'EXTRACTION AT GLOBAL DEA'!M476</f>
        <v>0</v>
      </c>
      <c r="K478" s="77"/>
      <c r="L478" s="77"/>
      <c r="M478" s="78">
        <f>'EXTRACTION AT GLOBAL DEA'!B476</f>
        <v>0</v>
      </c>
      <c r="N478" s="77" t="str">
        <f t="shared" si="19"/>
        <v>janvier</v>
      </c>
      <c r="O478" s="65"/>
      <c r="P478" s="67"/>
      <c r="Q478" s="67"/>
      <c r="R478" s="67"/>
      <c r="S478" s="67"/>
      <c r="T478" s="67"/>
      <c r="U478" s="67"/>
      <c r="V478" s="67"/>
      <c r="W478" s="67"/>
      <c r="X478" s="67"/>
      <c r="Y478" s="67"/>
      <c r="Z478" s="67"/>
      <c r="AA478" s="67"/>
      <c r="AB478" s="68">
        <f t="shared" si="11"/>
        <v>0</v>
      </c>
    </row>
    <row r="479" spans="1:28" hidden="1" x14ac:dyDescent="0.25">
      <c r="A479" s="77">
        <f>'EXTRACTION AT GLOBAL DEA'!D477</f>
        <v>0</v>
      </c>
      <c r="B479" s="77">
        <f>'EXTRACTION AT GLOBAL DEA'!E477</f>
        <v>0</v>
      </c>
      <c r="C479" s="77">
        <f>'EXTRACTION AT GLOBAL DEA'!F477</f>
        <v>0</v>
      </c>
      <c r="D479" s="77">
        <f>'EXTRACTION AT GLOBAL DEA'!I477</f>
        <v>0</v>
      </c>
      <c r="E479" s="66">
        <f>'EXTRACTION AT GLOBAL DEA'!G477</f>
        <v>0</v>
      </c>
      <c r="F479" s="84" t="str">
        <f t="shared" si="18"/>
        <v/>
      </c>
      <c r="G479" s="77">
        <f>'EXTRACTION AT GLOBAL DEA'!K477</f>
        <v>0</v>
      </c>
      <c r="H479" s="77">
        <f>'EXTRACTION AT GLOBAL DEA'!N477</f>
        <v>0</v>
      </c>
      <c r="I479" s="77">
        <f>'EXTRACTION AT GLOBAL DEA'!L477</f>
        <v>0</v>
      </c>
      <c r="J479" s="77">
        <f>'EXTRACTION AT GLOBAL DEA'!M477</f>
        <v>0</v>
      </c>
      <c r="K479" s="77"/>
      <c r="L479" s="77"/>
      <c r="M479" s="78">
        <f>'EXTRACTION AT GLOBAL DEA'!B477</f>
        <v>0</v>
      </c>
      <c r="N479" s="77" t="str">
        <f t="shared" si="19"/>
        <v>janvier</v>
      </c>
      <c r="O479" s="65"/>
      <c r="P479" s="67"/>
      <c r="Q479" s="67"/>
      <c r="R479" s="67"/>
      <c r="S479" s="67"/>
      <c r="T479" s="67"/>
      <c r="U479" s="67"/>
      <c r="V479" s="67"/>
      <c r="W479" s="67"/>
      <c r="X479" s="67"/>
      <c r="Y479" s="67"/>
      <c r="Z479" s="67"/>
      <c r="AA479" s="67"/>
      <c r="AB479" s="68">
        <f t="shared" si="11"/>
        <v>0</v>
      </c>
    </row>
    <row r="480" spans="1:28" hidden="1" x14ac:dyDescent="0.25">
      <c r="A480" s="77">
        <f>'EXTRACTION AT GLOBAL DEA'!D478</f>
        <v>0</v>
      </c>
      <c r="B480" s="77">
        <f>'EXTRACTION AT GLOBAL DEA'!E478</f>
        <v>0</v>
      </c>
      <c r="C480" s="77">
        <f>'EXTRACTION AT GLOBAL DEA'!F478</f>
        <v>0</v>
      </c>
      <c r="D480" s="77">
        <f>'EXTRACTION AT GLOBAL DEA'!I478</f>
        <v>0</v>
      </c>
      <c r="E480" s="66">
        <f>'EXTRACTION AT GLOBAL DEA'!G478</f>
        <v>0</v>
      </c>
      <c r="F480" s="84" t="str">
        <f t="shared" si="18"/>
        <v/>
      </c>
      <c r="G480" s="77">
        <f>'EXTRACTION AT GLOBAL DEA'!K478</f>
        <v>0</v>
      </c>
      <c r="H480" s="77">
        <f>'EXTRACTION AT GLOBAL DEA'!N478</f>
        <v>0</v>
      </c>
      <c r="I480" s="77">
        <f>'EXTRACTION AT GLOBAL DEA'!L478</f>
        <v>0</v>
      </c>
      <c r="J480" s="77">
        <f>'EXTRACTION AT GLOBAL DEA'!M478</f>
        <v>0</v>
      </c>
      <c r="K480" s="77"/>
      <c r="L480" s="77"/>
      <c r="M480" s="78">
        <f>'EXTRACTION AT GLOBAL DEA'!B478</f>
        <v>0</v>
      </c>
      <c r="N480" s="77" t="str">
        <f t="shared" si="19"/>
        <v>janvier</v>
      </c>
      <c r="O480" s="65"/>
      <c r="P480" s="67"/>
      <c r="Q480" s="67"/>
      <c r="R480" s="67"/>
      <c r="S480" s="67"/>
      <c r="T480" s="67"/>
      <c r="U480" s="67"/>
      <c r="V480" s="67"/>
      <c r="W480" s="67"/>
      <c r="X480" s="67"/>
      <c r="Y480" s="67"/>
      <c r="Z480" s="67"/>
      <c r="AA480" s="67"/>
      <c r="AB480" s="68">
        <f t="shared" si="11"/>
        <v>0</v>
      </c>
    </row>
    <row r="481" spans="1:28" hidden="1" x14ac:dyDescent="0.25">
      <c r="A481" s="77">
        <f>'EXTRACTION AT GLOBAL DEA'!D479</f>
        <v>0</v>
      </c>
      <c r="B481" s="77">
        <f>'EXTRACTION AT GLOBAL DEA'!E479</f>
        <v>0</v>
      </c>
      <c r="C481" s="77">
        <f>'EXTRACTION AT GLOBAL DEA'!F479</f>
        <v>0</v>
      </c>
      <c r="D481" s="77">
        <f>'EXTRACTION AT GLOBAL DEA'!I479</f>
        <v>0</v>
      </c>
      <c r="E481" s="66">
        <f>'EXTRACTION AT GLOBAL DEA'!G479</f>
        <v>0</v>
      </c>
      <c r="F481" s="84" t="str">
        <f t="shared" si="18"/>
        <v/>
      </c>
      <c r="G481" s="77">
        <f>'EXTRACTION AT GLOBAL DEA'!K479</f>
        <v>0</v>
      </c>
      <c r="H481" s="77">
        <f>'EXTRACTION AT GLOBAL DEA'!N479</f>
        <v>0</v>
      </c>
      <c r="I481" s="77">
        <f>'EXTRACTION AT GLOBAL DEA'!L479</f>
        <v>0</v>
      </c>
      <c r="J481" s="77">
        <f>'EXTRACTION AT GLOBAL DEA'!M479</f>
        <v>0</v>
      </c>
      <c r="K481" s="77"/>
      <c r="L481" s="77"/>
      <c r="M481" s="78">
        <f>'EXTRACTION AT GLOBAL DEA'!B479</f>
        <v>0</v>
      </c>
      <c r="N481" s="77" t="str">
        <f t="shared" si="19"/>
        <v>janvier</v>
      </c>
      <c r="O481" s="65"/>
      <c r="P481" s="67"/>
      <c r="Q481" s="67"/>
      <c r="R481" s="67"/>
      <c r="S481" s="67"/>
      <c r="T481" s="67"/>
      <c r="U481" s="67"/>
      <c r="V481" s="67"/>
      <c r="W481" s="67"/>
      <c r="X481" s="67"/>
      <c r="Y481" s="67"/>
      <c r="Z481" s="67"/>
      <c r="AA481" s="67"/>
      <c r="AB481" s="68">
        <f t="shared" si="11"/>
        <v>0</v>
      </c>
    </row>
    <row r="482" spans="1:28" hidden="1" x14ac:dyDescent="0.25">
      <c r="A482" s="77">
        <f>'EXTRACTION AT GLOBAL DEA'!D480</f>
        <v>0</v>
      </c>
      <c r="B482" s="77">
        <f>'EXTRACTION AT GLOBAL DEA'!E480</f>
        <v>0</v>
      </c>
      <c r="C482" s="77">
        <f>'EXTRACTION AT GLOBAL DEA'!F480</f>
        <v>0</v>
      </c>
      <c r="D482" s="77">
        <f>'EXTRACTION AT GLOBAL DEA'!I480</f>
        <v>0</v>
      </c>
      <c r="E482" s="66">
        <f>'EXTRACTION AT GLOBAL DEA'!G480</f>
        <v>0</v>
      </c>
      <c r="F482" s="84" t="str">
        <f t="shared" si="18"/>
        <v/>
      </c>
      <c r="G482" s="77">
        <f>'EXTRACTION AT GLOBAL DEA'!K480</f>
        <v>0</v>
      </c>
      <c r="H482" s="77">
        <f>'EXTRACTION AT GLOBAL DEA'!N480</f>
        <v>0</v>
      </c>
      <c r="I482" s="77">
        <f>'EXTRACTION AT GLOBAL DEA'!L480</f>
        <v>0</v>
      </c>
      <c r="J482" s="77">
        <f>'EXTRACTION AT GLOBAL DEA'!M480</f>
        <v>0</v>
      </c>
      <c r="K482" s="77"/>
      <c r="L482" s="77"/>
      <c r="M482" s="78">
        <f>'EXTRACTION AT GLOBAL DEA'!B480</f>
        <v>0</v>
      </c>
      <c r="N482" s="77" t="str">
        <f t="shared" si="19"/>
        <v>janvier</v>
      </c>
      <c r="O482" s="65"/>
      <c r="P482" s="67"/>
      <c r="Q482" s="67"/>
      <c r="R482" s="67"/>
      <c r="S482" s="67"/>
      <c r="T482" s="67"/>
      <c r="U482" s="67"/>
      <c r="V482" s="67"/>
      <c r="W482" s="67"/>
      <c r="X482" s="67"/>
      <c r="Y482" s="67"/>
      <c r="Z482" s="67"/>
      <c r="AA482" s="67"/>
      <c r="AB482" s="68">
        <f t="shared" si="11"/>
        <v>0</v>
      </c>
    </row>
    <row r="483" spans="1:28" hidden="1" x14ac:dyDescent="0.25">
      <c r="A483" s="77">
        <f>'EXTRACTION AT GLOBAL DEA'!D481</f>
        <v>0</v>
      </c>
      <c r="B483" s="77">
        <f>'EXTRACTION AT GLOBAL DEA'!E481</f>
        <v>0</v>
      </c>
      <c r="C483" s="77">
        <f>'EXTRACTION AT GLOBAL DEA'!F481</f>
        <v>0</v>
      </c>
      <c r="D483" s="77">
        <f>'EXTRACTION AT GLOBAL DEA'!I481</f>
        <v>0</v>
      </c>
      <c r="E483" s="66">
        <f>'EXTRACTION AT GLOBAL DEA'!G481</f>
        <v>0</v>
      </c>
      <c r="F483" s="84" t="str">
        <f t="shared" si="18"/>
        <v/>
      </c>
      <c r="G483" s="77">
        <f>'EXTRACTION AT GLOBAL DEA'!K481</f>
        <v>0</v>
      </c>
      <c r="H483" s="77">
        <f>'EXTRACTION AT GLOBAL DEA'!N481</f>
        <v>0</v>
      </c>
      <c r="I483" s="77">
        <f>'EXTRACTION AT GLOBAL DEA'!L481</f>
        <v>0</v>
      </c>
      <c r="J483" s="77">
        <f>'EXTRACTION AT GLOBAL DEA'!M481</f>
        <v>0</v>
      </c>
      <c r="K483" s="77"/>
      <c r="L483" s="77"/>
      <c r="M483" s="78">
        <f>'EXTRACTION AT GLOBAL DEA'!B481</f>
        <v>0</v>
      </c>
      <c r="N483" s="77" t="str">
        <f t="shared" si="19"/>
        <v>janvier</v>
      </c>
      <c r="O483" s="65"/>
      <c r="P483" s="67"/>
      <c r="Q483" s="67"/>
      <c r="R483" s="67"/>
      <c r="S483" s="67"/>
      <c r="T483" s="67"/>
      <c r="U483" s="67"/>
      <c r="V483" s="67"/>
      <c r="W483" s="67"/>
      <c r="X483" s="67"/>
      <c r="Y483" s="67"/>
      <c r="Z483" s="67"/>
      <c r="AA483" s="67"/>
      <c r="AB483" s="68">
        <f t="shared" si="11"/>
        <v>0</v>
      </c>
    </row>
    <row r="484" spans="1:28" hidden="1" x14ac:dyDescent="0.25">
      <c r="A484" s="77">
        <f>'EXTRACTION AT GLOBAL DEA'!D482</f>
        <v>0</v>
      </c>
      <c r="B484" s="77">
        <f>'EXTRACTION AT GLOBAL DEA'!E482</f>
        <v>0</v>
      </c>
      <c r="C484" s="77">
        <f>'EXTRACTION AT GLOBAL DEA'!F482</f>
        <v>0</v>
      </c>
      <c r="D484" s="77">
        <f>'EXTRACTION AT GLOBAL DEA'!I482</f>
        <v>0</v>
      </c>
      <c r="E484" s="66">
        <f>'EXTRACTION AT GLOBAL DEA'!G482</f>
        <v>0</v>
      </c>
      <c r="F484" s="84" t="str">
        <f t="shared" si="18"/>
        <v/>
      </c>
      <c r="G484" s="77">
        <f>'EXTRACTION AT GLOBAL DEA'!K482</f>
        <v>0</v>
      </c>
      <c r="H484" s="77">
        <f>'EXTRACTION AT GLOBAL DEA'!N482</f>
        <v>0</v>
      </c>
      <c r="I484" s="77">
        <f>'EXTRACTION AT GLOBAL DEA'!L482</f>
        <v>0</v>
      </c>
      <c r="J484" s="77">
        <f>'EXTRACTION AT GLOBAL DEA'!M482</f>
        <v>0</v>
      </c>
      <c r="K484" s="77"/>
      <c r="L484" s="77"/>
      <c r="M484" s="78">
        <f>'EXTRACTION AT GLOBAL DEA'!B482</f>
        <v>0</v>
      </c>
      <c r="N484" s="77" t="str">
        <f t="shared" si="19"/>
        <v>janvier</v>
      </c>
      <c r="O484" s="65"/>
      <c r="P484" s="67"/>
      <c r="Q484" s="67"/>
      <c r="R484" s="67"/>
      <c r="S484" s="67"/>
      <c r="T484" s="67"/>
      <c r="U484" s="67"/>
      <c r="V484" s="67"/>
      <c r="W484" s="67"/>
      <c r="X484" s="67"/>
      <c r="Y484" s="67"/>
      <c r="Z484" s="67"/>
      <c r="AA484" s="67"/>
      <c r="AB484" s="68">
        <f t="shared" si="11"/>
        <v>0</v>
      </c>
    </row>
    <row r="485" spans="1:28" hidden="1" x14ac:dyDescent="0.25">
      <c r="A485" s="77">
        <f>'EXTRACTION AT GLOBAL DEA'!D483</f>
        <v>0</v>
      </c>
      <c r="B485" s="77">
        <f>'EXTRACTION AT GLOBAL DEA'!E483</f>
        <v>0</v>
      </c>
      <c r="C485" s="77">
        <f>'EXTRACTION AT GLOBAL DEA'!F483</f>
        <v>0</v>
      </c>
      <c r="D485" s="77">
        <f>'EXTRACTION AT GLOBAL DEA'!I483</f>
        <v>0</v>
      </c>
      <c r="E485" s="66">
        <f>'EXTRACTION AT GLOBAL DEA'!G483</f>
        <v>0</v>
      </c>
      <c r="F485" s="84" t="str">
        <f t="shared" si="18"/>
        <v/>
      </c>
      <c r="G485" s="77">
        <f>'EXTRACTION AT GLOBAL DEA'!K483</f>
        <v>0</v>
      </c>
      <c r="H485" s="77">
        <f>'EXTRACTION AT GLOBAL DEA'!N483</f>
        <v>0</v>
      </c>
      <c r="I485" s="77">
        <f>'EXTRACTION AT GLOBAL DEA'!L483</f>
        <v>0</v>
      </c>
      <c r="J485" s="77">
        <f>'EXTRACTION AT GLOBAL DEA'!M483</f>
        <v>0</v>
      </c>
      <c r="K485" s="77"/>
      <c r="L485" s="77"/>
      <c r="M485" s="78">
        <f>'EXTRACTION AT GLOBAL DEA'!B483</f>
        <v>0</v>
      </c>
      <c r="N485" s="77" t="str">
        <f t="shared" si="19"/>
        <v>janvier</v>
      </c>
      <c r="O485" s="65"/>
      <c r="P485" s="67"/>
      <c r="Q485" s="67"/>
      <c r="R485" s="67"/>
      <c r="S485" s="67"/>
      <c r="T485" s="67"/>
      <c r="U485" s="67"/>
      <c r="V485" s="67"/>
      <c r="W485" s="67"/>
      <c r="X485" s="67"/>
      <c r="Y485" s="67"/>
      <c r="Z485" s="67"/>
      <c r="AA485" s="67"/>
      <c r="AB485" s="68">
        <f t="shared" si="11"/>
        <v>0</v>
      </c>
    </row>
    <row r="486" spans="1:28" hidden="1" x14ac:dyDescent="0.25">
      <c r="A486" s="77">
        <f>'EXTRACTION AT GLOBAL DEA'!D484</f>
        <v>0</v>
      </c>
      <c r="B486" s="77">
        <f>'EXTRACTION AT GLOBAL DEA'!E484</f>
        <v>0</v>
      </c>
      <c r="C486" s="77">
        <f>'EXTRACTION AT GLOBAL DEA'!F484</f>
        <v>0</v>
      </c>
      <c r="D486" s="77">
        <f>'EXTRACTION AT GLOBAL DEA'!I484</f>
        <v>0</v>
      </c>
      <c r="E486" s="66">
        <f>'EXTRACTION AT GLOBAL DEA'!G484</f>
        <v>0</v>
      </c>
      <c r="F486" s="84" t="str">
        <f t="shared" si="18"/>
        <v/>
      </c>
      <c r="G486" s="77">
        <f>'EXTRACTION AT GLOBAL DEA'!K484</f>
        <v>0</v>
      </c>
      <c r="H486" s="77">
        <f>'EXTRACTION AT GLOBAL DEA'!N484</f>
        <v>0</v>
      </c>
      <c r="I486" s="77">
        <f>'EXTRACTION AT GLOBAL DEA'!L484</f>
        <v>0</v>
      </c>
      <c r="J486" s="77">
        <f>'EXTRACTION AT GLOBAL DEA'!M484</f>
        <v>0</v>
      </c>
      <c r="K486" s="77"/>
      <c r="L486" s="77"/>
      <c r="M486" s="78">
        <f>'EXTRACTION AT GLOBAL DEA'!B484</f>
        <v>0</v>
      </c>
      <c r="N486" s="77" t="str">
        <f t="shared" si="19"/>
        <v>janvier</v>
      </c>
      <c r="O486" s="65"/>
      <c r="P486" s="67"/>
      <c r="Q486" s="67"/>
      <c r="R486" s="67"/>
      <c r="S486" s="67"/>
      <c r="T486" s="67"/>
      <c r="U486" s="67"/>
      <c r="V486" s="67"/>
      <c r="W486" s="67"/>
      <c r="X486" s="67"/>
      <c r="Y486" s="67"/>
      <c r="Z486" s="67"/>
      <c r="AA486" s="67"/>
      <c r="AB486" s="68">
        <f t="shared" si="11"/>
        <v>0</v>
      </c>
    </row>
    <row r="487" spans="1:28" hidden="1" x14ac:dyDescent="0.25">
      <c r="A487" s="77">
        <f>'EXTRACTION AT GLOBAL DEA'!D485</f>
        <v>0</v>
      </c>
      <c r="B487" s="77">
        <f>'EXTRACTION AT GLOBAL DEA'!E485</f>
        <v>0</v>
      </c>
      <c r="C487" s="77">
        <f>'EXTRACTION AT GLOBAL DEA'!F485</f>
        <v>0</v>
      </c>
      <c r="D487" s="77">
        <f>'EXTRACTION AT GLOBAL DEA'!I485</f>
        <v>0</v>
      </c>
      <c r="E487" s="66">
        <f>'EXTRACTION AT GLOBAL DEA'!G485</f>
        <v>0</v>
      </c>
      <c r="F487" s="84" t="str">
        <f t="shared" si="18"/>
        <v/>
      </c>
      <c r="G487" s="77">
        <f>'EXTRACTION AT GLOBAL DEA'!K485</f>
        <v>0</v>
      </c>
      <c r="H487" s="77">
        <f>'EXTRACTION AT GLOBAL DEA'!N485</f>
        <v>0</v>
      </c>
      <c r="I487" s="77">
        <f>'EXTRACTION AT GLOBAL DEA'!L485</f>
        <v>0</v>
      </c>
      <c r="J487" s="77">
        <f>'EXTRACTION AT GLOBAL DEA'!M485</f>
        <v>0</v>
      </c>
      <c r="K487" s="77"/>
      <c r="L487" s="77"/>
      <c r="M487" s="78">
        <f>'EXTRACTION AT GLOBAL DEA'!B485</f>
        <v>0</v>
      </c>
      <c r="N487" s="77" t="str">
        <f t="shared" si="19"/>
        <v>janvier</v>
      </c>
      <c r="O487" s="65"/>
      <c r="P487" s="67"/>
      <c r="Q487" s="67"/>
      <c r="R487" s="67"/>
      <c r="S487" s="67"/>
      <c r="T487" s="67"/>
      <c r="U487" s="67"/>
      <c r="V487" s="67"/>
      <c r="W487" s="67"/>
      <c r="X487" s="67"/>
      <c r="Y487" s="67"/>
      <c r="Z487" s="67"/>
      <c r="AA487" s="67"/>
      <c r="AB487" s="68">
        <f t="shared" si="11"/>
        <v>0</v>
      </c>
    </row>
    <row r="488" spans="1:28" hidden="1" x14ac:dyDescent="0.25">
      <c r="A488" s="77">
        <f>'EXTRACTION AT GLOBAL DEA'!D486</f>
        <v>0</v>
      </c>
      <c r="B488" s="77">
        <f>'EXTRACTION AT GLOBAL DEA'!E486</f>
        <v>0</v>
      </c>
      <c r="C488" s="77">
        <f>'EXTRACTION AT GLOBAL DEA'!F486</f>
        <v>0</v>
      </c>
      <c r="D488" s="77">
        <f>'EXTRACTION AT GLOBAL DEA'!I486</f>
        <v>0</v>
      </c>
      <c r="E488" s="66">
        <f>'EXTRACTION AT GLOBAL DEA'!G486</f>
        <v>0</v>
      </c>
      <c r="F488" s="84" t="str">
        <f t="shared" si="18"/>
        <v/>
      </c>
      <c r="G488" s="77">
        <f>'EXTRACTION AT GLOBAL DEA'!K486</f>
        <v>0</v>
      </c>
      <c r="H488" s="77">
        <f>'EXTRACTION AT GLOBAL DEA'!N486</f>
        <v>0</v>
      </c>
      <c r="I488" s="77">
        <f>'EXTRACTION AT GLOBAL DEA'!L486</f>
        <v>0</v>
      </c>
      <c r="J488" s="77">
        <f>'EXTRACTION AT GLOBAL DEA'!M486</f>
        <v>0</v>
      </c>
      <c r="K488" s="77"/>
      <c r="L488" s="77"/>
      <c r="M488" s="78">
        <f>'EXTRACTION AT GLOBAL DEA'!B486</f>
        <v>0</v>
      </c>
      <c r="N488" s="77" t="str">
        <f t="shared" si="19"/>
        <v>janvier</v>
      </c>
      <c r="O488" s="65"/>
      <c r="P488" s="67"/>
      <c r="Q488" s="67"/>
      <c r="R488" s="67"/>
      <c r="S488" s="67"/>
      <c r="T488" s="67"/>
      <c r="U488" s="67"/>
      <c r="V488" s="67"/>
      <c r="W488" s="67"/>
      <c r="X488" s="67"/>
      <c r="Y488" s="67"/>
      <c r="Z488" s="67"/>
      <c r="AA488" s="67"/>
      <c r="AB488" s="68">
        <f t="shared" si="11"/>
        <v>0</v>
      </c>
    </row>
    <row r="489" spans="1:28" hidden="1" x14ac:dyDescent="0.25">
      <c r="A489" s="77">
        <f>'EXTRACTION AT GLOBAL DEA'!D487</f>
        <v>0</v>
      </c>
      <c r="B489" s="77">
        <f>'EXTRACTION AT GLOBAL DEA'!E487</f>
        <v>0</v>
      </c>
      <c r="C489" s="77">
        <f>'EXTRACTION AT GLOBAL DEA'!F487</f>
        <v>0</v>
      </c>
      <c r="D489" s="77">
        <f>'EXTRACTION AT GLOBAL DEA'!I487</f>
        <v>0</v>
      </c>
      <c r="E489" s="66">
        <f>'EXTRACTION AT GLOBAL DEA'!G487</f>
        <v>0</v>
      </c>
      <c r="F489" s="84" t="str">
        <f t="shared" si="18"/>
        <v/>
      </c>
      <c r="G489" s="77">
        <f>'EXTRACTION AT GLOBAL DEA'!K487</f>
        <v>0</v>
      </c>
      <c r="H489" s="77">
        <f>'EXTRACTION AT GLOBAL DEA'!N487</f>
        <v>0</v>
      </c>
      <c r="I489" s="77">
        <f>'EXTRACTION AT GLOBAL DEA'!L487</f>
        <v>0</v>
      </c>
      <c r="J489" s="77">
        <f>'EXTRACTION AT GLOBAL DEA'!M487</f>
        <v>0</v>
      </c>
      <c r="K489" s="77"/>
      <c r="L489" s="77"/>
      <c r="M489" s="78">
        <f>'EXTRACTION AT GLOBAL DEA'!B487</f>
        <v>0</v>
      </c>
      <c r="N489" s="77" t="str">
        <f t="shared" si="19"/>
        <v>janvier</v>
      </c>
      <c r="O489" s="65"/>
      <c r="P489" s="67"/>
      <c r="Q489" s="67"/>
      <c r="R489" s="67"/>
      <c r="S489" s="67"/>
      <c r="T489" s="67"/>
      <c r="U489" s="67"/>
      <c r="V489" s="67"/>
      <c r="W489" s="67"/>
      <c r="X489" s="67"/>
      <c r="Y489" s="67"/>
      <c r="Z489" s="67"/>
      <c r="AA489" s="67"/>
      <c r="AB489" s="68">
        <f t="shared" si="11"/>
        <v>0</v>
      </c>
    </row>
    <row r="490" spans="1:28" hidden="1" x14ac:dyDescent="0.25">
      <c r="A490" s="77">
        <f>'EXTRACTION AT GLOBAL DEA'!D488</f>
        <v>0</v>
      </c>
      <c r="B490" s="77">
        <f>'EXTRACTION AT GLOBAL DEA'!E488</f>
        <v>0</v>
      </c>
      <c r="C490" s="77">
        <f>'EXTRACTION AT GLOBAL DEA'!F488</f>
        <v>0</v>
      </c>
      <c r="D490" s="77">
        <f>'EXTRACTION AT GLOBAL DEA'!I488</f>
        <v>0</v>
      </c>
      <c r="E490" s="66">
        <f>'EXTRACTION AT GLOBAL DEA'!G488</f>
        <v>0</v>
      </c>
      <c r="F490" s="84" t="str">
        <f t="shared" si="18"/>
        <v/>
      </c>
      <c r="G490" s="77">
        <f>'EXTRACTION AT GLOBAL DEA'!K488</f>
        <v>0</v>
      </c>
      <c r="H490" s="77">
        <f>'EXTRACTION AT GLOBAL DEA'!N488</f>
        <v>0</v>
      </c>
      <c r="I490" s="77">
        <f>'EXTRACTION AT GLOBAL DEA'!L488</f>
        <v>0</v>
      </c>
      <c r="J490" s="77">
        <f>'EXTRACTION AT GLOBAL DEA'!M488</f>
        <v>0</v>
      </c>
      <c r="K490" s="77"/>
      <c r="L490" s="77"/>
      <c r="M490" s="78">
        <f>'EXTRACTION AT GLOBAL DEA'!B488</f>
        <v>0</v>
      </c>
      <c r="N490" s="77" t="str">
        <f t="shared" si="19"/>
        <v>janvier</v>
      </c>
      <c r="O490" s="65"/>
      <c r="P490" s="67"/>
      <c r="Q490" s="67"/>
      <c r="R490" s="67"/>
      <c r="S490" s="67"/>
      <c r="T490" s="67"/>
      <c r="U490" s="67"/>
      <c r="V490" s="67"/>
      <c r="W490" s="67"/>
      <c r="X490" s="67"/>
      <c r="Y490" s="67"/>
      <c r="Z490" s="67"/>
      <c r="AA490" s="67"/>
      <c r="AB490" s="68">
        <f t="shared" si="11"/>
        <v>0</v>
      </c>
    </row>
    <row r="491" spans="1:28" hidden="1" x14ac:dyDescent="0.25">
      <c r="A491" s="77">
        <f>'EXTRACTION AT GLOBAL DEA'!D489</f>
        <v>0</v>
      </c>
      <c r="B491" s="77">
        <f>'EXTRACTION AT GLOBAL DEA'!E489</f>
        <v>0</v>
      </c>
      <c r="C491" s="77">
        <f>'EXTRACTION AT GLOBAL DEA'!F489</f>
        <v>0</v>
      </c>
      <c r="D491" s="77">
        <f>'EXTRACTION AT GLOBAL DEA'!I489</f>
        <v>0</v>
      </c>
      <c r="E491" s="66">
        <f>'EXTRACTION AT GLOBAL DEA'!G489</f>
        <v>0</v>
      </c>
      <c r="F491" s="84" t="str">
        <f t="shared" si="18"/>
        <v/>
      </c>
      <c r="G491" s="77">
        <f>'EXTRACTION AT GLOBAL DEA'!K489</f>
        <v>0</v>
      </c>
      <c r="H491" s="77">
        <f>'EXTRACTION AT GLOBAL DEA'!N489</f>
        <v>0</v>
      </c>
      <c r="I491" s="77">
        <f>'EXTRACTION AT GLOBAL DEA'!L489</f>
        <v>0</v>
      </c>
      <c r="J491" s="77">
        <f>'EXTRACTION AT GLOBAL DEA'!M489</f>
        <v>0</v>
      </c>
      <c r="K491" s="77"/>
      <c r="L491" s="77"/>
      <c r="M491" s="78">
        <f>'EXTRACTION AT GLOBAL DEA'!B489</f>
        <v>0</v>
      </c>
      <c r="N491" s="77" t="str">
        <f t="shared" si="19"/>
        <v>janvier</v>
      </c>
      <c r="O491" s="65"/>
      <c r="P491" s="67"/>
      <c r="Q491" s="67"/>
      <c r="R491" s="67"/>
      <c r="S491" s="67"/>
      <c r="T491" s="67"/>
      <c r="U491" s="67"/>
      <c r="V491" s="67"/>
      <c r="W491" s="67"/>
      <c r="X491" s="67"/>
      <c r="Y491" s="67"/>
      <c r="Z491" s="67"/>
      <c r="AA491" s="67"/>
      <c r="AB491" s="68">
        <f t="shared" si="11"/>
        <v>0</v>
      </c>
    </row>
    <row r="492" spans="1:28" hidden="1" x14ac:dyDescent="0.25">
      <c r="A492" s="77">
        <f>'EXTRACTION AT GLOBAL DEA'!D490</f>
        <v>0</v>
      </c>
      <c r="B492" s="77">
        <f>'EXTRACTION AT GLOBAL DEA'!E490</f>
        <v>0</v>
      </c>
      <c r="C492" s="77">
        <f>'EXTRACTION AT GLOBAL DEA'!F490</f>
        <v>0</v>
      </c>
      <c r="D492" s="77">
        <f>'EXTRACTION AT GLOBAL DEA'!I490</f>
        <v>0</v>
      </c>
      <c r="E492" s="66">
        <f>'EXTRACTION AT GLOBAL DEA'!G490</f>
        <v>0</v>
      </c>
      <c r="F492" s="84" t="str">
        <f t="shared" si="18"/>
        <v/>
      </c>
      <c r="G492" s="77">
        <f>'EXTRACTION AT GLOBAL DEA'!K490</f>
        <v>0</v>
      </c>
      <c r="H492" s="77">
        <f>'EXTRACTION AT GLOBAL DEA'!N490</f>
        <v>0</v>
      </c>
      <c r="I492" s="77">
        <f>'EXTRACTION AT GLOBAL DEA'!L490</f>
        <v>0</v>
      </c>
      <c r="J492" s="77">
        <f>'EXTRACTION AT GLOBAL DEA'!M490</f>
        <v>0</v>
      </c>
      <c r="K492" s="77"/>
      <c r="L492" s="77"/>
      <c r="M492" s="78">
        <f>'EXTRACTION AT GLOBAL DEA'!B490</f>
        <v>0</v>
      </c>
      <c r="N492" s="77" t="str">
        <f t="shared" si="19"/>
        <v>janvier</v>
      </c>
      <c r="O492" s="65"/>
      <c r="P492" s="67"/>
      <c r="Q492" s="67"/>
      <c r="R492" s="67"/>
      <c r="S492" s="67"/>
      <c r="T492" s="67"/>
      <c r="U492" s="67"/>
      <c r="V492" s="67"/>
      <c r="W492" s="67"/>
      <c r="X492" s="67"/>
      <c r="Y492" s="67"/>
      <c r="Z492" s="67"/>
      <c r="AA492" s="67"/>
      <c r="AB492" s="68"/>
    </row>
    <row r="493" spans="1:28" hidden="1" x14ac:dyDescent="0.25">
      <c r="A493" s="77">
        <f>'EXTRACTION AT GLOBAL DEA'!D491</f>
        <v>0</v>
      </c>
      <c r="B493" s="77">
        <f>'EXTRACTION AT GLOBAL DEA'!E491</f>
        <v>0</v>
      </c>
      <c r="C493" s="77">
        <f>'EXTRACTION AT GLOBAL DEA'!F491</f>
        <v>0</v>
      </c>
      <c r="D493" s="77">
        <f>'EXTRACTION AT GLOBAL DEA'!I491</f>
        <v>0</v>
      </c>
      <c r="E493" s="66">
        <f>'EXTRACTION AT GLOBAL DEA'!G491</f>
        <v>0</v>
      </c>
      <c r="F493" s="84" t="str">
        <f t="shared" si="18"/>
        <v/>
      </c>
      <c r="G493" s="77">
        <f>'EXTRACTION AT GLOBAL DEA'!K491</f>
        <v>0</v>
      </c>
      <c r="H493" s="77">
        <f>'EXTRACTION AT GLOBAL DEA'!N491</f>
        <v>0</v>
      </c>
      <c r="I493" s="77">
        <f>'EXTRACTION AT GLOBAL DEA'!L491</f>
        <v>0</v>
      </c>
      <c r="J493" s="77">
        <f>'EXTRACTION AT GLOBAL DEA'!M491</f>
        <v>0</v>
      </c>
      <c r="K493" s="77"/>
      <c r="L493" s="77"/>
      <c r="M493" s="78">
        <f>'EXTRACTION AT GLOBAL DEA'!B491</f>
        <v>0</v>
      </c>
      <c r="N493" s="77" t="str">
        <f t="shared" si="19"/>
        <v>janvier</v>
      </c>
      <c r="O493" s="65"/>
      <c r="P493" s="67"/>
      <c r="Q493" s="67"/>
      <c r="R493" s="67"/>
      <c r="S493" s="67"/>
      <c r="T493" s="67"/>
      <c r="U493" s="67"/>
      <c r="V493" s="67"/>
      <c r="W493" s="67"/>
      <c r="X493" s="67"/>
      <c r="Y493" s="67"/>
      <c r="Z493" s="67"/>
      <c r="AA493" s="67"/>
      <c r="AB493" s="68"/>
    </row>
    <row r="494" spans="1:28" hidden="1" x14ac:dyDescent="0.25">
      <c r="A494" s="77">
        <f>'EXTRACTION AT GLOBAL DEA'!D492</f>
        <v>0</v>
      </c>
      <c r="B494" s="77">
        <f>'EXTRACTION AT GLOBAL DEA'!E492</f>
        <v>0</v>
      </c>
      <c r="C494" s="77">
        <f>'EXTRACTION AT GLOBAL DEA'!F492</f>
        <v>0</v>
      </c>
      <c r="D494" s="77">
        <f>'EXTRACTION AT GLOBAL DEA'!I492</f>
        <v>0</v>
      </c>
      <c r="E494" s="66">
        <f>'EXTRACTION AT GLOBAL DEA'!G492</f>
        <v>0</v>
      </c>
      <c r="F494" s="84" t="str">
        <f t="shared" si="18"/>
        <v/>
      </c>
      <c r="G494" s="77">
        <f>'EXTRACTION AT GLOBAL DEA'!K492</f>
        <v>0</v>
      </c>
      <c r="H494" s="77">
        <f>'EXTRACTION AT GLOBAL DEA'!N492</f>
        <v>0</v>
      </c>
      <c r="I494" s="77">
        <f>'EXTRACTION AT GLOBAL DEA'!L492</f>
        <v>0</v>
      </c>
      <c r="J494" s="77">
        <f>'EXTRACTION AT GLOBAL DEA'!M492</f>
        <v>0</v>
      </c>
      <c r="K494" s="77"/>
      <c r="L494" s="77"/>
      <c r="M494" s="78">
        <f>'EXTRACTION AT GLOBAL DEA'!B492</f>
        <v>0</v>
      </c>
      <c r="N494" s="77" t="str">
        <f t="shared" si="19"/>
        <v>janvier</v>
      </c>
      <c r="O494" s="65"/>
      <c r="P494" s="67"/>
      <c r="Q494" s="67"/>
      <c r="R494" s="67"/>
      <c r="S494" s="67"/>
      <c r="T494" s="67"/>
      <c r="U494" s="67"/>
      <c r="V494" s="67"/>
      <c r="W494" s="67"/>
      <c r="X494" s="67"/>
      <c r="Y494" s="67"/>
      <c r="Z494" s="67"/>
      <c r="AA494" s="67"/>
      <c r="AB494" s="68"/>
    </row>
    <row r="495" spans="1:28" hidden="1" x14ac:dyDescent="0.25">
      <c r="A495" s="77">
        <f>'EXTRACTION AT GLOBAL DEA'!D493</f>
        <v>0</v>
      </c>
      <c r="B495" s="77">
        <f>'EXTRACTION AT GLOBAL DEA'!E493</f>
        <v>0</v>
      </c>
      <c r="C495" s="77">
        <f>'EXTRACTION AT GLOBAL DEA'!F493</f>
        <v>0</v>
      </c>
      <c r="D495" s="77">
        <f>'EXTRACTION AT GLOBAL DEA'!I493</f>
        <v>0</v>
      </c>
      <c r="E495" s="66">
        <f>'EXTRACTION AT GLOBAL DEA'!G493</f>
        <v>0</v>
      </c>
      <c r="F495" s="84" t="str">
        <f t="shared" si="18"/>
        <v/>
      </c>
      <c r="G495" s="77">
        <f>'EXTRACTION AT GLOBAL DEA'!K493</f>
        <v>0</v>
      </c>
      <c r="H495" s="77">
        <f>'EXTRACTION AT GLOBAL DEA'!N493</f>
        <v>0</v>
      </c>
      <c r="I495" s="77">
        <f>'EXTRACTION AT GLOBAL DEA'!L493</f>
        <v>0</v>
      </c>
      <c r="J495" s="77">
        <f>'EXTRACTION AT GLOBAL DEA'!M493</f>
        <v>0</v>
      </c>
      <c r="K495" s="77"/>
      <c r="L495" s="77"/>
      <c r="M495" s="78">
        <f>'EXTRACTION AT GLOBAL DEA'!B493</f>
        <v>0</v>
      </c>
      <c r="N495" s="77" t="str">
        <f t="shared" si="19"/>
        <v>janvier</v>
      </c>
      <c r="O495" s="65"/>
      <c r="P495" s="67"/>
      <c r="Q495" s="67"/>
      <c r="R495" s="67"/>
      <c r="S495" s="67"/>
      <c r="T495" s="67"/>
      <c r="U495" s="67"/>
      <c r="V495" s="67"/>
      <c r="W495" s="67"/>
      <c r="X495" s="67"/>
      <c r="Y495" s="67"/>
      <c r="Z495" s="67"/>
      <c r="AA495" s="67"/>
      <c r="AB495" s="68"/>
    </row>
    <row r="496" spans="1:28" hidden="1" x14ac:dyDescent="0.25">
      <c r="A496" s="77">
        <f>'EXTRACTION AT GLOBAL DEA'!D494</f>
        <v>0</v>
      </c>
      <c r="B496" s="77">
        <f>'EXTRACTION AT GLOBAL DEA'!E494</f>
        <v>0</v>
      </c>
      <c r="C496" s="77">
        <f>'EXTRACTION AT GLOBAL DEA'!F494</f>
        <v>0</v>
      </c>
      <c r="D496" s="77">
        <f>'EXTRACTION AT GLOBAL DEA'!I494</f>
        <v>0</v>
      </c>
      <c r="E496" s="66">
        <f>'EXTRACTION AT GLOBAL DEA'!G494</f>
        <v>0</v>
      </c>
      <c r="F496" s="84" t="str">
        <f t="shared" si="18"/>
        <v/>
      </c>
      <c r="G496" s="77">
        <f>'EXTRACTION AT GLOBAL DEA'!K494</f>
        <v>0</v>
      </c>
      <c r="H496" s="77">
        <f>'EXTRACTION AT GLOBAL DEA'!N494</f>
        <v>0</v>
      </c>
      <c r="I496" s="77">
        <f>'EXTRACTION AT GLOBAL DEA'!L494</f>
        <v>0</v>
      </c>
      <c r="J496" s="77">
        <f>'EXTRACTION AT GLOBAL DEA'!M494</f>
        <v>0</v>
      </c>
      <c r="K496" s="77"/>
      <c r="L496" s="77"/>
      <c r="M496" s="78">
        <f>'EXTRACTION AT GLOBAL DEA'!B494</f>
        <v>0</v>
      </c>
      <c r="N496" s="77" t="str">
        <f t="shared" si="19"/>
        <v>janvier</v>
      </c>
      <c r="O496" s="65"/>
      <c r="P496" s="67"/>
      <c r="Q496" s="67"/>
      <c r="R496" s="67"/>
      <c r="S496" s="67"/>
      <c r="T496" s="67"/>
      <c r="U496" s="67"/>
      <c r="V496" s="67"/>
      <c r="W496" s="67"/>
      <c r="X496" s="67"/>
      <c r="Y496" s="67"/>
      <c r="Z496" s="67"/>
      <c r="AA496" s="67"/>
      <c r="AB496" s="68"/>
    </row>
    <row r="497" spans="1:28" hidden="1" x14ac:dyDescent="0.25">
      <c r="A497" s="77">
        <f>'EXTRACTION AT GLOBAL DEA'!D495</f>
        <v>0</v>
      </c>
      <c r="B497" s="77">
        <f>'EXTRACTION AT GLOBAL DEA'!E495</f>
        <v>0</v>
      </c>
      <c r="C497" s="77">
        <f>'EXTRACTION AT GLOBAL DEA'!F495</f>
        <v>0</v>
      </c>
      <c r="D497" s="77">
        <f>'EXTRACTION AT GLOBAL DEA'!I495</f>
        <v>0</v>
      </c>
      <c r="E497" s="66">
        <f>'EXTRACTION AT GLOBAL DEA'!G495</f>
        <v>0</v>
      </c>
      <c r="F497" s="84" t="str">
        <f t="shared" si="18"/>
        <v/>
      </c>
      <c r="G497" s="77">
        <f>'EXTRACTION AT GLOBAL DEA'!K495</f>
        <v>0</v>
      </c>
      <c r="H497" s="77">
        <f>'EXTRACTION AT GLOBAL DEA'!N495</f>
        <v>0</v>
      </c>
      <c r="I497" s="77">
        <f>'EXTRACTION AT GLOBAL DEA'!L495</f>
        <v>0</v>
      </c>
      <c r="J497" s="77">
        <f>'EXTRACTION AT GLOBAL DEA'!M495</f>
        <v>0</v>
      </c>
      <c r="K497" s="77"/>
      <c r="L497" s="77"/>
      <c r="M497" s="78">
        <f>'EXTRACTION AT GLOBAL DEA'!B495</f>
        <v>0</v>
      </c>
      <c r="N497" s="77" t="str">
        <f t="shared" si="19"/>
        <v>janvier</v>
      </c>
      <c r="O497" s="65"/>
      <c r="P497" s="67"/>
      <c r="Q497" s="67"/>
      <c r="R497" s="67"/>
      <c r="S497" s="67"/>
      <c r="T497" s="67"/>
      <c r="U497" s="67"/>
      <c r="V497" s="67"/>
      <c r="W497" s="67"/>
      <c r="X497" s="67"/>
      <c r="Y497" s="67"/>
      <c r="Z497" s="67"/>
      <c r="AA497" s="67"/>
      <c r="AB497" s="68"/>
    </row>
    <row r="498" spans="1:28" hidden="1" x14ac:dyDescent="0.25">
      <c r="A498" s="77">
        <f>'EXTRACTION AT GLOBAL DEA'!D496</f>
        <v>0</v>
      </c>
      <c r="B498" s="77">
        <f>'EXTRACTION AT GLOBAL DEA'!E496</f>
        <v>0</v>
      </c>
      <c r="C498" s="77">
        <f>'EXTRACTION AT GLOBAL DEA'!F496</f>
        <v>0</v>
      </c>
      <c r="D498" s="77">
        <f>'EXTRACTION AT GLOBAL DEA'!I496</f>
        <v>0</v>
      </c>
      <c r="E498" s="66">
        <f>'EXTRACTION AT GLOBAL DEA'!G496</f>
        <v>0</v>
      </c>
      <c r="F498" s="84" t="str">
        <f t="shared" si="18"/>
        <v/>
      </c>
      <c r="G498" s="77">
        <f>'EXTRACTION AT GLOBAL DEA'!K496</f>
        <v>0</v>
      </c>
      <c r="H498" s="77">
        <f>'EXTRACTION AT GLOBAL DEA'!N496</f>
        <v>0</v>
      </c>
      <c r="I498" s="77">
        <f>'EXTRACTION AT GLOBAL DEA'!L496</f>
        <v>0</v>
      </c>
      <c r="J498" s="77">
        <f>'EXTRACTION AT GLOBAL DEA'!M496</f>
        <v>0</v>
      </c>
      <c r="K498" s="77"/>
      <c r="L498" s="77"/>
      <c r="M498" s="78">
        <f>'EXTRACTION AT GLOBAL DEA'!B496</f>
        <v>0</v>
      </c>
      <c r="N498" s="77" t="str">
        <f t="shared" si="19"/>
        <v>janvier</v>
      </c>
      <c r="O498" s="65"/>
      <c r="P498" s="67"/>
      <c r="Q498" s="67"/>
      <c r="R498" s="67"/>
      <c r="S498" s="67"/>
      <c r="T498" s="67"/>
      <c r="U498" s="67"/>
      <c r="V498" s="67"/>
      <c r="W498" s="67"/>
      <c r="X498" s="67"/>
      <c r="Y498" s="67"/>
      <c r="Z498" s="67"/>
      <c r="AA498" s="67"/>
      <c r="AB498" s="68">
        <f t="shared" ref="AB498:AB503" si="20">SUM(P498:AA498)</f>
        <v>0</v>
      </c>
    </row>
    <row r="499" spans="1:28" hidden="1" x14ac:dyDescent="0.25">
      <c r="A499" s="77">
        <f>'EXTRACTION AT GLOBAL DEA'!D497</f>
        <v>0</v>
      </c>
      <c r="B499" s="77">
        <f>'EXTRACTION AT GLOBAL DEA'!E497</f>
        <v>0</v>
      </c>
      <c r="C499" s="77">
        <f>'EXTRACTION AT GLOBAL DEA'!F497</f>
        <v>0</v>
      </c>
      <c r="D499" s="77">
        <f>'EXTRACTION AT GLOBAL DEA'!I497</f>
        <v>0</v>
      </c>
      <c r="E499" s="66">
        <f>'EXTRACTION AT GLOBAL DEA'!G497</f>
        <v>0</v>
      </c>
      <c r="F499" s="84" t="str">
        <f t="shared" si="18"/>
        <v/>
      </c>
      <c r="G499" s="77">
        <f>'EXTRACTION AT GLOBAL DEA'!K497</f>
        <v>0</v>
      </c>
      <c r="H499" s="77">
        <f>'EXTRACTION AT GLOBAL DEA'!N497</f>
        <v>0</v>
      </c>
      <c r="I499" s="77">
        <f>'EXTRACTION AT GLOBAL DEA'!L497</f>
        <v>0</v>
      </c>
      <c r="J499" s="77">
        <f>'EXTRACTION AT GLOBAL DEA'!M497</f>
        <v>0</v>
      </c>
      <c r="K499" s="77"/>
      <c r="L499" s="77"/>
      <c r="M499" s="78">
        <f>'EXTRACTION AT GLOBAL DEA'!B497</f>
        <v>0</v>
      </c>
      <c r="N499" s="77" t="str">
        <f t="shared" si="19"/>
        <v>janvier</v>
      </c>
      <c r="O499" s="65"/>
      <c r="P499" s="67"/>
      <c r="Q499" s="67"/>
      <c r="R499" s="67"/>
      <c r="S499" s="67"/>
      <c r="T499" s="67"/>
      <c r="U499" s="67"/>
      <c r="V499" s="67"/>
      <c r="W499" s="67"/>
      <c r="X499" s="67"/>
      <c r="Y499" s="67"/>
      <c r="Z499" s="67"/>
      <c r="AA499" s="67"/>
      <c r="AB499" s="68">
        <f t="shared" si="20"/>
        <v>0</v>
      </c>
    </row>
    <row r="500" spans="1:28" hidden="1" x14ac:dyDescent="0.25">
      <c r="A500" s="77">
        <f>'EXTRACTION AT GLOBAL DEA'!D498</f>
        <v>0</v>
      </c>
      <c r="B500" s="77">
        <f>'EXTRACTION AT GLOBAL DEA'!E498</f>
        <v>0</v>
      </c>
      <c r="C500" s="77">
        <f>'EXTRACTION AT GLOBAL DEA'!F498</f>
        <v>0</v>
      </c>
      <c r="D500" s="77">
        <f>'EXTRACTION AT GLOBAL DEA'!I498</f>
        <v>0</v>
      </c>
      <c r="E500" s="66">
        <f>'EXTRACTION AT GLOBAL DEA'!G498</f>
        <v>0</v>
      </c>
      <c r="F500" s="84" t="str">
        <f t="shared" si="18"/>
        <v/>
      </c>
      <c r="G500" s="77">
        <f>'EXTRACTION AT GLOBAL DEA'!K498</f>
        <v>0</v>
      </c>
      <c r="H500" s="77">
        <f>'EXTRACTION AT GLOBAL DEA'!N498</f>
        <v>0</v>
      </c>
      <c r="I500" s="77">
        <f>'EXTRACTION AT GLOBAL DEA'!L498</f>
        <v>0</v>
      </c>
      <c r="J500" s="77">
        <f>'EXTRACTION AT GLOBAL DEA'!M498</f>
        <v>0</v>
      </c>
      <c r="K500" s="77"/>
      <c r="L500" s="77"/>
      <c r="M500" s="78">
        <f>'EXTRACTION AT GLOBAL DEA'!B498</f>
        <v>0</v>
      </c>
      <c r="N500" s="77" t="str">
        <f t="shared" si="19"/>
        <v>janvier</v>
      </c>
      <c r="O500" s="65"/>
      <c r="P500" s="67"/>
      <c r="Q500" s="67"/>
      <c r="R500" s="67"/>
      <c r="S500" s="67"/>
      <c r="T500" s="67"/>
      <c r="U500" s="67"/>
      <c r="V500" s="67"/>
      <c r="W500" s="67"/>
      <c r="X500" s="67"/>
      <c r="Y500" s="67"/>
      <c r="Z500" s="67"/>
      <c r="AA500" s="67"/>
      <c r="AB500" s="68">
        <f t="shared" si="20"/>
        <v>0</v>
      </c>
    </row>
    <row r="501" spans="1:28" hidden="1" x14ac:dyDescent="0.25">
      <c r="A501" s="77">
        <f>'EXTRACTION AT GLOBAL DEA'!D499</f>
        <v>0</v>
      </c>
      <c r="B501" s="77">
        <f>'EXTRACTION AT GLOBAL DEA'!E499</f>
        <v>0</v>
      </c>
      <c r="C501" s="77">
        <f>'EXTRACTION AT GLOBAL DEA'!F499</f>
        <v>0</v>
      </c>
      <c r="D501" s="77">
        <f>'EXTRACTION AT GLOBAL DEA'!I499</f>
        <v>0</v>
      </c>
      <c r="E501" s="66">
        <f>'EXTRACTION AT GLOBAL DEA'!G499</f>
        <v>0</v>
      </c>
      <c r="F501" s="84" t="str">
        <f t="shared" si="18"/>
        <v/>
      </c>
      <c r="G501" s="77">
        <f>'EXTRACTION AT GLOBAL DEA'!K499</f>
        <v>0</v>
      </c>
      <c r="H501" s="77">
        <f>'EXTRACTION AT GLOBAL DEA'!N499</f>
        <v>0</v>
      </c>
      <c r="I501" s="77">
        <f>'EXTRACTION AT GLOBAL DEA'!L499</f>
        <v>0</v>
      </c>
      <c r="J501" s="77">
        <f>'EXTRACTION AT GLOBAL DEA'!M499</f>
        <v>0</v>
      </c>
      <c r="K501" s="77"/>
      <c r="L501" s="77"/>
      <c r="M501" s="78">
        <f>'EXTRACTION AT GLOBAL DEA'!B499</f>
        <v>0</v>
      </c>
      <c r="N501" s="77" t="str">
        <f t="shared" si="19"/>
        <v>janvier</v>
      </c>
      <c r="O501" s="65"/>
      <c r="P501" s="67"/>
      <c r="Q501" s="67"/>
      <c r="R501" s="67"/>
      <c r="S501" s="67"/>
      <c r="T501" s="67"/>
      <c r="U501" s="67"/>
      <c r="V501" s="67"/>
      <c r="W501" s="67"/>
      <c r="X501" s="67"/>
      <c r="Y501" s="67"/>
      <c r="Z501" s="67"/>
      <c r="AA501" s="67"/>
      <c r="AB501" s="68">
        <f t="shared" si="20"/>
        <v>0</v>
      </c>
    </row>
    <row r="502" spans="1:28" hidden="1" x14ac:dyDescent="0.25">
      <c r="A502" s="77">
        <f>'EXTRACTION AT GLOBAL DEA'!D500</f>
        <v>0</v>
      </c>
      <c r="B502" s="77">
        <f>'EXTRACTION AT GLOBAL DEA'!E500</f>
        <v>0</v>
      </c>
      <c r="C502" s="77">
        <f>'EXTRACTION AT GLOBAL DEA'!F500</f>
        <v>0</v>
      </c>
      <c r="D502" s="77">
        <f>'EXTRACTION AT GLOBAL DEA'!I500</f>
        <v>0</v>
      </c>
      <c r="E502" s="66">
        <f>'EXTRACTION AT GLOBAL DEA'!G500</f>
        <v>0</v>
      </c>
      <c r="F502" s="84" t="str">
        <f t="shared" si="18"/>
        <v/>
      </c>
      <c r="G502" s="77">
        <f>'EXTRACTION AT GLOBAL DEA'!K500</f>
        <v>0</v>
      </c>
      <c r="H502" s="77">
        <f>'EXTRACTION AT GLOBAL DEA'!N500</f>
        <v>0</v>
      </c>
      <c r="I502" s="77">
        <f>'EXTRACTION AT GLOBAL DEA'!L500</f>
        <v>0</v>
      </c>
      <c r="J502" s="77">
        <f>'EXTRACTION AT GLOBAL DEA'!M500</f>
        <v>0</v>
      </c>
      <c r="K502" s="77"/>
      <c r="L502" s="77"/>
      <c r="M502" s="78">
        <f>'EXTRACTION AT GLOBAL DEA'!B500</f>
        <v>0</v>
      </c>
      <c r="N502" s="77" t="str">
        <f t="shared" si="19"/>
        <v>janvier</v>
      </c>
      <c r="O502" s="65"/>
      <c r="P502" s="67"/>
      <c r="Q502" s="67"/>
      <c r="R502" s="67"/>
      <c r="S502" s="67"/>
      <c r="T502" s="67"/>
      <c r="U502" s="67"/>
      <c r="V502" s="67"/>
      <c r="W502" s="67"/>
      <c r="X502" s="67"/>
      <c r="Y502" s="67"/>
      <c r="Z502" s="67"/>
      <c r="AA502" s="67"/>
      <c r="AB502" s="68">
        <f t="shared" si="20"/>
        <v>0</v>
      </c>
    </row>
    <row r="503" spans="1:28" hidden="1" x14ac:dyDescent="0.25">
      <c r="A503" s="77">
        <f>'EXTRACTION AT GLOBAL DEA'!D501</f>
        <v>0</v>
      </c>
      <c r="B503" s="77">
        <f>'EXTRACTION AT GLOBAL DEA'!E501</f>
        <v>0</v>
      </c>
      <c r="C503" s="77">
        <f>'EXTRACTION AT GLOBAL DEA'!F501</f>
        <v>0</v>
      </c>
      <c r="D503" s="77">
        <f>'EXTRACTION AT GLOBAL DEA'!I501</f>
        <v>0</v>
      </c>
      <c r="E503" s="66">
        <f>'EXTRACTION AT GLOBAL DEA'!G501</f>
        <v>0</v>
      </c>
      <c r="F503" s="84" t="str">
        <f t="shared" si="18"/>
        <v/>
      </c>
      <c r="G503" s="77">
        <f>'EXTRACTION AT GLOBAL DEA'!K501</f>
        <v>0</v>
      </c>
      <c r="H503" s="77">
        <f>'EXTRACTION AT GLOBAL DEA'!N501</f>
        <v>0</v>
      </c>
      <c r="I503" s="77">
        <f>'EXTRACTION AT GLOBAL DEA'!L501</f>
        <v>0</v>
      </c>
      <c r="J503" s="77">
        <f>'EXTRACTION AT GLOBAL DEA'!M501</f>
        <v>0</v>
      </c>
      <c r="K503" s="77"/>
      <c r="L503" s="77"/>
      <c r="M503" s="78">
        <f>'EXTRACTION AT GLOBAL DEA'!B501</f>
        <v>0</v>
      </c>
      <c r="N503" s="77" t="str">
        <f t="shared" si="19"/>
        <v>janvier</v>
      </c>
      <c r="O503" s="65"/>
      <c r="P503" s="67"/>
      <c r="Q503" s="67"/>
      <c r="R503" s="67"/>
      <c r="S503" s="67"/>
      <c r="T503" s="67"/>
      <c r="U503" s="67"/>
      <c r="V503" s="67"/>
      <c r="W503" s="67"/>
      <c r="X503" s="67"/>
      <c r="Y503" s="67"/>
      <c r="Z503" s="67"/>
      <c r="AA503" s="67"/>
      <c r="AB503" s="68">
        <f t="shared" si="20"/>
        <v>0</v>
      </c>
    </row>
    <row r="505" spans="1:28" x14ac:dyDescent="0.25">
      <c r="B505" s="2" t="s">
        <v>22</v>
      </c>
      <c r="C505" s="2"/>
      <c r="D505" s="2"/>
      <c r="E505" s="2"/>
      <c r="F505" s="2"/>
      <c r="G505" s="2"/>
      <c r="P505" s="3">
        <f>SUBTOTAL(9,P5:P503)</f>
        <v>0</v>
      </c>
      <c r="Q505" s="3">
        <f t="shared" ref="Q505:AB505" si="21">SUBTOTAL(9,Q5:Q503)</f>
        <v>0</v>
      </c>
      <c r="R505" s="3">
        <f t="shared" si="21"/>
        <v>0</v>
      </c>
      <c r="S505" s="3">
        <f t="shared" si="21"/>
        <v>0</v>
      </c>
      <c r="T505" s="3">
        <f t="shared" si="21"/>
        <v>0</v>
      </c>
      <c r="U505" s="3">
        <f t="shared" si="21"/>
        <v>0</v>
      </c>
      <c r="V505" s="3">
        <f t="shared" si="21"/>
        <v>0</v>
      </c>
      <c r="W505" s="3">
        <f t="shared" si="21"/>
        <v>0</v>
      </c>
      <c r="X505" s="3">
        <f t="shared" si="21"/>
        <v>0</v>
      </c>
      <c r="Y505" s="3">
        <f t="shared" si="21"/>
        <v>0</v>
      </c>
      <c r="Z505" s="3">
        <f t="shared" si="21"/>
        <v>0</v>
      </c>
      <c r="AA505" s="3">
        <f t="shared" si="21"/>
        <v>0</v>
      </c>
      <c r="AB505" s="1">
        <f t="shared" si="21"/>
        <v>0</v>
      </c>
    </row>
    <row r="506" spans="1:28" x14ac:dyDescent="0.25">
      <c r="M506" s="4" t="s">
        <v>23</v>
      </c>
      <c r="N506" s="4"/>
      <c r="O506" s="4"/>
      <c r="P506" s="6">
        <f>SUMIF($G$5:$G$503,"AT",$P$5:$P$503)</f>
        <v>0</v>
      </c>
      <c r="Q506" s="6">
        <f>SUMIF($G$5:$G$503,"AT",$Q$5:$Q$503)</f>
        <v>0</v>
      </c>
      <c r="R506" s="6">
        <f>SUMIF($G$5:$G$503,"AT",$R$5:$R$503)</f>
        <v>0</v>
      </c>
      <c r="S506" s="6">
        <f>SUMIF($G$5:$G$503,"AT",$S$5:$S$503)</f>
        <v>0</v>
      </c>
      <c r="T506" s="6">
        <f>SUMIF($G$5:$G$503,"AT",$T$5:$T$503)</f>
        <v>0</v>
      </c>
      <c r="U506" s="6">
        <f>SUMIF($G$5:$G$503,"AT",$U$5:$U$503)</f>
        <v>0</v>
      </c>
      <c r="V506" s="6">
        <f>SUMIF($G$5:$G$503,"AT",$V$5:$V$503)</f>
        <v>0</v>
      </c>
      <c r="W506" s="6">
        <f>SUMIF($G$5:$G$503,"AT",$W$5:$W$503)</f>
        <v>0</v>
      </c>
      <c r="X506" s="6">
        <f>SUMIF($G$5:$G$503,"AT",$X$5:$X$503)</f>
        <v>0</v>
      </c>
      <c r="Y506" s="6">
        <f>SUMIF($G$5:$G$503,"AT",$Y$5:$Y$503)</f>
        <v>0</v>
      </c>
      <c r="Z506" s="6">
        <f>SUMIF($G$5:$G$503,"AT",$Z$5:$Z$503)</f>
        <v>0</v>
      </c>
      <c r="AA506" s="6">
        <f>SUMIF($G$5:$G$503,"AT",$AA$5:$AA$503)</f>
        <v>0</v>
      </c>
      <c r="AB506" s="6">
        <f>SUM(P506:AA506)</f>
        <v>0</v>
      </c>
    </row>
    <row r="507" spans="1:28" x14ac:dyDescent="0.25">
      <c r="M507" s="5" t="s">
        <v>24</v>
      </c>
      <c r="N507" s="5"/>
      <c r="O507" s="5"/>
      <c r="P507" s="7">
        <f>SUMIF(G6:G504,"ATJ",P6:P504)</f>
        <v>0</v>
      </c>
      <c r="Q507" s="7">
        <f>SUMIF($G$5:$G$503,"ATJ",$Q$5:$Q$503)</f>
        <v>0</v>
      </c>
      <c r="R507" s="7">
        <f>SUMIF($G$5:$G$503,"ATJ",$R$5:$R$503)</f>
        <v>0</v>
      </c>
      <c r="S507" s="7">
        <f>SUMIF($G$5:$G$503,"ATJ",$S$5:$S$503)</f>
        <v>0</v>
      </c>
      <c r="T507" s="7">
        <f>SUMIF($G$5:$G$503,"ATJ",$T$5:$T$503)</f>
        <v>0</v>
      </c>
      <c r="U507" s="7">
        <f>SUMIF($G$5:$G$503,"ATJ",$U$5:$U$503)</f>
        <v>0</v>
      </c>
      <c r="V507" s="7">
        <f>SUMIF($G$5:$G$503,"ATJ",$V$5:$V$503)</f>
        <v>0</v>
      </c>
      <c r="W507" s="7">
        <f>SUMIF($G$5:$G$503,"ATJ",$W$5:$W$503)</f>
        <v>0</v>
      </c>
      <c r="X507" s="7">
        <f>SUMIF($G$5:$G$503,"ATJ",$X$5:$X$503)</f>
        <v>0</v>
      </c>
      <c r="Y507" s="7">
        <f>SUMIF($G$5:$G$503,"ATJ",$Y$5:$Y$503)</f>
        <v>0</v>
      </c>
      <c r="Z507" s="7">
        <f>SUMIF($G$5:$G$503,"ATJ",$Z$5:$Z$503)</f>
        <v>0</v>
      </c>
      <c r="AA507" s="7">
        <f>SUMIF($G$5:$G$503,"ATJ",$AA$5:$AA$503)</f>
        <v>0</v>
      </c>
      <c r="AB507" s="7">
        <f>SUM(P507:AA507)</f>
        <v>0</v>
      </c>
    </row>
  </sheetData>
  <autoFilter ref="A4:AB503">
    <filterColumn colId="6">
      <filters>
        <filter val="S"/>
      </filters>
    </filterColumn>
  </autoFilter>
  <phoneticPr fontId="7" type="noConversion"/>
  <pageMargins left="0.70866141732283472" right="0.70866141732283472" top="0.74803149606299213" bottom="0.74803149606299213" header="0.31496062992125984" footer="0.31496062992125984"/>
  <pageSetup paperSize="9" scale="75" orientation="landscape" verticalDpi="0" r:id="rId1"/>
  <headerFooter>
    <oddHeader>&amp;CTABLEAU DE SAISIE DES JOURS D'ARRET</oddHeader>
    <oddFooter>&amp;C&amp;P /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FEUILLE IMPORTEE</vt:lpstr>
      <vt:lpstr>EXTRACTION AT GLOBAL DEA</vt:lpstr>
      <vt:lpstr>AT SERVICE</vt:lpstr>
      <vt:lpstr>MATRICE</vt:lpstr>
      <vt:lpstr>'FEUILLE IMPORTEE'!Criteres</vt:lpstr>
      <vt:lpstr>MATRICE!Impression_des_titres</vt:lpstr>
      <vt:lpstr>'AT SERVICE'!Zone_d_impression</vt:lpstr>
      <vt:lpstr>MATRICE!Zone_d_impression</vt:lpstr>
    </vt:vector>
  </TitlesOfParts>
  <Company>CDG45</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Tableau Enregistrement Accidents</dc:title>
  <dc:creator>acoignac</dc:creator>
  <cp:lastModifiedBy>ALEXANDRE</cp:lastModifiedBy>
  <cp:lastPrinted>2012-07-19T14:04:56Z</cp:lastPrinted>
  <dcterms:created xsi:type="dcterms:W3CDTF">2011-05-09T08:50:58Z</dcterms:created>
  <dcterms:modified xsi:type="dcterms:W3CDTF">2017-12-10T14:56:34Z</dcterms:modified>
</cp:coreProperties>
</file>