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53222"/>
  <mc:AlternateContent xmlns:mc="http://schemas.openxmlformats.org/markup-compatibility/2006">
    <mc:Choice Requires="x15">
      <x15ac:absPath xmlns:x15ac="http://schemas.microsoft.com/office/spreadsheetml/2010/11/ac" url="C:\Users\m132283\Desktop\"/>
    </mc:Choice>
  </mc:AlternateContent>
  <bookViews>
    <workbookView xWindow="0" yWindow="0" windowWidth="28800" windowHeight="14235" activeTab="1"/>
  </bookViews>
  <sheets>
    <sheet name="AT GLOBAL DEA" sheetId="2" r:id="rId1"/>
    <sheet name="REPARTITION AT" sheetId="3" r:id="rId2"/>
    <sheet name="Feuil1" sheetId="1" r:id="rId3"/>
  </sheets>
  <externalReferences>
    <externalReference r:id="rId4"/>
  </externalReferences>
  <definedNames>
    <definedName name="_xlnm._FilterDatabase" localSheetId="0" hidden="1">'AT GLOBAL DEA'!$B$2:$Y$237</definedName>
    <definedName name="ACTIVITE">[1]Donnees_Listes_Deroulantes!#REF!</definedName>
    <definedName name="AGE">[1]Donnees_Listes_Deroulantes!#REF!</definedName>
    <definedName name="ARRET">[1]Donnees_Listes_Deroulantes!#REF!</definedName>
    <definedName name="CATEGORIE">[1]Donnees_Listes_Deroulantes!#REF!</definedName>
    <definedName name="CAUSE_ATJ">[1]Donnees_Listes_Deroulantes!#REF!</definedName>
    <definedName name="COMMISSION">[1]Donnees_Listes_Deroulantes!#REF!</definedName>
    <definedName name="CTP">[1]Donnees_Listes_Deroulantes!#REF!</definedName>
    <definedName name="ELEMENT">[1]Donnees_Listes_Deroulantes!#REF!</definedName>
    <definedName name="ELEMENT_ATJ">[1]Donnees_Listes_Deroulantes!#REF!</definedName>
    <definedName name="FILIERE">[1]Donnees_Listes_Deroulantes!#REF!</definedName>
    <definedName name="JOUR">[1]Donnees_Listes_Deroulantes!#REF!</definedName>
    <definedName name="LATERALITE">[1]Donnees_Listes_Deroulantes!#REF!</definedName>
    <definedName name="LieuDeServ">#REF!</definedName>
    <definedName name="MOIS">[1]Donnees_Listes_Deroulantes!#REF!</definedName>
    <definedName name="MOTIF">[1]Donnees_Listes_Deroulantes!#REF!</definedName>
    <definedName name="NATURE">[1]Donnees_Listes_Deroulantes!#REF!</definedName>
    <definedName name="REGIME">[1]Donnees_Listes_Deroulantes!#REF!</definedName>
    <definedName name="SERVICE">#REF!</definedName>
    <definedName name="SEXE">[1]Donnees_Listes_Deroulantes!#REF!</definedName>
    <definedName name="SIEGE">[1]Donnees_Listes_Deroulantes!#REF!</definedName>
    <definedName name="TIERS">[1]Donnees_Listes_Deroulantes!#REF!</definedName>
    <definedName name="_xlnm.Print_Area" localSheetId="0">'AT GLOBAL DEA'!$B$2:$T$166</definedName>
    <definedName name="_xlnm.Print_Area" localSheetId="1">'REPARTITION AT'!$B$2:$I$22</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I68" i="3" l="1"/>
  <c r="H68" i="3"/>
  <c r="G68" i="3"/>
  <c r="E68" i="3"/>
  <c r="D68" i="3"/>
  <c r="C68" i="3"/>
  <c r="I67" i="3"/>
  <c r="H67" i="3"/>
  <c r="G67" i="3"/>
  <c r="E67" i="3"/>
  <c r="D67" i="3"/>
  <c r="C67" i="3"/>
  <c r="U66" i="3"/>
  <c r="T66" i="3"/>
  <c r="S66" i="3"/>
  <c r="R66" i="3"/>
  <c r="Q66" i="3"/>
  <c r="P66" i="3"/>
  <c r="O66" i="3"/>
  <c r="N66" i="3"/>
  <c r="M66" i="3"/>
  <c r="L66" i="3"/>
  <c r="V66" i="3" s="1"/>
  <c r="I66" i="3"/>
  <c r="H66" i="3"/>
  <c r="G66" i="3"/>
  <c r="F66" i="3"/>
  <c r="E66" i="3"/>
  <c r="D66" i="3"/>
  <c r="C66" i="3"/>
  <c r="I65" i="3"/>
  <c r="H65" i="3"/>
  <c r="G65" i="3"/>
  <c r="E65" i="3"/>
  <c r="D65" i="3"/>
  <c r="C65" i="3"/>
  <c r="I64" i="3"/>
  <c r="H64" i="3"/>
  <c r="G64" i="3"/>
  <c r="E64" i="3"/>
  <c r="D64" i="3"/>
  <c r="C64" i="3"/>
  <c r="I63" i="3"/>
  <c r="H63" i="3"/>
  <c r="G63" i="3"/>
  <c r="E63" i="3"/>
  <c r="D63" i="3"/>
  <c r="C63" i="3"/>
  <c r="I62" i="3"/>
  <c r="H62" i="3"/>
  <c r="G62" i="3"/>
  <c r="E62" i="3"/>
  <c r="D62" i="3"/>
  <c r="C62" i="3"/>
  <c r="I61" i="3"/>
  <c r="H61" i="3"/>
  <c r="G61" i="3"/>
  <c r="G60" i="3" s="1"/>
  <c r="E61" i="3"/>
  <c r="D61" i="3"/>
  <c r="D60" i="3" s="1"/>
  <c r="C61" i="3"/>
  <c r="C60" i="3" s="1"/>
  <c r="H60" i="3"/>
  <c r="F60" i="3"/>
  <c r="E60" i="3"/>
  <c r="AI58" i="3"/>
  <c r="AH58" i="3"/>
  <c r="AG58" i="3"/>
  <c r="AF58" i="3"/>
  <c r="AF56" i="3" s="1"/>
  <c r="AE58" i="3"/>
  <c r="AD58" i="3"/>
  <c r="AC58" i="3"/>
  <c r="AB58" i="3"/>
  <c r="AJ58" i="3" s="1"/>
  <c r="U58" i="3"/>
  <c r="T58" i="3"/>
  <c r="S58" i="3"/>
  <c r="R58" i="3"/>
  <c r="Q58" i="3"/>
  <c r="P58" i="3"/>
  <c r="O58" i="3"/>
  <c r="N58" i="3"/>
  <c r="M58" i="3"/>
  <c r="V58" i="3" s="1"/>
  <c r="L58" i="3"/>
  <c r="I58" i="3"/>
  <c r="I56" i="3" s="1"/>
  <c r="H58" i="3"/>
  <c r="G58" i="3"/>
  <c r="G56" i="3" s="1"/>
  <c r="F58" i="3"/>
  <c r="E58" i="3"/>
  <c r="E56" i="3" s="1"/>
  <c r="D58" i="3"/>
  <c r="C58" i="3"/>
  <c r="C56" i="3" s="1"/>
  <c r="AI57" i="3"/>
  <c r="AI56" i="3" s="1"/>
  <c r="AH57" i="3"/>
  <c r="AG57" i="3"/>
  <c r="AG56" i="3" s="1"/>
  <c r="AF57" i="3"/>
  <c r="AE57" i="3"/>
  <c r="AE56" i="3" s="1"/>
  <c r="AD57" i="3"/>
  <c r="AC57" i="3"/>
  <c r="AC56" i="3" s="1"/>
  <c r="AB57" i="3"/>
  <c r="AA57" i="3"/>
  <c r="AA56" i="3" s="1"/>
  <c r="Z57" i="3"/>
  <c r="Y57" i="3"/>
  <c r="Y56" i="3" s="1"/>
  <c r="X57" i="3"/>
  <c r="AJ57" i="3" s="1"/>
  <c r="AJ56" i="3" s="1"/>
  <c r="U57" i="3"/>
  <c r="T57" i="3"/>
  <c r="S57" i="3"/>
  <c r="R57" i="3"/>
  <c r="Q57" i="3"/>
  <c r="P57" i="3"/>
  <c r="O57" i="3"/>
  <c r="N57" i="3"/>
  <c r="V57" i="3" s="1"/>
  <c r="M57" i="3"/>
  <c r="L57" i="3"/>
  <c r="I57" i="3"/>
  <c r="H57" i="3"/>
  <c r="G57" i="3"/>
  <c r="F57" i="3"/>
  <c r="E57" i="3"/>
  <c r="D57" i="3"/>
  <c r="C57" i="3"/>
  <c r="AH56" i="3"/>
  <c r="AD56" i="3"/>
  <c r="Z56" i="3"/>
  <c r="X56" i="3"/>
  <c r="H56" i="3"/>
  <c r="F56" i="3"/>
  <c r="D56" i="3"/>
  <c r="AI54" i="3"/>
  <c r="AH54" i="3"/>
  <c r="AG54" i="3"/>
  <c r="AF54" i="3"/>
  <c r="AE54" i="3"/>
  <c r="AD54" i="3"/>
  <c r="AC54" i="3"/>
  <c r="AB54" i="3"/>
  <c r="AA54" i="3"/>
  <c r="Z54" i="3"/>
  <c r="Y54" i="3"/>
  <c r="X54" i="3"/>
  <c r="AJ54" i="3" s="1"/>
  <c r="I54" i="3"/>
  <c r="H54" i="3"/>
  <c r="H51" i="3" s="1"/>
  <c r="G54" i="3"/>
  <c r="F54" i="3"/>
  <c r="F51" i="3" s="1"/>
  <c r="E54" i="3"/>
  <c r="D54" i="3"/>
  <c r="D51" i="3" s="1"/>
  <c r="C54" i="3"/>
  <c r="AI53" i="3"/>
  <c r="AH53" i="3"/>
  <c r="AH51" i="3" s="1"/>
  <c r="AG53" i="3"/>
  <c r="AF53" i="3"/>
  <c r="AF51" i="3" s="1"/>
  <c r="AE53" i="3"/>
  <c r="AD53" i="3"/>
  <c r="AD51" i="3" s="1"/>
  <c r="AC53" i="3"/>
  <c r="AB53" i="3"/>
  <c r="AB51" i="3" s="1"/>
  <c r="AA53" i="3"/>
  <c r="Z53" i="3"/>
  <c r="Z51" i="3" s="1"/>
  <c r="Y53" i="3"/>
  <c r="X53" i="3"/>
  <c r="X51" i="3" s="1"/>
  <c r="U53" i="3"/>
  <c r="T53" i="3"/>
  <c r="S53" i="3"/>
  <c r="R53" i="3"/>
  <c r="Q53" i="3"/>
  <c r="P53" i="3"/>
  <c r="O53" i="3"/>
  <c r="N53" i="3"/>
  <c r="M53" i="3"/>
  <c r="L53" i="3"/>
  <c r="V53" i="3" s="1"/>
  <c r="I53" i="3"/>
  <c r="H53" i="3"/>
  <c r="G53" i="3"/>
  <c r="F53" i="3"/>
  <c r="E53" i="3"/>
  <c r="D53" i="3"/>
  <c r="C53" i="3"/>
  <c r="AI52" i="3"/>
  <c r="AH52" i="3"/>
  <c r="AG52" i="3"/>
  <c r="AF52" i="3"/>
  <c r="AE52" i="3"/>
  <c r="AD52" i="3"/>
  <c r="AC52" i="3"/>
  <c r="AB52" i="3"/>
  <c r="AA52" i="3"/>
  <c r="Z52" i="3"/>
  <c r="Y52" i="3"/>
  <c r="X52" i="3"/>
  <c r="AJ52" i="3" s="1"/>
  <c r="I52" i="3"/>
  <c r="H52" i="3"/>
  <c r="G52" i="3"/>
  <c r="F52" i="3"/>
  <c r="E52" i="3"/>
  <c r="D52" i="3"/>
  <c r="C52" i="3"/>
  <c r="AI51" i="3"/>
  <c r="AG51" i="3"/>
  <c r="AE51" i="3"/>
  <c r="AC51" i="3"/>
  <c r="AA51" i="3"/>
  <c r="Y51" i="3"/>
  <c r="I51" i="3"/>
  <c r="G51" i="3"/>
  <c r="E51" i="3"/>
  <c r="C51" i="3"/>
  <c r="D49" i="3"/>
  <c r="C49" i="3"/>
  <c r="D48" i="3"/>
  <c r="C48" i="3"/>
  <c r="D47" i="3"/>
  <c r="C47" i="3"/>
  <c r="D46" i="3"/>
  <c r="C46" i="3"/>
  <c r="D45" i="3"/>
  <c r="C45" i="3"/>
  <c r="D44" i="3"/>
  <c r="C44" i="3"/>
  <c r="D43" i="3"/>
  <c r="C43" i="3"/>
  <c r="D42" i="3"/>
  <c r="C42" i="3"/>
  <c r="C40" i="3" s="1"/>
  <c r="D41" i="3"/>
  <c r="C41" i="3"/>
  <c r="G40" i="3"/>
  <c r="E40" i="3"/>
  <c r="D40" i="3"/>
  <c r="AI38" i="3"/>
  <c r="AH38" i="3"/>
  <c r="AG38" i="3"/>
  <c r="AF38" i="3"/>
  <c r="AE38" i="3"/>
  <c r="AD38" i="3"/>
  <c r="AC38" i="3"/>
  <c r="AB38" i="3"/>
  <c r="AA38" i="3"/>
  <c r="Z38" i="3"/>
  <c r="Y38" i="3"/>
  <c r="X38" i="3"/>
  <c r="AJ38" i="3" s="1"/>
  <c r="I38" i="3"/>
  <c r="I28" i="3" s="1"/>
  <c r="H38" i="3"/>
  <c r="G38" i="3"/>
  <c r="F38" i="3"/>
  <c r="E38" i="3"/>
  <c r="D38" i="3"/>
  <c r="C38" i="3"/>
  <c r="AI37" i="3"/>
  <c r="AI28" i="3" s="1"/>
  <c r="AH37" i="3"/>
  <c r="AG37" i="3"/>
  <c r="AF37" i="3"/>
  <c r="AE37" i="3"/>
  <c r="AE28" i="3" s="1"/>
  <c r="AD37" i="3"/>
  <c r="AC37" i="3"/>
  <c r="AB37" i="3"/>
  <c r="AA37" i="3"/>
  <c r="AA28" i="3" s="1"/>
  <c r="Z37" i="3"/>
  <c r="Y37" i="3"/>
  <c r="X37" i="3"/>
  <c r="AJ37" i="3" s="1"/>
  <c r="U37" i="3"/>
  <c r="T37" i="3"/>
  <c r="S37" i="3"/>
  <c r="R37" i="3"/>
  <c r="Q37" i="3"/>
  <c r="P37" i="3"/>
  <c r="O37" i="3"/>
  <c r="N37" i="3"/>
  <c r="V37" i="3" s="1"/>
  <c r="M37" i="3"/>
  <c r="L37" i="3"/>
  <c r="I37" i="3"/>
  <c r="H37" i="3"/>
  <c r="G37" i="3"/>
  <c r="F37" i="3"/>
  <c r="E37" i="3"/>
  <c r="D37" i="3"/>
  <c r="C37" i="3"/>
  <c r="AI36" i="3"/>
  <c r="AH36" i="3"/>
  <c r="AG36" i="3"/>
  <c r="AF36" i="3"/>
  <c r="AE36" i="3"/>
  <c r="AD36" i="3"/>
  <c r="AC36" i="3"/>
  <c r="AB36" i="3"/>
  <c r="AA36" i="3"/>
  <c r="Z36" i="3"/>
  <c r="Y36" i="3"/>
  <c r="X36" i="3"/>
  <c r="AJ36" i="3" s="1"/>
  <c r="I36" i="3"/>
  <c r="H36" i="3"/>
  <c r="G36" i="3"/>
  <c r="F36" i="3"/>
  <c r="E36" i="3"/>
  <c r="D36" i="3"/>
  <c r="C36" i="3"/>
  <c r="AI35" i="3"/>
  <c r="AH35" i="3"/>
  <c r="AG35" i="3"/>
  <c r="AF35" i="3"/>
  <c r="AE35" i="3"/>
  <c r="AD35" i="3"/>
  <c r="AC35" i="3"/>
  <c r="AB35" i="3"/>
  <c r="AA35" i="3"/>
  <c r="Z35" i="3"/>
  <c r="Y35" i="3"/>
  <c r="X35" i="3"/>
  <c r="AJ35" i="3" s="1"/>
  <c r="I35" i="3"/>
  <c r="H35" i="3"/>
  <c r="G35" i="3"/>
  <c r="F35" i="3"/>
  <c r="E35" i="3"/>
  <c r="D35" i="3"/>
  <c r="C35" i="3"/>
  <c r="AI34" i="3"/>
  <c r="AH34" i="3"/>
  <c r="AG34" i="3"/>
  <c r="AF34" i="3"/>
  <c r="AE34" i="3"/>
  <c r="AD34" i="3"/>
  <c r="AC34" i="3"/>
  <c r="AB34" i="3"/>
  <c r="AA34" i="3"/>
  <c r="Z34" i="3"/>
  <c r="Y34" i="3"/>
  <c r="X34" i="3"/>
  <c r="AJ34" i="3" s="1"/>
  <c r="I34" i="3"/>
  <c r="H34" i="3"/>
  <c r="H28" i="3" s="1"/>
  <c r="G34" i="3"/>
  <c r="F34" i="3"/>
  <c r="F28" i="3" s="1"/>
  <c r="E34" i="3"/>
  <c r="D34" i="3"/>
  <c r="D28" i="3" s="1"/>
  <c r="C34" i="3"/>
  <c r="AI33" i="3"/>
  <c r="AH33" i="3"/>
  <c r="AH28" i="3" s="1"/>
  <c r="AG33" i="3"/>
  <c r="AF33" i="3"/>
  <c r="AF28" i="3" s="1"/>
  <c r="AE33" i="3"/>
  <c r="AD33" i="3"/>
  <c r="AD28" i="3" s="1"/>
  <c r="AC33" i="3"/>
  <c r="AB33" i="3"/>
  <c r="AB28" i="3" s="1"/>
  <c r="AA33" i="3"/>
  <c r="Z33" i="3"/>
  <c r="Z28" i="3" s="1"/>
  <c r="Y33" i="3"/>
  <c r="X33" i="3"/>
  <c r="X28" i="3" s="1"/>
  <c r="U33" i="3"/>
  <c r="T33" i="3"/>
  <c r="S33" i="3"/>
  <c r="R33" i="3"/>
  <c r="Q33" i="3"/>
  <c r="P33" i="3"/>
  <c r="O33" i="3"/>
  <c r="N33" i="3"/>
  <c r="M33" i="3"/>
  <c r="V33" i="3" s="1"/>
  <c r="L33" i="3"/>
  <c r="I33" i="3"/>
  <c r="H33" i="3"/>
  <c r="G33" i="3"/>
  <c r="F33" i="3"/>
  <c r="E33" i="3"/>
  <c r="D33" i="3"/>
  <c r="C33" i="3"/>
  <c r="AI32" i="3"/>
  <c r="AH32" i="3"/>
  <c r="AG32" i="3"/>
  <c r="AF32" i="3"/>
  <c r="AE32" i="3"/>
  <c r="AD32" i="3"/>
  <c r="AC32" i="3"/>
  <c r="AB32" i="3"/>
  <c r="AA32" i="3"/>
  <c r="Z32" i="3"/>
  <c r="Y32" i="3"/>
  <c r="X32" i="3"/>
  <c r="AJ32" i="3" s="1"/>
  <c r="I32" i="3"/>
  <c r="H32" i="3"/>
  <c r="G32" i="3"/>
  <c r="F32" i="3"/>
  <c r="E32" i="3"/>
  <c r="D32" i="3"/>
  <c r="C32" i="3"/>
  <c r="AI31" i="3"/>
  <c r="AH31" i="3"/>
  <c r="AG31" i="3"/>
  <c r="AF31" i="3"/>
  <c r="AE31" i="3"/>
  <c r="AD31" i="3"/>
  <c r="AC31" i="3"/>
  <c r="AB31" i="3"/>
  <c r="AA31" i="3"/>
  <c r="Z31" i="3"/>
  <c r="Y31" i="3"/>
  <c r="X31" i="3"/>
  <c r="AJ31" i="3" s="1"/>
  <c r="I31" i="3"/>
  <c r="H31" i="3"/>
  <c r="G31" i="3"/>
  <c r="F31" i="3"/>
  <c r="E31" i="3"/>
  <c r="D31" i="3"/>
  <c r="C31" i="3"/>
  <c r="AI30" i="3"/>
  <c r="AH30" i="3"/>
  <c r="AG30" i="3"/>
  <c r="AF30" i="3"/>
  <c r="AE30" i="3"/>
  <c r="AD30" i="3"/>
  <c r="AC30" i="3"/>
  <c r="AB30" i="3"/>
  <c r="AA30" i="3"/>
  <c r="Z30" i="3"/>
  <c r="Y30" i="3"/>
  <c r="X30" i="3"/>
  <c r="AJ30" i="3" s="1"/>
  <c r="I30" i="3"/>
  <c r="H30" i="3"/>
  <c r="G30" i="3"/>
  <c r="F30" i="3"/>
  <c r="E30" i="3"/>
  <c r="D30" i="3"/>
  <c r="C30" i="3"/>
  <c r="AI29" i="3"/>
  <c r="AH29" i="3"/>
  <c r="AG29" i="3"/>
  <c r="AF29" i="3"/>
  <c r="AE29" i="3"/>
  <c r="AD29" i="3"/>
  <c r="AC29" i="3"/>
  <c r="AB29" i="3"/>
  <c r="AA29" i="3"/>
  <c r="Z29" i="3"/>
  <c r="Y29" i="3"/>
  <c r="Y28" i="3" s="1"/>
  <c r="X29" i="3"/>
  <c r="AJ29" i="3" s="1"/>
  <c r="I29" i="3"/>
  <c r="H29" i="3"/>
  <c r="G29" i="3"/>
  <c r="G28" i="3" s="1"/>
  <c r="F29" i="3"/>
  <c r="E29" i="3"/>
  <c r="E28" i="3" s="1"/>
  <c r="D29" i="3"/>
  <c r="C29" i="3"/>
  <c r="C28" i="3" s="1"/>
  <c r="AG28" i="3"/>
  <c r="AC28" i="3"/>
  <c r="AI26" i="3"/>
  <c r="AH26" i="3"/>
  <c r="AG26" i="3"/>
  <c r="AF26" i="3"/>
  <c r="AE26" i="3"/>
  <c r="AD26" i="3"/>
  <c r="AC26" i="3"/>
  <c r="AB26" i="3"/>
  <c r="AA26" i="3"/>
  <c r="Z26" i="3"/>
  <c r="Y26" i="3"/>
  <c r="X26" i="3"/>
  <c r="AJ26" i="3" s="1"/>
  <c r="U26" i="3"/>
  <c r="T26" i="3"/>
  <c r="S26" i="3"/>
  <c r="R26" i="3"/>
  <c r="Q26" i="3"/>
  <c r="P26" i="3"/>
  <c r="O26" i="3"/>
  <c r="N26" i="3"/>
  <c r="M26" i="3"/>
  <c r="L26" i="3"/>
  <c r="V26" i="3" s="1"/>
  <c r="I26" i="3"/>
  <c r="H26" i="3"/>
  <c r="G26" i="3"/>
  <c r="F26" i="3"/>
  <c r="E26" i="3"/>
  <c r="D26" i="3"/>
  <c r="C26" i="3"/>
  <c r="AI25" i="3"/>
  <c r="AH25" i="3"/>
  <c r="AG25" i="3"/>
  <c r="AF25" i="3"/>
  <c r="AE25" i="3"/>
  <c r="AD25" i="3"/>
  <c r="AC25" i="3"/>
  <c r="AB25" i="3"/>
  <c r="AA25" i="3"/>
  <c r="Z25" i="3"/>
  <c r="Y25" i="3"/>
  <c r="X25" i="3"/>
  <c r="AJ25" i="3" s="1"/>
  <c r="U25" i="3"/>
  <c r="T25" i="3"/>
  <c r="S25" i="3"/>
  <c r="R25" i="3"/>
  <c r="Q25" i="3"/>
  <c r="P25" i="3"/>
  <c r="O25" i="3"/>
  <c r="N25" i="3"/>
  <c r="M25" i="3"/>
  <c r="L25" i="3"/>
  <c r="V25" i="3" s="1"/>
  <c r="I25" i="3"/>
  <c r="H25" i="3"/>
  <c r="G25" i="3"/>
  <c r="F25" i="3"/>
  <c r="E25" i="3"/>
  <c r="D25" i="3"/>
  <c r="C25" i="3"/>
  <c r="AI24" i="3"/>
  <c r="AH24" i="3"/>
  <c r="AG24" i="3"/>
  <c r="AF24" i="3"/>
  <c r="AE24" i="3"/>
  <c r="AD24" i="3"/>
  <c r="AC24" i="3"/>
  <c r="AB24" i="3"/>
  <c r="AA24" i="3"/>
  <c r="Z24" i="3"/>
  <c r="Y24" i="3"/>
  <c r="X24" i="3"/>
  <c r="AJ24" i="3" s="1"/>
  <c r="U24" i="3"/>
  <c r="T24" i="3"/>
  <c r="S24" i="3"/>
  <c r="R24" i="3"/>
  <c r="Q24" i="3"/>
  <c r="P24" i="3"/>
  <c r="O24" i="3"/>
  <c r="N24" i="3"/>
  <c r="V24" i="3" s="1"/>
  <c r="M24" i="3"/>
  <c r="L24" i="3"/>
  <c r="I24" i="3"/>
  <c r="H24" i="3"/>
  <c r="G24" i="3"/>
  <c r="F24" i="3"/>
  <c r="E24" i="3"/>
  <c r="D24" i="3"/>
  <c r="C24" i="3"/>
  <c r="AI23" i="3"/>
  <c r="AH23" i="3"/>
  <c r="AG23" i="3"/>
  <c r="AF23" i="3"/>
  <c r="AE23" i="3"/>
  <c r="AD23" i="3"/>
  <c r="AC23" i="3"/>
  <c r="AB23" i="3"/>
  <c r="AA23" i="3"/>
  <c r="Z23" i="3"/>
  <c r="Y23" i="3"/>
  <c r="X23" i="3"/>
  <c r="AJ23" i="3" s="1"/>
  <c r="U23" i="3"/>
  <c r="T23" i="3"/>
  <c r="S23" i="3"/>
  <c r="R23" i="3"/>
  <c r="Q23" i="3"/>
  <c r="P23" i="3"/>
  <c r="O23" i="3"/>
  <c r="N23" i="3"/>
  <c r="M23" i="3"/>
  <c r="V23" i="3" s="1"/>
  <c r="L23" i="3"/>
  <c r="I23" i="3"/>
  <c r="H23" i="3"/>
  <c r="G23" i="3"/>
  <c r="F23" i="3"/>
  <c r="E23" i="3"/>
  <c r="D23" i="3"/>
  <c r="C23" i="3"/>
  <c r="AI22" i="3"/>
  <c r="AH22" i="3"/>
  <c r="AG22" i="3"/>
  <c r="AF22" i="3"/>
  <c r="AE22" i="3"/>
  <c r="AD22" i="3"/>
  <c r="AC22" i="3"/>
  <c r="AB22" i="3"/>
  <c r="AA22" i="3"/>
  <c r="Z22" i="3"/>
  <c r="Y22" i="3"/>
  <c r="X22" i="3"/>
  <c r="AJ22" i="3" s="1"/>
  <c r="U22" i="3"/>
  <c r="T22" i="3"/>
  <c r="S22" i="3"/>
  <c r="R22" i="3"/>
  <c r="Q22" i="3"/>
  <c r="P22" i="3"/>
  <c r="O22" i="3"/>
  <c r="N22" i="3"/>
  <c r="M22" i="3"/>
  <c r="L22" i="3"/>
  <c r="V22" i="3" s="1"/>
  <c r="I22" i="3"/>
  <c r="H22" i="3"/>
  <c r="G22" i="3"/>
  <c r="F22" i="3"/>
  <c r="E22" i="3"/>
  <c r="D22" i="3"/>
  <c r="C22" i="3"/>
  <c r="AI21" i="3"/>
  <c r="AH21" i="3"/>
  <c r="AG21" i="3"/>
  <c r="AF21" i="3"/>
  <c r="AE21" i="3"/>
  <c r="AD21" i="3"/>
  <c r="AC21" i="3"/>
  <c r="AB21" i="3"/>
  <c r="AA21" i="3"/>
  <c r="Z21" i="3"/>
  <c r="Y21" i="3"/>
  <c r="X21" i="3"/>
  <c r="AJ21" i="3" s="1"/>
  <c r="U21" i="3"/>
  <c r="T21" i="3"/>
  <c r="S21" i="3"/>
  <c r="R21" i="3"/>
  <c r="Q21" i="3"/>
  <c r="P21" i="3"/>
  <c r="O21" i="3"/>
  <c r="N21" i="3"/>
  <c r="M21" i="3"/>
  <c r="L21" i="3"/>
  <c r="V21" i="3" s="1"/>
  <c r="I21" i="3"/>
  <c r="H21" i="3"/>
  <c r="G21" i="3"/>
  <c r="F21" i="3"/>
  <c r="E21" i="3"/>
  <c r="D21" i="3"/>
  <c r="C21" i="3"/>
  <c r="AI20" i="3"/>
  <c r="AH20" i="3"/>
  <c r="AG20" i="3"/>
  <c r="AF20" i="3"/>
  <c r="AE20" i="3"/>
  <c r="AD20" i="3"/>
  <c r="AC20" i="3"/>
  <c r="AB20" i="3"/>
  <c r="AA20" i="3"/>
  <c r="Z20" i="3"/>
  <c r="Y20" i="3"/>
  <c r="X20" i="3"/>
  <c r="AJ20" i="3" s="1"/>
  <c r="U20" i="3"/>
  <c r="T20" i="3"/>
  <c r="S20" i="3"/>
  <c r="R20" i="3"/>
  <c r="Q20" i="3"/>
  <c r="P20" i="3"/>
  <c r="O20" i="3"/>
  <c r="N20" i="3"/>
  <c r="M20" i="3"/>
  <c r="L20" i="3"/>
  <c r="V20" i="3" s="1"/>
  <c r="I20" i="3"/>
  <c r="I17" i="3" s="1"/>
  <c r="I75" i="3" s="1"/>
  <c r="H20" i="3"/>
  <c r="G20" i="3"/>
  <c r="F20" i="3"/>
  <c r="E20" i="3"/>
  <c r="D20" i="3"/>
  <c r="C20" i="3"/>
  <c r="AI19" i="3"/>
  <c r="AI17" i="3" s="1"/>
  <c r="AH19" i="3"/>
  <c r="AV20" i="3" s="1"/>
  <c r="AG19" i="3"/>
  <c r="AU20" i="3" s="1"/>
  <c r="AF19" i="3"/>
  <c r="AT20" i="3" s="1"/>
  <c r="AE19" i="3"/>
  <c r="AE17" i="3" s="1"/>
  <c r="AD19" i="3"/>
  <c r="AR20" i="3" s="1"/>
  <c r="AC19" i="3"/>
  <c r="AQ20" i="3" s="1"/>
  <c r="AB19" i="3"/>
  <c r="AP20" i="3" s="1"/>
  <c r="AA19" i="3"/>
  <c r="AA17" i="3" s="1"/>
  <c r="Z19" i="3"/>
  <c r="AN20" i="3" s="1"/>
  <c r="Y19" i="3"/>
  <c r="AM20" i="3" s="1"/>
  <c r="X19" i="3"/>
  <c r="AL20" i="3" s="1"/>
  <c r="U19" i="3"/>
  <c r="T19" i="3"/>
  <c r="S19" i="3"/>
  <c r="R19" i="3"/>
  <c r="Q19" i="3"/>
  <c r="P19" i="3"/>
  <c r="O19" i="3"/>
  <c r="N19" i="3"/>
  <c r="V19" i="3" s="1"/>
  <c r="M19" i="3"/>
  <c r="L19" i="3"/>
  <c r="I19" i="3"/>
  <c r="H19" i="3"/>
  <c r="H17" i="3" s="1"/>
  <c r="H75" i="3" s="1"/>
  <c r="G19" i="3"/>
  <c r="F19" i="3"/>
  <c r="F17" i="3" s="1"/>
  <c r="E19" i="3"/>
  <c r="D19" i="3"/>
  <c r="D17" i="3" s="1"/>
  <c r="D75" i="3" s="1"/>
  <c r="C19" i="3"/>
  <c r="AI18" i="3"/>
  <c r="AH18" i="3"/>
  <c r="AH17" i="3" s="1"/>
  <c r="AG18" i="3"/>
  <c r="AF18" i="3"/>
  <c r="AF17" i="3" s="1"/>
  <c r="AE18" i="3"/>
  <c r="AD18" i="3"/>
  <c r="AD17" i="3" s="1"/>
  <c r="AC18" i="3"/>
  <c r="AB18" i="3"/>
  <c r="AB17" i="3" s="1"/>
  <c r="AA18" i="3"/>
  <c r="Z18" i="3"/>
  <c r="Z17" i="3" s="1"/>
  <c r="Y18" i="3"/>
  <c r="X18" i="3"/>
  <c r="X17" i="3" s="1"/>
  <c r="U18" i="3"/>
  <c r="T18" i="3"/>
  <c r="S18" i="3"/>
  <c r="R18" i="3"/>
  <c r="Q18" i="3"/>
  <c r="P18" i="3"/>
  <c r="O18" i="3"/>
  <c r="N18" i="3"/>
  <c r="M18" i="3"/>
  <c r="V18" i="3" s="1"/>
  <c r="L18" i="3"/>
  <c r="I18" i="3"/>
  <c r="H18" i="3"/>
  <c r="G18" i="3"/>
  <c r="G17" i="3" s="1"/>
  <c r="F18" i="3"/>
  <c r="E18" i="3"/>
  <c r="E17" i="3" s="1"/>
  <c r="E75" i="3" s="1"/>
  <c r="D18" i="3"/>
  <c r="C18" i="3"/>
  <c r="C17" i="3" s="1"/>
  <c r="AG17" i="3"/>
  <c r="AC17" i="3"/>
  <c r="Y17" i="3"/>
  <c r="AI15" i="3"/>
  <c r="AH15" i="3"/>
  <c r="AG15" i="3"/>
  <c r="AF15" i="3"/>
  <c r="AE15" i="3"/>
  <c r="AD15" i="3"/>
  <c r="AC15" i="3"/>
  <c r="AB15" i="3"/>
  <c r="AA15" i="3"/>
  <c r="Z15" i="3"/>
  <c r="Y15" i="3"/>
  <c r="X15" i="3"/>
  <c r="AJ15" i="3" s="1"/>
  <c r="U15" i="3"/>
  <c r="T15" i="3"/>
  <c r="S15" i="3"/>
  <c r="R15" i="3"/>
  <c r="Q15" i="3"/>
  <c r="P15" i="3"/>
  <c r="O15" i="3"/>
  <c r="N15" i="3"/>
  <c r="M15" i="3"/>
  <c r="L15" i="3"/>
  <c r="V15" i="3" s="1"/>
  <c r="I15" i="3"/>
  <c r="H15" i="3"/>
  <c r="G15" i="3"/>
  <c r="F15" i="3"/>
  <c r="E15" i="3"/>
  <c r="D15" i="3"/>
  <c r="C15" i="3"/>
  <c r="AI14" i="3"/>
  <c r="AH14" i="3"/>
  <c r="AG14" i="3"/>
  <c r="AF14" i="3"/>
  <c r="AE14" i="3"/>
  <c r="AD14" i="3"/>
  <c r="AC14" i="3"/>
  <c r="AB14" i="3"/>
  <c r="AA14" i="3"/>
  <c r="Z14" i="3"/>
  <c r="Y14" i="3"/>
  <c r="X14" i="3"/>
  <c r="AJ14" i="3" s="1"/>
  <c r="U14" i="3"/>
  <c r="T14" i="3"/>
  <c r="S14" i="3"/>
  <c r="R14" i="3"/>
  <c r="Q14" i="3"/>
  <c r="P14" i="3"/>
  <c r="O14" i="3"/>
  <c r="N14" i="3"/>
  <c r="M14" i="3"/>
  <c r="L14" i="3"/>
  <c r="V14" i="3" s="1"/>
  <c r="I14" i="3"/>
  <c r="H14" i="3"/>
  <c r="G14" i="3"/>
  <c r="F14" i="3"/>
  <c r="E14" i="3"/>
  <c r="D14" i="3"/>
  <c r="C14" i="3"/>
  <c r="AI13" i="3"/>
  <c r="AH13" i="3"/>
  <c r="AG13" i="3"/>
  <c r="AF13" i="3"/>
  <c r="AE13" i="3"/>
  <c r="AD13" i="3"/>
  <c r="AC13" i="3"/>
  <c r="AB13" i="3"/>
  <c r="AA13" i="3"/>
  <c r="Z13" i="3"/>
  <c r="Y13" i="3"/>
  <c r="X13" i="3"/>
  <c r="AJ13" i="3" s="1"/>
  <c r="U13" i="3"/>
  <c r="T13" i="3"/>
  <c r="S13" i="3"/>
  <c r="R13" i="3"/>
  <c r="Q13" i="3"/>
  <c r="P13" i="3"/>
  <c r="O13" i="3"/>
  <c r="N13" i="3"/>
  <c r="V13" i="3" s="1"/>
  <c r="M13" i="3"/>
  <c r="L13" i="3"/>
  <c r="I13" i="3"/>
  <c r="H13" i="3"/>
  <c r="G13" i="3"/>
  <c r="F13" i="3"/>
  <c r="E13" i="3"/>
  <c r="D13" i="3"/>
  <c r="C13" i="3"/>
  <c r="AI12" i="3"/>
  <c r="AH12" i="3"/>
  <c r="AG12" i="3"/>
  <c r="AF12" i="3"/>
  <c r="AE12" i="3"/>
  <c r="AD12" i="3"/>
  <c r="AC12" i="3"/>
  <c r="AB12" i="3"/>
  <c r="AA12" i="3"/>
  <c r="Z12" i="3"/>
  <c r="Y12" i="3"/>
  <c r="X12" i="3"/>
  <c r="AJ12" i="3" s="1"/>
  <c r="U12" i="3"/>
  <c r="T12" i="3"/>
  <c r="S12" i="3"/>
  <c r="R12" i="3"/>
  <c r="Q12" i="3"/>
  <c r="P12" i="3"/>
  <c r="O12" i="3"/>
  <c r="N12" i="3"/>
  <c r="M12" i="3"/>
  <c r="V12" i="3" s="1"/>
  <c r="L12" i="3"/>
  <c r="I12" i="3"/>
  <c r="H12" i="3"/>
  <c r="G12" i="3"/>
  <c r="F12" i="3"/>
  <c r="E12" i="3"/>
  <c r="D12" i="3"/>
  <c r="C12" i="3"/>
  <c r="AI11" i="3"/>
  <c r="AH11" i="3"/>
  <c r="AG11" i="3"/>
  <c r="AF11" i="3"/>
  <c r="AE11" i="3"/>
  <c r="AD11" i="3"/>
  <c r="AC11" i="3"/>
  <c r="AB11" i="3"/>
  <c r="AA11" i="3"/>
  <c r="Z11" i="3"/>
  <c r="Y11" i="3"/>
  <c r="X11" i="3"/>
  <c r="AJ11" i="3" s="1"/>
  <c r="U11" i="3"/>
  <c r="T11" i="3"/>
  <c r="S11" i="3"/>
  <c r="R11" i="3"/>
  <c r="Q11" i="3"/>
  <c r="P11" i="3"/>
  <c r="O11" i="3"/>
  <c r="N11" i="3"/>
  <c r="M11" i="3"/>
  <c r="L11" i="3"/>
  <c r="V11" i="3" s="1"/>
  <c r="I11" i="3"/>
  <c r="H11" i="3"/>
  <c r="G11" i="3"/>
  <c r="F11" i="3"/>
  <c r="E11" i="3"/>
  <c r="D11" i="3"/>
  <c r="C11" i="3"/>
  <c r="AI10" i="3"/>
  <c r="AH10" i="3"/>
  <c r="AG10" i="3"/>
  <c r="AF10" i="3"/>
  <c r="AE10" i="3"/>
  <c r="AD10" i="3"/>
  <c r="AC10" i="3"/>
  <c r="AB10" i="3"/>
  <c r="AA10" i="3"/>
  <c r="Z10" i="3"/>
  <c r="Y10" i="3"/>
  <c r="X10" i="3"/>
  <c r="AJ10" i="3" s="1"/>
  <c r="U10" i="3"/>
  <c r="T10" i="3"/>
  <c r="S10" i="3"/>
  <c r="R10" i="3"/>
  <c r="Q10" i="3"/>
  <c r="P10" i="3"/>
  <c r="O10" i="3"/>
  <c r="N10" i="3"/>
  <c r="M10" i="3"/>
  <c r="L10" i="3"/>
  <c r="V10" i="3" s="1"/>
  <c r="I10" i="3"/>
  <c r="H10" i="3"/>
  <c r="G10" i="3"/>
  <c r="F10" i="3"/>
  <c r="E10" i="3"/>
  <c r="E6" i="3" s="1"/>
  <c r="E70" i="3" s="1"/>
  <c r="D10" i="3"/>
  <c r="C10" i="3"/>
  <c r="AI9" i="3"/>
  <c r="AI6" i="3" s="1"/>
  <c r="AH9" i="3"/>
  <c r="AG9" i="3"/>
  <c r="AF9" i="3"/>
  <c r="AE9" i="3"/>
  <c r="AE6" i="3" s="1"/>
  <c r="AD9" i="3"/>
  <c r="AC9" i="3"/>
  <c r="AB9" i="3"/>
  <c r="AA9" i="3"/>
  <c r="AA6" i="3" s="1"/>
  <c r="Z9" i="3"/>
  <c r="Y9" i="3"/>
  <c r="X9" i="3"/>
  <c r="AJ9" i="3" s="1"/>
  <c r="U9" i="3"/>
  <c r="T9" i="3"/>
  <c r="S9" i="3"/>
  <c r="R9" i="3"/>
  <c r="Q9" i="3"/>
  <c r="P9" i="3"/>
  <c r="O9" i="3"/>
  <c r="N9" i="3"/>
  <c r="V9" i="3" s="1"/>
  <c r="M9" i="3"/>
  <c r="L9" i="3"/>
  <c r="I9" i="3"/>
  <c r="H9" i="3"/>
  <c r="G9" i="3"/>
  <c r="F9" i="3"/>
  <c r="E9" i="3"/>
  <c r="D9" i="3"/>
  <c r="C9" i="3"/>
  <c r="AI8" i="3"/>
  <c r="AH8" i="3"/>
  <c r="AG8" i="3"/>
  <c r="AF8" i="3"/>
  <c r="AE8" i="3"/>
  <c r="AD8" i="3"/>
  <c r="AC8" i="3"/>
  <c r="AB8" i="3"/>
  <c r="AA8" i="3"/>
  <c r="Z8" i="3"/>
  <c r="Y8" i="3"/>
  <c r="X8" i="3"/>
  <c r="AJ8" i="3" s="1"/>
  <c r="N8" i="3"/>
  <c r="M8" i="3"/>
  <c r="L8" i="3"/>
  <c r="V8" i="3" s="1"/>
  <c r="I8" i="3"/>
  <c r="H8" i="3"/>
  <c r="H6" i="3" s="1"/>
  <c r="H70" i="3" s="1"/>
  <c r="G8" i="3"/>
  <c r="F8" i="3"/>
  <c r="F6" i="3" s="1"/>
  <c r="F70" i="3" s="1"/>
  <c r="E8" i="3"/>
  <c r="D8" i="3"/>
  <c r="D6" i="3" s="1"/>
  <c r="D70" i="3" s="1"/>
  <c r="C8" i="3"/>
  <c r="AI7" i="3"/>
  <c r="AH7" i="3"/>
  <c r="AH6" i="3" s="1"/>
  <c r="AG7" i="3"/>
  <c r="AF7" i="3"/>
  <c r="AF6" i="3" s="1"/>
  <c r="AE7" i="3"/>
  <c r="AD7" i="3"/>
  <c r="AD6" i="3" s="1"/>
  <c r="AC7" i="3"/>
  <c r="AB7" i="3"/>
  <c r="AB6" i="3" s="1"/>
  <c r="AA7" i="3"/>
  <c r="Z7" i="3"/>
  <c r="Z6" i="3" s="1"/>
  <c r="Y7" i="3"/>
  <c r="X7" i="3"/>
  <c r="X6" i="3" s="1"/>
  <c r="U7" i="3"/>
  <c r="T7" i="3"/>
  <c r="S7" i="3"/>
  <c r="R7" i="3"/>
  <c r="Q7" i="3"/>
  <c r="P7" i="3"/>
  <c r="O7" i="3"/>
  <c r="N7" i="3"/>
  <c r="M7" i="3"/>
  <c r="V7" i="3" s="1"/>
  <c r="L7" i="3"/>
  <c r="I7" i="3"/>
  <c r="I88" i="3" s="1"/>
  <c r="H7" i="3"/>
  <c r="H88" i="3" s="1"/>
  <c r="G7" i="3"/>
  <c r="G6" i="3" s="1"/>
  <c r="G70" i="3" s="1"/>
  <c r="G72" i="3" s="1"/>
  <c r="F7" i="3"/>
  <c r="F88" i="3" s="1"/>
  <c r="E7" i="3"/>
  <c r="E88" i="3" s="1"/>
  <c r="D7" i="3"/>
  <c r="D88" i="3" s="1"/>
  <c r="C7" i="3"/>
  <c r="C6" i="3" s="1"/>
  <c r="C70" i="3" s="1"/>
  <c r="C72" i="3" s="1"/>
  <c r="AG6" i="3"/>
  <c r="AC6" i="3"/>
  <c r="Y6" i="3"/>
  <c r="AJ51" i="3" l="1"/>
  <c r="AJ6" i="3"/>
  <c r="C75" i="3"/>
  <c r="G75" i="3"/>
  <c r="F75" i="3"/>
  <c r="AJ17" i="3"/>
  <c r="AO20" i="3"/>
  <c r="AX20" i="3" s="1"/>
  <c r="AS20" i="3"/>
  <c r="AW20" i="3"/>
  <c r="AJ18" i="3"/>
  <c r="AJ53" i="3"/>
  <c r="AB56" i="3"/>
  <c r="I6" i="3"/>
  <c r="I70" i="3" s="1"/>
  <c r="AJ7" i="3"/>
  <c r="AJ33" i="3"/>
  <c r="AJ28" i="3" s="1"/>
  <c r="C88" i="3"/>
  <c r="G88" i="3"/>
  <c r="AJ19" i="3"/>
</calcChain>
</file>

<file path=xl/sharedStrings.xml><?xml version="1.0" encoding="utf-8"?>
<sst xmlns="http://schemas.openxmlformats.org/spreadsheetml/2006/main" count="3086" uniqueCount="918">
  <si>
    <t>Date</t>
  </si>
  <si>
    <t>Heure</t>
  </si>
  <si>
    <t>Entrée</t>
  </si>
  <si>
    <t>Nom</t>
  </si>
  <si>
    <t>Prénom</t>
  </si>
  <si>
    <t>Age</t>
  </si>
  <si>
    <t>Matricule</t>
  </si>
  <si>
    <t>Affectation lors de l'AT</t>
  </si>
  <si>
    <t>Type d'entree</t>
  </si>
  <si>
    <t>Type</t>
  </si>
  <si>
    <t>Flag AT avec arrêt</t>
  </si>
  <si>
    <t>Flag AT. Bénin</t>
  </si>
  <si>
    <t>Nb Jours perdus total</t>
  </si>
  <si>
    <t>Dés. risque type ayant généré l'AT</t>
  </si>
  <si>
    <t>Nature lésion</t>
  </si>
  <si>
    <t xml:space="preserve"> Famille siège</t>
  </si>
  <si>
    <t>Siège des lésions</t>
  </si>
  <si>
    <t>Circonstances détaillées</t>
  </si>
  <si>
    <t>Description de  l'accident</t>
  </si>
  <si>
    <t>Horaire1</t>
  </si>
  <si>
    <t>Horaire4</t>
  </si>
  <si>
    <t>Réserves</t>
  </si>
  <si>
    <t>Date entretien de ré-accueil</t>
  </si>
  <si>
    <t>Décision SS</t>
  </si>
  <si>
    <t>Elmt mat secondaire (2nd niv)</t>
  </si>
  <si>
    <t>117531</t>
  </si>
  <si>
    <t>MT HB PR</t>
  </si>
  <si>
    <t>AT</t>
  </si>
  <si>
    <t>S</t>
  </si>
  <si>
    <t>O</t>
  </si>
  <si>
    <t>N</t>
  </si>
  <si>
    <t>Risques liés aux contraintes physiques,à la manipulation, à la manutention manuelle</t>
  </si>
  <si>
    <t>Douleur</t>
  </si>
  <si>
    <t>Bras</t>
  </si>
  <si>
    <t>Coude gauche</t>
  </si>
  <si>
    <t xml:space="preserve">Fermeture capots moteur A380 F-HPJG suite remplacement tuyauterie huile.Verrou de capot FTR extern e dur au verrouillage qui est venu d'un seul coup. . Grosse douleur ressenti dans le coude en verr ouillant le verrou numéro 1.Douleur qui persiste en mouvement avec des fourmillements dans la main  au repos.                          </t>
  </si>
  <si>
    <t xml:space="preserve">L'agent déclare qu�il aurait ressenti une forte douleur dans le coude gauche en forçant au verrouillage  un verrou de fermeture capot moteur A380. Verrou très dur qui est venu d�un seul coup.  .                          </t>
  </si>
  <si>
    <t>Acceptation</t>
  </si>
  <si>
    <t>DGE - Avion - Réacteurs</t>
  </si>
  <si>
    <t>117592</t>
  </si>
  <si>
    <t>MT HB QU</t>
  </si>
  <si>
    <t>Risques de chutes de hauteur et dénivelé (quai,escalier,fosses,escabeau..)</t>
  </si>
  <si>
    <t>Plaies (coupures)</t>
  </si>
  <si>
    <t>Mains</t>
  </si>
  <si>
    <t>Main droite</t>
  </si>
  <si>
    <t xml:space="preserve">                             </t>
  </si>
  <si>
    <t xml:space="preserve">L'agent déclare qu'en trébuchant dans un escalier, pour éviter la chute il aurait rattrapé en posent ses mains devant lui sur une plaque métallique qui lui aurait entaillé le bout de l'auriculaire droit                          </t>
  </si>
  <si>
    <t>FRET - Autre - Escalier</t>
  </si>
  <si>
    <t>117635</t>
  </si>
  <si>
    <t>MT QJ</t>
  </si>
  <si>
    <t>Autres risques</t>
  </si>
  <si>
    <t>Brûlure, morsure</t>
  </si>
  <si>
    <t xml:space="preserve">L'agent déclare qu'il aurait posé la main sur une plaque de cuisson. .                             </t>
  </si>
  <si>
    <t>FRET - Autre - Divers</t>
  </si>
  <si>
    <t>117642</t>
  </si>
  <si>
    <t>MT CG PR</t>
  </si>
  <si>
    <t>Hémorragie</t>
  </si>
  <si>
    <t>Tête</t>
  </si>
  <si>
    <t>Crâne</t>
  </si>
  <si>
    <t xml:space="preserve">l'agent à heurte avec sa tète l'angle de la trappe de pressurisation de l'avion.                             </t>
  </si>
  <si>
    <t>SANS RESERVES.</t>
  </si>
  <si>
    <t>117812</t>
  </si>
  <si>
    <t>BLDPTDTL</t>
  </si>
  <si>
    <t>Traumatisme</t>
  </si>
  <si>
    <t>Poignet droit</t>
  </si>
  <si>
    <t xml:space="preserve">Cet agent est en alternance et l'accident à eu lieu pendant sa période école au lycée saint Exupér y de Blagnac.                            </t>
  </si>
  <si>
    <t xml:space="preserve">L'agent déclare être tombée dans un escalier du lycée Saint Exupéry Blagnac.                             </t>
  </si>
  <si>
    <t>117750</t>
  </si>
  <si>
    <t>Risques de chutes de plain-pied ( obstacles, sol glissant, petite marche,trou..)</t>
  </si>
  <si>
    <t>Autre lésions</t>
  </si>
  <si>
    <t>Bras gauche</t>
  </si>
  <si>
    <t xml:space="preserve">Tombé sur l'avant bras gauche et poignet gauche.                             </t>
  </si>
  <si>
    <t xml:space="preserve">L'agent déclare qu'il aurait trébuché sur un montant dans l'avion autour de la trappe de soute électronique.                            </t>
  </si>
  <si>
    <t>Classement</t>
  </si>
  <si>
    <t>117708</t>
  </si>
  <si>
    <t>Vertèbres</t>
  </si>
  <si>
    <t>Région dorso-lombaire</t>
  </si>
  <si>
    <t xml:space="preserve">L'agent déclare qu'il faisait des travaux dans le cockpit B777, il se serait contorsionné plusieurs fois pour atteindre les équipements de maintenance et qu'à ce moment qu'il aurait ressenti une douleur dans le bas du dos                          </t>
  </si>
  <si>
    <t>117730</t>
  </si>
  <si>
    <t>MT JK PR</t>
  </si>
  <si>
    <t xml:space="preserve">Plaie ouverte au niveau du pouce + douleur à l'os.L'agent déclare qu'il portait des gants de prote ction au moment de l'évènement.L'agent n'est pas allé au service médicale et a terminé sa vacation .                           </t>
  </si>
  <si>
    <t xml:space="preserve">L'agent déclare que pendant la dépose d'un équipement avion sur un avion de la compagnie Norwegian, son outil (clé plate) aurait ripé et aurait heurté violemment son pouce.                           </t>
  </si>
  <si>
    <t>DGE - Avion - Autres</t>
  </si>
  <si>
    <t>117688</t>
  </si>
  <si>
    <t xml:space="preserve">TRAVAIL EN ZONE TRES INACCESSIBLE DANS LES LOGEMENTS DE PACK SUR UN ESCABEAU.                             </t>
  </si>
  <si>
    <t xml:space="preserve">L'agent déclare qu'il aurait ressenti une vive douleur dans le dos pendant le remplacement d'un équipement avion sur B787 de NORWEGIAN.                            </t>
  </si>
  <si>
    <t>DGE - Matériel de piste - Escabeau technique</t>
  </si>
  <si>
    <t>117777</t>
  </si>
  <si>
    <t>Jambes</t>
  </si>
  <si>
    <t>Genou gauche</t>
  </si>
  <si>
    <t xml:space="preserve">L'équipement a remplacer pesait 26kg, ce trouvait dans un logement de pack très peu accessible  sa ns possibilité d'utiliser un outillage de maintient , la dépose /repose s'est effectuée a bout deb ras sur un escabeau 6 marches.je me trouvait a maintenir cette pièce a bout de bras en appui avec une seule jambe car je ne pouvais pas mieux positionner l'escabeau sous l'avion.                          </t>
  </si>
  <si>
    <t xml:space="preserve">L'agent déclare qu'il aurait ressenti une vive douleur dans le genou gauche pendant le remplacement d'un équipement avion sur B787 G-CKMU (26 kg)  de la compagnie NORWEGIAN.                           </t>
  </si>
  <si>
    <t>117822</t>
  </si>
  <si>
    <t>MT CA PR</t>
  </si>
  <si>
    <t>Jambe gauche</t>
  </si>
  <si>
    <t xml:space="preserve">L'agent déclare qu'en voulant aider à l'installation du vérin de direction circuit bleue sur le F -GZCH, il serait tombé du dock de queue (5M)                           </t>
  </si>
  <si>
    <t>DGE - outillage / atelier / garage - Divers</t>
  </si>
  <si>
    <t>117862</t>
  </si>
  <si>
    <t>Risques liés aux agents chimiques (par contact direct, par inhalation, par ingestion)</t>
  </si>
  <si>
    <t>Nausées</t>
  </si>
  <si>
    <t xml:space="preserve">je souhaiterais déclarer un accident du travail bénin ce jour en vous remerciant par avance. Mr Ko ïta Djibril . Matricule 40397365. MTQJ . Chauffeur Convoyeur Avion .                            </t>
  </si>
  <si>
    <t xml:space="preserve">L'agent déclare par mail du 12/01/2018 14:22 que suite au nettoyage de la zone Tractage qui aurait été effe ctué le 11 janvier 2018, étant présent à 13h40 il aurait respiré ce produit qui était de très forte am pleur et très désagréable .                         </t>
  </si>
  <si>
    <t>117879</t>
  </si>
  <si>
    <t xml:space="preserve">L'agent déclare qu'en manipulant un chariot à roue au hangar H2 pendant une intervention sur un avion il aurait ressenti une douleur au dos.                            </t>
  </si>
  <si>
    <t>DGE - Matériel de piste - Autres</t>
  </si>
  <si>
    <t>117819</t>
  </si>
  <si>
    <t xml:space="preserve">L'agent déclare " j'ai ressenti une irritation de la gorge avec des quintes de toux"                             </t>
  </si>
  <si>
    <t>117820</t>
  </si>
  <si>
    <t xml:space="preserve">AT BENIN du 12.01.18 transformé en AT DECLARE le 15.01.18 suite remise de FATMAP le 15.01.18.L'agent déclare " j'aurais ressenti une irritation de la gorge avec des quintes de toux, vertiges, maux de tête"                           </t>
  </si>
  <si>
    <t>117827</t>
  </si>
  <si>
    <t>MRSKI</t>
  </si>
  <si>
    <t xml:space="preserve">En enjambant les sacs poubelle l'agent déclare qu'il a chuté en arrière et est tombé sur la fessee t la hanche gauche.                            </t>
  </si>
  <si>
    <t xml:space="preserve">L'agent déclare qu'en sortant d'un avion  il aurait été obligéd'enjamber les sacs poubelle et dive rs objets du service ménage entre le seuil de porte etl'escabeau passagers positionné en porte 1 g auche et aurait chuté.                           </t>
  </si>
  <si>
    <t>Obstacle au sol</t>
  </si>
  <si>
    <t>117818</t>
  </si>
  <si>
    <t>Gêne respiratoire</t>
  </si>
  <si>
    <t>Tronc</t>
  </si>
  <si>
    <t>Thorax</t>
  </si>
  <si>
    <t xml:space="preserve">L'agent déclare qu' il a senti une forte odeur suivi une irritation pour respirer .                             </t>
  </si>
  <si>
    <t>117867</t>
  </si>
  <si>
    <t>MT YC PR</t>
  </si>
  <si>
    <t>T</t>
  </si>
  <si>
    <t xml:space="preserve">LA MOTO A ETE PERCUTEE PAR UN CAMION.ILA ETE EMMENE AUX URGENCES AVEC UN PREJUDICE DE MAL AUX HANC HES.3 JOURS D'ARRET.                            </t>
  </si>
  <si>
    <t xml:space="preserve">L'AGENT DECLARE QU'IL AURAIT GLISSE TOUT SEUL DANS LE VIRAGE ENTRE LA FRANCILIENNE N104 ET L'A6 EN VENANT AU TRAVAIL.                            </t>
  </si>
  <si>
    <t>117963</t>
  </si>
  <si>
    <t>Déchirures musculaires</t>
  </si>
  <si>
    <t>Jambe droite</t>
  </si>
  <si>
    <t xml:space="preserve">L'agent déclare qu'en descendant l'escalier du réfectoire, il aurait ressenti une vive douleur dans le m ollet droit.                           </t>
  </si>
  <si>
    <t>117939</t>
  </si>
  <si>
    <t xml:space="preserve">l'agent déclare que lors de la mise en piste du ZNF,il aurait été incommodé par une odeur de produit qui à servi a la désinsectisation il se plaint de toux.                           </t>
  </si>
  <si>
    <t>LA DÉSINSECTISATION A ÉTÉ FAI</t>
  </si>
  <si>
    <t>117960</t>
  </si>
  <si>
    <t xml:space="preserve">L'agent déclare qu'il aurait reçu du skydrole lors de la dépose d'une pompe hydraulique .                            </t>
  </si>
  <si>
    <t>118071</t>
  </si>
  <si>
    <t>Genou droit</t>
  </si>
  <si>
    <t xml:space="preserve">L'agent a utilisé un nacelle élévatrice afin d'accomplir l'inspection du mat GTR4 lors du remplace ment moteur. .                            </t>
  </si>
  <si>
    <t xml:space="preserve">L'agent déclare avoir subi une torsion du genou droit en descendant du toucan.Il aurait ressenti une douleur importante . .                            </t>
  </si>
  <si>
    <t>DGE - Matériel de piste - Bras élévateur</t>
  </si>
  <si>
    <t>118068</t>
  </si>
  <si>
    <t>MT UD TO</t>
  </si>
  <si>
    <t xml:space="preserve">L'agent précise qu'il est descendu dos au sol comme les recommandations.                             </t>
  </si>
  <si>
    <t xml:space="preserve">AT BENIN du 18.01.18 transformé en AT DECLARE le 22.01.18 suite remise de FATMAP.L'agent déclare qu'en descendant d'un escabeau de 5 marches, il est passé de l'avant dernière marche directement au sol(Il aurait loupé une marche).L'agent aurait été déséquilibré et sa main droite aurait heurté la roue du bâtis de L'éclairage additionnel.                         </t>
  </si>
  <si>
    <t>118282</t>
  </si>
  <si>
    <t xml:space="preserve">NIL.                             </t>
  </si>
  <si>
    <t xml:space="preserve">INFORMATION CI-DESSOUS RECUEILLIE SUR LE DOCUMENT ENVOYE PAR LE SERVICE MEDICAL D'ADP : DOULEUR TH ORAX EN RENTRANT DANS L'AVION.                            </t>
  </si>
  <si>
    <t>LETTRE DE RESERVE A VENIR.</t>
  </si>
  <si>
    <t>Rejet</t>
  </si>
  <si>
    <t>118120</t>
  </si>
  <si>
    <t>Troubles visuels</t>
  </si>
  <si>
    <t>Yeux</t>
  </si>
  <si>
    <t>Oeil gauche</t>
  </si>
  <si>
    <t xml:space="preserve">L'agent déclare qu' en tarant l'attache avant du moteur 4 il aurait reçu une projection d'hydraulique dans l'Sil gauche.                           </t>
  </si>
  <si>
    <t>118207</t>
  </si>
  <si>
    <t>Main gauche</t>
  </si>
  <si>
    <t xml:space="preserve">COUPURE 1ERE PHALANGE +ONGLE CASSE.                             </t>
  </si>
  <si>
    <t xml:space="preserve">L AGENT DECLARE QUE LORS DU CROISEMENT DU CALCULATEUR DMC IL AURAIT SENTI UNE DOULEUR AU DOIGT .COUPURE 1ERE PHALANGE ET ONGLE CASSE MAIN GAUCHE.                           </t>
  </si>
  <si>
    <t>118345</t>
  </si>
  <si>
    <t xml:space="preserve">L'agent déclare lors du graissage volets, une goutte de skydrol serait tombée dans l'Sil gauche de l'agent celle-ci provenant d'une PCU laperont.                           </t>
  </si>
  <si>
    <t>118347</t>
  </si>
  <si>
    <t xml:space="preserve">L'agent portait des gants.                             </t>
  </si>
  <si>
    <t xml:space="preserve">L'agent déclare s'être coupé sur une plaque de plastique dure et tranche sur un siège passager business Il aurait démonté la plaque qui était dangereuse pour le passager.                           </t>
  </si>
  <si>
    <t>118394</t>
  </si>
  <si>
    <t>MT CA SU</t>
  </si>
  <si>
    <t>Risques liés aux machines, bancs d'essai et équipements de travail</t>
  </si>
  <si>
    <t>Face</t>
  </si>
  <si>
    <t xml:space="preserve">le transfert d'un APU A320 d'un bâti de dépose vers une caisse de transport n'a pas été fait par l a prod. l'utilisation de l'élévateur a été fait par un agent du magasin car Patrick n'a pas l'habi litation à utiliser l'élévateur.                           </t>
  </si>
  <si>
    <t xml:space="preserve">L'agent déclare qu'il se serait cogné la tête sur la fourche de l'élévateur resté à 1m du sol au moment de se baisser pour fermer la caisse de l'APU.                           </t>
  </si>
  <si>
    <t>118414</t>
  </si>
  <si>
    <t>PTPKI</t>
  </si>
  <si>
    <t>Hématome</t>
  </si>
  <si>
    <t xml:space="preserve">Escabeau ref 37100760299.                             </t>
  </si>
  <si>
    <t xml:space="preserve">L'agent déclare que lors du déplacement d'une rambarde escabeau, celle ci aurait heurté son poignet droit.                            </t>
  </si>
  <si>
    <t>118435</t>
  </si>
  <si>
    <t xml:space="preserve">En essayant de me rattraper , une vive douleur au bas du dos s'est faite ressentir.  .                             </t>
  </si>
  <si>
    <t xml:space="preserve">" L'agent déclare que  lors de la dépose de la pointe 6  de l'avion F-GZNJ, alors qu'il était en train de retirer les axes de bielles de maintien, il aurait perdu l'équilibre sur l'escabeau "2 marches " dont l'un des pieds à plier                         </t>
  </si>
  <si>
    <t>118420</t>
  </si>
  <si>
    <t xml:space="preserve">lors de la fermeture ,les capots se sont bloqués avec un effet ressort 4 techniciens ont été néces saires pour corriger le défaut .  .                            </t>
  </si>
  <si>
    <t xml:space="preserve">l'agent déclare qu'il se serait fait mal au dos en voulant fermer les capots du moteur 4 de l' A380 F-HPJA.                            </t>
  </si>
  <si>
    <t>118477</t>
  </si>
  <si>
    <t xml:space="preserve">"L'agent déclare qu'en aidant à fermer le capot fan du moteur 4 du 380 F-HPJA , il aurait ressenti une vive douleur dorsale.                           </t>
  </si>
  <si>
    <t>118507</t>
  </si>
  <si>
    <t>Bras droit</t>
  </si>
  <si>
    <t xml:space="preserve">"L'agent déclare que" lors de l'ouverture d'une issue de secours d'aile il aurait ressenti une douleur au bras droit lors de la manipulation.                           </t>
  </si>
  <si>
    <t>118506</t>
  </si>
  <si>
    <t xml:space="preserve">lors de la manipulation de la roue , l'agent a ressenti une vive douleur dans le bas du dos.                             </t>
  </si>
  <si>
    <t xml:space="preserve">L'agent déclare qu'il se serait  fait mal au dos lors du remplacement d'une roue de train avant sur le B777 F-GZNC .                            </t>
  </si>
  <si>
    <t>DGE - Avion - Train d'atterrissage</t>
  </si>
  <si>
    <t>118515</t>
  </si>
  <si>
    <t>MT UH</t>
  </si>
  <si>
    <t>Entorse</t>
  </si>
  <si>
    <t>Poignet gauche</t>
  </si>
  <si>
    <t xml:space="preserve">Attèles cheville et poignet  - Examens passés à l'hôpital le 31 janvier 2018 - Lieu de l'évènement  mal éclairé                            </t>
  </si>
  <si>
    <t xml:space="preserve">L'agent déclare qu'en voulant éviter une personne sur le trottoir, elle aurait glissé sur le rebord du trottoir, aurait perdu l'équilibre et aurait chuté -Evanouissement - Pompiers venus sur place : entorse cheville droite, douleur poignet gauche  -                         </t>
  </si>
  <si>
    <t>118508</t>
  </si>
  <si>
    <t xml:space="preserve">L'agent déclare que lors de la vidange de l'eau potable&lt;(&gt;,&lt;)&gt; aurait ressenti une douleur à la main droite au niveau de l'annulaire.                            </t>
  </si>
  <si>
    <t>118523</t>
  </si>
  <si>
    <t>Pieds</t>
  </si>
  <si>
    <t>Cheville droite</t>
  </si>
  <si>
    <t xml:space="preserve">Il a ressenti une douleur et s'est retrouvé au sol. .                             </t>
  </si>
  <si>
    <t xml:space="preserve">L'agent déclare que son pied droit s'est coincé sous le patin de freinage lors du déplacement d'un matériel.                            </t>
  </si>
  <si>
    <t>118564</t>
  </si>
  <si>
    <t>BLDPVDOR</t>
  </si>
  <si>
    <t xml:space="preserve">PERCUTE PAR UNE VOITURE .                             </t>
  </si>
  <si>
    <t xml:space="preserve">L'agent déclare en rentrant chez lui qu'il aurait un accident de la circulation sur la N7.                            </t>
  </si>
  <si>
    <t>118546</t>
  </si>
  <si>
    <t>MT CC PR</t>
  </si>
  <si>
    <t>Commotion</t>
  </si>
  <si>
    <t xml:space="preserve">L'agent déclare que en embauchant, il aurait chuté dans l'escalier menant au vestiaire.                            </t>
  </si>
  <si>
    <t>118671</t>
  </si>
  <si>
    <t xml:space="preserve">l'agent déclare qu'il aurait ressenti une forte douleur au bras gauche en fermant le capot apu. cette douleur est persistante et le gène depuis.                           </t>
  </si>
  <si>
    <t>118781</t>
  </si>
  <si>
    <t xml:space="preserve">Adresse 26 rue Louis à Villeparisis au 1er étage.                             </t>
  </si>
  <si>
    <t xml:space="preserve">L'agent déclare qu'il serait tombé dans les escaliers en sortant de la résidence de son amie.                            </t>
  </si>
  <si>
    <t>119024</t>
  </si>
  <si>
    <t>MT CG SU</t>
  </si>
  <si>
    <t>Risques routiers et circulations ( voie, manoeuvre dangereuse,zone commune piéton/véhicule..)</t>
  </si>
  <si>
    <t>Coude droit</t>
  </si>
  <si>
    <t xml:space="preserve">L'agent déclare avoir roulé sur une plaque de verglas et être tombé en scooter sur le coté droit .                             </t>
  </si>
  <si>
    <t>118712</t>
  </si>
  <si>
    <t xml:space="preserve">"L'agent déclare qu' il serait tombé à terre dû à un choc au niveau des fourches d'un " Engin type F ENWICK" .  Les fourches de cet engin étaient en position levées ( 15 à 20 cm du sol ), zone avion en aire 23 mal éclairée .                         </t>
  </si>
  <si>
    <t>118755</t>
  </si>
  <si>
    <t xml:space="preserve">L'agent déclare qu'au volant de son véhicule, il aurait dérapé sur une plaque de verglas et serait sorti de la route en heurtant un muret.                            </t>
  </si>
  <si>
    <t>118794</t>
  </si>
  <si>
    <t xml:space="preserve">L'AGENT DECLARE QU'IL AURAIT GLISSER SUR PRESENCE DE VERGLAS AUTOUR DE L'AVION ET AURAIT EU  UNE DOULEUR COTE GAUCHE AU NIVEAU DU DOS.                           </t>
  </si>
  <si>
    <t>118768</t>
  </si>
  <si>
    <t>BLDPMMOR</t>
  </si>
  <si>
    <t xml:space="preserve">L'agent déclare qu'en se rendant à son lieu de travail, il aurait glissé et aurait chuté au sol.                            </t>
  </si>
  <si>
    <t>118804</t>
  </si>
  <si>
    <t>MT CI</t>
  </si>
  <si>
    <t xml:space="preserve">L'agent déclare, qu'au moment de rentrer dans son véhicule, elle auraitglissé sur une plaque de ve rglas et aurait chuté sur son genou.                            </t>
  </si>
  <si>
    <t>118786</t>
  </si>
  <si>
    <t>Risques liés aux ambiances thermiques ( froid, chaud, espaces confinés..)</t>
  </si>
  <si>
    <t xml:space="preserve">L'agent déclare qu'en montant sur l'avion par la passerelle extérieure, dont les marches étaient c ouvertes de glace,  il aurait ressenti une forte douleur dans le bas du dos.                          </t>
  </si>
  <si>
    <t>118769</t>
  </si>
  <si>
    <t>MT YH TA</t>
  </si>
  <si>
    <t>Contusion</t>
  </si>
  <si>
    <t xml:space="preserve">L'emplacement des tracteurs en M03 est verglacé                             </t>
  </si>
  <si>
    <t xml:space="preserve">L�agent déclare que pendant la vérification des tracteurs en début de vacation du matin il aurait fait une chute en arrière après avoir glissé sur des plaques de verglas autour du tracteur AST1 numéro 207.                           </t>
  </si>
  <si>
    <t>DGE - Refoulement / tractage - Autres</t>
  </si>
  <si>
    <t>118816</t>
  </si>
  <si>
    <t>MT QS MO</t>
  </si>
  <si>
    <t xml:space="preserve">L'agent a eu mal au dos et au bras au moment de sa chute. Quelques minutes plus tard, c'est surtou t la douleur au dos qui persiste.                            </t>
  </si>
  <si>
    <t xml:space="preserve">L'agent déclare qu'en sortant de son véhicule pour fermer le portail de son domicile, du fait de l'inclinaison importante du trottoir et de la présence de verglas, il aurait chuté sur le bras gauche. Par réaction, un geste brusque aurait causé une douleur au dos.                          </t>
  </si>
  <si>
    <t>118829</t>
  </si>
  <si>
    <t xml:space="preserve">L�agent déclare qu�il aurait glissé d�une suspente de l�outillage COBRA, et écorché son genou gauche sur un support de fixation de tuyauterie du moteur, lors de l�opération de remontage du moteur  GX du F-GSQR.                          </t>
  </si>
  <si>
    <t>118881</t>
  </si>
  <si>
    <t>MT HB QO</t>
  </si>
  <si>
    <t xml:space="preserve">L�agent déclare avoir glissé sur une plaque de verglas en Echo 05. .                             </t>
  </si>
  <si>
    <t>118892</t>
  </si>
  <si>
    <t xml:space="preserve">L'agent déclare qu'elle aurait glissé sur une plaque de verglas en arrivant sur son lieu de travail, son genou aurait heurté le sol.                            </t>
  </si>
  <si>
    <t>118903</t>
  </si>
  <si>
    <t xml:space="preserve">L'agent déclare que en sortant du véhicule sur le parking du CMH, il aurait glissé sur une plaque de verglas et aurait heurté le sol avec le coude droit.                           </t>
  </si>
  <si>
    <t>118902</t>
  </si>
  <si>
    <t xml:space="preserve">L'agent portait ses EPI : Chaussures de sécurités avec semelles supplémentaires et amovibles crant ées.                            </t>
  </si>
  <si>
    <t xml:space="preserve">L'agent déclare qu'il se serait tordu le genou gauche en déplaçant un escabeau bloqué dans la glace. Douleur permanente au genou gauche après l'effort .                           </t>
  </si>
  <si>
    <t>119012</t>
  </si>
  <si>
    <t>MT YC SU</t>
  </si>
  <si>
    <t xml:space="preserve">Le verre c�est cassé lorsque l�agent la essuyé avec de essuies tout.                             </t>
  </si>
  <si>
    <t xml:space="preserve">L�agent déclare que pendant la manipulation d�un verre il se serait ouvert l�index de la main Droite p endant son repas à la cantine OW. Le verre était  ébréché.                           </t>
  </si>
  <si>
    <t>FRET - Autre - Coupure</t>
  </si>
  <si>
    <t>118929</t>
  </si>
  <si>
    <t xml:space="preserve">L'agent déclare qu'en sortant de son véhicule sur le parking, il aurait glissé, provoquant une douleur à la jambe gauche.                           </t>
  </si>
  <si>
    <t>118959</t>
  </si>
  <si>
    <t xml:space="preserve">L'agent déclare qu'il s'est tordu le poignet droit en tentant d'enlever de la glace en soute arrier e.                           </t>
  </si>
  <si>
    <t>119054</t>
  </si>
  <si>
    <t xml:space="preserve">installation du cadre du boitier gps gène la prise en main de la poignée de sécurité.                             </t>
  </si>
  <si>
    <t xml:space="preserve">L'agent déclare qu'il aurait ressenti une vive douleur au bas du dos en descendant d'un engin au momen t ou il aurait failli tomber suite poignée pour se rattraper inaccessible.                          </t>
  </si>
  <si>
    <t>119109</t>
  </si>
  <si>
    <t xml:space="preserve">L'agent déclare qu'il aurait ressenti une forte douleur au coude droit lors du remplacement d'une batterie avion.                            </t>
  </si>
  <si>
    <t>FRET - Manipulation / pincement - Manip. Diverses / pd inconnu</t>
  </si>
  <si>
    <t>119209</t>
  </si>
  <si>
    <t xml:space="preserve">COMPAGNIE NORWEGIAN EN TRANSIT SUR CDG AVEC DEPANNAGE FREIN N°1 / REMPLACEMENT BLOC FREIN + HARNAI S ELEC.                            </t>
  </si>
  <si>
    <t xml:space="preserve">L'AGENT DECLARE QU'IL AURAIT RESSENTI UNE DOULEUR LOMBAIRE LORS DE LA MANIPULATION DU BLOC FREIN B787.                            </t>
  </si>
  <si>
    <t>DGE - Matériel de piste - Palette</t>
  </si>
  <si>
    <t>119318</t>
  </si>
  <si>
    <t>MT LK PR</t>
  </si>
  <si>
    <t>Malaises</t>
  </si>
  <si>
    <t xml:space="preserve">Les techniciens présents ont constaté peu après sa prise de vacation que le salarié était sujet à des tremblements et était très pale. Il ont de se fait appelé les services des pompiers de l'aérop ort qui ont pris en charge M. GODELLE Alain.   Le salarié nous a indiqué que l'hôpital où il est hospitalise a détecté 3 bactéries dans son organ isme.Il avait par ailleurs déjà été hospitalise la veille pour des symptomes similaires.                   </t>
  </si>
  <si>
    <t xml:space="preserve">L'agent déclare suite à une hospitalisation le 18 février pour fièvre et pulsation cardiaques élevées&lt;(&gt;,&lt;)&gt; une infection urinaire a été détectée. qu'il aurait estimé être suffisamment en forme pour reprendre le travail le 19 février                          </t>
  </si>
  <si>
    <t>119325</t>
  </si>
  <si>
    <t>Lésions multiples</t>
  </si>
  <si>
    <t xml:space="preserve">Tibia gauche écorché et bras gauche écorché aussi.                             </t>
  </si>
  <si>
    <t xml:space="preserve">L'agent déclare qu'en se déplaçant du côté droit de la souteélectronique, au niveau des toilettes1 1, son pied gauche aurait glisséau niveau de la trappe d'accès extérieur sous l'avion. .                            </t>
  </si>
  <si>
    <t>119334</t>
  </si>
  <si>
    <t xml:space="preserve">l'agent déclare qu'en descendant du train à la gare Montparnasse, il a glissé en marchant sur le r evêtement blanc se trouvant sur le quai. Il a chuté sur la jambe gauche. .                            </t>
  </si>
  <si>
    <t>119411</t>
  </si>
  <si>
    <t>Risques liés aux moyens de manutention mécanique ( palan, transpalette,,,)</t>
  </si>
  <si>
    <t xml:space="preserve">L'agent déclare que voulant prendre le tracteur pour le reculer de l'avion, sa tête aurait heurté la structure haute de la porte du tracteur.                           </t>
  </si>
  <si>
    <t>DGE - Matériel de piste - Tracteur de piste</t>
  </si>
  <si>
    <t>119386</t>
  </si>
  <si>
    <t>Ecrasement</t>
  </si>
  <si>
    <t xml:space="preserve">blessure au doigt suite outillage coupant et dangereux pour les mains, déjà signalé à plusieurs re prises.                            </t>
  </si>
  <si>
    <t xml:space="preserve">L'agent déclare qu'il se serait pincé l'index droit avec un outillage moteur dangereux.                            </t>
  </si>
  <si>
    <t>119432</t>
  </si>
  <si>
    <t xml:space="preserve">M. PELATAN effectuait une tâche de maintenance dans le logement Train Principal gauche de l'A380 i mmatriculé F-HPJG, et en redescendant du logement est survenu l'accident.                            </t>
  </si>
  <si>
    <t xml:space="preserve">L'agent déclare qu'en redescendant de la porte de train d'aile gauche, son genou gauche s'est vrillé Il aurait ressenti une vive douleur lorsqu'il aurait posé le pied à terre                          </t>
  </si>
  <si>
    <t>AUCUNE RÉSERVE.</t>
  </si>
  <si>
    <t>119498</t>
  </si>
  <si>
    <t xml:space="preserve">l'agent declare avoir ressenti une vive douleur au millieu du dos en remplacent une roue et en ret irant le chariot.                            </t>
  </si>
  <si>
    <t xml:space="preserve">L'agent déclare qu'il aurait ressenti une vive douleur au milieu du dos en remplaçant une roue.                            </t>
  </si>
  <si>
    <t>119545</t>
  </si>
  <si>
    <t>MT YH AR</t>
  </si>
  <si>
    <t xml:space="preserve">L'agent déclare que lors du positionnement des civières dans le camion il aurait chuté sur le sur le plateau du camion civières. Il y avait un défaut d�alignement entre le plateau et le plancher du camion                          </t>
  </si>
  <si>
    <t>FRET - Manipulation / pincement - Charge lourde &gt;30kg</t>
  </si>
  <si>
    <t>119571</t>
  </si>
  <si>
    <t>Epaule droite</t>
  </si>
  <si>
    <t xml:space="preserve">L'agent déclare qu'il aurait ressenti une vive douleur à l'épaule droite à la mise en place des tuyauteries.                            </t>
  </si>
  <si>
    <t>119488</t>
  </si>
  <si>
    <t xml:space="preserve">L'agent déclare qu'il aurait glissé sur une plaque de verglas au niveau du mât de drainage avant de l'avion.                            </t>
  </si>
  <si>
    <t>119499</t>
  </si>
  <si>
    <t xml:space="preserve">L'agent déclare qu'en se levant après avoir changé une roue d'avion il se serait blessé à la tête en heurtant la tuyère du moteur droit.                            </t>
  </si>
  <si>
    <t>119588</t>
  </si>
  <si>
    <t xml:space="preserve">Batiment 454, local de stockage oxygène médical. En manipulant une des bouteilles oxygène (40kg), torsion du poignet douloureuse. La douleur s'est accentuée à froid après la vacation.                           </t>
  </si>
  <si>
    <t>119557</t>
  </si>
  <si>
    <t xml:space="preserve">Lorsqu'il était sur avion pour désactiver une shut off valve de toilette LM83, il aurait ressenti une douleur dans le dos .                           </t>
  </si>
  <si>
    <t>119490</t>
  </si>
  <si>
    <t>BLDPMSVL</t>
  </si>
  <si>
    <t xml:space="preserve">L'agent qui l'assistait aurait lâché la manivelle, un peu trop vite.Le process utilisé dans ce cad re est une méthode alternative et il s'agissait de la première fois pour les deux agents.                            </t>
  </si>
  <si>
    <t xml:space="preserve">Lors de l'installation d'un élément nécessitant l'utilisation de la presse pour y insérer un axe, l'agent déclare ne pas avoir eu le temps de positionner son doigt correctement et que la presse es t retombée trop rapidement. .                           </t>
  </si>
  <si>
    <t>DGE - outillage / atelier / garage - Mat. De découpage / presse</t>
  </si>
  <si>
    <t>119667</t>
  </si>
  <si>
    <t xml:space="preserve">L'agent déclare qu'il aurait ressenti une douleur au niveau du dos durant la fermeture du chariot à r oue due à l'inefficacité des vérins d'assistance.                           </t>
  </si>
  <si>
    <t>119765</t>
  </si>
  <si>
    <t>Luxation</t>
  </si>
  <si>
    <t xml:space="preserve">L'agent déclare qu'il se serait tordu la cheville droite  en sortant de l'avion sur  l'escabeau d 'accès à l'avion.                           </t>
  </si>
  <si>
    <t>119785</t>
  </si>
  <si>
    <t xml:space="preserve">L'agent déclare qu'elle se serait tordue la cheville en courant pour attraper son tramway pour se rendre au travail.                            </t>
  </si>
  <si>
    <t>119854</t>
  </si>
  <si>
    <t xml:space="preserve">Il a raté une marche en voulant éviter un PNC stationné dans l'escalier.                             </t>
  </si>
  <si>
    <t xml:space="preserve">L'agent déclare avoir chuter dans l'escalier avant de l'avion ( A380: F-HPJI) en descendant et se serait fait une entorse.                            </t>
  </si>
  <si>
    <t>119914</t>
  </si>
  <si>
    <t xml:space="preserve">L'agent déclare lors d'un perçage en soute Av sur le GSQG, le dessus de la main droite aurait été effleuré par le perçage d'un autre collègue.                           </t>
  </si>
  <si>
    <t>120002</t>
  </si>
  <si>
    <t xml:space="preserve">L'agent déclare que lors du remplacement d'un néon dans la toilette L33 du FGSPH, il se serait coupé le pouce et l'index droit.                           </t>
  </si>
  <si>
    <t>119949</t>
  </si>
  <si>
    <t>Cou</t>
  </si>
  <si>
    <t xml:space="preserve">L'agent déclare qu'il a ressenti une douleur cervicale lors du nettoyage du vérin de relevage TP G X.Lors de son retour au CMH l'agent est allé au service médical du terminal 2F pour faire constate r son état médical.Le médecin présent diagnostic : "une cervicalgie" après faux mouvement.                           </t>
  </si>
  <si>
    <t xml:space="preserve">L'agent déclare qu'il aurait ressenti une douleur cervicale lors du nettoyage d'un vérin de relevage.                            </t>
  </si>
  <si>
    <t>119988</t>
  </si>
  <si>
    <t xml:space="preserve">L'agent déclare qu' sortant de la préparation du H2, il se serait pris les pieds dans une palette situé devant la préparation.                            </t>
  </si>
  <si>
    <t>FRET - Sol glissant / chute de plain pied - Obstacle</t>
  </si>
  <si>
    <t>120145</t>
  </si>
  <si>
    <t>Présence d'un corps étranger</t>
  </si>
  <si>
    <t xml:space="preserve">"L'agent déclare que" pendant l'inspection du mât GTR1 du F-GSPP, de la poussière de protection thermique (car protection thermique déchirée) serait tombée dans l'Sil gauche.                           </t>
  </si>
  <si>
    <t>120110</t>
  </si>
  <si>
    <t xml:space="preserve">L'agent déclare qu'en chargeant une caisse dans un véhicule de service( kangoo 6823) par la porte latérale il aurait ressenti une vive douleur à l'épaule droite avec craquement.                           </t>
  </si>
  <si>
    <t>120234</t>
  </si>
  <si>
    <t>BLDPMSLB</t>
  </si>
  <si>
    <t xml:space="preserve">L'agent déclare qu'il aurait perdu le contrôle de son véhicule suite à glissade sur une plaque de verglas, tentative de rattrapage qui se serait finie en chute sur la rambarde de sécurité sur le côté droit de la moto. L'agent aurait mal au bras droit, à la jambe gauche et saignement buccal.                         </t>
  </si>
  <si>
    <t>120252</t>
  </si>
  <si>
    <t xml:space="preserve">L'agent déclare qu'il se serait  tordu le genou en voulant accéder à la pin du train avant sur le F-GZCA .Vive douleur ressentie après rotation du genou.                           </t>
  </si>
  <si>
    <t>120257</t>
  </si>
  <si>
    <t xml:space="preserve">l'agent déclare s'être tordu le doigt de la main droite en retirant la RIB pour accès Fan plenum # 1DROIT sur le F-HPJH.                            </t>
  </si>
  <si>
    <t>120237</t>
  </si>
  <si>
    <t>NCEKI</t>
  </si>
  <si>
    <t xml:space="preserve">Il a essayé de se relever mais n'a pas pu poser le pied parterre , cause douleur genou .                             </t>
  </si>
  <si>
    <t xml:space="preserve">L'agent déclare qu'en manipulant un bidon de récupération carburant destiné à la déchetterie, un peu de carburant s'en est échappé et aurait provoqué sa chute en glissant dessus. Il aurait ressenti une vive douleur au genou et s'est cogné la tête . .                          </t>
  </si>
  <si>
    <t>120395</t>
  </si>
  <si>
    <t xml:space="preserve">L'AGENT DECLARE QUE LA PORTE DE LA PASSERELLE EN E05 SE SERAIT REFERMEE BRUTALEMENT SUR SA MAIN DROITE .                           </t>
  </si>
  <si>
    <t>120511</t>
  </si>
  <si>
    <t xml:space="preserve">l'agent n'a pas vu la porte de trappe alors qu'il se relevait après avoir calé le train principal.  .                            </t>
  </si>
  <si>
    <t xml:space="preserve">L'agent déclare quand il se serait  relevé après avoir callé le train principal de l'avion, il se serait cogné le sommet du crâne contre une porte de trappe, qu'il n'aurait pas vu que celle-ci était ouverte.                           </t>
  </si>
  <si>
    <t>120498</t>
  </si>
  <si>
    <t xml:space="preserve">PLUS D  AZOTE DISPONIBLE EN COURS DE LEVAGE D OU POMPAGE MANUEL DU CRIC.                             </t>
  </si>
  <si>
    <t xml:space="preserve">L'AGENT DECLARE QU'IL AURAIT RESSENTI UNE DOULEUR ALLANT DU BRAS DROIT JUSQU'A L'EPAULE DROITE + DOULEUR DANS LE BAS DU DOS PENDANT LE POMPAGE MANUEL POUR LEVER LE CRIC.                           </t>
  </si>
  <si>
    <t>120510</t>
  </si>
  <si>
    <t xml:space="preserve">L'AGENT DECLARE QU'IL S'EST COGNE LE GENOU GAUCHE DANS L'ENCADREMENT DE LA TRAPPE D'ACCES A LA SOU TE EECTRONIQUE D'UN A320.                            </t>
  </si>
  <si>
    <t>120689</t>
  </si>
  <si>
    <t>MT CG PW</t>
  </si>
  <si>
    <t xml:space="preserve">L'agent déclare que lors d'un travail au niveau du bord d'attaque de la voilure gauche, il travaillait les bras au-dessus de la tête et il aurait ressenti une vive douleur au niveau de l'épaule.                          </t>
  </si>
  <si>
    <t>120630</t>
  </si>
  <si>
    <t xml:space="preserve">En sortant de l'avion par la porte 1 GX, porte partiellement ouverte, choc du genoux avec la portée de joint de la porte. forte douleur ressenti avec difficulté à marcher.                           </t>
  </si>
  <si>
    <t>120728</t>
  </si>
  <si>
    <t xml:space="preserve">L'agent déclare qu'alors qu'il se rendait au travail en deux roues, il a eu une collision avec una utre scooter qui lui a coupé la route. Le salarié a perdu l'équilibre et est tombé. Il ressent des  douleurs.   .                           </t>
  </si>
  <si>
    <t xml:space="preserve">L'agent déclare qu'alors qu'il se rendait au travail en deux roues, il a eu une collision avec un autre scooter  il aurait perdu l'équilibre et serait tombé&lt;(&gt;,&lt;)&gt; il aurait ressent des douleurs. .                          </t>
  </si>
  <si>
    <t>120672</t>
  </si>
  <si>
    <t>MT QP</t>
  </si>
  <si>
    <t>Epaule gauche</t>
  </si>
  <si>
    <t xml:space="preserve">La douleur s'est fait ressentir au niveau du bas de la colonne vertébrale, au bas du cou ainsi qu' à l'épaule gauche. Le sol paraissait propre sans trace apparente de liquide.                            </t>
  </si>
  <si>
    <t xml:space="preserve">L'agent déclare qu'en poussant le capot fan étant adossé contre le capot &lt;(&gt;,&lt;)&gt; il aurait glissé sur le sol et serait tombé sur les fesses.et aurait pris appui sur son épaule gauche. Il aurait ressenti une douleur qui s'est accentuée pendant la nuit.                          </t>
  </si>
  <si>
    <t>120692</t>
  </si>
  <si>
    <t xml:space="preserve">L'agent déclare qu'il se serait coincé la main droite en manipulant la caisse antifod dans le vitae.                            </t>
  </si>
  <si>
    <t>120656</t>
  </si>
  <si>
    <t xml:space="preserve">L AGENT DECLARE QU'IL AURAIT CHUTE SEUL SUR LA CHAUSSEE HUMIDE ETBOUEUSE.                             </t>
  </si>
  <si>
    <t>120657</t>
  </si>
  <si>
    <t>Cheville gauche</t>
  </si>
  <si>
    <t xml:space="preserve">l'agent déclare avoir raté la marche du trottoir, au moment de traverser et elle serait tombée sur la route et la cheville s'est tordue.                            </t>
  </si>
  <si>
    <t>120658</t>
  </si>
  <si>
    <t xml:space="preserve">SON COLLEGUE AU POSTE ETAIT EN TRAIN DE TIRER LES DISJONCTEURS ASSOCIES A LA ROUE 3 QU IL DEVAIT D EPOSER AVEC SON COLLEGUE, ET PENSAIT QU ILS REMPLACERAIENT LE FREIN APRES LA POSE REPAS.                            </t>
  </si>
  <si>
    <t xml:space="preserve">L'AGENT DECLARE QU'IL PENSAIT QUE LE CIRCUIT HYDRAULIQUE N'ETAIT PLUS EN PRESSION ET AURAIT DECONNECTE  LA SELF PENSANT EN TOUTE SECURITE. .                           </t>
  </si>
  <si>
    <t>120752</t>
  </si>
  <si>
    <t xml:space="preserve">4 POINTS DE SUTURE + MALAISE .                             </t>
  </si>
  <si>
    <t xml:space="preserve">CHOC A LA TETE SUITE DEPLACEMENT DANS LE POSTE DE PILOTAGE . AURAIT HEURTE LES PANNEAUX BREAKERS .                            </t>
  </si>
  <si>
    <t>120792</t>
  </si>
  <si>
    <t>Douleur osseuse, articulaire ou musculaire</t>
  </si>
  <si>
    <t xml:space="preserve">L'agent déclare que en descendant un escabeau 3 marches, il aurait raté une marche et aurait ressenti une douleur au genou droit.                            </t>
  </si>
  <si>
    <t>121167</t>
  </si>
  <si>
    <t xml:space="preserve">L'agent déclare qu'en ouvrant une trappe d'accès sur le F-HRBF en position extérieure (piste), il s'  est entaillé le front. La trappe en s'ouvrant a renversé la casquette et a percuté son front créant  une coupure.                           </t>
  </si>
  <si>
    <t xml:space="preserve">Ouverture trappe d'accès pour intervention structure                             </t>
  </si>
  <si>
    <t>121317</t>
  </si>
  <si>
    <t xml:space="preserve">La victime déclare qu'en ouvrant le capot gauche d'un moteur avion la victime aurait ressenti une forte douleur à l'épaule droite.                            </t>
  </si>
  <si>
    <t xml:space="preserve">la victime ouvrait un capot GTR sur le F-GZCN                             </t>
  </si>
  <si>
    <t>121363</t>
  </si>
  <si>
    <t>BLDPMSCL</t>
  </si>
  <si>
    <t xml:space="preserve">L'agent déclare qu'il aurait été percuté par un véhicule en déboitant devant lui. Il aurait chuté su  r la voie publique. Le tiers n'a pas été identifié car il s'est arrête et il est reparti.                            </t>
  </si>
  <si>
    <t xml:space="preserve">La victime se rendait au travail en moto depuis son domicile                             </t>
  </si>
  <si>
    <t>121408</t>
  </si>
  <si>
    <t>Oeil droit</t>
  </si>
  <si>
    <t xml:space="preserve">L'agent déclare que pendant le graissage d' un train d'atterrissage la poignée de graissage aurait échappé de la main et en tombant aurait envoyé une projection de graisse dans l Sil droit.                           </t>
  </si>
  <si>
    <t xml:space="preserve"> graissage d un train atterrissage                             </t>
  </si>
  <si>
    <t>121523</t>
  </si>
  <si>
    <t>Pied gauche</t>
  </si>
  <si>
    <t xml:space="preserve">La victime déclare qu'en manipulant un escabeau, celui-ci aurait percuté l'arrière du pied gauche (tendon d'achile).                            </t>
  </si>
  <si>
    <t xml:space="preserve">LA VICTIME MANIPULAIT UN ESCABEAU METALLIQUE SUR SA ZONE DE TRAVAIL (ACTIVITE MAINTENANCE AVION PIST  E) PARKING: K59 TERMINAL :S                            </t>
  </si>
  <si>
    <t>121508</t>
  </si>
  <si>
    <t xml:space="preserve">L'agent déclare choc sur le genou gauche en descendant de l'escabeau après avoir glissé d'une marche de l'escabeau.                            </t>
  </si>
  <si>
    <t xml:space="preserve">plein d'huile moteur avion B777 nécessitant l'usage d'un escabeau.                              </t>
  </si>
  <si>
    <t>121563</t>
  </si>
  <si>
    <t xml:space="preserve">L'agent déclare que la porte du tracteur se serait refermée violemment sur sa main                            </t>
  </si>
  <si>
    <t xml:space="preserve">Déplacement d un tracteur vers le garage                             </t>
  </si>
  <si>
    <t>121536</t>
  </si>
  <si>
    <t xml:space="preserve">L'AGENT DECLARE QUE LORS DE LA MANIPULATION D'UN RESSORT AVEC UNE PINCE &lt;(&gt;,&lt;)&gt; CELLE-CI L'AURAIT PERCUTE A L OEIL GAUCHE                            </t>
  </si>
  <si>
    <t xml:space="preserve">TRAVAUX DANS LA SOUTE AVION                             </t>
  </si>
  <si>
    <t>121658</t>
  </si>
  <si>
    <t>Inflammation</t>
  </si>
  <si>
    <t xml:space="preserve">LA VICTIME DECLARE QU'EN DEPOSANT DES ELEMENTS CABINE SUR L AWACS UNE POINTE METALLIQUE L'AURAIT ECORCHE A LA MAIN DROITE                            </t>
  </si>
  <si>
    <t xml:space="preserve">LA VICTIME DEPOSAIT DES ELEMENTS CABINE SUR L AWACS                             </t>
  </si>
  <si>
    <t>121833</t>
  </si>
  <si>
    <t xml:space="preserve">L'agent déclare qu'il s'est fait percuté par une voiture alors qu'il roulait en scooter sur l'autoroute A3.                            </t>
  </si>
  <si>
    <t xml:space="preserve">SE RENDAIT AU TRAVAIL AVEC SON SCOOTER                             </t>
  </si>
  <si>
    <t>121759</t>
  </si>
  <si>
    <t xml:space="preserve">L'agent déclare que lors d'un déplacement dans l'avion il aurait buté contre l'accoudoir métallique avec son genou                            </t>
  </si>
  <si>
    <t xml:space="preserve">visite daily a380 F-hpji visite en cabine                             </t>
  </si>
  <si>
    <t>Siège</t>
  </si>
  <si>
    <t>121934</t>
  </si>
  <si>
    <t>BLDPCORY</t>
  </si>
  <si>
    <t xml:space="preserve">Le salarié déclare qu'il se serait tordu la cheville en descendant du bus.                            </t>
  </si>
  <si>
    <t xml:space="preserve">Le salarié se rendait sur son lieu de travail.                             </t>
  </si>
  <si>
    <t>121976</t>
  </si>
  <si>
    <t xml:space="preserve">Le salarié déclare que sa moto aurait été heurté par un véhicule et qu'il serait tombé au sol.                            </t>
  </si>
  <si>
    <t xml:space="preserve">Le salarié se trouvait à moto sur son trajet domicile-lieu de travail.                             </t>
  </si>
  <si>
    <t>122971</t>
  </si>
  <si>
    <t xml:space="preserve">Le salarié déclare qu'il se serait senti mal.                             </t>
  </si>
  <si>
    <t xml:space="preserve">Le salarié effectuait la régulation                             </t>
  </si>
  <si>
    <t>122121</t>
  </si>
  <si>
    <t xml:space="preserve">Le salarié déclare qu'il aurait ressenti une douleur dans l'épaule gauche, lors de la mise en place du carénage.                            </t>
  </si>
  <si>
    <t xml:space="preserve">Le salarié installait d'un carénage sur la nacelle du réacteur 2.                             </t>
  </si>
  <si>
    <t>122060</t>
  </si>
  <si>
    <t xml:space="preserve">Le salarié déclare lors du démastiquage, l'outil aurait ripé&lt;(&gt;,&lt;)&gt; aurait coupé le gant et entamé le doigt.                            </t>
  </si>
  <si>
    <t xml:space="preserve">Le salarié faisait le démastiquage d'un plancher.                             </t>
  </si>
  <si>
    <t>DGE - Avion - Soute</t>
  </si>
  <si>
    <t>122000</t>
  </si>
  <si>
    <t xml:space="preserve">Le salarié déclare qu'il serait fait mal au poignet droit, en voulant stocker le frein dans la caisse de rangement.                            </t>
  </si>
  <si>
    <t xml:space="preserve">Le salarié changeait un frein d'un avion f-gpme.                             </t>
  </si>
  <si>
    <t>122139</t>
  </si>
  <si>
    <t xml:space="preserve">Le salarié déclare qu'il aurait chuté après avoir trébuché sur un bloc multiprise.                            </t>
  </si>
  <si>
    <t xml:space="preserve">Le salarié effectuait une tâche de maintenance sur un avion.                             </t>
  </si>
  <si>
    <t>122278</t>
  </si>
  <si>
    <t>Plaie lésion cutanée (brûlure gelure piqûre morsure coupure)</t>
  </si>
  <si>
    <t xml:space="preserve">Le salarié déclare que sa main se serait coincé entre la poignée de verrouillage et la rambarde de l'escabeau.                            </t>
  </si>
  <si>
    <t xml:space="preserve">Le salarié déplaçait un escabeau.                             </t>
  </si>
  <si>
    <t>122460</t>
  </si>
  <si>
    <t xml:space="preserve">Le salarié déclare qu'il se serait coincé le doigt dans le portillon d'un passage piéton.                            </t>
  </si>
  <si>
    <t xml:space="preserve">Le salarié rentrait à son domicile à la fin de sa prestation.                             </t>
  </si>
  <si>
    <t>122552</t>
  </si>
  <si>
    <t>Risques liés à l'ambiance lumineuse( sous éclairage, suréclairage, éblouissement,..)</t>
  </si>
  <si>
    <t xml:space="preserve">Le salarié déclare qu'il se serait cogné la tête contre un support de tuyauterie.                            </t>
  </si>
  <si>
    <t xml:space="preserve">Le salarié travaillait dans une soute en portant sa casquette EPI (Equipement Protection Individuelle)                            </t>
  </si>
  <si>
    <t>122636</t>
  </si>
  <si>
    <t xml:space="preserve">Le salarié déclare qu'en descendant de son escabeau, il aurait ressenti une douleur au genou gauche après avoir loupé la dernière marche.                            </t>
  </si>
  <si>
    <t xml:space="preserve">Le salarié procédait à la normalisation des attaches d'entrée d'air sur un moteur.                            </t>
  </si>
  <si>
    <t>122646</t>
  </si>
  <si>
    <t xml:space="preserve">Une fenêtre s'est dégondée et est tombée d'une salle de cours : la vitre a éclaté au sol, les projections de verre ont bléssé Matthieu à la main.                            </t>
  </si>
  <si>
    <t xml:space="preserve">alternant en période de formation au CFA métier de l'aérien  MASSY                             </t>
  </si>
  <si>
    <t>122656</t>
  </si>
  <si>
    <t xml:space="preserve">La salariée déclare que son pied serait resté coincé entre deux palettes occasionnant une chute.                            </t>
  </si>
  <si>
    <t xml:space="preserve">La salariée rangeait son local de matériel.                             </t>
  </si>
  <si>
    <t>122638</t>
  </si>
  <si>
    <t xml:space="preserve">Le salarié déclare qu'un de ses collègues qui conduisait un chariot élévateur aurait roulé sur son pied ne l'ayant pas vu                            </t>
  </si>
  <si>
    <t xml:space="preserve">Le salarié intervenait sur un avion "en portant ses EPI"                             </t>
  </si>
  <si>
    <t>122802</t>
  </si>
  <si>
    <t>MT QS UG</t>
  </si>
  <si>
    <t>Autres douleurs (abdominales, thoraciques, maux de tête)</t>
  </si>
  <si>
    <t xml:space="preserve">Le salarié procédait au téléchargement informatique de document.                             </t>
  </si>
  <si>
    <t>122770</t>
  </si>
  <si>
    <t xml:space="preserve">Le salarié déclare qu'une projection de liquide serait rentrée en contact avec son oeil gauche                            </t>
  </si>
  <si>
    <t xml:space="preserve">Le salarié fermait un panneau service carburant                             </t>
  </si>
  <si>
    <t>122759</t>
  </si>
  <si>
    <t>Traumatisme lourd (fracture, entorse, luxation, écrasement)</t>
  </si>
  <si>
    <t xml:space="preserve">Le salarié déclare qu'il aurait chuté après avoir glissé et aurait ressenti une douleur au niveau de la cheville.                            </t>
  </si>
  <si>
    <t xml:space="preserve">Le salarié sortait de la salle de repli.                             </t>
  </si>
  <si>
    <t>Revêtement au sol</t>
  </si>
  <si>
    <t>122821</t>
  </si>
  <si>
    <t xml:space="preserve">La salariée déclare qu'un véhicule l'aurait heurté alors qu'elle se trouvait sur le trottoir.                            </t>
  </si>
  <si>
    <t xml:space="preserve">La salariée se rendait sur son lieu de travail à pied                             </t>
  </si>
  <si>
    <t>122882</t>
  </si>
  <si>
    <t xml:space="preserve">Le salarié déclare qu'il aurait ressenti une douleur dans le dos du côté gauches.                            </t>
  </si>
  <si>
    <t xml:space="preserve">Le salarié descendait d'un avion.                             </t>
  </si>
  <si>
    <t>122919</t>
  </si>
  <si>
    <t>Traumatisme léger (hématome, contusion légère, pincement)</t>
  </si>
  <si>
    <t xml:space="preserve">Le salarié déclare qu'au moment du verrouillage, il se serait coincé un doigt dans la poignée extérieure d'une porte                            </t>
  </si>
  <si>
    <t xml:space="preserve">Le salarié fermait les portes de l'avion                             </t>
  </si>
  <si>
    <t>122978</t>
  </si>
  <si>
    <t xml:space="preserve">Le salarié déclare qu'il se serait coincé le pouce en ouvrant le capot.                             </t>
  </si>
  <si>
    <t xml:space="preserve">Le salarié effectuait un dépannage avion.                             </t>
  </si>
  <si>
    <t>123096</t>
  </si>
  <si>
    <t xml:space="preserve">Le salarié déclare que son pied gauche aurait glissé dans un trou                             </t>
  </si>
  <si>
    <t xml:space="preserve">Le salarié débranchait des câbles d'un avion                             </t>
  </si>
  <si>
    <t>123138</t>
  </si>
  <si>
    <t xml:space="preserve">Le salarié déclare qu'il aurait ressenti une douleur dans le mollet gauche en montant des escaliers.                            </t>
  </si>
  <si>
    <t xml:space="preserve">Le salarié se rendait sur son lieu de travail après avoir stationné son véhicule.                            </t>
  </si>
  <si>
    <t>Escaliers</t>
  </si>
  <si>
    <t>123225</t>
  </si>
  <si>
    <t xml:space="preserve">Le salarié déclare que son bras gauche aurait touché une partie du réacteur.                            </t>
  </si>
  <si>
    <t xml:space="preserve">Le salarié vérifiait l'étanchéité d'un conduit pneumatique après un essai réacteur( en portant ses EPI).                            </t>
  </si>
  <si>
    <t>123246</t>
  </si>
  <si>
    <t xml:space="preserve">Le salarié déclare qu'il aurait ressenti une douleur dans le bas du dos.                             </t>
  </si>
  <si>
    <t xml:space="preserve">Le salarié effectuait une recherche de fuite dans le réservoir central d'un avion.                            </t>
  </si>
  <si>
    <t>123252</t>
  </si>
  <si>
    <t xml:space="preserve">L'agent déclare qu'il s'est blessé au pouce gauche en déplaçant un escabeau. A contre-jour la ferrure est difficilement visible son pouce a heurté le rebord de la plateforme d'accès sous le karman: il s'est décollé tout le pourtour de l'ongle.                          </t>
  </si>
  <si>
    <t xml:space="preserve">Le salarié manipulait un escabeau avion.                             </t>
  </si>
  <si>
    <t>123322</t>
  </si>
  <si>
    <t xml:space="preserve">Le salarié déclare qu'il aurait ressenti une douleur dans le poignet gauche.                            </t>
  </si>
  <si>
    <t xml:space="preserve">Le salarié effectuait son travail de mécanique sur avion.                             </t>
  </si>
  <si>
    <t>123427</t>
  </si>
  <si>
    <t xml:space="preserve">La salariée déclare qu'elle aurait fait un malaise entrainant une chute.                             </t>
  </si>
  <si>
    <t xml:space="preserve">La salariée se trouvait au poste de garde à l'extérieur de l'aéroport sur son trajet domicile lieu de travail.                            </t>
  </si>
  <si>
    <t>123449</t>
  </si>
  <si>
    <t xml:space="preserve">Le salarié déclare qu'il aurait ressent une douleur entre les deux omoplates.                            </t>
  </si>
  <si>
    <t xml:space="preserve">Le salarié était en charge de la fermeture des capots du moteur de l'avion.                            </t>
  </si>
  <si>
    <t>123379</t>
  </si>
  <si>
    <t xml:space="preserve">Le salarié déclare que l'outillage x27-053 serait tombé entre ses jambes.                            </t>
  </si>
  <si>
    <t xml:space="preserve">Le salarié effectuait une mission de maintenance.                             </t>
  </si>
  <si>
    <t>123435</t>
  </si>
  <si>
    <t xml:space="preserve">Le salarié déclare qu'il aurait ressenti une douleur au thorax après s'être appuyé contre une poutrelle.                            </t>
  </si>
  <si>
    <t xml:space="preserve">Le salarié effectuait un travail de dépose.                             </t>
  </si>
  <si>
    <t>123486</t>
  </si>
  <si>
    <t xml:space="preserve">Le salarié déclare qu'il se serait cogné la tête contre la porte ouverte de son casier.                            </t>
  </si>
  <si>
    <t xml:space="preserve">Le salarié se relevait après avoir ramassé sa clef qui était tombée au sol.                            </t>
  </si>
  <si>
    <t>123490</t>
  </si>
  <si>
    <t xml:space="preserve">Le salarié déclare qu'il se serait cogné la tête contre un rack à bagages.                            </t>
  </si>
  <si>
    <t xml:space="preserve">Le salarié relevait la tête après avoir travaillé sur le bras vidéo d'un siège.                            </t>
  </si>
  <si>
    <t>Coffre à bagages</t>
  </si>
  <si>
    <t>123524</t>
  </si>
  <si>
    <t>MT FB PR</t>
  </si>
  <si>
    <t xml:space="preserve">Le salarié déclare qu'il se serait cogné la tête contre la structure de l'avion.                            </t>
  </si>
  <si>
    <t xml:space="preserve">Le salarié effectuait une tache sur un avion.                             </t>
  </si>
  <si>
    <t>123515</t>
  </si>
  <si>
    <t xml:space="preserve">Le salarié déclare qu'il aurait ressenti une douleur dans le dos lors du torquage de la roue.                            </t>
  </si>
  <si>
    <t xml:space="preserve">Le salarié remplaçait une roue sur un avion type A321.                             </t>
  </si>
  <si>
    <t>123517</t>
  </si>
  <si>
    <t>Pied droit</t>
  </si>
  <si>
    <t xml:space="preserve">Le salarié déclare que l'escabeau lui aurait heurté le talon droit.                             </t>
  </si>
  <si>
    <t xml:space="preserve">Le salarié tirait un escabeau pour le déplacer lors d'un transit avion.                             </t>
  </si>
  <si>
    <t>123594</t>
  </si>
  <si>
    <t xml:space="preserve">lors de la remonté de la soute électronique vers la cabine, la victime déclare avoir loupé une march  e de l'échelle entrainant l'éraflure de son dos sur l'encadrement de la trappe d'accès a la soute é  l ectronique                           </t>
  </si>
  <si>
    <t xml:space="preserve">La victime effectuait la visite daily du F-GSQM, en E24                             </t>
  </si>
  <si>
    <t>DGE - Avion - Marches</t>
  </si>
  <si>
    <t>123595</t>
  </si>
  <si>
    <t xml:space="preserve">LE SALARIE DECLARE QUE Mr DURAND EN S'APPUYANT SUR LA VITRE LATÉRALE DE LA CHARLATTE LA FAIT GLISSEE SUR SES LUNETTES QUI ONT PERCUTER SON OEIL.                            </t>
  </si>
  <si>
    <t xml:space="preserve"> Suite souci informatique le service des AT d'Air France a eu connaissance de l'AT le 17.08.18. Le salarié arrivait sur l'avion pour le tractage.                           </t>
  </si>
  <si>
    <t>123944</t>
  </si>
  <si>
    <t>MTICSC</t>
  </si>
  <si>
    <t>Trouble fonctionnel (malaise fièvre nausée respiration vue)</t>
  </si>
  <si>
    <t xml:space="preserve">le salarié déclare qu'il aurait été pris de vertige                             </t>
  </si>
  <si>
    <t xml:space="preserve">le salarié se trouvait à son bureau                             </t>
  </si>
  <si>
    <t>123687</t>
  </si>
  <si>
    <t>MTME</t>
  </si>
  <si>
    <t>Abdomen</t>
  </si>
  <si>
    <t xml:space="preserve">la salariée déclare qu'elle aurait heurté un véhicule la précédent après qu'il ait freiné                            </t>
  </si>
  <si>
    <t xml:space="preserve">la salariée rentait en voiture à son domicile après la fin de sa vacation                            </t>
  </si>
  <si>
    <t>123656</t>
  </si>
  <si>
    <t xml:space="preserve">le salarié déclare que la pièce serait tombée sur son poignet gauche                             </t>
  </si>
  <si>
    <t xml:space="preserve">le salarié déboitait une pièce de la tuyauterie.                             </t>
  </si>
  <si>
    <t>123791</t>
  </si>
  <si>
    <t xml:space="preserve">le salarié déclare qu'il se serait blessé la paume de la main droite avec la roue de l'avion                            </t>
  </si>
  <si>
    <t xml:space="preserve">le salarié procédait au remplacement de la roue d'un avion                             </t>
  </si>
  <si>
    <t>123856</t>
  </si>
  <si>
    <t xml:space="preserve">le salarié déclare qu'il aurait ressenti une douleur dans le coté gauche de son dos                            </t>
  </si>
  <si>
    <t xml:space="preserve">le salarié manipulait un roue                             </t>
  </si>
  <si>
    <t>123918</t>
  </si>
  <si>
    <t>MTQXRH</t>
  </si>
  <si>
    <t xml:space="preserve">La salariée déclare qu'elle aurait été prise de vertiges et qu'elle aurait fait un malaise.                            </t>
  </si>
  <si>
    <t xml:space="preserve">La salariée était en train de se restaurer à la cantine.                             </t>
  </si>
  <si>
    <t>124023</t>
  </si>
  <si>
    <t xml:space="preserve">le salarié déclare qu'il se serait blessé au niveau de la lèvre après avoir trébuché                            </t>
  </si>
  <si>
    <t xml:space="preserve">le salarié remontait la porte d'accès d'un avion                             </t>
  </si>
  <si>
    <t>124026</t>
  </si>
  <si>
    <t xml:space="preserve">le salarié déclare qu'il aurait ressenti une douleur dorsale en passant sous le bras de la prote passager                            </t>
  </si>
  <si>
    <t xml:space="preserve">le salarié recherchait une panne sur la porte passager d'un avion                             </t>
  </si>
  <si>
    <t>124034</t>
  </si>
  <si>
    <t xml:space="preserve">le salariée déclare, qu'en mettant le cric en place, il se serait retourné l'annulaire de la main gauche                            </t>
  </si>
  <si>
    <t xml:space="preserve">le salarié procédait au remplacement d'une roue sur A380-HP JA                             </t>
  </si>
  <si>
    <t>124015</t>
  </si>
  <si>
    <t xml:space="preserve">le salarié déclare qu'il se serait blessé l'avant-bras doit en touchant le conduit de démarrage                            </t>
  </si>
  <si>
    <t xml:space="preserve">le salarié travaillé sur un avion                             </t>
  </si>
  <si>
    <t>124165</t>
  </si>
  <si>
    <t xml:space="preserve">le salarié déclare qu'il aurait inhalé des vapeurs du produit contenu dans l'extincteur après un coup de vent                            </t>
  </si>
  <si>
    <t xml:space="preserve">le salarié se servait d'un extincteur afin d'éteindre un début d'incendie                            </t>
  </si>
  <si>
    <t>Autre</t>
  </si>
  <si>
    <t>124331</t>
  </si>
  <si>
    <t xml:space="preserve">Le salarié déclare qu'en se redressant son front aurait heurté le cqpot.                             </t>
  </si>
  <si>
    <t xml:space="preserve">Le salarié préparait la dépose d'un moteur.                             </t>
  </si>
  <si>
    <t>124387</t>
  </si>
  <si>
    <t>BLDPMSRY</t>
  </si>
  <si>
    <t xml:space="preserve">Le salarié déclare qu'un automobiliste lui aurait coupé la route dans un rond-point, entraînant sa chute.                            </t>
  </si>
  <si>
    <t xml:space="preserve">Le salarié rentrait à son domicile en moto à la fin de sa journée de travail.                            </t>
  </si>
  <si>
    <t>124320</t>
  </si>
  <si>
    <t>BLDPUDRY</t>
  </si>
  <si>
    <t xml:space="preserve">le salarié déclare qu'il aurait chuté après avoir glissé sur le dock                             </t>
  </si>
  <si>
    <t xml:space="preserve">le salarié procédait à l'inspection du logement TP DROIT DU F-GZNB                             </t>
  </si>
  <si>
    <t>124498</t>
  </si>
  <si>
    <t>MTUDQH</t>
  </si>
  <si>
    <t xml:space="preserve">La salariée déclare que la porte palière du tourniquet de sortie du RER se serait renfermée sur sa cheville gauche.                            </t>
  </si>
  <si>
    <t xml:space="preserve">La salariée se rendait sur son lieu de travail.                             </t>
  </si>
  <si>
    <t>Portes</t>
  </si>
  <si>
    <t>124553</t>
  </si>
  <si>
    <t>BLDPCOOR</t>
  </si>
  <si>
    <t xml:space="preserve">Voiture endommagée. Pas de blessures corporelles                             </t>
  </si>
  <si>
    <t xml:space="preserve">La victime se rendait au travail                             </t>
  </si>
  <si>
    <t>124554</t>
  </si>
  <si>
    <t xml:space="preserve">Le salarié déclare qu'en se redressant il aurait heurté une poutre de l'escalier pré passerelle.                            </t>
  </si>
  <si>
    <t xml:space="preserve">Le salarié prenait un outil dans son véhicule.                             </t>
  </si>
  <si>
    <t>124754</t>
  </si>
  <si>
    <t xml:space="preserve">LE SALARIE DECLARE ETRE TOMBE ENTRE 2 RAILS DE LA SOUTE ARRIERE                             </t>
  </si>
  <si>
    <t xml:space="preserve">LE SALARIEE DEPOSE DES PANNEAUX DE SOUTE                             </t>
  </si>
  <si>
    <t>124840</t>
  </si>
  <si>
    <t xml:space="preserve">Le salarié déclare que peu après son arrivée au travail lundi il aurait eu des vertiges et des tremblements avec sensation de malaise.                            </t>
  </si>
  <si>
    <t xml:space="preserve">Le salarié était à son poste de travail.                             </t>
  </si>
  <si>
    <t>X</t>
  </si>
  <si>
    <t>124797</t>
  </si>
  <si>
    <t xml:space="preserve">Le salarié déclare qu'il aurait reçu de l'huile dans l'Sil droit.                             </t>
  </si>
  <si>
    <t xml:space="preserve">Le salarié effectuait le remontage d'une boite accessoire moteur .                             </t>
  </si>
  <si>
    <t>124879</t>
  </si>
  <si>
    <t xml:space="preserve">Le salarié déclare qu'il aurait ressenti un pincement du majeur droit.                             </t>
  </si>
  <si>
    <t xml:space="preserve">Le salarié préparait l'installation entrée d'air moteur                             </t>
  </si>
  <si>
    <t>124895</t>
  </si>
  <si>
    <t xml:space="preserve">Le salarié déclare qu'il aurait reçu un jet de kérosène dans son oeil droit.                            </t>
  </si>
  <si>
    <t xml:space="preserve">Le salarié travaillait sur un moteur avion.                             </t>
  </si>
  <si>
    <t>124942</t>
  </si>
  <si>
    <t xml:space="preserve">Le salarié déclare que lors de l'inspection de l'équipement, une boucle de fil à freiner endommagée aurait coupé superficielleme nt le dessus de sa main droite.                           </t>
  </si>
  <si>
    <t xml:space="preserve">Le salarié était à son établi pour une inspection d'équipement.                             </t>
  </si>
  <si>
    <t>125101</t>
  </si>
  <si>
    <t>MT HB SA</t>
  </si>
  <si>
    <t xml:space="preserve">La salariée déclare avoir ressenti une douleur dans le bas du dos en soulevant une bombonne d'eau.                            </t>
  </si>
  <si>
    <t xml:space="preserve">La salariée se trouvait à son poste de travail.                             </t>
  </si>
  <si>
    <t>125073</t>
  </si>
  <si>
    <t xml:space="preserve">Le salarié déclare qu'il se serait cogné la main gauche sur le coin d'une armoire en aidant des collègues pour l'enlèvement d'un banc d'essai.                           </t>
  </si>
  <si>
    <t xml:space="preserve">Le salarié était dans la salle d'essai pour un passage au banc d'essai.                             </t>
  </si>
  <si>
    <t>125135</t>
  </si>
  <si>
    <t xml:space="preserve">Le salarié déclare qu'en mettant en place la sécurité de l'escabeau il aurait ressenti une forte douleur dans le bas du dos.                            </t>
  </si>
  <si>
    <t xml:space="preserve">Le salarié effectuait les pleins d'huile moteurs sur un avion de la compagnie China Southern.                            </t>
  </si>
  <si>
    <t>125174</t>
  </si>
  <si>
    <t xml:space="preserve">Le salarié déclare qu'au démontage du rideau  la structure métallique du support rideau aurait heurté son oeil droit.                            </t>
  </si>
  <si>
    <t xml:space="preserve">Le salarié effectuait un démontage de rideau dans le poste de repos d'un équipage.                            </t>
  </si>
  <si>
    <t>125262</t>
  </si>
  <si>
    <t xml:space="preserve">Le salarié déclare qu'il aurait ressenti une vive douleur dans les cervicales en desserrant un élément de moteur avion. La douleur se serait prolongée dans l'épaules  et le bras entrainant des picotements dans les doigts (index/majeur) de la  main gauche.                          </t>
  </si>
  <si>
    <t xml:space="preserve">Le salarié effectuait une opération de maintenance sur avion.                             </t>
  </si>
  <si>
    <t>125277</t>
  </si>
  <si>
    <t xml:space="preserve">Le salarié déclare qu'en sortant du véhicule pour se rendre au contrôle biométrique la barrière qui était ouverte se serait brusquement refermée sur sa tête.                           </t>
  </si>
  <si>
    <t xml:space="preserve">Le salarié se trouvait au Parif principal accès maintenance                             </t>
  </si>
  <si>
    <t>125378</t>
  </si>
  <si>
    <t xml:space="preserve">Le salarié déclare qu'il aurait heurté la tête avec l'angle de la trappe de train avant du 777 F-GSQR                            </t>
  </si>
  <si>
    <t xml:space="preserve">Le salarié rangeait le câble GPU (groupe électrique pour alimenter les avions) du tracteur 080                            </t>
  </si>
  <si>
    <t>125388</t>
  </si>
  <si>
    <t xml:space="preserve">Le salarié déclare qu'il aurait heurté le pied du banc dans le vestiaire.                            </t>
  </si>
  <si>
    <t xml:space="preserve">Le salarié se changeait en habit de travail dans les vestiaires.                             </t>
  </si>
  <si>
    <t>125593</t>
  </si>
  <si>
    <t xml:space="preserve">Le salarié déclare qu'il aurait heurté l'avant-bras avec le patin du vérin, ce dernier s'est débloqué subitement                            </t>
  </si>
  <si>
    <t xml:space="preserve">Le salarié effectuait la mise sur verin d'un avion A320   mise sur verin d'un airbus A320, un des patins du vérin d'aile dur à manSuvrer, ce dernier s'est déb loqué subitement                         </t>
  </si>
  <si>
    <t>125658</t>
  </si>
  <si>
    <t xml:space="preserve">Le salarié déclare qu'il aurait heurté le genou avec la structure de l'avion en sortant du logement vis de trim. du F-HEPF                           </t>
  </si>
  <si>
    <t xml:space="preserve">Le salarié effectuait le graissage dans l'avion.                             </t>
  </si>
  <si>
    <t>125867</t>
  </si>
  <si>
    <t xml:space="preserve">Torsion du genou gauche lors de la descente d'un escabeau                             </t>
  </si>
  <si>
    <t xml:space="preserve">Visite d'entretien avion                             </t>
  </si>
  <si>
    <t>126001</t>
  </si>
  <si>
    <t xml:space="preserve">Le salarié déclare avoir ressenti une douleur dans le bas du dos à droite après avoir aidé au déplacement du fût de FH51 pour le remplissage par gravité de la bâche avion                           </t>
  </si>
  <si>
    <t xml:space="preserve">Le salarié participait au remplissage hydrogène par gravité avec un fut la bâche d'un avion.                            </t>
  </si>
  <si>
    <t>125966</t>
  </si>
  <si>
    <t xml:space="preserve">Le salarié déclare qu'il aurait ressenti une douleur dans le bas du dos lors de la conduite du tracteur (tracteur de manutention)                            </t>
  </si>
  <si>
    <t xml:space="preserve">Le salarié se trouvait dans un tracteur  pour tracter les chariots porte conteneur.                            </t>
  </si>
  <si>
    <t>125930</t>
  </si>
  <si>
    <t xml:space="preserve">Le salarié déclare qu'il aurait ressenti au coude en trébuchant dans l'allée centrale de la cabine en se rendant au galet arrière pour y remplacer le volet de la poubelle.                           </t>
  </si>
  <si>
    <t xml:space="preserve">Le salarié se rendait au fond de la cabine du FGTAT                             </t>
  </si>
  <si>
    <t>126314</t>
  </si>
  <si>
    <t xml:space="preserve">Le salarié déclare qu'en reculant en cabine, il se serait cogné le talon droit dans un siège passager                            </t>
  </si>
  <si>
    <t xml:space="preserve">Le salarié dépannait des toilettes                             </t>
  </si>
  <si>
    <t>126216</t>
  </si>
  <si>
    <t xml:space="preserve">Le salarié déclare qu'il se serait tordu la cheville droite                             </t>
  </si>
  <si>
    <t xml:space="preserve">Le salarié  se rendait vers la salle de repli afin de prendre un temps de pause                            </t>
  </si>
  <si>
    <t>126100</t>
  </si>
  <si>
    <t xml:space="preserve">Le salarié déclare que son index gauche aurait été blessé par une pièce d'avion pendant sa découpe.                            </t>
  </si>
  <si>
    <t xml:space="preserve">Le salarié réparait un avion (GSQA- longeron Dx)                             </t>
  </si>
  <si>
    <t>126228</t>
  </si>
  <si>
    <t xml:space="preserve">Le salarié déclare s'être cogné le coude gauche contre la structure caisse de l'aile avion.                            </t>
  </si>
  <si>
    <t xml:space="preserve">Le salarié remplaçait  elec-module EHA Aileron Gauche sur A380                             </t>
  </si>
  <si>
    <t>126202</t>
  </si>
  <si>
    <t xml:space="preserve">La salariée déclare que l'assise s'est refermée sur sa mâchoire lors de la mise en place du ressort                            </t>
  </si>
  <si>
    <t xml:space="preserve">La salariée réparait un siège                             </t>
  </si>
  <si>
    <t>126210</t>
  </si>
  <si>
    <t xml:space="preserve">La salariée déclare qu'elle aurait fait un malaise entrainant sa chute.                             </t>
  </si>
  <si>
    <t xml:space="preserve">La salariée participait à une réunion à l'export&lt;(&gt;,&lt;)&gt; en station debout, autour d'un tableau de suivi d'activité                            </t>
  </si>
  <si>
    <t>OUI, RÉSERVES PAR COURRIER SÉP</t>
  </si>
  <si>
    <t>126276</t>
  </si>
  <si>
    <t xml:space="preserve">Le salarié déclare que son genou droit aurait heurté une étagère du dock.                            </t>
  </si>
  <si>
    <t xml:space="preserve">Le salarié se déplaçait sur le dock d'aile du H6.                             </t>
  </si>
  <si>
    <t>126249</t>
  </si>
  <si>
    <t xml:space="preserve">Le salarié déclare qu'il aurait été heurté par un véhicule. Dans sa chute il aurait heurté un bloc en béton                            </t>
  </si>
  <si>
    <t xml:space="preserve">Le salarié circulait en deux roues pour se rendre sur son lieu de travail                            </t>
  </si>
  <si>
    <t>126341</t>
  </si>
  <si>
    <t xml:space="preserve">Le salarié déclare s'être cogné le coude droit contre le montant du garde-corps de la passerelle.                            </t>
  </si>
  <si>
    <t xml:space="preserve">Le salarié quittait l�avion après intervention                             </t>
  </si>
  <si>
    <t>126250</t>
  </si>
  <si>
    <t xml:space="preserve">Le salarié déclare qu'il se serait tordu la cheville gauche en descendant du véhicule.                            </t>
  </si>
  <si>
    <t xml:space="preserve">Le salarié venait de stationner un véhicule dans son hangar.                             </t>
  </si>
  <si>
    <t>126312</t>
  </si>
  <si>
    <t xml:space="preserve">Le salarié déclare qu'il se serait cogné le genou gauche contre l'escabeau                            </t>
  </si>
  <si>
    <t xml:space="preserve">Le salarié était en train de faire le plein des huiles de l'avion à l'aide d'un escabeau                            </t>
  </si>
  <si>
    <t>126463</t>
  </si>
  <si>
    <t xml:space="preserve">Le salarié déclare qu'il aurait ressenti une douleur lors du branchement de prise inaccessible avec le bras en extension.                            </t>
  </si>
  <si>
    <t xml:space="preserve">Le salarié effectuait le branchement de prises.                             </t>
  </si>
  <si>
    <t>126360</t>
  </si>
  <si>
    <t>BLDPMSOR</t>
  </si>
  <si>
    <t xml:space="preserve">La salariée déclare qu'un automobiliste aurait heurté l'arrière de son véhicule alors qu'elle était à l'arrêt.                            </t>
  </si>
  <si>
    <t xml:space="preserve">La salarié rentrait chez elle après sa journée de travail.                             </t>
  </si>
  <si>
    <t>126394</t>
  </si>
  <si>
    <t xml:space="preserve">Le salarié se rendait sur son lieu de travail                             </t>
  </si>
  <si>
    <t>126377</t>
  </si>
  <si>
    <t xml:space="preserve">Le salarié déclare que la porte d'accès se serait refermée sur sa cheville gauche suite à une rafale de vent.                            </t>
  </si>
  <si>
    <t xml:space="preserve">Le salarié se rendait à pied sur son lieu de travail                             </t>
  </si>
  <si>
    <t>126425</t>
  </si>
  <si>
    <t xml:space="preserve">Le salarié déclare qu'il aurait ressenti une douleur dorsale.                             </t>
  </si>
  <si>
    <t xml:space="preserve">Le salarié remplaçait un toboggan                             </t>
  </si>
  <si>
    <t>126426</t>
  </si>
  <si>
    <t xml:space="preserve">Le salarié déclare qu'il aurait chuté après avoir glissé.                             </t>
  </si>
  <si>
    <t xml:space="preserve">Le salarié se rendait sur son lieu de travail en vélo.                             </t>
  </si>
  <si>
    <t>126424</t>
  </si>
  <si>
    <t xml:space="preserve">Le salarié déclare qu'il se serait blessé l'index gauche.                             </t>
  </si>
  <si>
    <t xml:space="preserve">Le salarié était en train d'essuyer de la graisse à l'aide de son index gauche. Il portait ses EPI.                            </t>
  </si>
  <si>
    <t>126579</t>
  </si>
  <si>
    <t xml:space="preserve">Le salarié déclare qu'il aurait reçu une goutte d'huile hydraulique aéronautique dans l'Sil gauche alors qu'il procédait au remplacement de l'équipement dans un espace étroit.                           </t>
  </si>
  <si>
    <t xml:space="preserve">Remplacement d'un équipement hydraulique                             </t>
  </si>
  <si>
    <t>126475</t>
  </si>
  <si>
    <t xml:space="preserve">Le salarié déclare s'être donné un coup de marteau sur la deuxième phalange du pouce gauche                            </t>
  </si>
  <si>
    <t xml:space="preserve">Le salarié effectuait la dépose d'une fixation d'un belly fairing sur un avion                            </t>
  </si>
  <si>
    <t>126489</t>
  </si>
  <si>
    <t xml:space="preserve">Le salarié se trouvait sur la droite de l'avion lorsqu'un véhicule garé sous la partie mobile de la passerelle aurait reculé et l'aurait heurté au niveau des genoux.                           </t>
  </si>
  <si>
    <t xml:space="preserve">Le salarié effectuait une visite de maintenance d'un avion sur le parking avion 46A.                            </t>
  </si>
  <si>
    <t>126944</t>
  </si>
  <si>
    <t xml:space="preserve">Le salarié déclare s'être cogné la tête contre une hélice moteur en se relevant                            </t>
  </si>
  <si>
    <t xml:space="preserve">Le salarié était en formation.                             </t>
  </si>
  <si>
    <t>126673</t>
  </si>
  <si>
    <t xml:space="preserve">Le salarié déclare s'être blessé à l'index droit en déverrouillant la barrière de sécurité.                            </t>
  </si>
  <si>
    <t xml:space="preserve">tâche de travail sur un avion bloc F-GSPT                             </t>
  </si>
  <si>
    <t>126942</t>
  </si>
  <si>
    <t xml:space="preserve">Le salarié déclare qu'il aurait chuté seul sur le parquet du gymnase lors d'une séance de football.                            </t>
  </si>
  <si>
    <t xml:space="preserve"> Le salarié pratiquait du sport au lycée.                             </t>
  </si>
  <si>
    <t>126689</t>
  </si>
  <si>
    <t xml:space="preserve">Le salarié déclare s'être cogné la tête contre le collier de maintien de la bouteille portable oxygène.                            </t>
  </si>
  <si>
    <t xml:space="preserve">Le salarié effectuait une tache de maintenance sur l'avion.                             </t>
  </si>
  <si>
    <t>126817</t>
  </si>
  <si>
    <t xml:space="preserve">Le salarié déclare s'être cogné la tête contre la porte de train avant gauche en se relevant alors qu'il effectuait la vérification du réglage orientation du train avant.                           </t>
  </si>
  <si>
    <t xml:space="preserve">Le salarié effectuait le travail maintenance avion.                             </t>
  </si>
  <si>
    <t>126786</t>
  </si>
  <si>
    <t xml:space="preserve">Le salarié déclare avoir ressenti une douleur dans le dos pendant le roulage à vide.                            </t>
  </si>
  <si>
    <t xml:space="preserve">Le salarié était dans un tracteur avion comme passager.                             </t>
  </si>
  <si>
    <t>126866</t>
  </si>
  <si>
    <t xml:space="preserve">Le salarié déclare avoir perdu l'équilibre en portant sa caisse lors de la montée sur le dock d'accès. Il aurait ressenti un claquage dans le genou droit.                           </t>
  </si>
  <si>
    <t xml:space="preserve">Le salarié montait dans l'avion via un dock d'accès pour débuter son activité principale.                            </t>
  </si>
  <si>
    <t>126931</t>
  </si>
  <si>
    <t xml:space="preserve">LE SALARIE DECLARE S ETRE COGNEE LA TETE CONTRE LE GUIDE DE LA PORTE DE LA SOUTE ELECTRONIQUE.                            </t>
  </si>
  <si>
    <t xml:space="preserve">LE SALARIE EFFECTUAIT LE REMPLACEMENT D UNE BOUTEILLE OXYGENE EQUIPAGE DANS LA SOUTE ELECTRONIQUE.                            </t>
  </si>
  <si>
    <t>126936</t>
  </si>
  <si>
    <t xml:space="preserve">Le salarié que pendant une séance de sport a reçu une balle au visage et aurait ressenti aussitôt des maux de tête.                            </t>
  </si>
  <si>
    <t xml:space="preserve">Séance de sport                             </t>
  </si>
  <si>
    <t>127024</t>
  </si>
  <si>
    <t>MTCAEP</t>
  </si>
  <si>
    <t xml:space="preserve">CHOC AU PIED DROIT GROS ORTEIL&lt;(&gt;,&lt;)&gt; EN OUVRANT LA PORTE                             </t>
  </si>
  <si>
    <t xml:space="preserve">DOCUMENTALISTE                             </t>
  </si>
  <si>
    <t>DGE - Mobilier- Meuble / bureau</t>
  </si>
  <si>
    <t>126929</t>
  </si>
  <si>
    <t xml:space="preserve">Le salarié déclare s'être coincé deux doigts dans le mécanisme de déverrouillage d'une barrière de sécurité                            </t>
  </si>
  <si>
    <t xml:space="preserve">Le salarié déposait des portes de BA intrados aile gauche sur la check C01 du F-GZNL en utilisant comme moyen d'accès une sovam n17                            </t>
  </si>
  <si>
    <t>DGE - Matériel divers - Présentoir à journeaux</t>
  </si>
  <si>
    <t>126950</t>
  </si>
  <si>
    <t xml:space="preserve">Le salarié déclare qu'il se serait cogné la tète contre une partie mobile de l'outillage de levage lors de la manutention du matériel de levage.                           </t>
  </si>
  <si>
    <t xml:space="preserve">Le salarié mettait en caisse une entrée d'air A380                             </t>
  </si>
  <si>
    <t>127066</t>
  </si>
  <si>
    <t>MT HB TH</t>
  </si>
  <si>
    <t xml:space="preserve">Stationnée près d'une porte blindée non munie d'un oculus, l'agent qui ouvrait la porte a percuté la salariée avec l'ouvrant, heurtant son épaule gauche.                           </t>
  </si>
  <si>
    <t xml:space="preserve">La salariée se trouvait au garage pour récupérer un véhicule.                             </t>
  </si>
  <si>
    <t>127050</t>
  </si>
  <si>
    <t xml:space="preserve">Le salarié déclare que sur l'A104, sur sa moto, il aurait été heurté par un cône de signalisation projeté par le poids lourd qui le précédait.                            </t>
  </si>
  <si>
    <t xml:space="preserve">Le salarié aurait quitté son travail et se rendait à son domicile en moto                            </t>
  </si>
  <si>
    <t>127106</t>
  </si>
  <si>
    <t xml:space="preserve">Le salarié déclare qu'en tirant la cale posée sur une charlatte par sa ficelle, la cale est venue tape r sur les doigts en particulier sur l'annulaire droit.                           </t>
  </si>
  <si>
    <t xml:space="preserve">Le salarie effectuait une tâche de manutention                             </t>
  </si>
  <si>
    <t>127195</t>
  </si>
  <si>
    <t xml:space="preserve">Le salarié déclare qu'il aurait heurté la partie supérieure de la soute avec la tête en montant après avoir emprunté l'escabeau d'accès                            </t>
  </si>
  <si>
    <t xml:space="preserve">Le salarié travaillait sur un avion, désinfection eau potable en cours                             </t>
  </si>
  <si>
    <t>127254</t>
  </si>
  <si>
    <t>MT QS FT</t>
  </si>
  <si>
    <t xml:space="preserve">Le salarié déclare avoir chuté à moto, dans le virage sur la bretelle d'accès de la D317, en venant de la D902A.                            </t>
  </si>
  <si>
    <t xml:space="preserve">Le salarié retournait à son domicile, après sa journée de travail.                             </t>
  </si>
  <si>
    <t>127321</t>
  </si>
  <si>
    <t xml:space="preserve">Le salarié déclare s'être blessé au pied gauche après se l'être coincé sous la première marche de l'escabeau qu'il déplaçait.                            </t>
  </si>
  <si>
    <t xml:space="preserve">Le salarié faisait le complément d'huile moteur sur le B787 de la compagnie ANA                            </t>
  </si>
  <si>
    <t>127371</t>
  </si>
  <si>
    <t xml:space="preserve">Chute lors de la descente d'un escabeau                             </t>
  </si>
  <si>
    <t xml:space="preserve">Travaux sur un avion                             </t>
  </si>
  <si>
    <t>127366</t>
  </si>
  <si>
    <t xml:space="preserve">Le salarié déclare en manipulant le siège 1er obs qu'il s'est fait mal au dos                            </t>
  </si>
  <si>
    <t xml:space="preserve">Mission de dépannage de l'avion                             </t>
  </si>
  <si>
    <t>127492</t>
  </si>
  <si>
    <t xml:space="preserve">Le salarié déclare que son genou droit aurait craqué en descendant d'un escabeau lors de la visite avion                            </t>
  </si>
  <si>
    <t xml:space="preserve">Le salarié effectuait la visite avion du F-GSPN                             </t>
  </si>
  <si>
    <t>127529</t>
  </si>
  <si>
    <t xml:space="preserve">Le salarié déclare  qu'il aurait reçu une projection de matière fécale dans les yeux.                            </t>
  </si>
  <si>
    <t xml:space="preserve">Le salarié effectuait le nettoyage de l'entrée d'air d'un moteur.                             </t>
  </si>
  <si>
    <t>127595</t>
  </si>
  <si>
    <t xml:space="preserve">Le salarié déclare qu'un véhicule se déportant sur la gauche l'aurait heurté                            </t>
  </si>
  <si>
    <t xml:space="preserve">Le salarié se rendait de son centre de formation à son domicile en moto à la fin de sa journée                            </t>
  </si>
  <si>
    <t>127605</t>
  </si>
  <si>
    <t xml:space="preserve">La victime déclare que son doigt s'est coincé en ouvrant la porte piéton du hangar. La serrure est m  anquante sur le champ de la porte et le métal est coupant.                            </t>
  </si>
  <si>
    <t xml:space="preserve">la victime entrait dans un hangar                             </t>
  </si>
  <si>
    <t xml:space="preserve">REPARTITION DES ACCIDENTS EN FONCTION DE LA NATURE DE L'ARRET </t>
  </si>
  <si>
    <t>REPARTITION DES ACCIDENTS AVEC ARRET EN FONCTION DE L'AGE</t>
  </si>
  <si>
    <t>REPARTITION DES ACCIDENTS AVEC ARRET 
EN FONCTION DU MOIS</t>
  </si>
  <si>
    <t>SERVICES</t>
  </si>
  <si>
    <t>Nombre d'accidents Avec arrêt</t>
  </si>
  <si>
    <t>Nombre d'accidents Sans arrêt</t>
  </si>
  <si>
    <t>Nombre d'accidents Bénins</t>
  </si>
  <si>
    <t>Nombre de jours d'arrêt ATAA</t>
  </si>
  <si>
    <t>Nombre d'accidents de Trajet avec Arret</t>
  </si>
  <si>
    <t>Nombre d'accidents de Trajet sans Arret</t>
  </si>
  <si>
    <t>Nombre de jours d'arrêt TRAJET</t>
  </si>
  <si>
    <t>Moins de 20 ans</t>
  </si>
  <si>
    <t>20 à 24 ans</t>
  </si>
  <si>
    <t>25 à 29 ans</t>
  </si>
  <si>
    <t>30 à 34 ans</t>
  </si>
  <si>
    <t>35 à 39 ans</t>
  </si>
  <si>
    <t xml:space="preserve">40 à 44 ans </t>
  </si>
  <si>
    <t xml:space="preserve">45 à 49 ans </t>
  </si>
  <si>
    <t>50 à 54 ans</t>
  </si>
  <si>
    <t>55 à 59 ans</t>
  </si>
  <si>
    <t>60 ans et +</t>
  </si>
  <si>
    <t>TOTAL</t>
  </si>
  <si>
    <t>JAN</t>
  </si>
  <si>
    <t>FEV</t>
  </si>
  <si>
    <t>MAR</t>
  </si>
  <si>
    <t>AVR</t>
  </si>
  <si>
    <t>MAI</t>
  </si>
  <si>
    <t>JUN</t>
  </si>
  <si>
    <t>JUI</t>
  </si>
  <si>
    <t>AUG</t>
  </si>
  <si>
    <t>SEP</t>
  </si>
  <si>
    <t>OCT</t>
  </si>
  <si>
    <t>NOV</t>
  </si>
  <si>
    <t>DEC</t>
  </si>
  <si>
    <t>TOTAL MOINS REJET/CLASSE</t>
  </si>
  <si>
    <t xml:space="preserve"> TOTAL</t>
  </si>
  <si>
    <t>MT-UD</t>
  </si>
  <si>
    <t xml:space="preserve">MT CA PR    </t>
  </si>
  <si>
    <t xml:space="preserve">MT CA SU    </t>
  </si>
  <si>
    <t xml:space="preserve">MT CC PR    </t>
  </si>
  <si>
    <t xml:space="preserve">MT CC SM    </t>
  </si>
  <si>
    <t xml:space="preserve">MT CG PR    </t>
  </si>
  <si>
    <t xml:space="preserve">MT CG PW    </t>
  </si>
  <si>
    <t xml:space="preserve">MT UD QU    </t>
  </si>
  <si>
    <t xml:space="preserve">MT UD TE    </t>
  </si>
  <si>
    <t xml:space="preserve">MT UD TO    </t>
  </si>
  <si>
    <t>MT-ME</t>
  </si>
  <si>
    <t xml:space="preserve">MT HB PR    </t>
  </si>
  <si>
    <t xml:space="preserve">MT HB QO    </t>
  </si>
  <si>
    <t>QO/QU</t>
  </si>
  <si>
    <t xml:space="preserve">MT HB QU    </t>
  </si>
  <si>
    <t xml:space="preserve">MT HB SA    </t>
  </si>
  <si>
    <t xml:space="preserve">MT HB SL    </t>
  </si>
  <si>
    <t xml:space="preserve">MT HB TH    </t>
  </si>
  <si>
    <t xml:space="preserve">MT ME CI    </t>
  </si>
  <si>
    <t xml:space="preserve">MT QJ       </t>
  </si>
  <si>
    <t xml:space="preserve">MT FB PR    </t>
  </si>
  <si>
    <t xml:space="preserve">BODKI       </t>
  </si>
  <si>
    <t xml:space="preserve">LYSKI       </t>
  </si>
  <si>
    <t xml:space="preserve">MPLKI       </t>
  </si>
  <si>
    <t xml:space="preserve">MRSKI       </t>
  </si>
  <si>
    <t xml:space="preserve">MT JK PR    </t>
  </si>
  <si>
    <t xml:space="preserve">MT LK PR    </t>
  </si>
  <si>
    <t xml:space="preserve">MT LK SI    </t>
  </si>
  <si>
    <t xml:space="preserve">MT LK SU    </t>
  </si>
  <si>
    <t xml:space="preserve">   NCEKI</t>
  </si>
  <si>
    <t xml:space="preserve">TLSKI       </t>
  </si>
  <si>
    <t xml:space="preserve">MT IA AV    </t>
  </si>
  <si>
    <t xml:space="preserve">MT IA ME    </t>
  </si>
  <si>
    <t xml:space="preserve">MT IC AV    </t>
  </si>
  <si>
    <t xml:space="preserve">MT QF RG    </t>
  </si>
  <si>
    <t xml:space="preserve">MT QP       </t>
  </si>
  <si>
    <t xml:space="preserve">MT QS FT    </t>
  </si>
  <si>
    <t xml:space="preserve">MT QS OU    </t>
  </si>
  <si>
    <t xml:space="preserve">MT QS UG    </t>
  </si>
  <si>
    <t xml:space="preserve">MT QX PP    </t>
  </si>
  <si>
    <t xml:space="preserve">MT YC AD    </t>
  </si>
  <si>
    <t xml:space="preserve">MT YC PR    </t>
  </si>
  <si>
    <t xml:space="preserve">MT YC SU    </t>
  </si>
  <si>
    <t xml:space="preserve">MT YH AR    </t>
  </si>
  <si>
    <t xml:space="preserve">MT YH TA    </t>
  </si>
  <si>
    <t xml:space="preserve">BLDPMERY    </t>
  </si>
  <si>
    <t xml:space="preserve">BLDPMMOR    </t>
  </si>
  <si>
    <t xml:space="preserve">BLDPMSLB    </t>
  </si>
  <si>
    <t xml:space="preserve">BLDPMSRY    </t>
  </si>
  <si>
    <t xml:space="preserve">BLDPMSVL    </t>
  </si>
  <si>
    <t xml:space="preserve">BLDPTDTL    </t>
  </si>
  <si>
    <t xml:space="preserve">BLDPUDRY    </t>
  </si>
  <si>
    <t xml:space="preserve">BLDPVDOR    </t>
  </si>
  <si>
    <t>TOTAL CUMULE</t>
  </si>
  <si>
    <t xml:space="preserve"> TOTAL MT-ME</t>
  </si>
  <si>
    <t xml:space="preserve"> TOTAL MT-UD</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</si>
</sst>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
  </numFmts>
  <fonts count="44" x14ac:knownFonts="1">
    <font>
      <sz val="11"/>
      <color theme="1"/>
      <name val="Calibri"/>
      <family val="2"/>
      <scheme val="minor"/>
    </font>
    <font>
      <b/>
      <sz val="11"/>
      <color theme="0"/>
      <name val="Calibri"/>
      <family val="2"/>
      <scheme val="minor"/>
    </font>
    <font>
      <b/>
      <sz val="11"/>
      <color theme="1"/>
      <name val="Calibri"/>
      <family val="2"/>
      <scheme val="minor"/>
    </font>
    <font>
      <sz val="10"/>
      <color rgb="FF000000"/>
      <name val="Arial"/>
      <family val="2"/>
    </font>
    <font>
      <sz val="10"/>
      <color rgb="FF333333"/>
      <name val="Arial"/>
      <family val="2"/>
    </font>
    <font>
      <b/>
      <sz val="10"/>
      <color rgb="FFFFFFFF"/>
      <name val="Arial"/>
      <family val="2"/>
    </font>
    <font>
      <b/>
      <sz val="10"/>
      <color theme="0"/>
      <name val="Arial"/>
      <family val="2"/>
    </font>
    <font>
      <sz val="9"/>
      <color rgb="FF333333"/>
      <name val="Arial"/>
      <family val="2"/>
    </font>
    <font>
      <sz val="10"/>
      <name val="Arial"/>
      <family val="2"/>
    </font>
    <font>
      <sz val="10"/>
      <color indexed="63"/>
      <name val="Arial"/>
      <family val="2"/>
    </font>
    <font>
      <b/>
      <sz val="10"/>
      <name val="Arial"/>
      <family val="2"/>
    </font>
    <font>
      <b/>
      <sz val="10"/>
      <color rgb="FFFF0000"/>
      <name val="Arial"/>
      <family val="2"/>
    </font>
    <font>
      <b/>
      <sz val="10"/>
      <color rgb="FF000000"/>
      <name val="Arial"/>
      <family val="2"/>
    </font>
    <font>
      <sz val="11"/>
      <color theme="0" tint="-0.499984740745262"/>
      <name val="Calibri"/>
      <family val="2"/>
      <scheme val="minor"/>
    </font>
    <font>
      <b/>
      <sz val="14"/>
      <color indexed="30"/>
      <name val="Calibri"/>
      <family val="2"/>
    </font>
    <font>
      <b/>
      <sz val="14"/>
      <color theme="0"/>
      <name val="Calibri"/>
      <family val="2"/>
      <scheme val="minor"/>
    </font>
    <font>
      <b/>
      <sz val="12"/>
      <color theme="0"/>
      <name val="Calibri"/>
      <family val="2"/>
      <scheme val="minor"/>
    </font>
    <font>
      <sz val="12"/>
      <color rgb="FF333333"/>
      <name val="Arial"/>
      <family val="2"/>
    </font>
    <font>
      <sz val="12"/>
      <color theme="1"/>
      <name val="Calibri"/>
      <family val="2"/>
      <scheme val="minor"/>
    </font>
    <font>
      <sz val="13"/>
      <color theme="1"/>
      <name val="Calibri"/>
      <family val="2"/>
      <scheme val="minor"/>
    </font>
    <font>
      <b/>
      <sz val="12"/>
      <color theme="1"/>
      <name val="Calibri"/>
      <family val="2"/>
      <scheme val="minor"/>
    </font>
    <font>
      <b/>
      <sz val="12"/>
      <color rgb="FFFF0000"/>
      <name val="Calibri"/>
      <family val="2"/>
      <scheme val="minor"/>
    </font>
    <font>
      <b/>
      <sz val="13"/>
      <color theme="1"/>
      <name val="Calibri"/>
      <family val="2"/>
      <scheme val="minor"/>
    </font>
    <font>
      <sz val="13"/>
      <color rgb="FFFF0000"/>
      <name val="Calibri"/>
      <family val="2"/>
      <scheme val="minor"/>
    </font>
    <font>
      <b/>
      <sz val="12"/>
      <color theme="0"/>
      <name val="Arial"/>
      <family val="2"/>
    </font>
    <font>
      <b/>
      <sz val="20"/>
      <color theme="0"/>
      <name val="Calibri"/>
      <family val="2"/>
      <scheme val="minor"/>
    </font>
    <font>
      <b/>
      <sz val="20"/>
      <color theme="1"/>
      <name val="Calibri"/>
      <family val="2"/>
      <scheme val="minor"/>
    </font>
    <font>
      <b/>
      <sz val="10"/>
      <color theme="1"/>
      <name val="Arial"/>
      <family val="2"/>
    </font>
    <font>
      <sz val="10"/>
      <color theme="1"/>
      <name val="Calibri"/>
      <family val="2"/>
    </font>
    <font>
      <sz val="10"/>
      <color rgb="FF000000"/>
      <name val="Calibri"/>
      <family val="2"/>
    </font>
    <font>
      <sz val="8"/>
      <color theme="1"/>
      <name val="Calibri"/>
      <family val="2"/>
    </font>
    <font>
      <sz val="10"/>
      <color rgb="FFFF0000"/>
      <name val="Calibri"/>
      <family val="2"/>
    </font>
    <font>
      <sz val="10"/>
      <color theme="1"/>
      <name val="Arial"/>
      <family val="2"/>
    </font>
    <font>
      <b/>
      <sz val="10"/>
      <color rgb="FFFF0000"/>
      <name val="Calibri"/>
      <family val="2"/>
    </font>
    <font>
      <b/>
      <sz val="10"/>
      <color rgb="FFFF0000"/>
      <name val="Times New Roman"/>
      <family val="1"/>
    </font>
    <font>
      <sz val="10"/>
      <color theme="1"/>
      <name val="Times New Roman"/>
      <family val="1"/>
    </font>
    <font>
      <b/>
      <sz val="10"/>
      <color rgb="FFFFFFFF"/>
      <name val="Calibri"/>
      <family val="2"/>
    </font>
    <font>
      <b/>
      <sz val="13"/>
      <color rgb="FFFF0000"/>
      <name val="Calibri"/>
      <family val="2"/>
    </font>
    <font>
      <b/>
      <sz val="12"/>
      <color theme="1"/>
      <name val="Calibri"/>
      <family val="2"/>
    </font>
    <font>
      <b/>
      <sz val="10"/>
      <color rgb="FF000000"/>
      <name val="Calibri"/>
      <family val="2"/>
    </font>
    <font>
      <b/>
      <sz val="10"/>
      <color rgb="FF008000"/>
      <name val="Calibri"/>
      <family val="2"/>
    </font>
    <font>
      <sz val="12"/>
      <color theme="1"/>
      <name val="Times New Roman"/>
      <family val="1"/>
    </font>
    <font>
      <b/>
      <sz val="10"/>
      <color rgb="FF00B050"/>
      <name val="Calibri"/>
      <family val="2"/>
    </font>
    <font>
      <b/>
      <sz val="14"/>
      <color rgb="FF346FA9"/>
      <name val="Calibri"/>
      <family val="2"/>
      <scheme val="minor"/>
    </font>
  </fonts>
  <fills count="32">
    <fill>
      <patternFill patternType="none"/>
    </fill>
    <fill>
      <patternFill patternType="gray125"/>
    </fill>
    <fill>
      <patternFill patternType="solid">
        <fgColor rgb="FFFFFFFF"/>
        <bgColor rgb="FFFFFFFF"/>
      </patternFill>
    </fill>
    <fill>
      <patternFill patternType="solid">
        <fgColor indexed="42"/>
        <bgColor rgb="FFFFFFFF"/>
      </patternFill>
    </fill>
    <fill>
      <patternFill patternType="solid">
        <fgColor rgb="FF0000FF"/>
        <bgColor rgb="FFFFFFFF"/>
      </patternFill>
    </fill>
    <fill>
      <patternFill patternType="solid">
        <fgColor rgb="FFF8FBFC"/>
        <bgColor rgb="FFFFFFFF"/>
      </patternFill>
    </fill>
    <fill>
      <patternFill patternType="solid">
        <fgColor indexed="9"/>
        <bgColor indexed="9"/>
      </patternFill>
    </fill>
    <fill>
      <patternFill patternType="solid">
        <fgColor indexed="42"/>
        <bgColor indexed="64"/>
      </patternFill>
    </fill>
    <fill>
      <patternFill patternType="solid">
        <fgColor rgb="FFFF0000"/>
        <bgColor indexed="64"/>
      </patternFill>
    </fill>
    <fill>
      <patternFill patternType="solid">
        <fgColor rgb="FF00B050"/>
        <bgColor indexed="64"/>
      </patternFill>
    </fill>
    <fill>
      <patternFill patternType="solid">
        <fgColor rgb="FFFFFF00"/>
        <bgColor indexed="64"/>
      </patternFill>
    </fill>
    <fill>
      <patternFill patternType="solid">
        <fgColor theme="0" tint="-0.499984740745262"/>
        <bgColor indexed="64"/>
      </patternFill>
    </fill>
    <fill>
      <patternFill patternType="solid">
        <fgColor theme="1" tint="0.499984740745262"/>
        <bgColor indexed="64"/>
      </patternFill>
    </fill>
    <fill>
      <patternFill patternType="solid">
        <fgColor rgb="FFFF00FF"/>
        <bgColor indexed="64"/>
      </patternFill>
    </fill>
    <fill>
      <patternFill patternType="solid">
        <fgColor rgb="FF0070C0"/>
        <bgColor indexed="64"/>
      </patternFill>
    </fill>
    <fill>
      <patternFill patternType="solid">
        <fgColor theme="0"/>
        <bgColor indexed="64"/>
      </patternFill>
    </fill>
    <fill>
      <patternFill patternType="solid">
        <fgColor rgb="FF7030A0"/>
        <bgColor indexed="64"/>
      </patternFill>
    </fill>
    <fill>
      <patternFill patternType="solid">
        <fgColor theme="9"/>
        <bgColor indexed="64"/>
      </patternFill>
    </fill>
    <fill>
      <patternFill patternType="solid">
        <fgColor theme="3" tint="0.39997558519241921"/>
        <bgColor indexed="64"/>
      </patternFill>
    </fill>
    <fill>
      <patternFill patternType="solid">
        <fgColor theme="1" tint="0.34998626667073579"/>
        <bgColor indexed="64"/>
      </patternFill>
    </fill>
    <fill>
      <patternFill patternType="solid">
        <fgColor rgb="FFFFC000"/>
        <bgColor indexed="64"/>
      </patternFill>
    </fill>
    <fill>
      <patternFill patternType="mediumGray">
        <fgColor rgb="FFFF0000"/>
        <bgColor auto="1"/>
      </patternFill>
    </fill>
    <fill>
      <patternFill patternType="mediumGray">
        <fgColor rgb="FF00B050"/>
        <bgColor auto="1"/>
      </patternFill>
    </fill>
    <fill>
      <patternFill patternType="mediumGray">
        <fgColor theme="3" tint="0.39991454817346722"/>
        <bgColor auto="1"/>
      </patternFill>
    </fill>
    <fill>
      <patternFill patternType="solid">
        <fgColor theme="0" tint="-0.14999847407452621"/>
        <bgColor indexed="64"/>
      </patternFill>
    </fill>
    <fill>
      <patternFill patternType="mediumGray">
        <fgColor rgb="FFFFFF00"/>
        <bgColor auto="1"/>
      </patternFill>
    </fill>
    <fill>
      <patternFill patternType="solid">
        <fgColor theme="4" tint="0.79998168889431442"/>
        <bgColor rgb="FFFFFFFF"/>
      </patternFill>
    </fill>
    <fill>
      <patternFill patternType="solid">
        <fgColor theme="4" tint="0.79998168889431442"/>
        <bgColor indexed="64"/>
      </patternFill>
    </fill>
    <fill>
      <patternFill patternType="solid">
        <fgColor rgb="FFCC99FF"/>
        <bgColor indexed="64"/>
      </patternFill>
    </fill>
    <fill>
      <patternFill patternType="solid">
        <fgColor rgb="FF0000FF"/>
        <bgColor indexed="64"/>
      </patternFill>
    </fill>
    <fill>
      <patternFill patternType="solid">
        <fgColor rgb="FFFFFF00"/>
        <bgColor rgb="FFFFFFFF"/>
      </patternFill>
    </fill>
    <fill>
      <patternFill patternType="mediumGray">
        <fgColor rgb="FFFF0000"/>
        <bgColor rgb="FFFFFF00"/>
      </patternFill>
    </fill>
  </fills>
  <borders count="62">
    <border>
      <left/>
      <right/>
      <top/>
      <bottom/>
      <diagonal/>
    </border>
    <border>
      <left/>
      <right/>
      <top/>
      <bottom style="thin">
        <color rgb="FF000000"/>
      </bottom>
      <diagonal/>
    </border>
    <border>
      <left style="thin">
        <color rgb="FF000000"/>
      </left>
      <right style="thin">
        <color rgb="FF000000"/>
      </right>
      <top style="thin">
        <color rgb="FF000000"/>
      </top>
      <bottom style="thin">
        <color rgb="FF000000"/>
      </bottom>
      <diagonal/>
    </border>
    <border>
      <left style="thin">
        <color rgb="FF000000"/>
      </left>
      <right style="thin">
        <color indexed="64"/>
      </right>
      <top style="thin">
        <color rgb="FF000000"/>
      </top>
      <bottom style="thin">
        <color rgb="FF000000"/>
      </bottom>
      <diagonal/>
    </border>
    <border>
      <left style="thin">
        <color rgb="FF000000"/>
      </left>
      <right style="dotted">
        <color rgb="FF000000"/>
      </right>
      <top style="thin">
        <color rgb="FF000000"/>
      </top>
      <bottom style="thin">
        <color rgb="FF000000"/>
      </bottom>
      <diagonal/>
    </border>
    <border>
      <left style="dotted">
        <color rgb="FF000000"/>
      </left>
      <right style="dotted">
        <color rgb="FF000000"/>
      </right>
      <top style="thin">
        <color rgb="FF000000"/>
      </top>
      <bottom style="thin">
        <color rgb="FF000000"/>
      </bottom>
      <diagonal/>
    </border>
    <border>
      <left style="dotted">
        <color rgb="FF000000"/>
      </left>
      <right style="thin">
        <color rgb="FF000000"/>
      </right>
      <top style="thin">
        <color rgb="FF000000"/>
      </top>
      <bottom style="thin">
        <color rgb="FF000000"/>
      </bottom>
      <diagonal/>
    </border>
    <border>
      <left style="thin">
        <color indexed="64"/>
      </left>
      <right/>
      <top style="thin">
        <color indexed="64"/>
      </top>
      <bottom/>
      <diagonal/>
    </border>
    <border>
      <left/>
      <right/>
      <top style="thin">
        <color indexed="64"/>
      </top>
      <bottom/>
      <diagonal/>
    </border>
    <border>
      <left style="thin">
        <color indexed="64"/>
      </left>
      <right style="thin">
        <color indexed="64"/>
      </right>
      <top style="thin">
        <color indexed="64"/>
      </top>
      <bottom/>
      <diagonal/>
    </border>
    <border>
      <left/>
      <right style="thin">
        <color indexed="64"/>
      </right>
      <top style="thin">
        <color indexed="64"/>
      </top>
      <bottom/>
      <diagonal/>
    </border>
    <border>
      <left style="thin">
        <color indexed="64"/>
      </left>
      <right/>
      <top/>
      <bottom/>
      <diagonal/>
    </border>
    <border>
      <left style="thin">
        <color indexed="64"/>
      </left>
      <right/>
      <top/>
      <bottom style="thin">
        <color indexed="64"/>
      </bottom>
      <diagonal/>
    </border>
    <border>
      <left/>
      <right/>
      <top/>
      <bottom style="thin">
        <color indexed="64"/>
      </bottom>
      <diagonal/>
    </border>
    <border>
      <left style="thin">
        <color indexed="64"/>
      </left>
      <right style="thin">
        <color indexed="64"/>
      </right>
      <top/>
      <bottom/>
      <diagonal/>
    </border>
    <border>
      <left/>
      <right style="thin">
        <color indexed="64"/>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style="dotted">
        <color indexed="64"/>
      </right>
      <top style="thin">
        <color indexed="64"/>
      </top>
      <bottom style="thin">
        <color indexed="64"/>
      </bottom>
      <diagonal/>
    </border>
    <border>
      <left style="dotted">
        <color indexed="64"/>
      </left>
      <right style="dotted">
        <color indexed="64"/>
      </right>
      <top style="thin">
        <color indexed="64"/>
      </top>
      <bottom style="thin">
        <color indexed="64"/>
      </bottom>
      <diagonal/>
    </border>
    <border>
      <left style="dotted">
        <color indexed="64"/>
      </left>
      <right style="thin">
        <color indexed="64"/>
      </right>
      <top style="thin">
        <color indexed="64"/>
      </top>
      <bottom style="thin">
        <color indexed="64"/>
      </bottom>
      <diagonal/>
    </border>
    <border>
      <left/>
      <right/>
      <top style="thin">
        <color indexed="64"/>
      </top>
      <bottom style="medium">
        <color indexed="64"/>
      </bottom>
      <diagonal/>
    </border>
    <border>
      <left style="thin">
        <color indexed="64"/>
      </left>
      <right/>
      <top/>
      <bottom style="medium">
        <color indexed="64"/>
      </bottom>
      <diagonal/>
    </border>
    <border>
      <left/>
      <right style="thin">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bottom style="thin">
        <color indexed="64"/>
      </bottom>
      <diagonal/>
    </border>
    <border>
      <left style="thin">
        <color indexed="64"/>
      </left>
      <right style="dotted">
        <color indexed="64"/>
      </right>
      <top style="medium">
        <color indexed="64"/>
      </top>
      <bottom style="thin">
        <color indexed="64"/>
      </bottom>
      <diagonal/>
    </border>
    <border>
      <left style="dotted">
        <color indexed="64"/>
      </left>
      <right style="dotted">
        <color indexed="64"/>
      </right>
      <top style="medium">
        <color indexed="64"/>
      </top>
      <bottom style="thin">
        <color indexed="64"/>
      </bottom>
      <diagonal/>
    </border>
    <border>
      <left style="dotted">
        <color indexed="64"/>
      </left>
      <right style="medium">
        <color indexed="64"/>
      </right>
      <top style="medium">
        <color indexed="64"/>
      </top>
      <bottom style="thin">
        <color indexed="64"/>
      </bottom>
      <diagonal/>
    </border>
    <border>
      <left style="medium">
        <color indexed="64"/>
      </left>
      <right style="dotted">
        <color indexed="64"/>
      </right>
      <top style="medium">
        <color indexed="64"/>
      </top>
      <bottom style="thin">
        <color indexed="64"/>
      </bottom>
      <diagonal/>
    </border>
    <border>
      <left style="dotted">
        <color indexed="64"/>
      </left>
      <right/>
      <top style="medium">
        <color indexed="64"/>
      </top>
      <bottom style="thin">
        <color indexed="64"/>
      </bottom>
      <diagonal/>
    </border>
    <border>
      <left style="medium">
        <color indexed="64"/>
      </left>
      <right style="medium">
        <color indexed="64"/>
      </right>
      <top style="medium">
        <color indexed="64"/>
      </top>
      <bottom style="thin">
        <color indexed="64"/>
      </bottom>
      <diagonal/>
    </border>
    <border>
      <left/>
      <right style="thin">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dotted">
        <color indexed="64"/>
      </left>
      <right style="medium">
        <color indexed="64"/>
      </right>
      <top style="thin">
        <color indexed="64"/>
      </top>
      <bottom style="thin">
        <color indexed="64"/>
      </bottom>
      <diagonal/>
    </border>
    <border>
      <left style="medium">
        <color indexed="64"/>
      </left>
      <right style="dotted">
        <color indexed="64"/>
      </right>
      <top style="thin">
        <color indexed="64"/>
      </top>
      <bottom style="thin">
        <color indexed="64"/>
      </bottom>
      <diagonal/>
    </border>
    <border>
      <left style="dotted">
        <color indexed="64"/>
      </left>
      <right/>
      <top style="thin">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style="dotted">
        <color indexed="64"/>
      </right>
      <top style="thin">
        <color indexed="64"/>
      </top>
      <bottom style="medium">
        <color indexed="64"/>
      </bottom>
      <diagonal/>
    </border>
    <border>
      <left style="dotted">
        <color indexed="64"/>
      </left>
      <right style="dotted">
        <color indexed="64"/>
      </right>
      <top style="thin">
        <color indexed="64"/>
      </top>
      <bottom style="medium">
        <color indexed="64"/>
      </bottom>
      <diagonal/>
    </border>
    <border>
      <left style="dotted">
        <color indexed="64"/>
      </left>
      <right style="medium">
        <color indexed="64"/>
      </right>
      <top style="thin">
        <color indexed="64"/>
      </top>
      <bottom style="medium">
        <color indexed="64"/>
      </bottom>
      <diagonal/>
    </border>
    <border>
      <left style="medium">
        <color indexed="64"/>
      </left>
      <right style="dotted">
        <color indexed="64"/>
      </right>
      <top style="thin">
        <color indexed="64"/>
      </top>
      <bottom style="medium">
        <color indexed="64"/>
      </bottom>
      <diagonal/>
    </border>
    <border>
      <left style="dotted">
        <color indexed="64"/>
      </left>
      <right/>
      <top style="thin">
        <color indexed="64"/>
      </top>
      <bottom style="medium">
        <color indexed="64"/>
      </bottom>
      <diagonal/>
    </border>
    <border>
      <left style="medium">
        <color indexed="64"/>
      </left>
      <right style="medium">
        <color indexed="64"/>
      </right>
      <top style="thin">
        <color indexed="64"/>
      </top>
      <bottom style="medium">
        <color indexed="64"/>
      </bottom>
      <diagonal/>
    </border>
    <border>
      <left style="thin">
        <color indexed="64"/>
      </left>
      <right/>
      <top style="medium">
        <color indexed="64"/>
      </top>
      <bottom style="medium">
        <color indexed="64"/>
      </bottom>
      <diagonal/>
    </border>
    <border>
      <left/>
      <right/>
      <top style="medium">
        <color indexed="64"/>
      </top>
      <bottom style="medium">
        <color indexed="64"/>
      </bottom>
      <diagonal/>
    </border>
    <border>
      <left/>
      <right style="thin">
        <color indexed="64"/>
      </right>
      <top style="medium">
        <color indexed="64"/>
      </top>
      <bottom style="medium">
        <color indexed="64"/>
      </bottom>
      <diagonal/>
    </border>
    <border>
      <left style="medium">
        <color indexed="64"/>
      </left>
      <right/>
      <top style="thin">
        <color indexed="64"/>
      </top>
      <bottom style="thin">
        <color indexed="64"/>
      </bottom>
      <diagonal/>
    </border>
    <border>
      <left/>
      <right style="dotted">
        <color indexed="64"/>
      </right>
      <top style="thin">
        <color indexed="64"/>
      </top>
      <bottom style="thin">
        <color indexed="64"/>
      </bottom>
      <diagonal/>
    </border>
    <border>
      <left style="medium">
        <color indexed="64"/>
      </left>
      <right style="medium">
        <color indexed="64"/>
      </right>
      <top style="thin">
        <color indexed="64"/>
      </top>
      <bottom/>
      <diagonal/>
    </border>
    <border>
      <left style="medium">
        <color indexed="64"/>
      </left>
      <right style="medium">
        <color indexed="64"/>
      </right>
      <top style="medium">
        <color indexed="64"/>
      </top>
      <bottom/>
      <diagonal/>
    </border>
    <border>
      <left/>
      <right/>
      <top style="thin">
        <color indexed="64"/>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right/>
      <top style="medium">
        <color indexed="64"/>
      </top>
      <bottom/>
      <diagonal/>
    </border>
  </borders>
  <cellStyleXfs count="4">
    <xf numFmtId="0" fontId="0" fillId="0" borderId="0"/>
    <xf numFmtId="0" fontId="3" fillId="0" borderId="0"/>
    <xf numFmtId="0" fontId="3" fillId="0" borderId="0"/>
    <xf numFmtId="0" fontId="8" fillId="0" borderId="0"/>
  </cellStyleXfs>
  <cellXfs count="259">
    <xf numFmtId="0" fontId="0" fillId="0" borderId="0" xfId="0"/>
    <xf numFmtId="0" fontId="4" fillId="2" borderId="0" xfId="1" applyFont="1" applyFill="1" applyAlignment="1">
      <alignment horizontal="left"/>
    </xf>
    <xf numFmtId="0" fontId="4" fillId="2" borderId="1" xfId="1" applyFont="1" applyFill="1" applyBorder="1" applyAlignment="1"/>
    <xf numFmtId="0" fontId="4" fillId="2" borderId="0" xfId="1" applyFont="1" applyFill="1" applyAlignment="1"/>
    <xf numFmtId="0" fontId="4" fillId="2" borderId="0" xfId="1" applyFont="1" applyFill="1" applyAlignment="1">
      <alignment horizontal="left" wrapText="1"/>
    </xf>
    <xf numFmtId="0" fontId="4" fillId="3" borderId="0" xfId="1" applyFont="1" applyFill="1" applyAlignment="1">
      <alignment horizontal="left"/>
    </xf>
    <xf numFmtId="49" fontId="5" fillId="4" borderId="2" xfId="1" applyNumberFormat="1" applyFont="1" applyFill="1" applyBorder="1" applyAlignment="1">
      <alignment horizontal="center" vertical="center" wrapText="1"/>
    </xf>
    <xf numFmtId="49" fontId="6" fillId="4" borderId="2" xfId="1" applyNumberFormat="1" applyFont="1" applyFill="1" applyBorder="1" applyAlignment="1">
      <alignment horizontal="center" vertical="center" wrapText="1"/>
    </xf>
    <xf numFmtId="49" fontId="5" fillId="4" borderId="2" xfId="1" applyNumberFormat="1" applyFont="1" applyFill="1" applyBorder="1" applyAlignment="1">
      <alignment vertical="center" wrapText="1"/>
    </xf>
    <xf numFmtId="49" fontId="5" fillId="4" borderId="3" xfId="1" applyNumberFormat="1" applyFont="1" applyFill="1" applyBorder="1" applyAlignment="1">
      <alignment horizontal="center" vertical="center" wrapText="1"/>
    </xf>
    <xf numFmtId="0" fontId="4" fillId="2" borderId="0" xfId="2" applyFont="1" applyFill="1" applyAlignment="1">
      <alignment horizontal="left"/>
    </xf>
    <xf numFmtId="14" fontId="7" fillId="5" borderId="4" xfId="1" applyNumberFormat="1" applyFont="1" applyFill="1" applyBorder="1" applyAlignment="1">
      <alignment horizontal="center" vertical="top" wrapText="1"/>
    </xf>
    <xf numFmtId="20" fontId="7" fillId="5" borderId="5" xfId="1" applyNumberFormat="1" applyFont="1" applyFill="1" applyBorder="1" applyAlignment="1">
      <alignment horizontal="center" vertical="top" wrapText="1"/>
    </xf>
    <xf numFmtId="49" fontId="7" fillId="5" borderId="5" xfId="1" applyNumberFormat="1" applyFont="1" applyFill="1" applyBorder="1" applyAlignment="1">
      <alignment horizontal="center" vertical="top" wrapText="1"/>
    </xf>
    <xf numFmtId="49" fontId="7" fillId="5" borderId="5" xfId="1" applyNumberFormat="1" applyFont="1" applyFill="1" applyBorder="1" applyAlignment="1">
      <alignment horizontal="left" vertical="top" wrapText="1"/>
    </xf>
    <xf numFmtId="1" fontId="7" fillId="5" borderId="5" xfId="1" applyNumberFormat="1" applyFont="1" applyFill="1" applyBorder="1" applyAlignment="1">
      <alignment horizontal="center" vertical="top" wrapText="1"/>
    </xf>
    <xf numFmtId="0" fontId="7" fillId="5" borderId="5" xfId="1" applyFont="1" applyFill="1" applyBorder="1" applyAlignment="1">
      <alignment horizontal="left" vertical="top" wrapText="1"/>
    </xf>
    <xf numFmtId="14" fontId="7" fillId="5" borderId="5" xfId="1" applyNumberFormat="1" applyFont="1" applyFill="1" applyBorder="1" applyAlignment="1">
      <alignment horizontal="center" vertical="top" wrapText="1"/>
    </xf>
    <xf numFmtId="49" fontId="7" fillId="5" borderId="6" xfId="1" applyNumberFormat="1" applyFont="1" applyFill="1" applyBorder="1" applyAlignment="1">
      <alignment horizontal="center" vertical="top" wrapText="1"/>
    </xf>
    <xf numFmtId="0" fontId="7" fillId="2" borderId="0" xfId="1" applyFont="1" applyFill="1" applyAlignment="1">
      <alignment horizontal="left"/>
    </xf>
    <xf numFmtId="0" fontId="9" fillId="6" borderId="0" xfId="3" applyFont="1" applyFill="1" applyAlignment="1">
      <alignment horizontal="left"/>
    </xf>
    <xf numFmtId="14" fontId="7" fillId="2" borderId="4" xfId="1" applyNumberFormat="1" applyFont="1" applyFill="1" applyBorder="1" applyAlignment="1">
      <alignment horizontal="center" vertical="top" wrapText="1"/>
    </xf>
    <xf numFmtId="20" fontId="7" fillId="2" borderId="5" xfId="1" applyNumberFormat="1" applyFont="1" applyFill="1" applyBorder="1" applyAlignment="1">
      <alignment horizontal="center" vertical="top" wrapText="1"/>
    </xf>
    <xf numFmtId="49" fontId="7" fillId="2" borderId="5" xfId="1" applyNumberFormat="1" applyFont="1" applyFill="1" applyBorder="1" applyAlignment="1">
      <alignment horizontal="center" vertical="top" wrapText="1"/>
    </xf>
    <xf numFmtId="49" fontId="7" fillId="2" borderId="5" xfId="1" applyNumberFormat="1" applyFont="1" applyFill="1" applyBorder="1" applyAlignment="1">
      <alignment horizontal="left" vertical="top" wrapText="1"/>
    </xf>
    <xf numFmtId="1" fontId="7" fillId="2" borderId="5" xfId="1" applyNumberFormat="1" applyFont="1" applyFill="1" applyBorder="1" applyAlignment="1">
      <alignment horizontal="center" vertical="top" wrapText="1"/>
    </xf>
    <xf numFmtId="14" fontId="7" fillId="2" borderId="5" xfId="1" applyNumberFormat="1" applyFont="1" applyFill="1" applyBorder="1" applyAlignment="1">
      <alignment horizontal="center" vertical="top" wrapText="1"/>
    </xf>
    <xf numFmtId="49" fontId="7" fillId="2" borderId="6" xfId="1" applyNumberFormat="1" applyFont="1" applyFill="1" applyBorder="1" applyAlignment="1">
      <alignment horizontal="center" vertical="top" wrapText="1"/>
    </xf>
    <xf numFmtId="0" fontId="7" fillId="2" borderId="5" xfId="1" applyFont="1" applyFill="1" applyBorder="1" applyAlignment="1">
      <alignment horizontal="left" vertical="top" wrapText="1"/>
    </xf>
    <xf numFmtId="0" fontId="7" fillId="5" borderId="5" xfId="1" applyFont="1" applyFill="1" applyBorder="1" applyAlignment="1">
      <alignment horizontal="center" vertical="top" wrapText="1"/>
    </xf>
    <xf numFmtId="0" fontId="7" fillId="2" borderId="5" xfId="1" applyFont="1" applyFill="1" applyBorder="1" applyAlignment="1">
      <alignment horizontal="center" vertical="top" wrapText="1"/>
    </xf>
    <xf numFmtId="0" fontId="0" fillId="0" borderId="4" xfId="0" applyBorder="1"/>
    <xf numFmtId="0" fontId="0" fillId="0" borderId="5" xfId="0" applyBorder="1"/>
    <xf numFmtId="0" fontId="0" fillId="0" borderId="6" xfId="0" applyBorder="1"/>
    <xf numFmtId="14" fontId="8" fillId="0" borderId="4" xfId="1" applyNumberFormat="1" applyFont="1" applyFill="1" applyBorder="1" applyAlignment="1">
      <alignment horizontal="center" vertical="top" wrapText="1"/>
    </xf>
    <xf numFmtId="20" fontId="8" fillId="0" borderId="5" xfId="1" applyNumberFormat="1" applyFont="1" applyFill="1" applyBorder="1" applyAlignment="1">
      <alignment horizontal="center" vertical="top" wrapText="1"/>
    </xf>
    <xf numFmtId="49" fontId="8" fillId="0" borderId="5" xfId="1" applyNumberFormat="1" applyFont="1" applyFill="1" applyBorder="1" applyAlignment="1">
      <alignment horizontal="center" vertical="top" wrapText="1"/>
    </xf>
    <xf numFmtId="49" fontId="8" fillId="0" borderId="5" xfId="1" applyNumberFormat="1" applyFont="1" applyFill="1" applyBorder="1" applyAlignment="1">
      <alignment horizontal="left" vertical="top" wrapText="1"/>
    </xf>
    <xf numFmtId="1" fontId="8" fillId="0" borderId="5" xfId="1" applyNumberFormat="1" applyFont="1" applyFill="1" applyBorder="1" applyAlignment="1">
      <alignment horizontal="center" vertical="top" wrapText="1"/>
    </xf>
    <xf numFmtId="49" fontId="10" fillId="0" borderId="5" xfId="1" applyNumberFormat="1" applyFont="1" applyFill="1" applyBorder="1" applyAlignment="1">
      <alignment horizontal="center" vertical="top" wrapText="1"/>
    </xf>
    <xf numFmtId="1" fontId="11" fillId="0" borderId="5" xfId="1" applyNumberFormat="1" applyFont="1" applyFill="1" applyBorder="1" applyAlignment="1">
      <alignment horizontal="center" vertical="top" wrapText="1"/>
    </xf>
    <xf numFmtId="20" fontId="8" fillId="0" borderId="5" xfId="1" applyNumberFormat="1" applyFont="1" applyFill="1" applyBorder="1" applyAlignment="1">
      <alignment vertical="top" wrapText="1"/>
    </xf>
    <xf numFmtId="14" fontId="8" fillId="0" borderId="5" xfId="1" applyNumberFormat="1" applyFont="1" applyFill="1" applyBorder="1" applyAlignment="1">
      <alignment horizontal="center" vertical="top" wrapText="1"/>
    </xf>
    <xf numFmtId="49" fontId="8" fillId="0" borderId="6" xfId="1" applyNumberFormat="1" applyFont="1" applyFill="1" applyBorder="1" applyAlignment="1">
      <alignment horizontal="center" vertical="top" wrapText="1"/>
    </xf>
    <xf numFmtId="0" fontId="8" fillId="0" borderId="5" xfId="1" applyFont="1" applyFill="1" applyBorder="1" applyAlignment="1">
      <alignment horizontal="left" vertical="top" wrapText="1"/>
    </xf>
    <xf numFmtId="0" fontId="3" fillId="7" borderId="0" xfId="1" applyFont="1" applyFill="1"/>
    <xf numFmtId="0" fontId="3" fillId="0" borderId="0" xfId="1" applyFont="1" applyFill="1"/>
    <xf numFmtId="0" fontId="12" fillId="0" borderId="0" xfId="1" applyFont="1" applyFill="1"/>
    <xf numFmtId="0" fontId="11" fillId="0" borderId="0" xfId="1" applyFont="1" applyFill="1"/>
    <xf numFmtId="0" fontId="3" fillId="0" borderId="0" xfId="1" applyFont="1" applyFill="1" applyAlignment="1"/>
    <xf numFmtId="0" fontId="3" fillId="0" borderId="0" xfId="1" applyFont="1" applyFill="1" applyAlignment="1">
      <alignment wrapText="1"/>
    </xf>
    <xf numFmtId="0" fontId="3" fillId="0" borderId="0" xfId="1" applyFont="1"/>
    <xf numFmtId="0" fontId="3" fillId="0" borderId="0" xfId="1" applyFont="1" applyAlignment="1"/>
    <xf numFmtId="0" fontId="3" fillId="0" borderId="0" xfId="1" applyFont="1" applyAlignment="1">
      <alignment wrapText="1"/>
    </xf>
    <xf numFmtId="0" fontId="0" fillId="11" borderId="0" xfId="0" applyNumberFormat="1" applyFill="1"/>
    <xf numFmtId="0" fontId="0" fillId="12" borderId="0" xfId="0" applyNumberFormat="1" applyFill="1"/>
    <xf numFmtId="0" fontId="0" fillId="12" borderId="0" xfId="0" applyNumberFormat="1" applyFill="1" applyAlignment="1">
      <alignment horizontal="center"/>
    </xf>
    <xf numFmtId="0" fontId="13" fillId="12" borderId="0" xfId="0" applyNumberFormat="1" applyFont="1" applyFill="1" applyAlignment="1">
      <alignment horizontal="center"/>
    </xf>
    <xf numFmtId="0" fontId="0" fillId="0" borderId="0" xfId="0" applyNumberFormat="1"/>
    <xf numFmtId="0" fontId="14" fillId="0" borderId="7" xfId="0" applyNumberFormat="1" applyFont="1" applyBorder="1" applyAlignment="1">
      <alignment horizontal="center" vertical="center" wrapText="1"/>
    </xf>
    <xf numFmtId="0" fontId="14" fillId="0" borderId="8" xfId="0" applyNumberFormat="1" applyFont="1" applyBorder="1" applyAlignment="1">
      <alignment horizontal="center" vertical="center" wrapText="1"/>
    </xf>
    <xf numFmtId="0" fontId="0" fillId="13" borderId="9" xfId="0" applyNumberFormat="1" applyFill="1" applyBorder="1"/>
    <xf numFmtId="0" fontId="14" fillId="0" borderId="10" xfId="0" applyNumberFormat="1" applyFont="1" applyBorder="1" applyAlignment="1">
      <alignment horizontal="center" vertical="center" wrapText="1"/>
    </xf>
    <xf numFmtId="0" fontId="0" fillId="13" borderId="11" xfId="0" applyNumberFormat="1" applyFill="1" applyBorder="1"/>
    <xf numFmtId="0" fontId="14" fillId="0" borderId="12" xfId="0" applyNumberFormat="1" applyFont="1" applyBorder="1" applyAlignment="1">
      <alignment horizontal="center" vertical="center" wrapText="1"/>
    </xf>
    <xf numFmtId="0" fontId="14" fillId="0" borderId="13" xfId="0" applyNumberFormat="1" applyFont="1" applyBorder="1" applyAlignment="1">
      <alignment horizontal="center" vertical="center" wrapText="1"/>
    </xf>
    <xf numFmtId="0" fontId="0" fillId="13" borderId="14" xfId="0" applyNumberFormat="1" applyFill="1" applyBorder="1"/>
    <xf numFmtId="0" fontId="14" fillId="0" borderId="11" xfId="0" applyNumberFormat="1" applyFont="1" applyBorder="1" applyAlignment="1">
      <alignment horizontal="center" vertical="center" wrapText="1"/>
    </xf>
    <xf numFmtId="0" fontId="14" fillId="0" borderId="0" xfId="0" applyNumberFormat="1" applyFont="1" applyBorder="1" applyAlignment="1">
      <alignment horizontal="center" vertical="center" wrapText="1"/>
    </xf>
    <xf numFmtId="0" fontId="14" fillId="0" borderId="15" xfId="0" applyNumberFormat="1" applyFont="1" applyBorder="1" applyAlignment="1">
      <alignment horizontal="center" vertical="center" wrapText="1"/>
    </xf>
    <xf numFmtId="0" fontId="15" fillId="14" borderId="16" xfId="0" applyNumberFormat="1" applyFont="1" applyFill="1" applyBorder="1" applyAlignment="1">
      <alignment horizontal="center" vertical="center" wrapText="1"/>
    </xf>
    <xf numFmtId="0" fontId="16" fillId="14" borderId="16" xfId="0" applyNumberFormat="1" applyFont="1" applyFill="1" applyBorder="1" applyAlignment="1">
      <alignment horizontal="center" vertical="center" wrapText="1"/>
    </xf>
    <xf numFmtId="0" fontId="16" fillId="14" borderId="17" xfId="0" applyNumberFormat="1" applyFont="1" applyFill="1" applyBorder="1" applyAlignment="1">
      <alignment horizontal="center" vertical="center" wrapText="1"/>
    </xf>
    <xf numFmtId="0" fontId="0" fillId="15" borderId="14" xfId="0" applyNumberFormat="1" applyFill="1" applyBorder="1" applyAlignment="1"/>
    <xf numFmtId="0" fontId="16" fillId="14" borderId="18" xfId="0" applyNumberFormat="1" applyFont="1" applyFill="1" applyBorder="1" applyAlignment="1">
      <alignment horizontal="center" vertical="center" wrapText="1"/>
    </xf>
    <xf numFmtId="0" fontId="16" fillId="14" borderId="19" xfId="0" applyNumberFormat="1" applyFont="1" applyFill="1" applyBorder="1" applyAlignment="1">
      <alignment horizontal="center" vertical="center" wrapText="1"/>
    </xf>
    <xf numFmtId="0" fontId="16" fillId="14" borderId="20" xfId="0" applyNumberFormat="1" applyFont="1" applyFill="1" applyBorder="1" applyAlignment="1">
      <alignment horizontal="center" vertical="center" textRotation="180" wrapText="1"/>
    </xf>
    <xf numFmtId="0" fontId="0" fillId="13" borderId="0" xfId="0" applyNumberFormat="1" applyFill="1"/>
    <xf numFmtId="0" fontId="1" fillId="14" borderId="18" xfId="0" applyNumberFormat="1" applyFont="1" applyFill="1" applyBorder="1" applyAlignment="1">
      <alignment horizontal="center" vertical="center" textRotation="45"/>
    </xf>
    <xf numFmtId="0" fontId="1" fillId="16" borderId="19" xfId="0" applyNumberFormat="1" applyFont="1" applyFill="1" applyBorder="1" applyAlignment="1">
      <alignment horizontal="center" vertical="center" textRotation="45"/>
    </xf>
    <xf numFmtId="0" fontId="1" fillId="14" borderId="19" xfId="0" applyNumberFormat="1" applyFont="1" applyFill="1" applyBorder="1" applyAlignment="1">
      <alignment horizontal="center" vertical="center" textRotation="45"/>
    </xf>
    <xf numFmtId="0" fontId="1" fillId="16" borderId="20" xfId="0" applyNumberFormat="1" applyFont="1" applyFill="1" applyBorder="1" applyAlignment="1">
      <alignment horizontal="center" vertical="center" textRotation="45"/>
    </xf>
    <xf numFmtId="0" fontId="2" fillId="17" borderId="20" xfId="0" applyNumberFormat="1" applyFont="1" applyFill="1" applyBorder="1" applyAlignment="1">
      <alignment horizontal="center" vertical="center" textRotation="45" wrapText="1"/>
    </xf>
    <xf numFmtId="0" fontId="17" fillId="0" borderId="7" xfId="0" applyNumberFormat="1" applyFont="1" applyFill="1" applyBorder="1" applyAlignment="1">
      <alignment horizontal="center" vertical="center"/>
    </xf>
    <xf numFmtId="0" fontId="18" fillId="0" borderId="8" xfId="0" quotePrefix="1" applyNumberFormat="1" applyFont="1" applyFill="1" applyBorder="1" applyAlignment="1">
      <alignment horizontal="center" vertical="center"/>
    </xf>
    <xf numFmtId="0" fontId="18" fillId="0" borderId="8" xfId="0" applyNumberFormat="1" applyFont="1" applyFill="1" applyBorder="1" applyAlignment="1">
      <alignment horizontal="center" vertical="center"/>
    </xf>
    <xf numFmtId="0" fontId="18" fillId="0" borderId="21" xfId="0" applyNumberFormat="1" applyFont="1" applyFill="1" applyBorder="1" applyAlignment="1">
      <alignment horizontal="center" vertical="center"/>
    </xf>
    <xf numFmtId="0" fontId="18" fillId="13" borderId="11" xfId="0" applyNumberFormat="1" applyFont="1" applyFill="1" applyBorder="1"/>
    <xf numFmtId="0" fontId="0" fillId="15" borderId="22" xfId="0" applyNumberFormat="1" applyFill="1" applyBorder="1" applyAlignment="1"/>
    <xf numFmtId="164" fontId="19" fillId="0" borderId="21" xfId="0" applyNumberFormat="1" applyFont="1" applyBorder="1" applyAlignment="1">
      <alignment horizontal="center"/>
    </xf>
    <xf numFmtId="164" fontId="19" fillId="0" borderId="23" xfId="0" applyNumberFormat="1" applyFont="1" applyBorder="1" applyAlignment="1">
      <alignment horizontal="center"/>
    </xf>
    <xf numFmtId="0" fontId="18" fillId="13" borderId="0" xfId="0" applyNumberFormat="1" applyFont="1" applyFill="1"/>
    <xf numFmtId="0" fontId="0" fillId="15" borderId="0" xfId="0" applyNumberFormat="1" applyFill="1"/>
    <xf numFmtId="0" fontId="16" fillId="9" borderId="24" xfId="0" applyNumberFormat="1" applyFont="1" applyFill="1" applyBorder="1" applyAlignment="1">
      <alignment horizontal="center" vertical="center" wrapText="1"/>
    </xf>
    <xf numFmtId="0" fontId="20" fillId="8" borderId="25" xfId="0" applyNumberFormat="1" applyFont="1" applyFill="1" applyBorder="1" applyAlignment="1">
      <alignment horizontal="center" vertical="center" wrapText="1"/>
    </xf>
    <xf numFmtId="0" fontId="20" fillId="9" borderId="25" xfId="0" applyNumberFormat="1" applyFont="1" applyFill="1" applyBorder="1" applyAlignment="1">
      <alignment horizontal="center" vertical="center" wrapText="1"/>
    </xf>
    <xf numFmtId="0" fontId="20" fillId="18" borderId="25" xfId="0" applyNumberFormat="1" applyFont="1" applyFill="1" applyBorder="1" applyAlignment="1">
      <alignment horizontal="center" vertical="center" wrapText="1"/>
    </xf>
    <xf numFmtId="0" fontId="16" fillId="19" borderId="25" xfId="0" applyNumberFormat="1" applyFont="1" applyFill="1" applyBorder="1" applyAlignment="1">
      <alignment horizontal="center" vertical="center" wrapText="1"/>
    </xf>
    <xf numFmtId="0" fontId="21" fillId="10" borderId="25" xfId="0" applyNumberFormat="1" applyFont="1" applyFill="1" applyBorder="1" applyAlignment="1">
      <alignment horizontal="center" vertical="center" wrapText="1"/>
    </xf>
    <xf numFmtId="0" fontId="20" fillId="10" borderId="25" xfId="0" applyNumberFormat="1" applyFont="1" applyFill="1" applyBorder="1" applyAlignment="1">
      <alignment horizontal="center" vertical="center" wrapText="1"/>
    </xf>
    <xf numFmtId="0" fontId="16" fillId="19" borderId="26" xfId="0" applyNumberFormat="1" applyFont="1" applyFill="1" applyBorder="1" applyAlignment="1">
      <alignment horizontal="center" vertical="center" wrapText="1"/>
    </xf>
    <xf numFmtId="0" fontId="18" fillId="13" borderId="0" xfId="0" applyNumberFormat="1" applyFont="1" applyFill="1" applyBorder="1"/>
    <xf numFmtId="0" fontId="16" fillId="9" borderId="27" xfId="0" applyNumberFormat="1" applyFont="1" applyFill="1" applyBorder="1" applyAlignment="1">
      <alignment horizontal="center" vertical="center" wrapText="1"/>
    </xf>
    <xf numFmtId="164" fontId="19" fillId="9" borderId="28" xfId="0" applyNumberFormat="1" applyFont="1" applyFill="1" applyBorder="1" applyAlignment="1">
      <alignment horizontal="center"/>
    </xf>
    <xf numFmtId="164" fontId="19" fillId="9" borderId="29" xfId="0" applyNumberFormat="1" applyFont="1" applyFill="1" applyBorder="1" applyAlignment="1">
      <alignment horizontal="center"/>
    </xf>
    <xf numFmtId="164" fontId="19" fillId="9" borderId="30" xfId="0" applyNumberFormat="1" applyFont="1" applyFill="1" applyBorder="1" applyAlignment="1">
      <alignment horizontal="center"/>
    </xf>
    <xf numFmtId="164" fontId="2" fillId="20" borderId="31" xfId="0" applyNumberFormat="1" applyFont="1" applyFill="1" applyBorder="1" applyAlignment="1">
      <alignment horizontal="center"/>
    </xf>
    <xf numFmtId="164" fontId="2" fillId="20" borderId="29" xfId="0" applyNumberFormat="1" applyFont="1" applyFill="1" applyBorder="1" applyAlignment="1">
      <alignment horizontal="center"/>
    </xf>
    <xf numFmtId="164" fontId="2" fillId="20" borderId="32" xfId="0" applyNumberFormat="1" applyFont="1" applyFill="1" applyBorder="1" applyAlignment="1">
      <alignment horizontal="center"/>
    </xf>
    <xf numFmtId="164" fontId="2" fillId="20" borderId="33" xfId="0" applyNumberFormat="1" applyFont="1" applyFill="1" applyBorder="1" applyAlignment="1">
      <alignment horizontal="center"/>
    </xf>
    <xf numFmtId="0" fontId="2" fillId="20" borderId="34" xfId="0" applyNumberFormat="1" applyFont="1" applyFill="1" applyBorder="1" applyAlignment="1">
      <alignment horizontal="center"/>
    </xf>
    <xf numFmtId="0" fontId="17" fillId="2" borderId="35" xfId="0" applyNumberFormat="1" applyFont="1" applyFill="1" applyBorder="1" applyAlignment="1">
      <alignment horizontal="center" vertical="center"/>
    </xf>
    <xf numFmtId="0" fontId="20" fillId="21" borderId="16" xfId="0" quotePrefix="1" applyNumberFormat="1" applyFont="1" applyFill="1" applyBorder="1" applyAlignment="1">
      <alignment horizontal="center" vertical="center"/>
    </xf>
    <xf numFmtId="0" fontId="20" fillId="22" borderId="16" xfId="0" quotePrefix="1" applyNumberFormat="1" applyFont="1" applyFill="1" applyBorder="1" applyAlignment="1">
      <alignment horizontal="center" vertical="center"/>
    </xf>
    <xf numFmtId="0" fontId="20" fillId="23" borderId="16" xfId="0" quotePrefix="1" applyNumberFormat="1" applyFont="1" applyFill="1" applyBorder="1" applyAlignment="1">
      <alignment horizontal="center" vertical="center"/>
    </xf>
    <xf numFmtId="0" fontId="20" fillId="24" borderId="16" xfId="0" applyNumberFormat="1" applyFont="1" applyFill="1" applyBorder="1" applyAlignment="1">
      <alignment horizontal="center" vertical="center"/>
    </xf>
    <xf numFmtId="0" fontId="21" fillId="25" borderId="16" xfId="0" applyNumberFormat="1" applyFont="1" applyFill="1" applyBorder="1" applyAlignment="1">
      <alignment horizontal="center" vertical="center"/>
    </xf>
    <xf numFmtId="0" fontId="20" fillId="25" borderId="16" xfId="0" applyNumberFormat="1" applyFont="1" applyFill="1" applyBorder="1" applyAlignment="1">
      <alignment horizontal="center" vertical="center"/>
    </xf>
    <xf numFmtId="0" fontId="20" fillId="24" borderId="36" xfId="0" applyNumberFormat="1" applyFont="1" applyFill="1" applyBorder="1" applyAlignment="1">
      <alignment horizontal="center" vertical="center"/>
    </xf>
    <xf numFmtId="0" fontId="17" fillId="26" borderId="35" xfId="0" applyNumberFormat="1" applyFont="1" applyFill="1" applyBorder="1" applyAlignment="1">
      <alignment horizontal="center" vertical="center"/>
    </xf>
    <xf numFmtId="164" fontId="19" fillId="27" borderId="18" xfId="0" applyNumberFormat="1" applyFont="1" applyFill="1" applyBorder="1" applyAlignment="1">
      <alignment horizontal="center"/>
    </xf>
    <xf numFmtId="164" fontId="19" fillId="27" borderId="19" xfId="0" applyNumberFormat="1" applyFont="1" applyFill="1" applyBorder="1" applyAlignment="1">
      <alignment horizontal="center"/>
    </xf>
    <xf numFmtId="164" fontId="19" fillId="27" borderId="37" xfId="0" applyNumberFormat="1" applyFont="1" applyFill="1" applyBorder="1" applyAlignment="1">
      <alignment horizontal="center"/>
    </xf>
    <xf numFmtId="164" fontId="2" fillId="27" borderId="38" xfId="0" applyNumberFormat="1" applyFont="1" applyFill="1" applyBorder="1" applyAlignment="1">
      <alignment horizontal="center"/>
    </xf>
    <xf numFmtId="164" fontId="2" fillId="27" borderId="19" xfId="0" applyNumberFormat="1" applyFont="1" applyFill="1" applyBorder="1" applyAlignment="1">
      <alignment horizontal="center"/>
    </xf>
    <xf numFmtId="164" fontId="2" fillId="27" borderId="39" xfId="0" applyNumberFormat="1" applyFont="1" applyFill="1" applyBorder="1" applyAlignment="1">
      <alignment horizontal="center"/>
    </xf>
    <xf numFmtId="164" fontId="0" fillId="27" borderId="40" xfId="0" applyNumberFormat="1" applyFill="1" applyBorder="1" applyAlignment="1">
      <alignment horizontal="center"/>
    </xf>
    <xf numFmtId="0" fontId="17" fillId="5" borderId="35" xfId="0" applyNumberFormat="1" applyFont="1" applyFill="1" applyBorder="1" applyAlignment="1">
      <alignment horizontal="center" vertical="center"/>
    </xf>
    <xf numFmtId="164" fontId="19" fillId="0" borderId="18" xfId="0" applyNumberFormat="1" applyFont="1" applyBorder="1" applyAlignment="1">
      <alignment horizontal="center"/>
    </xf>
    <xf numFmtId="164" fontId="19" fillId="0" borderId="19" xfId="0" applyNumberFormat="1" applyFont="1" applyBorder="1" applyAlignment="1">
      <alignment horizontal="center"/>
    </xf>
    <xf numFmtId="164" fontId="19" fillId="0" borderId="37" xfId="0" applyNumberFormat="1" applyFont="1" applyBorder="1" applyAlignment="1">
      <alignment horizontal="center"/>
    </xf>
    <xf numFmtId="164" fontId="2" fillId="15" borderId="38" xfId="0" applyNumberFormat="1" applyFont="1" applyFill="1" applyBorder="1" applyAlignment="1">
      <alignment horizontal="center"/>
    </xf>
    <xf numFmtId="164" fontId="2" fillId="15" borderId="19" xfId="0" applyNumberFormat="1" applyFont="1" applyFill="1" applyBorder="1" applyAlignment="1">
      <alignment horizontal="center"/>
    </xf>
    <xf numFmtId="164" fontId="2" fillId="15" borderId="39" xfId="0" applyNumberFormat="1" applyFont="1" applyFill="1" applyBorder="1" applyAlignment="1">
      <alignment horizontal="center"/>
    </xf>
    <xf numFmtId="164" fontId="0" fillId="15" borderId="40" xfId="0" applyNumberFormat="1" applyFill="1" applyBorder="1" applyAlignment="1">
      <alignment horizontal="center"/>
    </xf>
    <xf numFmtId="0" fontId="17" fillId="5" borderId="41" xfId="0" applyNumberFormat="1" applyFont="1" applyFill="1" applyBorder="1" applyAlignment="1">
      <alignment horizontal="center" vertical="center"/>
    </xf>
    <xf numFmtId="0" fontId="20" fillId="21" borderId="42" xfId="0" quotePrefix="1" applyNumberFormat="1" applyFont="1" applyFill="1" applyBorder="1" applyAlignment="1">
      <alignment horizontal="center" vertical="center"/>
    </xf>
    <xf numFmtId="0" fontId="20" fillId="22" borderId="42" xfId="0" quotePrefix="1" applyNumberFormat="1" applyFont="1" applyFill="1" applyBorder="1" applyAlignment="1">
      <alignment horizontal="center" vertical="center"/>
    </xf>
    <xf numFmtId="0" fontId="20" fillId="23" borderId="42" xfId="0" quotePrefix="1" applyNumberFormat="1" applyFont="1" applyFill="1" applyBorder="1" applyAlignment="1">
      <alignment horizontal="center" vertical="center"/>
    </xf>
    <xf numFmtId="0" fontId="20" fillId="24" borderId="42" xfId="0" applyNumberFormat="1" applyFont="1" applyFill="1" applyBorder="1" applyAlignment="1">
      <alignment horizontal="center" vertical="center"/>
    </xf>
    <xf numFmtId="0" fontId="21" fillId="25" borderId="42" xfId="0" applyNumberFormat="1" applyFont="1" applyFill="1" applyBorder="1" applyAlignment="1">
      <alignment horizontal="center" vertical="center"/>
    </xf>
    <xf numFmtId="0" fontId="20" fillId="25" borderId="42" xfId="0" applyNumberFormat="1" applyFont="1" applyFill="1" applyBorder="1" applyAlignment="1">
      <alignment horizontal="center" vertical="center"/>
    </xf>
    <xf numFmtId="0" fontId="20" fillId="24" borderId="43" xfId="0" applyNumberFormat="1" applyFont="1" applyFill="1" applyBorder="1" applyAlignment="1">
      <alignment horizontal="center" vertical="center"/>
    </xf>
    <xf numFmtId="0" fontId="17" fillId="26" borderId="41" xfId="0" applyNumberFormat="1" applyFont="1" applyFill="1" applyBorder="1" applyAlignment="1">
      <alignment horizontal="center" vertical="center"/>
    </xf>
    <xf numFmtId="164" fontId="19" fillId="27" borderId="44" xfId="0" applyNumberFormat="1" applyFont="1" applyFill="1" applyBorder="1" applyAlignment="1">
      <alignment horizontal="center"/>
    </xf>
    <xf numFmtId="164" fontId="19" fillId="27" borderId="45" xfId="0" applyNumberFormat="1" applyFont="1" applyFill="1" applyBorder="1" applyAlignment="1">
      <alignment horizontal="center"/>
    </xf>
    <xf numFmtId="164" fontId="19" fillId="27" borderId="46" xfId="0" applyNumberFormat="1" applyFont="1" applyFill="1" applyBorder="1" applyAlignment="1">
      <alignment horizontal="center"/>
    </xf>
    <xf numFmtId="164" fontId="2" fillId="27" borderId="47" xfId="0" applyNumberFormat="1" applyFont="1" applyFill="1" applyBorder="1" applyAlignment="1">
      <alignment horizontal="center"/>
    </xf>
    <xf numFmtId="164" fontId="2" fillId="27" borderId="45" xfId="0" applyNumberFormat="1" applyFont="1" applyFill="1" applyBorder="1" applyAlignment="1">
      <alignment horizontal="center"/>
    </xf>
    <xf numFmtId="164" fontId="2" fillId="27" borderId="48" xfId="0" applyNumberFormat="1" applyFont="1" applyFill="1" applyBorder="1" applyAlignment="1">
      <alignment horizontal="center"/>
    </xf>
    <xf numFmtId="164" fontId="0" fillId="27" borderId="49" xfId="0" applyNumberFormat="1" applyFill="1" applyBorder="1" applyAlignment="1">
      <alignment horizontal="center"/>
    </xf>
    <xf numFmtId="0" fontId="17" fillId="0" borderId="11" xfId="0" applyNumberFormat="1" applyFont="1" applyFill="1" applyBorder="1" applyAlignment="1">
      <alignment horizontal="center" vertical="center"/>
    </xf>
    <xf numFmtId="0" fontId="16" fillId="0" borderId="0" xfId="0" quotePrefix="1" applyNumberFormat="1" applyFont="1" applyFill="1" applyBorder="1" applyAlignment="1">
      <alignment horizontal="center" vertical="center"/>
    </xf>
    <xf numFmtId="0" fontId="18" fillId="0" borderId="15" xfId="0" applyNumberFormat="1" applyFont="1" applyFill="1" applyBorder="1" applyAlignment="1">
      <alignment horizontal="center" vertical="center"/>
    </xf>
    <xf numFmtId="0" fontId="20" fillId="0" borderId="0" xfId="0" applyNumberFormat="1" applyFont="1" applyFill="1" applyBorder="1" applyAlignment="1">
      <alignment horizontal="center" vertical="center"/>
    </xf>
    <xf numFmtId="0" fontId="18" fillId="0" borderId="0" xfId="0" applyNumberFormat="1" applyFont="1" applyFill="1" applyBorder="1" applyAlignment="1">
      <alignment horizontal="center" vertical="center"/>
    </xf>
    <xf numFmtId="0" fontId="18" fillId="13" borderId="14" xfId="0" applyNumberFormat="1" applyFont="1" applyFill="1" applyBorder="1"/>
    <xf numFmtId="0" fontId="17" fillId="0" borderId="50" xfId="0" applyNumberFormat="1" applyFont="1" applyFill="1" applyBorder="1" applyAlignment="1">
      <alignment horizontal="center" vertical="center"/>
    </xf>
    <xf numFmtId="164" fontId="19" fillId="0" borderId="51" xfId="0" applyNumberFormat="1" applyFont="1" applyBorder="1" applyAlignment="1">
      <alignment horizontal="center"/>
    </xf>
    <xf numFmtId="164" fontId="19" fillId="0" borderId="52" xfId="0" applyNumberFormat="1" applyFont="1" applyBorder="1" applyAlignment="1">
      <alignment horizontal="center"/>
    </xf>
    <xf numFmtId="0" fontId="2" fillId="14" borderId="0" xfId="0" applyNumberFormat="1" applyFont="1" applyFill="1"/>
    <xf numFmtId="0" fontId="2" fillId="28" borderId="0" xfId="0" applyFont="1" applyFill="1"/>
    <xf numFmtId="0" fontId="2" fillId="14" borderId="0" xfId="0" applyFont="1" applyFill="1"/>
    <xf numFmtId="0" fontId="2" fillId="28" borderId="0" xfId="0" applyNumberFormat="1" applyFont="1" applyFill="1"/>
    <xf numFmtId="0" fontId="17" fillId="26" borderId="35" xfId="0" applyNumberFormat="1" applyFont="1" applyFill="1" applyBorder="1" applyAlignment="1">
      <alignment horizontal="left" vertical="center"/>
    </xf>
    <xf numFmtId="164" fontId="22" fillId="27" borderId="19" xfId="0" applyNumberFormat="1" applyFont="1" applyFill="1" applyBorder="1" applyAlignment="1">
      <alignment horizontal="center"/>
    </xf>
    <xf numFmtId="0" fontId="17" fillId="2" borderId="35" xfId="0" applyNumberFormat="1" applyFont="1" applyFill="1" applyBorder="1" applyAlignment="1">
      <alignment horizontal="left" vertical="center"/>
    </xf>
    <xf numFmtId="164" fontId="0" fillId="27" borderId="53" xfId="0" applyNumberFormat="1" applyFill="1" applyBorder="1" applyAlignment="1">
      <alignment horizontal="center"/>
    </xf>
    <xf numFmtId="164" fontId="0" fillId="27" borderId="54" xfId="0" applyNumberFormat="1" applyFill="1" applyBorder="1" applyAlignment="1">
      <alignment horizontal="center"/>
    </xf>
    <xf numFmtId="164" fontId="0" fillId="27" borderId="38" xfId="0" applyNumberFormat="1" applyFill="1" applyBorder="1" applyAlignment="1">
      <alignment horizontal="center"/>
    </xf>
    <xf numFmtId="0" fontId="0" fillId="13" borderId="0" xfId="0" applyNumberFormat="1" applyFill="1" applyBorder="1"/>
    <xf numFmtId="0" fontId="17" fillId="5" borderId="35" xfId="0" applyNumberFormat="1" applyFont="1" applyFill="1" applyBorder="1" applyAlignment="1">
      <alignment horizontal="left" vertical="center"/>
    </xf>
    <xf numFmtId="0" fontId="0" fillId="13" borderId="13" xfId="0" applyNumberFormat="1" applyFill="1" applyBorder="1"/>
    <xf numFmtId="164" fontId="22" fillId="0" borderId="19" xfId="0" applyNumberFormat="1" applyFont="1" applyBorder="1" applyAlignment="1">
      <alignment horizontal="center"/>
    </xf>
    <xf numFmtId="164" fontId="23" fillId="0" borderId="19" xfId="0" applyNumberFormat="1" applyFont="1" applyBorder="1" applyAlignment="1">
      <alignment horizontal="center"/>
    </xf>
    <xf numFmtId="164" fontId="2" fillId="15" borderId="47" xfId="0" applyNumberFormat="1" applyFont="1" applyFill="1" applyBorder="1" applyAlignment="1">
      <alignment horizontal="center"/>
    </xf>
    <xf numFmtId="164" fontId="2" fillId="15" borderId="45" xfId="0" applyNumberFormat="1" applyFont="1" applyFill="1" applyBorder="1" applyAlignment="1">
      <alignment horizontal="center"/>
    </xf>
    <xf numFmtId="164" fontId="2" fillId="15" borderId="48" xfId="0" applyNumberFormat="1" applyFont="1" applyFill="1" applyBorder="1" applyAlignment="1">
      <alignment horizontal="center"/>
    </xf>
    <xf numFmtId="164" fontId="0" fillId="15" borderId="49" xfId="0" applyNumberFormat="1" applyFill="1" applyBorder="1" applyAlignment="1">
      <alignment horizontal="center"/>
    </xf>
    <xf numFmtId="0" fontId="18" fillId="0" borderId="0" xfId="0" quotePrefix="1" applyNumberFormat="1" applyFont="1" applyFill="1" applyBorder="1" applyAlignment="1">
      <alignment horizontal="center" vertical="center"/>
    </xf>
    <xf numFmtId="164" fontId="0" fillId="27" borderId="55" xfId="0" applyNumberFormat="1" applyFill="1" applyBorder="1" applyAlignment="1">
      <alignment horizontal="center"/>
    </xf>
    <xf numFmtId="0" fontId="17" fillId="2" borderId="41" xfId="0" applyNumberFormat="1" applyFont="1" applyFill="1" applyBorder="1" applyAlignment="1">
      <alignment horizontal="center" vertical="center"/>
    </xf>
    <xf numFmtId="0" fontId="17" fillId="0" borderId="41" xfId="0" applyNumberFormat="1" applyFont="1" applyFill="1" applyBorder="1" applyAlignment="1">
      <alignment horizontal="left" vertical="center"/>
    </xf>
    <xf numFmtId="164" fontId="19" fillId="0" borderId="44" xfId="0" applyNumberFormat="1" applyFont="1" applyFill="1" applyBorder="1" applyAlignment="1">
      <alignment horizontal="center"/>
    </xf>
    <xf numFmtId="164" fontId="19" fillId="0" borderId="45" xfId="0" applyNumberFormat="1" applyFont="1" applyFill="1" applyBorder="1" applyAlignment="1">
      <alignment horizontal="center"/>
    </xf>
    <xf numFmtId="164" fontId="19" fillId="0" borderId="46" xfId="0" applyNumberFormat="1" applyFont="1" applyFill="1" applyBorder="1" applyAlignment="1">
      <alignment horizontal="center"/>
    </xf>
    <xf numFmtId="164" fontId="2" fillId="0" borderId="38" xfId="0" applyNumberFormat="1" applyFont="1" applyFill="1" applyBorder="1" applyAlignment="1">
      <alignment horizontal="center"/>
    </xf>
    <xf numFmtId="164" fontId="2" fillId="0" borderId="19" xfId="0" applyNumberFormat="1" applyFont="1" applyFill="1" applyBorder="1" applyAlignment="1">
      <alignment horizontal="center"/>
    </xf>
    <xf numFmtId="164" fontId="2" fillId="0" borderId="39" xfId="0" applyNumberFormat="1" applyFont="1" applyFill="1" applyBorder="1" applyAlignment="1">
      <alignment horizontal="center"/>
    </xf>
    <xf numFmtId="164" fontId="0" fillId="0" borderId="40" xfId="0" applyNumberFormat="1" applyFill="1" applyBorder="1" applyAlignment="1">
      <alignment horizontal="center"/>
    </xf>
    <xf numFmtId="0" fontId="18" fillId="0" borderId="14" xfId="0" applyNumberFormat="1" applyFont="1" applyFill="1" applyBorder="1" applyAlignment="1">
      <alignment horizontal="center" vertical="center"/>
    </xf>
    <xf numFmtId="0" fontId="18" fillId="0" borderId="11" xfId="0" applyNumberFormat="1" applyFont="1" applyFill="1" applyBorder="1" applyAlignment="1">
      <alignment horizontal="center" vertical="center"/>
    </xf>
    <xf numFmtId="0" fontId="20" fillId="19" borderId="25" xfId="0" applyNumberFormat="1" applyFont="1" applyFill="1" applyBorder="1" applyAlignment="1">
      <alignment horizontal="center" vertical="center" wrapText="1"/>
    </xf>
    <xf numFmtId="0" fontId="20" fillId="19" borderId="26" xfId="0" applyNumberFormat="1" applyFont="1" applyFill="1" applyBorder="1" applyAlignment="1">
      <alignment horizontal="center" vertical="center" wrapText="1"/>
    </xf>
    <xf numFmtId="164" fontId="0" fillId="20" borderId="33" xfId="0" applyNumberFormat="1" applyFill="1" applyBorder="1" applyAlignment="1">
      <alignment horizontal="center"/>
    </xf>
    <xf numFmtId="0" fontId="18" fillId="24" borderId="16" xfId="0" applyNumberFormat="1" applyFont="1" applyFill="1" applyBorder="1" applyAlignment="1">
      <alignment horizontal="center" vertical="center"/>
    </xf>
    <xf numFmtId="0" fontId="18" fillId="24" borderId="36" xfId="0" applyNumberFormat="1" applyFont="1" applyFill="1" applyBorder="1" applyAlignment="1">
      <alignment horizontal="center" vertical="center"/>
    </xf>
    <xf numFmtId="0" fontId="18" fillId="24" borderId="42" xfId="0" applyNumberFormat="1" applyFont="1" applyFill="1" applyBorder="1" applyAlignment="1">
      <alignment horizontal="center" vertical="center"/>
    </xf>
    <xf numFmtId="0" fontId="18" fillId="24" borderId="43" xfId="0" applyNumberFormat="1" applyFont="1" applyFill="1" applyBorder="1" applyAlignment="1">
      <alignment horizontal="center" vertical="center"/>
    </xf>
    <xf numFmtId="0" fontId="17" fillId="26" borderId="41" xfId="0" applyNumberFormat="1" applyFont="1" applyFill="1" applyBorder="1" applyAlignment="1">
      <alignment horizontal="left" vertical="center"/>
    </xf>
    <xf numFmtId="164" fontId="19" fillId="0" borderId="0" xfId="0" applyNumberFormat="1" applyFont="1" applyAlignment="1">
      <alignment horizontal="center"/>
    </xf>
    <xf numFmtId="164" fontId="2" fillId="20" borderId="30" xfId="0" applyNumberFormat="1" applyFont="1" applyFill="1" applyBorder="1" applyAlignment="1">
      <alignment horizontal="center"/>
    </xf>
    <xf numFmtId="164" fontId="2" fillId="20" borderId="56" xfId="0" applyNumberFormat="1" applyFont="1" applyFill="1" applyBorder="1" applyAlignment="1">
      <alignment horizontal="center"/>
    </xf>
    <xf numFmtId="164" fontId="19" fillId="15" borderId="18" xfId="0" applyNumberFormat="1" applyFont="1" applyFill="1" applyBorder="1" applyAlignment="1">
      <alignment horizontal="center"/>
    </xf>
    <xf numFmtId="164" fontId="19" fillId="15" borderId="19" xfId="0" applyNumberFormat="1" applyFont="1" applyFill="1" applyBorder="1" applyAlignment="1">
      <alignment horizontal="center"/>
    </xf>
    <xf numFmtId="0" fontId="17" fillId="2" borderId="41" xfId="0" applyNumberFormat="1" applyFont="1" applyFill="1" applyBorder="1" applyAlignment="1">
      <alignment horizontal="left" vertical="center"/>
    </xf>
    <xf numFmtId="0" fontId="18" fillId="13" borderId="13" xfId="0" applyNumberFormat="1" applyFont="1" applyFill="1" applyBorder="1"/>
    <xf numFmtId="164" fontId="19" fillId="0" borderId="44" xfId="0" applyNumberFormat="1" applyFont="1" applyBorder="1" applyAlignment="1">
      <alignment horizontal="center"/>
    </xf>
    <xf numFmtId="164" fontId="19" fillId="0" borderId="45" xfId="0" applyNumberFormat="1" applyFont="1" applyBorder="1" applyAlignment="1">
      <alignment horizontal="center"/>
    </xf>
    <xf numFmtId="164" fontId="19" fillId="0" borderId="46" xfId="0" applyNumberFormat="1" applyFont="1" applyBorder="1" applyAlignment="1">
      <alignment horizontal="center"/>
    </xf>
    <xf numFmtId="0" fontId="17" fillId="2" borderId="16" xfId="0" applyNumberFormat="1" applyFont="1" applyFill="1" applyBorder="1" applyAlignment="1">
      <alignment horizontal="center" vertical="center"/>
    </xf>
    <xf numFmtId="0" fontId="20" fillId="8" borderId="16" xfId="0" applyNumberFormat="1" applyFont="1" applyFill="1" applyBorder="1" applyAlignment="1">
      <alignment horizontal="center" vertical="center" wrapText="1"/>
    </xf>
    <xf numFmtId="0" fontId="20" fillId="9" borderId="16" xfId="0" applyNumberFormat="1" applyFont="1" applyFill="1" applyBorder="1" applyAlignment="1">
      <alignment horizontal="center" vertical="center" wrapText="1"/>
    </xf>
    <xf numFmtId="0" fontId="20" fillId="18" borderId="16" xfId="0" applyNumberFormat="1" applyFont="1" applyFill="1" applyBorder="1" applyAlignment="1">
      <alignment horizontal="center" vertical="center" wrapText="1"/>
    </xf>
    <xf numFmtId="0" fontId="16" fillId="19" borderId="16" xfId="0" applyNumberFormat="1" applyFont="1" applyFill="1" applyBorder="1" applyAlignment="1">
      <alignment horizontal="center" vertical="center" wrapText="1"/>
    </xf>
    <xf numFmtId="0" fontId="20" fillId="10" borderId="16" xfId="0" applyNumberFormat="1" applyFont="1" applyFill="1" applyBorder="1" applyAlignment="1">
      <alignment horizontal="center" vertical="center" wrapText="1"/>
    </xf>
    <xf numFmtId="0" fontId="18" fillId="11" borderId="0" xfId="0" applyNumberFormat="1" applyFont="1" applyFill="1"/>
    <xf numFmtId="0" fontId="24" fillId="4" borderId="16" xfId="0" applyNumberFormat="1" applyFont="1" applyFill="1" applyBorder="1" applyAlignment="1">
      <alignment horizontal="center" vertical="center" wrapText="1"/>
    </xf>
    <xf numFmtId="0" fontId="25" fillId="29" borderId="17" xfId="0" applyNumberFormat="1" applyFont="1" applyFill="1" applyBorder="1" applyAlignment="1">
      <alignment horizontal="center" vertical="center"/>
    </xf>
    <xf numFmtId="0" fontId="25" fillId="29" borderId="57" xfId="0" applyNumberFormat="1" applyFont="1" applyFill="1" applyBorder="1" applyAlignment="1">
      <alignment horizontal="center" vertical="center"/>
    </xf>
    <xf numFmtId="0" fontId="25" fillId="29" borderId="34" xfId="0" applyNumberFormat="1" applyFont="1" applyFill="1" applyBorder="1" applyAlignment="1">
      <alignment vertical="center"/>
    </xf>
    <xf numFmtId="0" fontId="0" fillId="12" borderId="0" xfId="0" applyNumberFormat="1" applyFill="1" applyAlignment="1">
      <alignment vertical="center"/>
    </xf>
    <xf numFmtId="0" fontId="26" fillId="10" borderId="17" xfId="0" applyNumberFormat="1" applyFont="1" applyFill="1" applyBorder="1" applyAlignment="1">
      <alignment horizontal="center" vertical="center"/>
    </xf>
    <xf numFmtId="0" fontId="26" fillId="10" borderId="34" xfId="0" applyNumberFormat="1" applyFont="1" applyFill="1" applyBorder="1" applyAlignment="1">
      <alignment horizontal="center" vertical="center"/>
    </xf>
    <xf numFmtId="0" fontId="16" fillId="9" borderId="58" xfId="0" applyNumberFormat="1" applyFont="1" applyFill="1" applyBorder="1" applyAlignment="1">
      <alignment horizontal="center" vertical="center" wrapText="1"/>
    </xf>
    <xf numFmtId="0" fontId="20" fillId="8" borderId="59" xfId="0" applyNumberFormat="1" applyFont="1" applyFill="1" applyBorder="1" applyAlignment="1">
      <alignment horizontal="center" vertical="center" wrapText="1"/>
    </xf>
    <xf numFmtId="0" fontId="20" fillId="9" borderId="59" xfId="0" applyNumberFormat="1" applyFont="1" applyFill="1" applyBorder="1" applyAlignment="1">
      <alignment horizontal="center" vertical="center" wrapText="1"/>
    </xf>
    <xf numFmtId="0" fontId="20" fillId="18" borderId="59" xfId="0" applyNumberFormat="1" applyFont="1" applyFill="1" applyBorder="1" applyAlignment="1">
      <alignment horizontal="center" vertical="center" wrapText="1"/>
    </xf>
    <xf numFmtId="0" fontId="16" fillId="19" borderId="59" xfId="0" applyNumberFormat="1" applyFont="1" applyFill="1" applyBorder="1" applyAlignment="1">
      <alignment horizontal="center" vertical="center" wrapText="1"/>
    </xf>
    <xf numFmtId="0" fontId="20" fillId="10" borderId="59" xfId="0" applyNumberFormat="1" applyFont="1" applyFill="1" applyBorder="1" applyAlignment="1">
      <alignment horizontal="center" vertical="center" wrapText="1"/>
    </xf>
    <xf numFmtId="0" fontId="16" fillId="19" borderId="60" xfId="0" applyNumberFormat="1" applyFont="1" applyFill="1" applyBorder="1" applyAlignment="1">
      <alignment horizontal="center" vertical="center" wrapText="1"/>
    </xf>
    <xf numFmtId="0" fontId="16" fillId="12" borderId="61" xfId="0" applyNumberFormat="1" applyFont="1" applyFill="1" applyBorder="1" applyAlignment="1">
      <alignment horizontal="center" vertical="center" wrapText="1"/>
    </xf>
    <xf numFmtId="0" fontId="20" fillId="12" borderId="61" xfId="0" applyNumberFormat="1" applyFont="1" applyFill="1" applyBorder="1" applyAlignment="1">
      <alignment horizontal="center" vertical="center" wrapText="1"/>
    </xf>
    <xf numFmtId="0" fontId="0" fillId="0" borderId="0" xfId="0" applyNumberFormat="1" applyAlignment="1">
      <alignment horizontal="center"/>
    </xf>
    <xf numFmtId="0" fontId="27" fillId="15" borderId="0" xfId="0" applyFont="1" applyFill="1" applyBorder="1" applyAlignment="1">
      <alignment horizontal="center" vertical="center"/>
    </xf>
    <xf numFmtId="0" fontId="28" fillId="15" borderId="0" xfId="0" applyFont="1" applyFill="1" applyBorder="1" applyAlignment="1">
      <alignment horizontal="center" vertical="center"/>
    </xf>
    <xf numFmtId="0" fontId="29" fillId="15" borderId="0" xfId="0" applyFont="1" applyFill="1" applyBorder="1" applyAlignment="1">
      <alignment horizontal="center" vertical="center" wrapText="1"/>
    </xf>
    <xf numFmtId="0" fontId="30" fillId="15" borderId="0" xfId="0" applyFont="1" applyFill="1" applyBorder="1" applyAlignment="1">
      <alignment horizontal="center" vertical="center" wrapText="1"/>
    </xf>
    <xf numFmtId="0" fontId="28" fillId="15" borderId="0" xfId="0" applyFont="1" applyFill="1" applyBorder="1" applyAlignment="1">
      <alignment horizontal="center" vertical="center" wrapText="1"/>
    </xf>
    <xf numFmtId="0" fontId="31" fillId="15" borderId="0" xfId="0" applyFont="1" applyFill="1" applyBorder="1" applyAlignment="1">
      <alignment horizontal="center" vertical="center" wrapText="1"/>
    </xf>
    <xf numFmtId="0" fontId="32" fillId="15" borderId="0" xfId="0" applyFont="1" applyFill="1" applyBorder="1" applyAlignment="1">
      <alignment vertical="center"/>
    </xf>
    <xf numFmtId="164" fontId="33" fillId="15" borderId="0" xfId="0" applyNumberFormat="1" applyFont="1" applyFill="1" applyBorder="1" applyAlignment="1">
      <alignment horizontal="center" vertical="center"/>
    </xf>
    <xf numFmtId="164" fontId="34" fillId="15" borderId="0" xfId="0" applyNumberFormat="1" applyFont="1" applyFill="1" applyBorder="1" applyAlignment="1">
      <alignment horizontal="center" vertical="center"/>
    </xf>
    <xf numFmtId="164" fontId="35" fillId="15" borderId="0" xfId="0" applyNumberFormat="1" applyFont="1" applyFill="1" applyBorder="1" applyAlignment="1">
      <alignment vertical="center"/>
    </xf>
    <xf numFmtId="0" fontId="36" fillId="15" borderId="0" xfId="0" applyFont="1" applyFill="1" applyBorder="1" applyAlignment="1">
      <alignment horizontal="center" vertical="center" wrapText="1"/>
    </xf>
    <xf numFmtId="164" fontId="37" fillId="15" borderId="0" xfId="0" applyNumberFormat="1" applyFont="1" applyFill="1" applyBorder="1" applyAlignment="1">
      <alignment horizontal="center" vertical="center"/>
    </xf>
    <xf numFmtId="0" fontId="38" fillId="15" borderId="0" xfId="0" applyFont="1" applyFill="1" applyBorder="1" applyAlignment="1">
      <alignment horizontal="center" vertical="center"/>
    </xf>
    <xf numFmtId="0" fontId="39" fillId="15" borderId="0" xfId="0" applyFont="1" applyFill="1" applyBorder="1" applyAlignment="1">
      <alignment horizontal="center" vertical="center"/>
    </xf>
    <xf numFmtId="0" fontId="33" fillId="15" borderId="0" xfId="0" applyFont="1" applyFill="1" applyBorder="1" applyAlignment="1">
      <alignment horizontal="center" vertical="center"/>
    </xf>
    <xf numFmtId="0" fontId="40" fillId="15" borderId="0" xfId="0" applyFont="1" applyFill="1" applyBorder="1" applyAlignment="1">
      <alignment horizontal="center" vertical="center"/>
    </xf>
    <xf numFmtId="0" fontId="40" fillId="15" borderId="0" xfId="0" applyFont="1" applyFill="1" applyBorder="1" applyAlignment="1">
      <alignment horizontal="center" vertical="center"/>
    </xf>
    <xf numFmtId="0" fontId="41" fillId="15" borderId="0" xfId="0" applyFont="1" applyFill="1" applyBorder="1" applyAlignment="1">
      <alignment horizontal="center" vertical="center"/>
    </xf>
    <xf numFmtId="0" fontId="41" fillId="15" borderId="0" xfId="0" applyFont="1" applyFill="1" applyBorder="1" applyAlignment="1">
      <alignment vertical="center" wrapText="1"/>
    </xf>
    <xf numFmtId="164" fontId="42" fillId="15" borderId="0" xfId="0" applyNumberFormat="1" applyFont="1" applyFill="1" applyBorder="1" applyAlignment="1">
      <alignment horizontal="center" vertical="center"/>
    </xf>
    <xf numFmtId="164" fontId="40" fillId="15" borderId="0" xfId="0" applyNumberFormat="1" applyFont="1" applyFill="1" applyBorder="1" applyAlignment="1">
      <alignment horizontal="center" vertical="center"/>
    </xf>
    <xf numFmtId="0" fontId="2" fillId="0" borderId="0" xfId="0" applyNumberFormat="1" applyFont="1"/>
    <xf numFmtId="0" fontId="43" fillId="0" borderId="0" xfId="0" applyFont="1"/>
    <xf numFmtId="0" fontId="17" fillId="30" borderId="35" xfId="0" applyNumberFormat="1" applyFont="1" applyFill="1" applyBorder="1" applyAlignment="1">
      <alignment horizontal="center" vertical="center"/>
    </xf>
    <xf numFmtId="0" fontId="20" fillId="31" borderId="16" xfId="0" quotePrefix="1" applyNumberFormat="1" applyFont="1" applyFill="1" applyBorder="1" applyAlignment="1">
      <alignment horizontal="center" vertical="center"/>
    </xf>
  </cellXfs>
  <cellStyles count="4">
    <cellStyle name="Normal" xfId="0" builtinId="0"/>
    <cellStyle name="Normal 2" xfId="3"/>
    <cellStyle name="Normal 4" xfId="1"/>
    <cellStyle name="Normal 6" xfId="2"/>
  </cellStyles>
  <dxfs count="1149">
    <dxf>
      <font>
        <b/>
        <i val="0"/>
        <color rgb="FFFF0000"/>
      </font>
    </dxf>
    <dxf>
      <font>
        <b/>
        <i val="0"/>
        <color rgb="FFFF0000"/>
      </font>
    </dxf>
    <dxf>
      <font>
        <b/>
        <i val="0"/>
        <color rgb="FFFF0000"/>
      </font>
    </dxf>
    <dxf>
      <font>
        <b/>
        <i val="0"/>
        <color rgb="FFFF0000"/>
      </font>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00B050"/>
        </patternFill>
      </fill>
    </dxf>
    <dxf>
      <font>
        <b/>
        <i val="0"/>
        <color theme="0"/>
      </font>
      <fill>
        <patternFill>
          <fgColor indexed="64"/>
          <bgColor rgb="FFFF000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00B050"/>
        </patternFill>
      </fill>
    </dxf>
    <dxf>
      <font>
        <b/>
        <i val="0"/>
        <color theme="0"/>
      </font>
      <fill>
        <patternFill>
          <fgColor indexed="64"/>
          <bgColor rgb="FFFF000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00B050"/>
        </patternFill>
      </fill>
    </dxf>
    <dxf>
      <font>
        <b/>
        <i val="0"/>
        <color theme="0"/>
      </font>
      <fill>
        <patternFill>
          <fgColor indexed="64"/>
          <bgColor rgb="FFFF000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00B050"/>
        </patternFill>
      </fill>
    </dxf>
    <dxf>
      <font>
        <b/>
        <i val="0"/>
        <color theme="0"/>
      </font>
      <fill>
        <patternFill>
          <fgColor indexed="64"/>
          <bgColor rgb="FFFF000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00B050"/>
        </patternFill>
      </fill>
    </dxf>
    <dxf>
      <font>
        <b/>
        <i val="0"/>
        <color theme="0"/>
      </font>
      <fill>
        <patternFill>
          <fgColor indexed="64"/>
          <bgColor rgb="FFFF000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00B050"/>
        </patternFill>
      </fill>
    </dxf>
    <dxf>
      <font>
        <b/>
        <i val="0"/>
        <color theme="0"/>
      </font>
      <fill>
        <patternFill>
          <fgColor indexed="64"/>
          <bgColor rgb="FFFF000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00B050"/>
        </patternFill>
      </fill>
    </dxf>
    <dxf>
      <font>
        <b/>
        <i val="0"/>
        <color theme="0"/>
      </font>
      <fill>
        <patternFill>
          <fgColor indexed="64"/>
          <bgColor rgb="FFFF000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00B050"/>
        </patternFill>
      </fill>
    </dxf>
    <dxf>
      <font>
        <b/>
        <i val="0"/>
        <color theme="0"/>
      </font>
      <fill>
        <patternFill>
          <fgColor indexed="64"/>
          <bgColor rgb="FFFF000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00B050"/>
        </patternFill>
      </fill>
    </dxf>
    <dxf>
      <font>
        <b/>
        <i val="0"/>
        <color theme="0"/>
      </font>
      <fill>
        <patternFill>
          <fgColor indexed="64"/>
          <bgColor rgb="FFFF000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00B050"/>
        </patternFill>
      </fill>
    </dxf>
    <dxf>
      <font>
        <b/>
        <i val="0"/>
        <color theme="0"/>
      </font>
      <fill>
        <patternFill>
          <fgColor indexed="64"/>
          <bgColor rgb="FFFF000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00B050"/>
        </patternFill>
      </fill>
    </dxf>
    <dxf>
      <font>
        <b/>
        <i val="0"/>
        <color theme="0"/>
      </font>
      <fill>
        <patternFill>
          <fgColor indexed="64"/>
          <bgColor rgb="FFFF000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00B050"/>
        </patternFill>
      </fill>
    </dxf>
    <dxf>
      <font>
        <b/>
        <i val="0"/>
        <color theme="0"/>
      </font>
      <fill>
        <patternFill>
          <fgColor indexed="64"/>
          <bgColor rgb="FFFF000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00B050"/>
        </patternFill>
      </fill>
    </dxf>
    <dxf>
      <font>
        <b/>
        <i val="0"/>
        <color theme="0"/>
      </font>
      <fill>
        <patternFill>
          <fgColor indexed="64"/>
          <bgColor rgb="FFFF000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00B050"/>
        </patternFill>
      </fill>
    </dxf>
    <dxf>
      <font>
        <b/>
        <i val="0"/>
        <color theme="0"/>
      </font>
      <fill>
        <patternFill>
          <fgColor indexed="64"/>
          <bgColor rgb="FFFF000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00B050"/>
        </patternFill>
      </fill>
    </dxf>
    <dxf>
      <font>
        <b/>
        <i val="0"/>
        <color theme="0"/>
      </font>
      <fill>
        <patternFill>
          <fgColor indexed="64"/>
          <bgColor rgb="FFFF000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00B050"/>
        </patternFill>
      </fill>
    </dxf>
    <dxf>
      <font>
        <b/>
        <i val="0"/>
        <color theme="0"/>
      </font>
      <fill>
        <patternFill>
          <fgColor indexed="64"/>
          <bgColor rgb="FFFF000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00B050"/>
        </patternFill>
      </fill>
    </dxf>
    <dxf>
      <font>
        <b/>
        <i val="0"/>
        <color theme="0"/>
      </font>
      <fill>
        <patternFill>
          <fgColor indexed="64"/>
          <bgColor rgb="FFFF000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00B050"/>
        </patternFill>
      </fill>
    </dxf>
    <dxf>
      <font>
        <b/>
        <i val="0"/>
        <color theme="0"/>
      </font>
      <fill>
        <patternFill>
          <fgColor indexed="64"/>
          <bgColor rgb="FFFF000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00B050"/>
        </patternFill>
      </fill>
    </dxf>
    <dxf>
      <font>
        <b/>
        <i val="0"/>
        <color theme="0"/>
      </font>
      <fill>
        <patternFill>
          <fgColor indexed="64"/>
          <bgColor rgb="FFFF000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00B050"/>
        </patternFill>
      </fill>
    </dxf>
    <dxf>
      <font>
        <b/>
        <i val="0"/>
        <color theme="0"/>
      </font>
      <fill>
        <patternFill>
          <fgColor indexed="64"/>
          <bgColor rgb="FFFF000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00B050"/>
        </patternFill>
      </fill>
    </dxf>
    <dxf>
      <font>
        <b/>
        <i val="0"/>
        <color theme="0"/>
      </font>
      <fill>
        <patternFill>
          <fgColor indexed="64"/>
          <bgColor rgb="FFFF000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00B050"/>
        </patternFill>
      </fill>
    </dxf>
    <dxf>
      <font>
        <b/>
        <i val="0"/>
        <color theme="0"/>
      </font>
      <fill>
        <patternFill>
          <fgColor indexed="64"/>
          <bgColor rgb="FFFF000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00B050"/>
        </patternFill>
      </fill>
    </dxf>
    <dxf>
      <font>
        <b/>
        <i val="0"/>
        <color theme="0"/>
      </font>
      <fill>
        <patternFill>
          <fgColor indexed="64"/>
          <bgColor rgb="FFFF000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00B050"/>
        </patternFill>
      </fill>
    </dxf>
    <dxf>
      <font>
        <b/>
        <i val="0"/>
        <color theme="0"/>
      </font>
      <fill>
        <patternFill>
          <fgColor indexed="64"/>
          <bgColor rgb="FFFF000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00B050"/>
        </patternFill>
      </fill>
    </dxf>
    <dxf>
      <font>
        <b/>
        <i val="0"/>
        <color theme="0"/>
      </font>
      <fill>
        <patternFill>
          <fgColor indexed="64"/>
          <bgColor rgb="FFFF000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00B050"/>
        </patternFill>
      </fill>
    </dxf>
    <dxf>
      <font>
        <b/>
        <i val="0"/>
        <color theme="0"/>
      </font>
      <fill>
        <patternFill>
          <fgColor indexed="64"/>
          <bgColor rgb="FFFF000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00B050"/>
        </patternFill>
      </fill>
    </dxf>
    <dxf>
      <font>
        <b/>
        <i val="0"/>
        <color theme="0"/>
      </font>
      <fill>
        <patternFill>
          <fgColor indexed="64"/>
          <bgColor rgb="FFFF000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00B050"/>
        </patternFill>
      </fill>
    </dxf>
    <dxf>
      <font>
        <b/>
        <i val="0"/>
        <color theme="0"/>
      </font>
      <fill>
        <patternFill>
          <fgColor indexed="64"/>
          <bgColor rgb="FFFF000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00B050"/>
        </patternFill>
      </fill>
    </dxf>
    <dxf>
      <font>
        <b/>
        <i val="0"/>
        <color theme="0"/>
      </font>
      <fill>
        <patternFill>
          <fgColor indexed="64"/>
          <bgColor rgb="FFFF000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00B050"/>
        </patternFill>
      </fill>
    </dxf>
    <dxf>
      <font>
        <b/>
        <i val="0"/>
        <color theme="0"/>
      </font>
      <fill>
        <patternFill>
          <fgColor indexed="64"/>
          <bgColor rgb="FFFF000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00B050"/>
        </patternFill>
      </fill>
    </dxf>
    <dxf>
      <font>
        <b/>
        <i val="0"/>
        <color theme="0"/>
      </font>
      <fill>
        <patternFill>
          <fgColor indexed="64"/>
          <bgColor rgb="FFFF000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00B050"/>
        </patternFill>
      </fill>
    </dxf>
    <dxf>
      <font>
        <b/>
        <i val="0"/>
        <color theme="0"/>
      </font>
      <fill>
        <patternFill>
          <fgColor indexed="64"/>
          <bgColor rgb="FFFF000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00B050"/>
        </patternFill>
      </fill>
    </dxf>
    <dxf>
      <font>
        <b/>
        <i val="0"/>
        <color theme="0"/>
      </font>
      <fill>
        <patternFill>
          <fgColor indexed="64"/>
          <bgColor rgb="FFFF000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00B050"/>
        </patternFill>
      </fill>
    </dxf>
    <dxf>
      <font>
        <b/>
        <i val="0"/>
        <color theme="0"/>
      </font>
      <fill>
        <patternFill>
          <fgColor indexed="64"/>
          <bgColor rgb="FFFF000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00B050"/>
        </patternFill>
      </fill>
    </dxf>
    <dxf>
      <font>
        <b/>
        <i val="0"/>
        <color theme="0"/>
      </font>
      <fill>
        <patternFill>
          <fgColor indexed="64"/>
          <bgColor rgb="FFFF000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00B050"/>
        </patternFill>
      </fill>
    </dxf>
    <dxf>
      <font>
        <b/>
        <i val="0"/>
        <color theme="0"/>
      </font>
      <fill>
        <patternFill>
          <fgColor indexed="64"/>
          <bgColor rgb="FFFF000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00B050"/>
        </patternFill>
      </fill>
    </dxf>
    <dxf>
      <font>
        <b/>
        <i val="0"/>
        <color theme="0"/>
      </font>
      <fill>
        <patternFill>
          <fgColor indexed="64"/>
          <bgColor rgb="FFFF000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00B050"/>
        </patternFill>
      </fill>
    </dxf>
    <dxf>
      <font>
        <b/>
        <i val="0"/>
        <color theme="0"/>
      </font>
      <fill>
        <patternFill>
          <fgColor indexed="64"/>
          <bgColor rgb="FFFF000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00B050"/>
        </patternFill>
      </fill>
    </dxf>
    <dxf>
      <font>
        <b/>
        <i val="0"/>
        <color theme="0"/>
      </font>
      <fill>
        <patternFill>
          <fgColor indexed="64"/>
          <bgColor rgb="FFFF000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00B050"/>
        </patternFill>
      </fill>
    </dxf>
    <dxf>
      <font>
        <b/>
        <i val="0"/>
        <color theme="0"/>
      </font>
      <fill>
        <patternFill>
          <fgColor indexed="64"/>
          <bgColor rgb="FFFF000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00B050"/>
        </patternFill>
      </fill>
    </dxf>
    <dxf>
      <font>
        <b/>
        <i val="0"/>
        <color theme="0"/>
      </font>
      <fill>
        <patternFill>
          <fgColor indexed="64"/>
          <bgColor rgb="FFFF000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00B050"/>
        </patternFill>
      </fill>
    </dxf>
    <dxf>
      <font>
        <b/>
        <i val="0"/>
        <color theme="0"/>
      </font>
      <fill>
        <patternFill>
          <fgColor indexed="64"/>
          <bgColor rgb="FFFF000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00B050"/>
        </patternFill>
      </fill>
    </dxf>
    <dxf>
      <font>
        <b/>
        <i val="0"/>
        <color theme="0"/>
      </font>
      <fill>
        <patternFill>
          <fgColor indexed="64"/>
          <bgColor rgb="FFFF000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00B050"/>
        </patternFill>
      </fill>
    </dxf>
    <dxf>
      <font>
        <b/>
        <i val="0"/>
        <color theme="0"/>
      </font>
      <fill>
        <patternFill>
          <fgColor indexed="64"/>
          <bgColor rgb="FFFF000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00B050"/>
        </patternFill>
      </fill>
    </dxf>
    <dxf>
      <font>
        <b/>
        <i val="0"/>
        <color theme="0"/>
      </font>
      <fill>
        <patternFill>
          <fgColor indexed="64"/>
          <bgColor rgb="FFFF000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00B050"/>
        </patternFill>
      </fill>
    </dxf>
    <dxf>
      <font>
        <b/>
        <i val="0"/>
        <color theme="0"/>
      </font>
      <fill>
        <patternFill>
          <fgColor indexed="64"/>
          <bgColor rgb="FFFF000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00B050"/>
        </patternFill>
      </fill>
    </dxf>
    <dxf>
      <font>
        <b/>
        <i val="0"/>
        <color theme="0"/>
      </font>
      <fill>
        <patternFill>
          <fgColor indexed="64"/>
          <bgColor rgb="FFFF000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
      <font>
        <b/>
        <i val="0"/>
        <color rgb="FFFF0000"/>
      </font>
    </dxf>
    <dxf>
      <font>
        <b/>
        <i val="0"/>
        <color theme="0"/>
      </font>
      <fill>
        <patternFill>
          <fgColor indexed="64"/>
          <bgColor rgb="FF00B0F0"/>
        </patternFill>
      </fill>
    </dxf>
    <dxf>
      <font>
        <b/>
        <i val="0"/>
        <color theme="0"/>
      </font>
      <fill>
        <patternFill>
          <fgColor indexed="64"/>
          <bgColor rgb="FFFF0000"/>
        </patternFill>
      </fill>
    </dxf>
    <dxf>
      <font>
        <b/>
        <i val="0"/>
        <color theme="0"/>
      </font>
      <fill>
        <patternFill>
          <fgColor indexed="64"/>
          <bgColor rgb="FF00B050"/>
        </patternFill>
      </fill>
    </dxf>
    <dxf>
      <font>
        <b/>
        <i val="0"/>
        <color theme="1"/>
      </font>
      <fill>
        <patternFill>
          <fgColor indexed="64"/>
          <bgColor rgb="FFFFFF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 Id="rId9"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xdr:col>
          <xdr:colOff>76200</xdr:colOff>
          <xdr:row>0</xdr:row>
          <xdr:rowOff>133350</xdr:rowOff>
        </xdr:from>
        <xdr:to>
          <xdr:col>3</xdr:col>
          <xdr:colOff>342900</xdr:colOff>
          <xdr:row>0</xdr:row>
          <xdr:rowOff>876300</xdr:rowOff>
        </xdr:to>
        <xdr:sp macro="" textlink="">
          <xdr:nvSpPr>
            <xdr:cNvPr id="2049" name="CommandButton1" hidden="1">
              <a:extLst>
                <a:ext uri="{63B3BB69-23CF-44E3-9099-C40C66FF867C}">
                  <a14:compatExt spid="_x0000_s2049"/>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twoCellAnchor editAs="oneCell">
    <xdr:from>
      <xdr:col>41</xdr:col>
      <xdr:colOff>0</xdr:colOff>
      <xdr:row>106</xdr:row>
      <xdr:rowOff>0</xdr:rowOff>
    </xdr:from>
    <xdr:to>
      <xdr:col>41</xdr:col>
      <xdr:colOff>304800</xdr:colOff>
      <xdr:row>107</xdr:row>
      <xdr:rowOff>114301</xdr:rowOff>
    </xdr:to>
    <xdr:sp macro="" textlink="">
      <xdr:nvSpPr>
        <xdr:cNvPr id="3" name="AutoShape 3" descr="data:image/png;base64,iVBORw0KGgoAAAANSUhEUgAABAAAAAIxCAYAAADT68qxAAAAAXNSR0IArs4c6QAAAARnQU1BAACxjwv8YQUAAAAJcEhZcwAADsQAAA7EAZUrDhsAAP+lSURBVHhe7J0FXFRLG4f/uwss3Y3YCnZgYHd77e66dnvt1s+46rWv3R3YrdgKGKCCSod0d299c3YPCIhXUNgFnOfneJiZs1Nn4n3nzMzhePt5SzR0NSBKEYGnwct9VSfXVHJV40KULgaPz4U4UwKOMgcSAbnyAIkYAIcYBgn5k0suInJl7iH3cvkciDLIb1VJGGnkmjeO78WZI24xiZujwpXFqUTCFZErEw+JTwoTP0kHh0f8hGz6MsXgMnEy6VZjw/qPuJ/cfYI2jdQgZtKoRH4nlF3FIhI3l4QnJuFyyJWJM2d+yd8S4ph9D1f2m5xhSK/KJC4BiSv7StwF+dzHXrk8kl9xVtxsPGy0Upg4pemRxcncy/wmd5zkysSRN87/iFuWXzbu4sjvd+LOnV82b2y0UnLFXdD8/risS1R+fxB3kedXGi6JSw75/Rr3j/PrHhyPSsZaUFdVhihn3D+RX+aau6zZeNhopTD5laZHlt+7LwPRrWX53GF9E3eWnb3mE3dB85uzrGPj05EiFsJCRz1H3EWd35xxy+7NqlvP3SPQsoYJlH46v2zcBcxv3rr16HUI2jctx8ZZsLjzbUtstFL+I7/ZYZGw/YMSYWCqBg3wvo07T5zMtSjyK4v76/P94BEFa2t9KAnw/bhJ2sV58/uDuPPLr6xMv8adld8XzmFo3sQUknRJrrhz5VcaLhsPGy0Tfd785l/W38aZ9/kybbBrW9IG2fFYFnch8kvi/tW+49bzL+jetoJUlsgvv1KYOKXp+a/8snH8R37zxp1V1ncdSDm0tCRyDYnrP/JbkLr1o/wy1/zakv3bEHRoYiGVsXLHXdD8/jjuXHVLWp4krhz5feEWjpZ1TWR+OfLr5BWJJtWMoMzEIY37O3F+J+788ps37uLIb6669Z9x5s7vN2EVMr/F2XfYu4aiY13zb+Mk11zPVxouGw8bLRN93vzmX9aFzG923AXPb6HLmvV//jkcrWqaZttz163c+ZXCxClNz3/ll42j0Pll4y6O/OYT981nX9CjPanPRNfLVdZstFJyxV3Q/OZf1jmvisgvc816vu+9YlGzdlOoqChL48uKm0mHVE8lcTL3ipnfkLDEOcNUIXFlkLj4P7gy92WKwCV6MPN7bna+mTzJ8iiLlJic+SW6svTenHGzYd13egFOcEiwxMKcdO6/OQMHDsTZv3ShRApLOtCRS/Y166Ey1/zI8mOueX/7q9fvxZlFccSt6PzKO25FxJl1VUTciogz61qAuDcee4/xva1hpKNasDALei1IfsnVduxVOB3pU7Awf3QtQH6z7yG/cfWNheeXeAzsWPnHYf/o+r04s8gTN/ObnrPv4trWLkQFJo7/Ffb3roXMb94wev91D9e2dMk/7B9dfzFuu8d+qFNVH1YVdPP1z/f6i3Hmva47+g6T+teAoS6p+z+6v4jjzrqOWvUYB5e3Bp8IQt+9r4jjzHttPek6nh7sJQ0m272Y8vu9q82oy3A+1Y9YCAWJswjjll5JeNK+6Bjpi/KLvzjizLrmiK/j1Fuw39sjdxqKKb/Z4eZh0GJ7XNjY8Zs4hy19iGOr20GFCPX/GfaPrv8Rt5Qizm+h61YBwizUtRjy24zUVcejpK7+6P4ykt+81x6z7uDWjm7f+hckzl+M+5trznDzo4jjbEjqs0vO+izHuKVXRcTJXudvf4Wlq45AW1NTFj5DzvTI88pQwHsbdewLLjM7QckD83BzXplCy7rmZxiyrnl/+6vXvHHlNQxZ14KG+aNrznDzMwxZ14KGWdBrzvDzMwxZ14KG+aNrznDzMwxZ14KGWdBrzvDzMwxZ14KG+aNrznDzMwxZ14KGWdBrzvDzMzkpaJgFveYXH2MY8l4LGuaPrjnDzc8wZF2zfpPFj8L+0TVvXHkNQ9Y16zdZ/Cjs711zhpufYci6FjTMgl5zhp+fYci6fi+MLL7nn/eaM9z8DEPWtaBhZvGj+3KGn59hyLr+KKy81yy+5583rizDkHX93m8Les0iy54z/PwMQ9b1R2EX9JpF3riyDEPea0HD/tE1KzyGrPhyGoasa0HDLOg1bzwMed2yrgUN80fXnOHmNVlk/Z31myx+FPaPrlnh5owzp2HIuhY0zB9ds8gbV5ZhyLoWNMyCXnOGn59hyLoWNMwsfnRf3riyDEPW9UdhFPaaM/z8DEPWtaBh5r1mkdc9b1xZhiHv9XthF/aaM9z8DEPWtaBh/uiaRc7w8zMMWdeChv2ja85w8zMMWdeChlnQa97wGfK6/cfVw8UR/kkZ2fZfujIU4t6sLFAoFAqFQqFQKBQKhUIpJjLCPTBk/XE8fvEIn5+exfpdL5HJ+jF8PrsKlZp2R9OuA2BLzOIb/qxP0cFl9uZTKBQKhUKhUCgUCoVCKT74ptaYo30H09edQP9pN9BiWAuosH4MwvQUmLaeiid37eBEzIY/KrE+RQeXOaCPQqFQKBQKhUKhUCgUSvGREe2H/UpjcGrDJDw8Nwrv7BxzrQCAOjE5luszhL29hT6rT2HehMFo3nMgNt32wK/s4udKDwSgUCgUCoVCoVAoFAqFUmzwDSvjyOSuaNP+D1Rv0B2zJzXLtQKA0c39nhzFkDHT0G/uJvjHpEMiFsE99AtmbDmFu/8uxKPbV5Eh/PmX+HT9P4VCoVAoFAqFQqFQKHLCvGI1GKkps7YcpAGVW4/GqcM7cXHzX6hooAqQ25RM6qCirjKUdU2hwk+F5Bfe4tMJAAqFQqFQKBQKhUKhUBQNswWAy4USjwcej5t3NwD7Ob9fW8LP5Sp/EyyFUrQIMvD0aQDsHoYhqog+Oxno/gV2zjEQFSK4zLR02L/wJ+nwxyW3RNaVuCcm4foTmbt7XO4AhalpuPviC7zjRKwL4P+ZyYs/rjmEIC69aPJDoVAoFAqFQqH8togEeO0UhOAU1v67kgrEf3HF1Zv3cIkY+8+RRJdiPFhdRMj8yZP9/ZNwk5N+91KmFDdxPl8weJk9Bi26g6NuXxXpnyY5Fks3vkGMWLngS1gkEhz75yp6L3yE0SseYdCM61j4MA6izExs3HQfA5c8wshlD9F7/gN8jpcp9WKhCLfOvUTfhQ9xy0/a8uDj8B4dZj7AiBWPMXj+XQw4FJDVHCklhLigcHRd/QHRrF1eRDi6oPaQS2g44jIxt3Dcm/22azFz5eA91BrwAh9zbQUTw+nGazSbfAdOYcxIUfwk+nqh/cAHeJQon/gY/OwdUXPgXdyJyXV8DiL8A9Ft9AVsfpPGusiHT/deYPiRYMjnyeePy6UHmHYhXCofyB3Sz9676Ig2E94iUEFzowlRkRg9hbTD4TewzSGWtAR5I0FMcBSGzpD1BfWHvICrQPwLCzULT4STC2pMtsenKNm4lZ4Sjz83vUKCHA99fnn6TnZ/WH/GS7gnCeVaBhQW0iYFwt+j5BmZLeM3yWtpRZCegQULL6LBcCInDb+ExQ8Tch1kF+kbgqmP4qGTa0N8/ojFKdg446a0j2k95QXck2UBScRi2B24T8K/jAazHsMjWtYPMmTGRGDwpDu45cPKBnGhGCCV2RhzCXWGXMa6h4oYN3Jj1W8+rq4bgobW1VCbmKrGmjCu2x43Z3WQ+qvqmWLP4mlQVfr5SQCupq4m+yeFUgxIxHB8HQrw9dDcSgMnL3tBph+I4GzvjeMPv+DNMy/sOv8RB6+HgXkvn5IQhxPE/sw7ntz/kfh5wi1e1oAlIhGeOUehSXdrqAkyshsp86b+7I3P0nAufsxnUivUH+tupmH4wj+QfKc/2ukRQfWGJ8LCA3H+biImrxsEv60NEOQZhbteCUhLTMb6FRcw5HAIxFnLbEQC3H0UjERVYzy+MhpHemvi0TEPvKPjTYlCmCmAX3ia3CdmhKmpMG/RGE6n+sHlVA+MrsZnfYqXhEwR6uiFYvfNr4OWIDkZJ14nwVIlBSkCeVRQ0s5JezazAo4+SmLdip9M0u752kL8fSY8h9ItxKNrn6GsJERUqnwbZ0ZSCgJjBQpVdNISkhAcrxhlSyzKhFN4KprxfPHUI/ekjFzITMLKxU/QcmJXOB/tDJ3EVMTLWZKLCfDB8GUfMXVxT9IP9MOVOWr466/niEiVX0KEKWkIDYjEpJPBzFZSMgwLERSZ+ksnRheWlIQUNOnTHG9O9cWlsYaYO/M+HMIVMi2VTToZ109dJTLFFR8EpYoQ7BWDL+mykSIxPAYuX9KQHJ9A5A4f+GXPHQrwnMgK99wSkZKcBDffFFnbSkvCg6cxpN9JxeuXsbKXcwokwj8cey8w8tJHPPD/2vaS3T9i8aVIuDnI5Kx/L3nAM7aUvbZIS8RpknYm/buu+CIkLf/0Pztjj4FkLEiNS8SJpxHSul9SkUgkePaIeR7ucI8RITWJyLtZeXwWhZiwePKcZM9RmBiHF+8TIBAK8dorFkKxCB8dIhGep0HHhEbh6LUARGQ//nTcueiJ16HprD0VV2/6Iz5djIy4BJxxjJWOm8kJ8STcZAjS0vHQq3jHbybfoSJNHD/QGy4HOyL6wgPc8s1KHxCfzMP+KdbQymdbfF4iA+JRc0Yn0s/2woyKsVhrFwihRISXJ57gUHxFPDneD9fHmaPHyncIIRlN9P2CIRvekfJJRGIGW3Z65rCTymzEHOyAGkIualTRVvj+eL6OMayqVs42FQ3VoaSqiUoG2lJ/Dk8J5YyNwP2FRfxcMakIFEpxISLK2L23oTDqaYPlnQwR4uKBDxHMUCnAg1PvMH75Iwza9AbrDr7F1L8fYvujGMRFR2DNZgf0nnEHSw99wNIdz9DmL1dESMS4+u819F/7ChuPvcfsZXcw42YcxKQz/Gf1JczY7YKNR99h4pyr+PctczhGDkzK49XNIdjazRDCDAFihWKoqatC5B8NT2ijfX1VmFU3RQ2REO5B6UhNSEaAVSM8XlsfekpsGDweGtTQg5IoA0FhyfCPTIN2LT2Ys94UimJQRv8xNRF87wOiWYknwisASuXNUFtFPsOYJDkBpxz0sXR8dbhf80aQHIeVuk0qQs/JGc9DZC1eEBGCK14a6FhRQ2qnyI+M4C+ISbfE+MEV8PyVAlYhEKFRkgzExmcgU5mPcV3LQV+ukpwQt097w3JAQ7Q0l00AVmraEF31UmEfLd91ITZtaqPC+ze46KloZY+DKg2rY213DRx/GinXSYhcEDnh34MvYGptiQH1NLDXMQFeLuH4nCwrnxj/UDx0T0J8VCLevP2Mgw5JUhlCGBGLvx74wJ4o+QnxsXjxIVE20ZoSh5MXQ4mSmYw718Nzf8JL7kgQ+CkAPloWGNDBELc3PoRbLHEWp2PvwRh0aKcHl7sfoEQUic71ePj3iDvYeY/SQXIs/r3gi/o2FVBDKQZdF7sinKRfJBAgPCoFYTFpyMjOjwQhvmFYedoXAQmZEIlEiCL3hEanIjmz5Og7Qjc37PNVR3fbcgjxj0RcXAw+xfDRt31lDKivi/CASDiHyfqMzOhIXHkSg0wiT99xDoeA1GWHG0Hwz5OdcJ8YvPzggdvuadK6m+EZiNk3feDoJ5OHAx68w7/2QbhLwlXW4iPqgQNufE7FlZMOSFRWgTApBWed46T3ygUVDVQxEZMxQ0iapwj2Z+0xfNtbTJrqhHdpIiLbC3Dt8EvYjryMOlNfwpVtq1mYVrZAr+pMP6uExq3KQZfZE5yZieuvhBgzrCq0iexuWc0UTSL94RgGaJQzw4FVHTC8Vv5vzT3eBcK9cS30rJAl9Jdt6CGAlGIlLToMzz5kYnhbc7RqVQE68Sl44JmY3cHoWhjj5qkh8Py3FVG0hQgOS8t+i9lvYlf43R6OrT11kOAai8DISKy9kQij8qYY0rky6hDJ7uYpF3xwdsc/jwWo07g8hnWsABNBJs7d8EZqzr5CSQmmhmrQVBbi8CFHeIRr4M/x1tDiSCAiAgqPaQlcDulGBAgigppeOVMcGl0NBqQH+dpIuGjRvDw0kpMwePx5LHvCwRRyjzk9RoPC4u3siUU7nDD/4Cd8yVUBixeeeXm0NM3Ak2BmJj0D5056oUWbclCWUw8f7BOBkAamqFzJCF2VA/HGV37iMFdbF5PbquOqYzhEEhHuXXCHQd+6KKfK3kCRE2K8uO0F1brGMGlQHrFeoUjPlJsoKYOjhQVLG+Dl4RcYvfUN7vqwb2vlhVCEQKJ0VDbTzHFoEwfmBsrwj5Sv8sHT1MGqP8vh8sVPSFbsi3cCB/oWGkiMlCkmCiHQD08SKsPWWgdmlc2wvoMe6/EtVdpUhsDeFVGkG3tNNOlZfU3xa7tt5YOGthrMNNShos0lrVGM1MhEuDWpjG7GpDaSf7p66jDhqwGqv3J2uGLg8ngw0ldHx9ZVYfjFHffdErBv51NsueiLPUdfYqt9NLPbgSDChw9hSI6Jg71zJJLCY3H5ri92bH+ImZdCC3VuVHHCNTaGeogf7oVx0LGRGZE9JUQBDcC205/gEPSzk4Uc1CByto9jADKEQpx5koL5A0xlMqwwHadeKmPZhAo455gArpIqxoyzwYMjD/BKuT6aVVKR1hG5kBSPrXtfY/7/nsO/Wn30qKoJnzdeOCiqjjcn++LcRC52HgxASoYQli1r4eWJvtjXMhVTj4V8Z6VNOq5fCUaNWvrgCYTwSBNCOet8O3VlVCWNNz5FCB5fBYaayvlnk1Se+w7BmNWjHFTkVQ4Khk4AUIoRCdweusM1VYDVM07DbMwzBKWl4dzTcGTJhTq6fBjyedDRUpWedJmT6pV1SKcImBjKtqlkpmYiUixGRFgM7jmGIIbLRwVTCRLCUxDLEcP3UzjuvI6AkrEmaeRkgMsjbwkz03Fo3R0suJuCJds7YUwVoiEocaFMBkrSZ5BxQ0y6EWVUNOGDk18HIBLg36OuSNY1wPNrY3F2pC52LHfCy6+rlyi/OZXqVsGSCTZYPtwK5dTkKTIqo1tLYxy5HYEvHwJgp1MLXaoVYBNdUUAGzjv3/VGnKh++fumoWEUZp5+EQH5bMXlo3NsaoY6BCI2Mx+FwPSxsQ9/+yxthVAwWPhChuqEYAWFccMJDcVSOE0FZWNSpBrvD3bHCVhnzpjzD0xR5SvwcKHM5yMzzbWYh0TqUFfBSybJ5U9SM9sG5L4pfDC0WcmFhrCo3HeMbMoVIU+flUeTZsT8vaiZo35wPbyJbuPrGoplRVn8ikT7Lksq5nXfQfOpDWA5tJ31B4v8lDt1r60r9xKROrlx2Db02uKJf31qQ6/BUlBA5UYsIaBnh0Vh/Jxh3HPzxwDURTv5Ze8mV0KplReiaGWNI+3JIS4/GxcteuPcxDv7hqewkgeLhmZpi96Lm4D98jhH/eiBdxEHtxlWIgk4UYisN0k5+7uwGLUNzaKpnwi84HpEGmmikIVtLnxAWCxc9LRioKsP4+gc8ipKAp6KChMQkJBClWD4bFlk0tTFxVD10q8bFO19GWQcCPYLw4vIbNB97DSOPR4KjJAaHx4Hr3Q9oM+46pl4IQ2aS4JtVZcx+//vnnHHDyBqjmmgT2Z0Dfs518aQrZiYNNNX+uwPOTArCc0819Kws15JQKHQCgFJ8ZCTj6K0oVKhXEXsWt8LeJa2xqqcxvJ/4wTGh8B2bmrYaKioTYb9Tfbw90Ruze1iiiXUV1KipC3MeD/0md8THw13RtZEpWtU0Az/PHqJrRx9g7o0IjJvdCfOb6Ugrv0oVQ1ghEQ9c0hDsEQZvJSVYW6jJfpAXMvAHxBNBiqcCXS1lYlQgyohHYBTrT/ntUSJSvjYZcLXVlUDGLrlSq34F4LEzFp2LwJCB5aErp/jFkng4eGTAWpyCD16x0mWmEZ4hiJTjYUxaemaorxKDzXZeMKlhBkv6dRu54+MbDlVrM6hHxeJjYDJsa2vgwp0whezDVeEroWYTa/SxToWzjxwlfjJ+NK2pCQfniBxnUmTAOTgDbSwKsKm1iGHemo4bYoV9OzwRzLopBgGevAhF1Spa+U+uy4MKpqgS4gf/WKJCiNKw/3oIjE0kOP6MWSsPfPIKg76BqkwoJlWmVkU9rNlqj2iiWOiyc6l8VQ28DoqAgMgC/p9DkFBdR/q1rpLCkJnd4HC0L6Y3VCH5yISDUzBqm8teoHCVuFj9v954sqc72lqUXtHf1z0EbppmaFlLE5bqali0pAucTvTDtclVZCs5swhPQwK5OF1xRbk/mmBnfyOZewkh6oM73iaoY+i0ZijPSWbeP0FZRSY/qCpxoK2jgnOvZMKlh2sQOJaazA6nH8NTRme9TEze5YxKlc2y32a7uQajur4Erj6paNaah9tvIvHg/Gv0mvYHmoV74HmIHCdrOVxoavDRvldtVA71gAuJW01LFd1GtCb1tzccj/XFkanVkPzhM66mG+Hhod44PsYiX5kqwNEVe9yUcHBWVegwz19NGU20RPAkfS5DelQynqfroIKx1PodRHhy/D04La1gpF5620Zh+X1ySpE70f5RuBkpRvu2NTCye1UM61oVowZboVJ6GE4/T2Am5gqFkoER1o0yxftrL6DT9gRmnfaHbh0jmFSpjpV9NHFozWXwO53HYYdoWFTRzdVZCoL9sexYOJLI2L/776vQbnEItWc8RZpGeYzpa4DDKy6g8rz3qF6vHHpY6eT/lkJFGcO7VIVReigadj6EPw6HwWqgDQaVY/0pCkaCUL8YPPsQCcOaBvjP/r4MoqSngz9tObgbKcHwyt+ZxCoGEl66w788ads9qknb+Jie1dBUnIyrfvm9WiseuMrK6NVSHydvhaK7rbHcJ18AITxdw2D/QQirujpQzO4DAT69D8GDDxxY19AumLBYhLx9FYo+A2pK6wBj5g6ticzX3vBkv6oiF6KjMOTvD7j3Ply6nNOd9AKdasmzMnDRuncdGH12xcHbgXhBnsfaNY8grFYbDYzktCInD1WbVsYwRIP5ipR8kSAiJBYv34dhzwEnPMqsjAE22opbAcDXw6rZVli7+i46THOERSND1OpYA/1DXdFh8k2cy7DCkEbaUFHjw1xHGeWrm6G1lgk6dTAgbuqoaKoKHUMDzKwhRq8ZtzDOXg17p1pChbS0xDhf/DH5FmYf84OijtXS1NdCBe2vIn1mUBDe8aujmgHjxoVJeUMYldZtUcqqqKwrwdQldzDhWgKe7GyJGpYmsFtshcM77Mnzu4PNT2KgbaSHmsYqMDbVg23lVPxvtxua9GqEJCdXrPNTQ0tzNcVNQOVBv6YRLqy8ie6LnWDVwhq6mirwcXBFpyk30WG3N8ytLTFHJVhaN5d6WmJJXzKucbkob6QOLlGgTSukY9n0W8T/KRyZmQ6Cuo4aTNV5aNiuCqm7RmhUQ5O4acBMWwnRqUJM6mUt7ZuHj60Hk7c+uGTeAEPIeDVgkCWcX0dLJzCrGsnxDbiWAcY00cINtzhUblARfo/ccZ303U/feOHA2VBwdDXBT0nEy1eB+OdR3DfbNyI++aLT+gB07loewe6ReOEejzSOCv7obYTnJ1xwl4R17Mon1BnRELaapE3EJ5I+ORw+0WS89oqEi3eKdEVBeng0FjznY0Yf81Kx1aeo4AQFBUnKlaMazMCBA3H2L11S/+mcSFGREp8MZ78kWFY2QiVd2fIb5lv879xjoGSoC/3kFIRxlNDISh8qggy8+BQLQ3N9VNQR4d3HONIBmqOCFgfRITFwDeWgSWN9aIjF+OwRhvAU0tnpa6NpZS3pKZiCtAw4e0QjhbRmHXNDNLLI3YllJiThpRd7eA+LurY6GlXTA9JS4egRD4FYgspW5qik/XWESE1MgYtPAipUM4WllqxuhPqFwT2Gma5VRgNrQ+ir0jpTlDAHPI7vbQ0jvcJKK2IEecXAO0GEamRwtdT4ua7cdsxVOB3rw9oKTkZsPD6nqqJeOfYt0k/g6h0Lzy/xGNixMuvyY8KCY6FkoAsjNS5ECYn4EMtDvYoaRAkWI8AnBjrlDKGnWjCpp+fsu7i2tQsRNAouJcWHRiKIo4PaZnxWuJcgPCAW8Vo6sDYo3Lrn3nPvSeMvKKnRcQgQaaCGiQo46Wlw9E1HPWs9qPMkiAqMRoK2PqrqFqwe2D30Q52q+rCqIFsyWzgE+OgchQgxH40aGUCn4MWXi3WH32FS/xow1P0ZST0TH95EEVVPDU1JX/mz3/cZteIxDi5vDb5y4dqPn28kdEld0+dn1X4iZLmRPr2qEQzUClcgrf+8jqcHe/2UshgfFi194w4uD1bVDVFO6+fW3tuMuAznU/1YW+FISyHjxud4SHeH6emgQ9Wfexo/3RfFJeBzMh/1LGV9UVJEDF7HcNHaWle6RaEwdJxyC/Z7e7C2ghMbHIF3WZ8g1dRAWyvd3G9oC8GgRfa4sLEja/vKsKUPcWx1O6iUMrntV+pWwRDj6bFX8G3dGOMqy2fvSbOxV+F4tPB1tazQY9Yd3NrRjbX9XjCf0GNO0S8IzJL9z75xqFCZjFE8DlLiEuGewINNRXVEBkThY5QAXK4KGtQzIuOoGB7ekQhNksDMQAWpPHU0rKCWLV8lRCfgvX/y120BfDU0q6MPddLFBXiHwjdeAmV1VTQhOgazqoKR0V74fv1KmKamNhrW0IIwORUuQUI0rqGNwk7Tzt/xCktXHoG21s+OuIqhUce+Py2nUig/RENXE60bmmUr/wwqaqpo2tACNuU1UKmmMZrXIMo/Uwv5fLQk91qb8qGqpo5mjS2kyj+DoYUB2rMCLYfLRa2aFuhA/JtVkSn/DMpqfNg2kLnnVf4ZVHS00I74Mf5ZppmVnvSQNGUNdbS2MZe65VT+GdS1NUi6zLOVfwbzymayMOobU+W/RMGFZXUjUldMf1r5/xX4+rpo8AvK/89iVk5fqvwz8HTIgFaJUf4ZGxcVifJVUOX/Z9E1N0adbOWfgQPTigaFVv5/BnVDPdRklH/GokoG/1qM8s9YODAqb1Rg5f/XUUZtaR/y88r/r6OCetK+7eeV/1+hchXSH2Yr/wxKsKpjXGjl/1fRNTOU9c82pj+t/P8qahoaaCF9FsT8pPL/K/D1dNCAVf4ZtEwM0KEmM97J71nolzOR5Z8xNX5e+af8DFy0Gd1Mbso/hVJQpDJ8NQOp8s+goaeNRhWZMw84MKloLO0v2tkYgVEbOKTTqGFtStzMULOyARrlUP4ZdAx10Carj2FMXZnyz1Cxmkymb13LQKr8MzAyWva9xDQlyj+zUk5NUx0tfkL5LwgRz7fBqnp/nPJPZl0IiSF48toze7WQKNYfDh+//NQBlQlBHnANimNthYN2yRQKhUKhUCgUSllBvvNuFArlG9Lw8MozDBlri0NX3Vg3QOz/BNPWnkJMuhgSiQTpbteweO9dpAqIPesesRgiYrIOrZRIxBATi8w92xE+9sex094DQuKe5Zb9W5nLd6ETABQKhUKhUCgUCoVCoRQBgigfnPZuj/F/tofa9atwTwWECeHYevI2wvyd8deCpbjv7ImVJ57C++0DzFmxEZ9igI/2ZzBt9lyMnvAXpuy/D/IzOG7oj56zN2PKnIVoP2Imbn6MQdLn+9h42QUv7I5gweYjiEwDnl7ci0mzF2LY0FlYfssN/3W0I50AoFAoFAqFQqFQKBQKpQjwcX0DtS5NUM6wCtpafsKz96FQ0jHFX6N6wLxyC2zdsgFdGllj7ei2qN64B3asW4LaXFes3/QUQ+csx7Y1E5F5zQ7PIiWAFqBRux32bNuEfYOqYe19Z2jV6oIl/Ruj1cCJ2LJwAowTHmGPXQjmL16MnesGw3XLIbgnsYnJBzoBQKFQKBQKhUKhUCgUyq8ikeD2+ctI9HmC/205Ba/UDJy58RSZP9roHxOO51GRuHjmDPacfYAK7dugEnOwgYA5W0ZLekAzX1MFgvR8zvcI8cPzwAAcOX4a+668Q/MB7WH0H58DohMAFAqFQqFQKBQKhUKh/CKS9Nd4FVIBu+b/ienjR+J/m3ZCJ+A1fNJFgLEJqkkE2fv7uWbmKCcWyuwGxmiiy8HAUZOxcv40zBrZAxWZc2QziOGwPyBBZKFuYgItkZhESCwWFdHQWBdTp00jv52CiX3b/OenP+kEAIVCoVAoFAqFQqFQKL+I7/mTSKzfERXM9KGvpwOzCpZoq5+Cs69iAZ0aqMh9gnkLluFZCMAzrAel0KuYt+JvfJbUwOypbbF39V+YOG8VNh17hURGuVcjhps1YyC7MOhaVMfnO/uxaOsRROm0wNgupli4eJH0tweue8k+Rfsd6AQAhUKhUCgUCoVCoVAov0jlEVtxfXVvZH8pnKeJWdv/xYo2RkSZN8fmi/dwZPNytDADlPSq4+CFy9ixcjas9fhoOWA6jv27CTvWLcXq+Z1gxAFsp5/HoQE1pEFV6jABjgvaSv82qdMZ107vxZoZI2GoqoZ+U5bg6Ja15LfL8dfExszRAd+FExQUJClXrhxr/X0ZOHAg0sJfg0M/nUKhKBSfoESUN9WEirJi5idfvI9Ay/omrE2+JKYIkJwqgLmROusiX15/ikLjmkYK6wfffJbFrwjColOhpa4CTXXFfTvbOzARFcwUV/cZ3nvGoG41A3AV+HrA4UMEmtdTTBvM4vm7cLRqYMraFIMi+6IsnNwiYVvHmLUpBjUDa1w4tpm1fWXY+EVICP+k0Lr6M5SEulXUvCR1tYWC66oiYcbOJrUUM3YpmrJYnwuKu388qlavByWe4uSGn+HFq7d0AiAL5ruJzPcYKRQKhUKhUCglAw6HQ5T8b7V8KrdRKBTKz0EnACgUCoVCoVAoFAqFQvkNKGULpygUCoVCoVAoFAqFQqH8DBz/AH+JoYEha6VQKBQKhUKhUEoGSkpKUFX99ntW6enpEAqFrI1CoVAoBYVz49pByeMLu1grhUKhKJY3nyNR27Yv1NSY757In7Nnz2Lo0KGsTb5ER0cjNjYW1atXZ13ky9WrV9G7d2/pnltFcO3aNWn8isDb2xuGhobQ09NjXeTPq1evUK9evXyVHXlx9+5ddOrUCTwej3WRP+fPn8fgwYNZm2I4deoURowYwdoUw5kzZzBs2DDWphjs7OwwYMAA1qYYgoKCcOHCBdb2FaZsTExM8j0foCRTEupWUXP25CEM7VyRtf1+XHFIRN++/Vjb70VZrM8F5dmzZ3jLfQvkGC7n1BvL/lVyOW13HZxg10sSi8x7rBOFQqEolo3H3mP8ipswMlLMibq2trZwcnJibfLF1dUVnp6e0q+SKIKePXtKlXBFKX+M8s/ErwgYRadOnTqwsrJiXeTPunXrMGnSJOlEhKIYNWoUDh48CD6fz7rIn9atW+Pp06cKm4hisLGxgbOzM2tTDIrsi7Lo2LEj7O3tWZtiGDRo0HcnAI4dOwYVFRXWpXRQEupWUdOsQUU4HurC2n4/eiwPxK3bd1jb70XDhg3h4uLC2n4v5s+fjy3KWwAyXPJ5KrjQeSd6VmzH+pZcGnXsCy6HSwZYeogqhUKhUCgUCoVCoVAoheJIuw2lQvnPgstRFQMcOgNAoVAoFAqFQqFQKBRKQVDlqcCuyy4MqdaTdSkdcEUpzBI7xS2zo1AoFAqFQqFQKBQKpTRxutNW9K3cmbWVHugWAAqFQqFQKBQKhUKhUApBe4tm7F+li9J1dCqFQqFQKBQKhUKhUCiUn0L29RSJbAnAmfUnwG18IF+j0vwqHscBYqEIb5w/o0Orw1/9e97BEccwxGeIpeEI0zMxbkzu3+c09ae/RqxAeiuCHN/AkLiZ93sCnwyZG0NqWCTq9jyKapMeISqddfwPHu+/+G1cXW/g5KtopIrYmwjC1DTcfvwZTTt/vU+twxmsuxSKWHYlhO87d5i3PoShJ0JBvzBLoVAoFAqFQqFQKJSyABd8DrMRQGrhcLlQ4slM1rwAM0PA2JWVONKTAu4fu41OM1/gcbo4+15eZDDGz7mDYadDZbsJmCBZP8YwZwxKiGP2/TxZfIAAt676IJb8FRkdjHuuiTl2I0iy5iUKBhMHMVnpZQw3Jgzj59rj0IcENlwJTu63R59FL/E2/ut9gsRkLNtwD+MOB0E618AEJDXSH1EolBKJBDFvz8G2UX3p59u6DFiEoBS2pYtFuPHPeKk7YzpvfABxoTqUH8PE8Xj7cDaOplh33ZXEIfMTi0SIuL9e6vfHtucyxyKGiV/w4STq1auLOrNPsa5AkvsdtLJtmJ13xhx9V9RTmRKIhALY75qEOnXrYcV1b9ad+KREYsWkP9i4u+FeSGbRd6USMYRhrujZoTnq9JuF6ORMqbMgPhjTB7fOlfd55zylfkWLBMK0ROxZNBh1mrXHRedw1p08+xhvjOjVVhp3w0YD4RSdYwa6SCFpSAjDwnE9UKdtbzj6xbPuxIeUT+yjTdll0G3eXmQIi3dAe3tuBRqz8WWZtt1nwi+FvUEuSBDx5iDasfH/uf0uBKLizfe3SOB5bzOas2mYefw9RLJ3I/KDPP/XOZ7HqptB2X2T3BBn4tb2mWjIpmHHcyKHyTsN34W0nYxUnFg1AnWatMJxxxDWPQsJLq7sTdJdF0Nn70aKtPuUINRpH9qy+Zm4yx4CORaqREL6+092aNigHupMO5hdlhKxGI82dZWmqU6dhpj77x1ksl3OzQ39WXeZ6Tt9HZJkXeU3pIW8Q5+OTch9LXHgbSTrWsJJIxL7qpvAYLuv5no061mGIO1ZEPAcbZs3Rp2Ra5Ca9YBJJRC+O4q6dYkMQOrqsLn/Ikkgqxiv94/N9ew7Dp6EkCSpVymDGedCMX9Md9Rp1xev/L+Oc+IwZ3Ru01Sav1adp8AjQdbRMrLRi/3TsvPeZJEd6YNLTOdTIERRbzCkS3/p5/oaDVsAz8hU1qfo4IpSvo5MQxeNQKbTBGJGYXdbE3A1dXD61DCpW8qz3miUGoxlZ6Ig0tPHXwt7IlF67wR4/2uLNpY83NnzFLs/ZUCJr4JDh2V+mU79MViNB5SvDh+H8VI35x2Noa8MZEbG4IhzBpo2tICRMBPXnCLxa2O1GjYcGi6L9+UYXJtdC7qCJGw8HQBGL0j57IZFp8NgYF0Bx/YOQjqb/gfzq6Gcjhq0RbFITGODolAoJZrUWGfMmLcVNes3gZVBJuwv/43u0w8gWZKGx8t6odeaO6jVoDFqW6rj6f+GYN2VT2QoKSqEeLp1HJY8VEGzZs2gkfQWy3rXw6JLX8hAI8T+6W3Ra+tzxPl9hFd48Yy69lv7wXbGcQgCP+LjlxjWlQwcafHw8PaBVvna0rQxxlwra9K1aMiI9sTgBrWw4upn+Hl8QnAcu0wrIxJbx7bDjocRaNK0Ccw5rhjati3ehhTt4BXxdCXqNR2KKB+Sd58vELIDh0SUiS8+7ohWr5Sd9+qm6lK/oiQl8DnaVa+PU48/w8PdA7Ep7JK21EAsGNQed/yVSNyNoBlzH/17jcKX5KJfSxb/8SyaWLfE8zef8MnTG8kZX+NwPr8KVXovh27lhtIysDTRBacIa39+aJtWQVO2zJvY1ENqGKn7PomQkOFfPkgQ9f4iOnX+C4mm1VG/pgUuL+qGIf97ghyLC4sZMYKf7kLXfuugXKU2alcxwNEJDTBl92s5riYUwf/mavQe+y8MazWAtbkaNg2qjQ2X3Unq5IUArqfmYPRSO1RoaIOKmgIs7lUXJxyDi7kWFozUkFfoXL0W9j34DE8Pd0SxE4hZRLntwd8b70nbtm8gkUtJqiNdzqFz14VIMbdC/RrmsPurE4aveya3uuWwdyiaTtgt6+8DorLL0fPeNix/pCdtd7WN0rBtencsvhUl9YsP9cHHJA2pH2PqWVdC9vu3PDw8sxrv3/ri48fPiEpl+7OSjpjU6BCiECprAnWNZcaIKBdlDN/rs2DTdTaS/Mmz9wvNnswLd7mI2l2ngWtWF7a2tfD60HT0Xy/r75Ij/fGRiAVNmtpKn71NnRrgK8l+V5qIdzuFxtat8NJZNs6lZMgmPyRJXpjQpzs+pZmQ/DVEutsR9BqzBrHCDDj9MxZt/rqAKrVtUK+aCT7vHI6J/zqQdlw6SApwQv85R9B9w0G8tb+Ct2c2wcq46OUYLqcQcqGfZyR8iILcu29jrOtvBlXWvWLjOtg2tSYMOCl48DKKdP0Fw/NTKLxFHPQa0Qh/1uLh8ZMgBLCzV78MTwk9hjbAsGochL0MhTsRym9f8UEkRwurlrfESBvt7AMQ2g5oA5cLfXBoUj0Yq7GOFAqlRKOmWxd7r9vj8MEDOHt0A6yUlfDxrSuSJMl488gHuuXrYv32vTi6eSG0lbiIjIgtQgGYKHiTtuGe3REcOHAAW5eMggZxff/uI0RcHoauPo/rx9agpo7s7uKg2dg9sL9zCG1M8+nE+VoYNHeDNG2M6VK1aLUwZd1K+PfeUxxcNgK6KqwjQ/BbbL4bjI4j52P/gUM4tHIIEvyD8DIogr2haNCzmYFHLvcxrqEh65Kbqv0WZOd9UltL1rXoUDW1wYXXL/H3hI7g5yxarzv490kCBi38m8R9BHsXdEboa1e8TSj61+CaVXrg1rvnWNKnfh6hPgh7V28Cr8823Ll4VFYOC4ZChbSB4qR629HYzZb5ltV9oJ3IRcvpM1AxS1AobsQCPDh/FsHKBli/7xyO7d+Ltg0q4NWVTQiKl5PaKUjEqb1nkWphje37TuLkvu2oWcEQT678i7iif4GTP2kR2P73WSjXaYG9+4/hzL6/YaIhxvUbV5AuL70u+Qs2/M8OJu0H4vD+I7Dbtxz8jAicue0g/5UI+cA3qofTjo7YOq0HmPdTORGnBGPDjJ1QbjQCluW0ZY6iDNw5cwahasbYSJ7vsf170KquJRyvbEZognwyVH/IdtjfP45OFrkTXKXdRNy+fFLa7jbM7wMDItkmJieyvoR6A2V9ADGrpg+D+jf6sQQZfpexcu07zFzSh9iLdrJYLrSqAyxtLTPNinHQVRAWbZfioeNVDLRmpIyveD+7CO9IUyw7cBwHSFsf3aUyXh84j+AsQad6R/y7d7/02f+9bDYMS6F+o1H1D9wm49ziP+rmOrRO7GaHk68z8eeGf0n+jmLDJFt433wM14wkfHDwhqZxFSzf/C+ObFsNM10NxAeGl5IJAAkc7Q5Dp/lQDG+gz7oVD1xm2X/BpmQliItJg1DChZmZ+jeziHqG2lAjA31SYHKBJgCYZUsvXwdDzNVEC2sT9O1VAfwvgTjnVoTzqVx1VLIkCRUmIzhGAG9PkjIdPqy0ZdNgGanJOHT8DZbvd8aOC25Yc/wTAhLkN09PoVB+Hg5XBTo62mAmMWM8P8BXLIJxHSuYcHTRc1on8D6+xpzlizBtyRagUnsM7l4PRakG87X0oc1soSL4u70Co+JVqFkNKkSA0jU2hxa/eBUuTQML6GkwseVDZgpuH/0Hy5Ytw/bLjkUudHOV+DAxN/tGeAazLYEMs1GxcdIlqrr6+uBIovDhcxx7Q9GgomUME0OdrN1r3/Dl/kFp3tftOoKYlKIf9nkqGmQcNIZK3kcszb8AIRHMMkUODIwMifLgh/efC3CQTSFRUtOBmakhlPKWQYIrPnhkoIlOEjauWUHKYS1uvvaX49vfeNjNW4P3Ji0xZ0CtIm1z/4VEJISnvxc4KtVgaqgMnpYumhoZIyUlDskpRV/++SFKS4VbWCjU1KtBj8gZSgbGaKOtjbiEGGRkykf7FiTGwZm0Px3tKtBU40LZvDxaq/IRFhkJkZz2ImTGROBNUjqMjcpDVZkLfjVrtCBCY0BQGOkXFD8DwFNRg5m5CVTz6aLd7+3HcT89LPh7LHSklZcHiVAAzwAf8rtqMGbqlrYebI2MSL2KQ0qqfNYAaOibQ1/r29k0ZVWiMOyV9fWzl/4Lsw4TMK1LBdaX4HFX6rd85Sq89M9nIjI9CqvmrEBah+EY0YD5HdOhfKdjLam89QT2vgHOuAM5VjWXFVR1TGGkp/XNU2H6PDESEB6VQvyUoE3kIUHqUwSGsTf4O2DVyuXS53/7cwLrWLpQVtPNf5wjeRciA8HhzGQXF/qGBkTXew9XD1W0H9UR6gHuWLx8IWkTaxGl3ggjx7YhsllpIB6OzoGoCg+s2bQdyzdux5FHvsUyeUHkJxKsUsE6ZK5U65eQQeTb+8VkYGH6da4St0BdhzgzAfdeRoBX3gL8lAQITExRUSsDl28GIqnIxgcJSL9NYM4f4ECZmfkUi5HG7oXMTEvBibPvsO4wa866IzChtCwSoVAoDMLUYOzadR3Qqo5Ns3qTTk0ZVr0WYOuannh08gQu3HZEzW6DUcuo6JdQkQ4F8W7nsOmQN3Rb/IUVg6qy7oqDq6qNKhXKIfDtA5w5vg8LhnbA9KOf5DP7XaUWRlcxxZt9s4mgrA/rkbugJBYQIVk+E6scnjLKVagK9ZBXsDt3FGvnTEK3RZfktwS8XksMs9TGvaW9oaenh0ZzrkCZxJ6cKkehNDEBjEjkcPkg7OzscPbIVgxoNxIPYr+z+beIyfB5hf899kfLnn3RwFher//JaE8EkLTUHAoOjwcdFfmKfGIilGZk5JhsUFaBnpJ8190KidAjFOSYbODzoSc97Vl+ZGZmEDkxR4+jrg69wiw3VRDCFC/sWLMT7WauQ+/qWsSFSTNHVrfScizhYOoWebYlI0fp+HDnhrStuwSJ4PnyI3ySEqQTftomFWHFCYLdhTPYsXEdhoycgqCk3BNR/i7XcdExDLOXrYSxOjPjUfKfUzZMvTbRBmKjgHtewPaXwLav59GUdSxbdkYN9RTMb1ueKMBGWHc1gHSEScggXb26gSWs1BJw9dJ57Nm2GaMH9oNLiFwPZClWuE07o4+pKk7+2Uw61v6x4QV4SEVKGg+VO07Brh3D4Wx3Bqcv3EP5ToPRjIzLpYMEBL6Pwb1AdcyYOBbzBtXG4QXzcN3r6zbPooILFdLgRQVp8ByYmWuBzxPixsvgbCU6ixdP3BFDxj0Da13wWbf/ItLZEw9DJYhzc4XtgPNoOvUZPiUBQR+84R9XRMJSSgweu5F0GhnAWl8F7dvpSoWj/92VHRKiqqmNxXPb4uiy5uhZVbM0dXsUCkVKOPZNHIPdt4MwffNe9LepQKTPaOydOgjzT3vhb7t7OL1uIpx3jcLM3bchLGI9LC7oIcb0mo0I89Y4e3gRLJXlK2jnh3bNHnBy/ggPDw+8un0ENXTS8PDgYUTJQ//jVsb6p/dwZv8ebNu2Dcc2TYMG1xh1a5K+Vw4o61pi72VHad49XB0wpKYIb/fswOscK2KLFV5d7HK0x4l9u6X5P/K/sWQ8rIj6teSnCGfReeVVaTm8uLIMBqkvceORbF9wsSIR4ea5I4gSqGBg/35y3XPKIQqmphaz/Jdd4ywUIiYjA3wVFamRBzyi7KupMRONbMaJIhxJlHE1NVUoKclnLYSKCh/K0vyyaSCKayRRxrU1NcD53pKZIoavqkbyy8TP5jk5CZFEidbXZYTwkitp+V3fhqOeEkQ+24/xs1YgMCoJ/s6XseDUa2gQeTFX3SLPVoWUs4r0zZIiMcZC+xfStv7y2n7U1HfAwtEbEJ4B9Fp2TdYXfn6PvweUR/DLJ7j1JXdn+ODAMvgKjPBw92SMXX+ZuCTh8pZFuOTy9WDTEguz7Ph/vYBLg4HzfQArIu9fdWey8FtQyXYcLhIFf+/u7di29R9M729L6mNLWJoDtlNPss/eDfun2iLG/QOuugWxvyz9cFRssf/5PRzZs1M61m5f0B8qqIM6VVNwesl4TNryDIvO3sWl7QsQfnY6Rq48TPRW9sclGjXoW+qhf5fmMNDTgW7ljhhqI4STf9FXaq4oveAScZU65dHdXAU+D51RZ85bPP4YiVcfw7Bl+RVMOBONdG0LzOpqlGufRr6IM3HxcgCS+Hw0qGGEprWNpcbahI+YqHg880/O3pWQnpIO509MPF9NcHLuyYeviBHoG83eF4pVK17iXizQsnt5VCGpatitFloQOdThwD0M3O2BN95J0DfXhQE/DR/8UsAlgyNPTgMkhUL5NSSiDFxZOxNLLjvgj41HsGFMO2gyMmdiBE6+8YNRhaYY0sYG3UeOQG1lCd6+c4OwCNfCp8V8wIKe/fA0Uxt/X7yFLlYGrI8ikSAhLBzxAtnbN56qNhFSmSWE5YkSJHUqdlS1q6DvmDEYNXwwUrweI9XICDaW8imbzLRYRMYkyyxKWkTpIYKCeiUYMi/z5ISOWR0MJvkfOaQfAh3sIKpaFfUN5DgBUK4qKvGBgI9e0q/apMdEg6gqsDAp/kkYUWo4rl6yg1q58ejb3lKuqh6Hp4TqFapAlO6GLyGpECREwzEsFHqmjaGvLR/lm0uU/zrGZkTfdUN4bAYyIkPwND4e5uUaQD2/9ebFAE9bF4119BAT8xFxKUKkBfrheboI1avWkH7NSR4oGxijiSofwcEeSM4UIfGjKxzFqqhfs9J3t+2UBDgaRBZtUBOZkYFw9/ZHOkl7enI0/KJTYWVZCcI0NwSGkroVHwmH8HAYmDWGrpZ86tb3SAgLQSx7ACjzxl+TtH1RejIZ61IQ7BEuO3ySowJdpg0o68FMXwnCpAi8eeuCsPg0aJtVR1MrXXxxd4f7F2aSUIQoUmciv/e5gJKEIAOIYdPJUya6E6lcqhoA6fd/D/io1bU3xpDxZnD35nB/ex+GHTvCkp+O4I8hkJYMRwnaWiqkf9SAaWk8BOA/MK7aGMNJ3kcM6AGvZxeg1NAGdXiJuPzWHTomDTGkbSO0GzISNroa8HR1RlrW1xNKNOrkOXERHJH19ToBxBxVqCgXfcfJzda0CwBHQwcbVrdGKwsJ/B3fof2Yq7AdcwPz70RBoKODXetbEAX7x4lMJ0r+Cfc06FW1wJ39veF0rA8xvXFjjjWUMtNwziFaup2AIdgjGN0mMfF8NQc/f+8hZmD3/+6w993E6qcRMLCwxN+Dy0sHHY5BORxc3RTGfDHsjj1DCza8XsvfIUisjiXzWpDBW9GzuRQKpSAkel3Fii0XkSbhwvfeXvTu2Q3dunXDtXBtNNPQgLfTOQxg3AZMh0uaEjq0bQHlvIeX/CyiNNhtWIpjbsngqWng3NK+6E7iHjN3DaKJ0L1vfjf0HTgT72KBELsVJF0L4VbEg8/19b1JuCNwK4h0lo77yd/jYB8ai9dnNqFH167Ssug7bAI+hJhg2MIBKMoFcEmhHzF1RDeMW7ALMeliPPhnKvoP2YlQJOHsvAHSuLt17YIJ/7xAg5EL0LZS0U4AuF+cS+Loh50O4UTTdcKwAYOw4/I7RPjewIgOndn4O+Koozr6rxmHKkU8dsZ4PMSwfj0xZ/tVpCfFYteCURg/8zTiEYs9k3rI4u/SCbNOBqHv1DmopVP0glfwyyPo+0cvLD/jCFFsEJZOGoJZK68jlVMX3QbVg8v+WehC0jF0zkEotxqFIfWKfxLC9eQkXHovRtuZo2Epb02PqwzbNm3BSY/EvBGd0bXfMDx1DUWPqXNhVJBliUWBkhZ69GiOpBB3/DmwC7oMnAD3oDj8MW4itNgX8sUO35C0h0YI//QSQ/t0RedhsxAn4KF3357fnllRXKiXw7ghdeHz7CL6/EHSMHY1uLom6Ne+cYmYAIjzeYGRA7pj+sazSE1OxOGlYzF68nEY9FqNFw5OcHIi5vZJVLfQQY0243B50R9o0b4NxCnhmDO8C6lbI/DiUxh6TJkNQznVrXv/MP3qMFwJIOPIm+Po0X00bvhGwenMWtLXyPr73qTOv/Q3wphVC2Gh5olFbTrI+qJuXTDvRBBqEeWwqb4mElwvk/GwG/699xmDNjyT5Zcx+yeRmLQwaed5TGlTXhZxSSY6BJh8C5h5B5hOru9IBR9rRYR91r+M4HxkPHmGA3HUNQn4fBv9eg3BsefeiPJ9gvH9mefbDV07tce5yAZExxlExvogrO/WXdr/d+vWFVN2OMGidjO0r2LKhlh6CHp+kPQhvbDi/GuIY79g8cTBmL3qBlIlEfh7LJv3zh2w6gEHcxdNgaWuDhrq6CH4000M60X8+47H04hk2DTvDA1VxU7WFQwt9JrSBy8uPkSkSIzYN2dxylcVfWoX/bPj8piTgb9ZBMCFpZUxujQxg5lG7gIrV7MSnl4Zg5MjKqFrc0uZ6dsCkfcGYbptfm8YlFGvaTl0baAPVbZVxiWlo3oNU4xtXxna2bPiHFRtWgWTmpeDVlIaEvh8tLSx+BpHDlNN59vWrV/e9Nt7R7XCl0ud0TyHUl+jRW0EPxiNf4Z+vW9436YIejEMqzuYQluFA3VtTbRraol6Fvyy1o9QKGUG5iC6+s27omPbVtDNKYQpW2C78yv8r19D8JU4UNI2x5Kzb7FrYrvvfgLpZ9A0rYHORPBqXC3/jpmrrI1G7bqiVXUjYiu6lQe54aNmKyKQSg9vYmLhoePc+RhiLOuL1S2a4oLLWyxoV65YDmNT07NEu05dUNtCk82iFmo2qiz146poYPLeZ3i+aQTUilr5kc4Q81CuQRt0bdGAPGfZOGJeeyDmDmkpW4XGN8G0g/dxanb7Yjn8h0mBTjlrdOrQDpZ6Wcq1PqzqyQRnnro+Vl72IvF3QfEdwM+BYbWG6NKuJQw0yDgnfQaqmLXvOpYPbgZmMbq5zR+4d/EAKhX7W/A4fHxvgDZD5+J/Q2V1QL5wULHLDLjf+BtVTbSgQpTQVXbO2NTP4serEosMHmqN3Iz355agnK4a1HSrYccTfyzpYiRHWUIZjeacwovDM2GkrgxN4/o44uCFUY2ZT0HKCz46rL2FS3+Pgo6yEvQqtsE5h3foVC33KeaKQ9Yfa5lVQ8eOHVDRIJ8JOhUtNCcKdLMGNaDE4aBy97lwv74eVYw1oaJhibVX3mNjH3P51S1pn6cC6xad0dWGaV+yPHSe+z9MqGgs/Vutgi1OvXDCim6VSE1siPV3V4AZfUhnhEZ/7sOLW1tgSmTu5MRE8DTUUKmcce46oVcFXbt2RpXs/qyEY0bGvUHsRIUKSfP8bsC4UjBxUUhkT1oJlZq0R1fbWtkrlbV1LKGlKzvbSL1cAzx49gZtqzNT/dWwznELpCcScVVg1f9/ePv2DKz15DUTWtR8Hef0mXFOihEqW5tL/1LWscCe+75YObAhkbsMsOKOPbYOawZNPlc6Dk8+4IBLqweimM9lLjKqtRqLte2AiaMmY9Q2X2w/dwI2xkX/7DihH+0kZoJ7BTwHgEKhUIqXjcfeY/yKmzAykooucsfW1lb6NkQRuLq6wtPTEwMHDmRd5EvPnj1x7do18HiKmSnv3bu3NH5FwByiVadOHVhZWbEu8mfdunWYNGkSDA3z/7yhPBg1ahQOHjwIPl9xwmLr1q3x9OlT6b5+RWFjYwNnZ2fWphgU2Rdl0bFjR9jb27M2xTBo0CBcuHCBtX1l2LBhOHbsmHQvfmlCoXUrMwkbJnfDMZXRcNn1J7L1qV+kWYOKcDzUhbX9fvRYHohbt++wtt+Lhg0bwsXFhbX9XsyfPx9LJw+Ftlbp2nfSqGNfcCXMKZpU+adQKBQKhUKhUMosAqEI6ibtcGHr6CJT/ikUSumDK8nnk34UCoVCoVAoFAql7KCsrotZG9ainnrpWjVBoVCKFq6kiD+LRaFQKBQKhUKhUCgUCqXkweUx362mkwAUCoVCoVAoFAqFQqGUabgSMaP9020AFAqFQqFQKBQKhUKhlGU4R48dkhzav5+1UigUimIRCMVQUuYr7ATw9PR0qKoq5jNIYrEYEolEYafwZ2RkKPT0d0XGLxKJwOVyFXryvEAggJKSkkLToOg6wKDINphFWloa1NTy+TycHCkJ5VAS0tC8eXNs2rSJtX1l8eLFeP78OWsrPZSEulXUpJM8qfIVM26VBNIzxQpvJ4qiLNbngpKZmQkVZeY7x6XrMP000q9zgsODJRYmFqwThUKhUCgUCoVCoVAolLIIVyKgy/8pFAqFQqFQKBQKhUIp63B5Gr/vkh0KhUKhUCgUCoVCoVB+F7iiFBH7J4VCoVAoFAqFQqFQKJSyCreUnVtAoVAoFAqFQqFQKBQK5Sfg8vhc9k8KhUKhUCgUCoVCoVAoZRXOwQN7JPt2b2Wtvy/xSZnQ1VJhbRQKRVGkpAmhpqkn/SSbIoiJiYGBgQFrky9CoVBqFPU5obi4OOjp6bE2+aPI+JnPnTGf4GOMokhOToa6urrC6j5DfHw8dHR0FPopQkW2wSyio6NhaGjI2hRDSSiH2NhY6OvrszbF0KhRI+zbt4+1fWXatGl49eoVays9lIS6VdTEREfCQEexnw9VJHHJIjJ2KbadKIqyWJ8LSlJSEjTVVRU6Xv4M0bHx4IS4X5aYp9xlnX5fBi58gLPrOhDhj66IoFAUycZj7zF+xU0YGRmxLvLF1tYWTk5OrE2+uLq6wtPTEwMHDmRd5EvPnj1x7do18HiKORy2d+/e0vgVgZ2dHerUqQMrKyvWRf6sW7cOkyZNUqgwNWrUKBw8eBB8vuKE+datW+Pp06cKFapsbGzg7OzM2hSDIvuiLDp27Ah7e3vWphgGDRqECxcusLavDBs2DMeOHYOKSul6eVMS6lZR06xBRTge6sLafj96LA/Erdt3WNvvRcOGDeHi4sLafi/mz5+PpZOHQltLk3UpHTTq2Jd+BpBCoVAoFAqFQqFQKJTfAa50hp3OAVAoFAqFQqFQKBQKhVKm4XJUxQCHzgBQKBQKhUKhUCgUCoVSluGKUpk9dr+6zy4DO/53G52n5Tb7XDOlvgmRkZi84DbmP4yT2vNHhPsnXqEr89s9PpCwcxKHdjJh3cH/roUjJSUNK/KJp/MKB3xJEMp+UAT4fvDCgBl3cMFTln4GYWoa1my2x8wrwVj696Nv00DM3g9f72fKZM+2p3gUnM7agQBXH4ze44ck8vf9U/dz/bbfGkcEJoplN+ZHUCAWPopnLTkRw/Hme/Rgw5l8KgSyGEV4cvo51r1MlNp+FkFiMnY9Dpc+j8/3HbDsZhSKrqTTsWX1A5z0TGPtJJvv3DH5RBCyXQL80GW6LG/jdrkiUSBzTomPxexFX8uPMZPswqV+YqEIO/7J7Tf2hD9EdJ6r7ON1FejSGehMzNTlpKIUXW39IXbzZPF27gKsO880QfmyeRwb/1BSDkwvI0e+vAL69ZDFP3INkMq6y4tdQ9i8/wFcdpH/qraHO4BuTPzEzN4D5BwK5MmppbI03PVjHeSMmFT63XOBP/oBb8JYRwqlhPPxGtCjq6ztTCNtOYN1Z4h2Bwb1JuPJBiKyyHE8+U9isH1cF5LczsSMxcPw3HJesNMR9Jf6EbPSjnXNDz+s6dENnZedyZa5SyMCQQqWuD5A51dE3mPNhnA5j4Fy5NbG3uyz741/H3mxroSojxg+sJfMr+9Q3P0UxXqUFTLxfOcsNu9dsGjL/a9DrTAF59fNJuIf47cE7uLSW6GTIj9ixoRx6DKImLknEVNMWeFyuEWxBUAEd9cQvArOgIoyV2pS4xKxYK4dLnsLkJGeDkfnYDiH/ZdUJEaobzSevA3Bk3uB+Cy9NQFP7UPx8E0oXAPTpMlkDulT4Yrh5h4OJ49kcJj4iFtRHhaURNL+2DsWD59EgNU3kZKcAheXQLyJ5+F/C9rh7u5uuPunKfwEfJzcQv4m9sn1ch5EI4bn5wiEp3zVApLjkvDSM0kaZphfDGp1bojbTDjErG+vDtvFTghMkd2bGzGe2PvDqqI2a2cRCXBh222s8FTBhe1MOB1Qx/cthu/xQxrpzSP8I+EWmZWDnyMk+AtuOcRLy75mp+ZY28MIRXdGtgifvIKweo8HYrMU+5gEOPmmSnWnwA/eaL7WDdPnk7zt6oZhxgmosdQZEWmkrWdm4HUkH7u3dpWW3/W1zRB73R5rX6YRRV8C908pmLiqg+w5be+IDrE+aPaPJ5J/rTgoJRmns0BLonjEiAHmUCgBEdaEctLCnUncfzvK4k3yB5YTJfykN+tZ3BBte0QD4EYk6SC5RPE6BzSrAbz/tcm/AiMKIMr/ICCN9MFx5O8zK4EJf5Oyl8cATJ716eUkzhhZ2Ye/AwY0Igq5HIW/4GfAwsNkNCXxpxGld+d0YMtj1lNOxPsCjWoC224Cjx4AoQoQfiNJ2VetDuy/BTx+Qtrh14ldCqXEEvkKGLOE/EEkm4hPwN45wF+nZXKxw1qgbi/Spu4Dr9xIXyePPu3HeF/fjoS+u3D37l1snWGNsfVGwoWRHSVC+F3bgO5rXmDVsWtS/7ur+st+9A0iuB3diX0ennj+zl/uc6ZFiVgshEtcKFxSBVDhEJ2AGF4pO5W9YAjxdOtYLLpBdC0y3iUHv8aMjtbY6pAOiSgKcwd2gd3rYKlfpPMldB+6COGZ8n4TUXwkh/ngIreltF7fub0Ffttn4MB7IvcgBfdWjcC+mNq4fvs61vSKxJh2JO8Z//FStQTz6sZl9Fv0D+6c/Ac9M+6g71+XkVIMWeEWZauv1K4hbm7vKjV2C+pBSUw6mKCkQkWhZ6iOJpwYPA8gv4qJRRw0oKEqUzlVNNSwYhEJf2NbtKikhkpVrXCOiW+FLcprF+2p1bz6tVCHEwzSn0iJ8glCRSui/JI+hZls4LKGIevvwnY3zM+zfmtNBPZFOsFYfCXi2zfsaek4lWqE/hVyxxDh9QVrn6hhy7Qa0FBmwuFj9Iz2+LOFDun8ZPd8+eSDDmMvw2b6c3xOlnUEKbEJmDCXuI0gZuEHRJGilohTsXnPK1w6eFvq3nO7H5ITI7FgjSscH7tgxN/eeHnzMWbZhUvTlxQQhA4TrkrvXfJEJmwmhkdj8OH3WLvgMhqNegQn/xj0mHJdek+XeW6IkN6VBwN9LK8YhfX3o/O8MM3A0WOuGDq1Hf4g+eZyOejYvxEmpPtg5/PY7HuZ+Sum/FT1tTDASg2OH6Kzyy/7OSmrYMSUJqjt7op7X6hQWjaJBRbMAqpPAexvAzeJInRwAyCvzxLV6ArcIUIiE++Rv0iDIo0qKpr1LG5Ugf+dBe6RuG9cA0a0JY2cSINecnoLzDUHrjwHbpH4L+8GNEl6Xr8n8qU8BA8u0H0qcJd95utGyMo+Oob1lwMmDUm5P5LFf3qVrFOS27NnUTMFjl0CNs8gAyXrJm+0KgHXifK/eDgZQFk3CqWko1+b1NvHsvZ7cbNsEvWxA/Eg/UjlgcBL0rc0UOynGPNSrddarPyjuvRzoTXrtwJfwxnvPyVAmByN9TuuYtK67ahjrib1Z2Sg/EiN9seaq+HYvPVPlJUPuNUpZ4ubTYhOQMwCk9J1KnvB4BF5ehUekPHuJqmvuxb1hToZ7yKJriSWfIbz01A0mrBV6nd04R+QuPnCU1w6leD80DSriZ3TB0rrNY9XC537GeLWowCifHjg37PumDy8D/hKqrCdtBi10u7gDdFBSiMdx69Au6p64PL10L97LYR6PEFcMaguXC6P0f6IKQLi/ENx6ra31By48wXKhgboVFObEdEKDEdNBU1MleHslwTPZ97IqFoBWur5d2DFCZerAm1NPgKkr4wFeGwfhnqVtX55s8R34amgUXVlBH+O/Wb1aCxR2MubakCTESyzkcDbMxJJ1UxRVfWruyZRhLvWM8iWATOSubh0oC/+7ayMfjv8kJmZhr/X30eHP7vC+VQfbK0ehpH7gkgORXB56gmfBu2IezfUdXuD455q2LS8Lpq1a4hTC6uBG5MA32gBMhPiMHvbR8xa0QPOB9oj+cIjnHJLgVAghIfdJxiM64G3x9sh5IErmo7pSMLrhan1UvDKIyWfySAuGg+pB+5bH4Sl5fDNiMdrXw4amOT4HrqSGlrX5MPTK/6bl4uitDQ8+ZQBS1P1/OsbXwe1DQTwisu5to9SZkj3IUpnPBHYjIgydgE4dQp4Qdzkhbo64PJEFu+StUAFooT3rsV6Fjekxle0Jkog+ZMZ7MODZW/DzY1l3sUNh8RVvrw0GYgMkyn+pN8mnajMv7jR0wIeXJGV/d//Ao1GAB0sWU85oEz6qEBXovyT+FesBwzqAYOasZ5ygq8B1K4hU/7lP1zKUNMlabBSbBoolMKiRNoO01cydTbYn4hWpA+tVZ1YiIMp6VcrmUoXB5RUMtJTSUq1YG6ig5QkL3jACjVirpHu8BROnb+GL/H5aw6u1/4Ho9aj0MSQGTjKBhGJQTgV7I0LESFILsVLwL8PB5rGuvC9dV76fP/ZeQTlWozF4Fbm4HJqoHmninDdvBb/nNqHdbsfo8GUgWimXHZnY5OTUlCjihnRn3hQYia6ssYdZQMYcBLgE1+6t4GI0hNx4+Fb1GrYGwakmypquOAwQlrRjNYhbzwwa4uD1Gy7G4qMlFRkiAorBCqjTl0+fIhy6+SWCOMaesz7LflDKlM9Uy4uuGVAFBSKk6LKqKLH+smZ2PBYVLLQkb5YygmzfYOrxwdRPb5L1UaVoKPMgYkJUYwTM5CqpIIJMzqinakQK2ZfxrTrkUjwSZTtuTcxwMBqyuQPNViT8S8xXZjv6o00dx94qpugoZYYsUI1DO9phNsvIyHtb4ki8IcVX1ql1DWUcGHbHVzzEqF134boXl0j35qmpKKPAbbKWHU7xyqAFAFSlLlQZWbjc6Cno4bUdIFszioyGH3GMqsQLsF64HVEdmyBLX8YlOSxmlJcJBDln6kUN4gCOHsWMG0i0HUg4CuvGeBUYNdGYBaJ+0EkEJ1Ietev53/IByK4up0mZeAHtJ0DNCGCqzwRJgMnLpDnQDrKCYNIVy6nCQBm9cfyxbKyd8kA/BKIEirPTfgC4Px+WfyXPpO6SIQOgbwPQciBouVeRcdPofwM6aTf/vcqoFEJmN4zt1hcYuu0EE+unoW43Ty0syS2zDAkvL2NK18qoGXLltCLvocOfdciLM9LYKHnTcw6moZJozt9I1eWBiRiIWIFGVKTIBRK5XUtJT4ioj9h1qcXGOF8DwO8QvKsKi0rRODEgr/IcDML1z+JEeaVCgEZ7zg8Y8w/egq9NN5j8biZuBmpgdkj+0KZJ69xWJ6Ikep5DsedjfCnrQFps7XQu50AJ85eQmR0LGKdruKsd+kdiNKigzBlRD807T4MhwVdsX2GbbHowVwJUzeKqH7UHtQeMY9GS03oxa6olZqETXY+yCzUChQOatQth4x3nrj3TgCbijpFND1ReKxrmuD17QDcfRWBdl0toVesCREiMEAETXMNMCr4V4R4/zoaNapq5ykHRqnXAtcrFjmPWhKmpePkJVe8Zs/+4PLybE1ITMTi9bfx1353GLdtgaszq3z1JyOBdBbtByQlpiP4Szh2n3XDttNuuPlFBZ3qs8+JKOyy+UYOug1vjkOjq+Ltw3cYOuECNjyKyX8LHYmzSfNqUHv1Ho4xbJetr41KygKE5Nq0L8In73iYm2pKV+nBuByuHu0jXbHwZ119aGoqQSt34eUgDUFRPFio0+mBMs2fe2TLv90OAinvgduBrEdxQ5TeGy+AGBL3sxOAgQvQdyVzzqX8+HwT6PwXUKM/sIcooyryHPgTgX/mAjtJGUz7G/ijIesuD8oD7r6ysj+7ikiHN4BRO6V6uXxQA7ael8X/9hpQwQ8YtABIZr3lCdMJ/7gLL14UHT+FUmhI210+HbhM2u7CLYBtFdadpUS+RBXg49UVWHcoGmc2DQOfdPdcrjpUKrbHDCJ7VaxYEa26DYeGzw245Nx/KUrDycOnUXf6CtQz/K7AVKJJjHgLg3vHpabBuw8QK2nhYoshiOlC9I/2fdCTL8RDP1c4l8kZgOrYHxhChpsYPDo4B6pp5zFryn4kRH/AlG694NFqHA4dOYhh9XgYPWwAnvjLbSCUG/GBLzG8y2r8MX8Tqpowr0CVMWz7awy2DMauHduw7bUSetVXgbZK6azfaoaW2HvqMt4+uoQd9aPQa+hS+MUX/UsNriSTCbRoZkoyklPhF5IoNZ6esfARArqaKtkzjGkJX/39QpIQnyFBSnwy/MJTkZkjCVo1zWDkGwa7SAO0r6M4hY1voo0WwUHY8ZmDgXULO/+iiuZ1dOAemsruSZcgJDQZjW3NGFXhG1JDo/GPhxhDu1jmmgAQRUfifnI5WBt8K8xXrmmB5uJAXHqdJHv7TuLwc/+CnY+TYaIrveVbEuLhHG+MBZMbY9ofhnB4FVXop69vZYZK2mqYOqoh1k5piO566XCP/raTSUrIhHWHuuSeptg+qSo+uEaz6cwHLW0sHWGBsxcD2AkjLYzva4RjD0NBgpGS5B+KTR7KGNDaLM94rI6pM2zgff4x/nXJZN6D5obZI+Xsg9scPTQrVwzraCiKx8icKLykowljDoQhMAcAMrWEWR4uD5LjibLPtgGrdoAJucaEMkdZyIf4d0CfIaQpmAGnTgDl5LmskzTqs5uB1UeBicuANaNJ58l6FTsk7tg40lGyrb5Wa4A5KzU6nJkvlA/pCcxyKdnfFW0BS1IP48KYOUf5w4y1ilbA5TnvRKH8KmLSSW+aB+y6DizbA8zvy+gTuSmBdTrQ6RJGLDyBSWfPorGBbB2okrIhtOLDEci+dWO2snJ5WuDlEKMz05Lx3vM9Xm8ei6ZNm6LfhG2IdNiHTkOmIDBOniunfh5tk0aI7jxKapwb1COPS4ikrDNnlLRQkVmEylGFZlnriyRiJETFIo0VpMvXbgk98ujTosOQ8eE6LrmJ0OPPmRg1YjQWzx4IvQBHXCxjX2MRpkTj7+n9ob/oJJYPb5DdVJU19DFq5lqsXbsWqyZUQEx0eTQ1N2J9Syt8NBs7GjZKfvCJy/eE+F+CK5EwPUPRSAweV5+jSu9zUtNgjgNE9azxV1eirLHBOx19kO1frd95HHLLwL2D11BlwnN4peVQ27i6qFlDAkE9Y1gpcuaVo4F+vTgIS+OgkkoBEiIU4rydM274Mx0RB12HNUTybReMW/8ck9a/wLlAdazuY8CWthD2t1wxhfhNJmbijnfoO7kjRlTL+Swk+PQ6EtU7W0Azn0fE1dLD1hWN8fnWa0xax4TzFHNPR2HDXw1Q4XsTX6YmmFFPgHnk3j83vII7h4+MzAwm6fmiraMLYbA/NpwLyf6yF9+yMha25ePPjS9InI+x5IMaJrUw+GYpmZ+zNwavfkbueYE1VxLQq6M5/ms1klGNquhYTVW6kpkpv2a9bDHaMAITlsnKaNbxAEyf2xFdy3O/qbGaZgbY09cS6za/wKdEJjOpOLDTUfq7yWufYPzNZGxc2BLVdPIpSErph1sFGF6fKL+bgMmTgUkbyehoAzST0z746yTewaNkcQ/tDrwhWuiivwAd1r84yYwFxg8DvInGWYWUwa7ZsnScfsS2pWIm2gmY9z+icJOxJNEXmD1FFr+XHN48iElb3zofGDtBFueEccAXE+AvkgZ57R17dQDoOVgW//AewCMifc4hz16eskcUKfdFJP6/T8kmnU6Q5zH3pMxPXgS9I3GSct97g0ikzJaYZcCqq6wnhVJC8b4DbDpONAiiSX15DEwn7Yhpy1+IknWLtKPJpD99H0807jfAzHnAc3l93eU/CHiI0fM3YfQ2e4xsqJ4tD2kY1EDXZso4fvS1tBt4dWMXNJuNQCPSFwkjHbBs9b9I5elhxzV3fHB+jVevXuHyoTkwbj4ZD87tRXm9rNOjSjYcrhIMVFSlRk9JCWHJ/hj79hEmuxF57/19HI1XQufK1VCprIl7ohQcnT8FQ/6cSKroZEyaMhOekcYYNGsidK2qojIScGT5DKnfvP+dRpxRY/RuZsb+uAyQGom/Z/bFQ8uV2DrWJt9dhsKkcGycsQg641aispFCNpD/ItG4+M9+BEg/4iTE+xtn4SWpDiv9oj/UkhP6+YrELJl0gL84U5aZKYQwj7DJVeJBVYkDiURClExRrre/zEpzZWUlcMQiZBB9WZXPg1gggoDcw1fmQUQ0UgFJlDr5fTr5LZfHgwpzBD9LJhMe6fb4Kt8qgz/DwIUPcHZdB+lnBsVisTRNaqR2Sdi/VcnfYpGYpI/EmZUO4sd8FjZnGgQkD8yBFFkVUyQk+WNPrFMi5ZGVB+bAvJxf52BOueer8L7JCxOnhDnx8j8yKSRxCEgcTCxMOakqy24WkbSIyG9VyI+z8sFn8kTCTBeQh0UeApMXJslMHpi0K5M0Ms+GCZOJlwkqg7hLyLNQ5kpIdeRKf8M8U+a5MNuucz1n8gCzyiPnPcyJ/HzyjPNWs8wccTIw5SWQcLPzwPw4nSScqVpcHombpD8r7EySB5WcZUbymCqNn9QfUr456yOPxJH93Cglmo3H3mP8ipswMiqkBpUaBsyYDnz4IrMfewnUkp1HURhsbW3h5ESU2sIgigEZjYmg6EfiI7V80lZgXAtSaQsXuaurKzw9PTFw4EDWpQCkk3yP/ZMIsuGsA0s/IqwuHFqo5as9e/bEtWvXSBdWiB+F3gZ6rWAtOdhPyt+mcEsBevfuLY2/UAjI8+45BohJIh21AbB+F9CqeqGfu52dHerUqQMrKyvWpYCIk4F1i4BrbJ3pvxZY0IWUe+EH1XXr1mHSpEkwNCzkudzBrsDEcQC7AEaKVm/g8XLWUnBGjRqFgwcPkv66kMs4PInyNHk+kPPcpYrkudiRNllIWrdujadPn0rHDUVhY2MDZ2dn1qYYfqovKmI6duwIe3t71qYYBg0ahAsXLrC2rwwbNgzHjh2Tfvbsp/l4ChiznbXk4ARR+B2GA/tyfGcdGsAScm+/Bqz95/i1upWJZ/9Mx7xz76VtlJEdmSUL7UeuwrI/W4GT6YFlnSbhBZGRzKt1wradS2GuwUXi3YWotzkWb2/sg4H61/492PUMJh5Ox63t47LlsJ+hWYOKcDxE+j0FIJFk4oK7I7bExEjl4MbmTfFPZQvI8/zwHssDces20aWKGWGmJ5Z3GIcHaRmkOlpg+c7d6FnXkugIInjcP4wpKw8gSQCo6Jpiza6T6FBDr7BDYaFp2LAhXFxcWFvxEe1tj0l/LkZwJp/I87LxVV37Dxy6OR+f/u6JdbcSSV3QxrBVGzGhXW25HEM0f/58LJ08FNpaRaWgS+B9cyfG7X9NxEcJRKatcW7XeFjwlYv0OTbq2Bec0E9XJGYpvz4BUNrJOQFAoVAUx09PABQRihS6f2oCoAj5qQmAIuSnJgCKiJ+eAChCfnoCoAj56QmAIoROAMigEwAyinUCQAHIv27F42DfzvDqsxcbRtlIP2dd1ChyAqAkIK8JgJKIvCYASiJFPwEgH5gJAK5YLAA4zJwZhUKhUCgUCoVCKSukBQXgda1ZWFJMyj+FQil9cFGEZwBQKBQKhUKhUCiUkoGaZX0c/N/wYv6SFYVCKU1wQr0uScwS7zJ/ylx+U5gtAMw6CK4ClxxSKBTAIyAelWq2VNgS5IcPH6JDhw6sTb7Ex8cjKSkJlpaWrIt8efHiBVq0aKGwpdcvX76Uxq8IgoODoaOjAy0tOX05Ih/c3d1RuXJlhS6/f/36tXSJsqK2gTA8fvwYbdu2VegWgAcPHqBTp06sTTEosi/KgtmK0aZNG9amOL63BSAzMxNcbunauslsqWC2VpQlHj64hQ6NTFnb78fzj6lo1aoVa/u9KAl9paJgtm1aV7aEspLivlj3M9g/cwAn6IOdpJzgPuv0+0LPAKBQSgb0DAB6BoAioGcAyKBnAMigZwDIoGcAFD0loW4VNfQMAHoGwO9IqT4DgDlZXfrqm0KhUCgUCoVCoVAoFEqZhSuRx3eiKRQKhUKhUCgUCoVCoSgULofLzADQJQAUCoVCoVAoFAqFQqGUZbgcLo/o//Tgu5y4Pn+Hiu2OY6NDSvbUSGZiMoZNPIP2+/0wb819NB93Dc2HnYNhl9NoMob8Tew7XDLYu8VwOPsEtjNcEC1inRjEGdiy6DJ2OafgzMazqDzgkiwcYlrNuI/bXqnsjd+S/vEjhl+PZW1fSUtIxOE9z9FqLBPOFXRe4wbfRCHxEeLSpmsYc/Pb3xSGlMhoTD/jDzEpiI+3n+GvKxEk5KIjISYKCybfkpZBs9HXMfWQN6IzmVJPw+IZl3HOM0V2I8HDyQ1157shjvx9btNZVMpVfvdw0/P75Uf5DUgMBy6uBHR0gOH7WEc5wXxO1dcLmN0J0NUHzn9mPeSEIAF4agdUMQeajwCSMlkPeUDistsImGoD2sRU7wX4MK1UTsRHAEtJuTNxaxsDy4+SjotOassdMakHnp+Asa0Ak/KAvT/rQaGUIryeAjZVZP2JTiPAJZgR6UougjS8v70ebes3hW2T5pi+/jISGYEtF7E4MKwvmjdvzpqmqGpqhil77CEqE12lBBGpiTjx+Q607x7F8IAY1r0MIkyB39sn6Nu6BrSr2+JFnrFWmBKKqZ2qkuprhHFbb5WR5/sVQWIY7p9eh6omejhNhpssXmzuCctqtdGMreNjZp1DEutHyR8umIML6bl3uRCLREiuoIO4V5GMaCslKSkRnEwx0vlq+GdFZzgc6Q2HhVbQrWCKW/vI38Q+q2HWoUlcNO9RDfzgQPhFEsWAJcYvDOc9NNGyhgYEJOA+o1rgBRMOMVdnVsfc/z3EozD25lyIcOtOEoa01GPtLBkpWLfCHp8tquHRYSacXphfMx7D13xEDGn0wkwh0gW/1vqjoiLg4y+b2KjdvTW29DWRVpmi4sCelzD/s7W0DF4c6ooqAZ6YdlvWeaenCyHIMfCKRWKkZIikkzICkqRew5vjOVt+12ZZY8H6h3gYKruX8huymiieD5MBVdLtp8lTASaEugJd+pCmShSfdBJ/zoorD+xmAHOI4qshJMpvGpGH5Djqi0KAo/eATQeANZOBoLvAOpIWuUgepJxv7SLl3Z90JiT++uT5/28csOsl60+RG34vgI6DAY4paX/kOQjlWAcplKIg4QPQl/QlBl2B/aRfqREODBkDxJE+tYTi8+QQ+qzyxnb753j+6CyUHm7Ftid5BSF9TDxzBQ4ODjJz7xCaGOrAtr41uGXg/V9aRiKmvLkHe4kW1MUCpH0zAVJ2CHmxF38MXABtdVWkpKRAmCevb89Mg/2beKSmpJJyEZSt9d0p4Vg1tS92P02GiCuBIMcLVkbfaTFmDZ6/lNXxYzuGQHHf8ykdcEVSQZkO1HnhmVZDRYMwJKfLyibogz8q1jJEgc/G1rbArI7quO1LBCEpEri8CYb18Iaor8465cCgmiXW1crEPxe/ZE86ZCFKSsUtQ3101c3dU/u+98e5UBNM72UKZekkDg9tutvi/DJr6LO3uju64Y/pN2Ez7h7OeMnepvu5+WHwnGvoMOUm6k18hudRAojFSZg5/xa277pH3K+h8Sxn+IVHYPU/n/HmhSum7PKD/Ynr6H0gCJlEufj41A1NJ91Ehz+vYOihAMRnSBAXFI5GS+wxfe51dJr2HA/e+KPpn7dIeDfQbPgzuCTkXTuQjvBoCbgCougTG09ZBXPW9MDpXgYy70KgX7Uc/ldbgC0XA5C1DoPym/E3Ufr2zAW0FCDRWDQkjY0RHhszzVD+DDoCvD4DWGqwDnKEVxG4bg+MGgL0aQcoK5ORRV6FQDq+oauBjZOIoE7inztV5hweJbtS5EeVtmRweQd0qfO7f1WYUloJeAt4Ea1iOFH6h44m/UkPwNsfiP66ErGk4ev2Bla9xqC+oQqUNc3xR8fyuHrgFhJZ/28R4/3VI3ij1gyt6pUrE01Vja+DC637438WptAs432Pees5eO/9BIMamH/z7FKDnmPxSkd0Hjka6urMq7oyVhgaJlh97DmurBkCXY08X/4QK+6rNaUVIj2VwUpSBHC4HBhK+HifzKimKbh9Kw01LVQLVVINWlrixrNw6fSKRCzB48/xGNZS+zth8GBmwkVyeOo3S+yjomNQSUMDvFw/lCAsLBGimkYol8NdRV0ZFXS/plPfyAznd/bEyVFGWHsyEMnJsViz7R0mkoHt4d4eONddjGV7AsDMb0eRuC3/aCt1H6nhg8t+fKyYVxONW9bF3hmVoSEWQ0jGxoywQCw8H4mjG7tJ720X8QkH3sRLV8kJ3iWj+/IeeLC7JSKcAjF2YXvpPWdXWsPgm3kmVSycVBdbNz5E+8k30WvBa/imc6D0U1PSpPyMeUgJSyvSLQqUUoQSo3iSuqOIL0IxnytjFF9FrajikYiViNKtqDHwwX6gfXug9zRAszEwbzhJ08+045+AmWzI6jMeXZFd69eUXSnyg0MqvjJTD5m/ZU4USukjFfAIlP3JfCULQcDHkru9UFNPD0ERWROeStA30USmX5hUpssPUXoizl++j7ZTl6CCAuaLiwsl0v8oYuiVN8y2beab8990sRIxbh3ZBrfy/TFzTIsiXalbciD6AZHzePnpCJJEPD6yEp06tCeiyEK4l+FVIEUFl8d8974k729SFESgb2jNxxmHZKR4hOBB1aqoqs36FRCLimYo/+ELHiWBKPa+CE4zRnPDwmsn0cHxqGmtm2epFgfKKjzy/39XcpOqhlAnj1hNjXQYmSIINfWxakFjpPj7Y+SoS5h2OQyZiZkypdlAA431mW5DCbo6RJn/zhLeJK8QMiQq49OHYNxwCAMMVeH0PlZ6TgAqG6G+LhHISflZ1dTBsXl2WHE5CO6xAmiRNOTFuGYV+F8ZgGd7O6CbWhLGjbuCJXdikM76UyiFRpEzQExfqshxR1F5V+ITSVRTtm820hk4cZeUhTwLghS803HgYCjQaTEwohrrTpE7VJ6glFbqtQdaWAMbBxLpmAhOi+yJIxG8SrBmWaNFX1R+NQ3L9t3Ajct2+Pfa6//cgZb85RGeeFTAnwPLK2SxWlEgyIjDjYgvUvMwPh45j9r6XUkOvIddh59g9tplqK6dNQv7O0yJyGi7/BHCfVzx6OENzGseigFNhsEv/usWbMq3cBlFjZI/Fa1MkXDdF6cd4jGgsxnyWbn/n6jo6GBm+0zstQvCjeMfodS8ErSVWc9vyMCb1wIY19GHKusiIwOvXiaiRqVvp2pNTbXB+xSN4BxydmZ8IsbPv44zPt8RvkOC0HuVEyI5Oli+vgeOji4v7SYKgxKPC74aH+XNtFCBmKbt6mPT4HLfvPBr3KEebu7tiQF1+Lh/8CGmnPKHMOfAFBuMqSQtsZnMfIEapqzugLvLa+DSyU8ITpfOIeSGydJ362sm3r7JhCEpPzXWhfKbokgFXNEoJO+kTXYcD1y/Dtx7BPQmYuW2TUCQHAffsHtAr1mAWUfg0BLSSf0+gg+FQikqKgG3iNL/4T3wnphtw4ibJVC7sNKf/NCv3hZnrj3FoOYVUKFadXSpXw0a1S2+I69K8PLIKmh16Y16RIYrraTGeaHf2/tSM8XHFwL6theup1fieVgGjs/ujHp/zEJiajLu7pyJUQffsneUcYhuwJEaDfRYuQqN4Qa30F87BL2sw5WIiJDGoY0nP3i6WmihEorDfkCPKt/V3P8DDtr1rIO4h2+x+Z0epncx+q6yHfL+C3akamBGO5Ncc3bpQWFw0K2MKvnsa65QqzxGVIjAtsuh7IyvCM8ffoa/RkV0rfK9mMSQCLVQ20ofVQyBo3dCCq0zqFtZwjgxBhx9bdStpolPV97imEviN+eOeX8MQ6iqFrnHFH8Orkp6bWHuuMjvuZFROPI4UvbGXyzCK/cYGFcxhaGqGrqTsnjgGMUsyCNI8N41Cn/0LA99qT03oR8CsCNZHbM65C4/ym+IIte+fa/ZyQtF5D3ZF3jhI/tbmALEkVbOJ+KnvLZihBIBp8NgQM8KuHYRKK/JelAUAu2AKaUZDSOgbl2gkilw7hRgVZnIKiV7rby2mTVJcl0i11WAn2csuo/snu8BaJkhL/G/C0kYOLgf+KX19T9Bx7QpBD3+lBqvRjZQ/alto2ULg1pdMW7UELS2bYJGtatKX9TpW1SBtdlveBSeIBRh4cpQV/kZve33gSthFgHRVQC5UFJWgoE60zvyMWiAETQ1VWGixAVPRQU6qjmkGyUl6Gsqf5X5MzOxeas99n3MsQ7XoiIG1yYdVrsqqJdjDOGrc3Ht+HM0HnEZNsSMPB6IM+s7ozUZc74igdu7RLTvYpL/1l6+Bhav7oLqQR5oPooJ5yo2e+vi5MJa0kMAVdRUoMWXpY5H8qSnwQPHrBz2DFTH2BnX0HjaE1RoZAm+UiaEQg60NVSy3+Lz1flQU+LA2MQM6sHuGLnJG+mqKtBW44JvZI49U6pg+vwbJM7rOKJthSXtDcEjHY4eKY+sEtLhZWLyX8w9lzHxQibmDqnEHlaYhTY2/d0S0Rcc0Ywph5HXcTrWCBcXVYUu8W3bvyk6xXuihbSMruCxWlWsac/4MOnj4capF2jClt/wo4E4ua4z2uQqP8pvxZRqQIUmgI8YuLeK/N0a+CKnGWB/J6BxBWDQUulEF2Z3BhqSv+XFnt4kvzVJvoMB97tArfrAETmdhB/rDAxsR+In+a9hAziSQXfBAsBEDjMAElLWR7YCHklAqDfQ00qWjk4DIP1eKEV+fCL1rm5FYDJ5HkkJwOhWQIe/WU8KpTQQA3Rl+xDrusAtUo//WgPol9x1hWJhBmJjohEdHY1HO6bipXlfzG9vJvVzvbQMdSYdlv7NvPxxunkRkdYT0LuxEetWNkhOj0P/l2dg+8YBX0RkGPS+iyqPX8KL9S9L+NxcDasqVTFmz2OIIjwxpF099J1wAuV6r8Hhw4dlZsMMqPPV0KT/DCxhxsSygkSEhPhYRMfGSb9+kBwfjZiYZIgSP+KvPuvxkbSB6OgA7J++GcqD5qNZpTxfTqPkghPiYScxT77H/Clz+U0ZuPABzq7rQHR6+vqCQlEkG4+9x/gVN2FkVEgh5eI6ovzm3A1IOv8Z48mlcMs3bW1t4eREFPrCEPMFOH6cSCKsnUGdKMN/9WAtBcPV1RWenp4YOHAg61JAXhwCHuX89BNRwrsMAZpWYu0Fo2fPnrh27Rp4vMK8HpIA7+8D11/JrNbdgUGNZH8Xkt69e0vjLzASMfDEDnjuwTqwGFkCY8aiMPuB7OzsUKdOHVhZKU5gWrduHSZNmgRDQ0PWRf6MGjUKBw8eBJ9fyCXC4eQZnLjAfNzlK4YtgKkdWEvBad26NZ4+fQpmSaeisLGxgbOzM2tTDD/VFxUxHTt2hL09sxdecQwaNAgXLpC6lYdhw4bh2LFjUFEpwsnG+wcAp3DZ390mAo2L/q1CUdatpBA3HDh5BSmZgIauLSbM7Awd1u/a0k44or8I1+aRNkj6yjd3jsNLrzOGN7Ng7yg6mjWoCMdDXVibfMkQpOFM8Odcu864HH1MrFYJxqy9uOmxPBC3bt9hbcVH9Kd7OHDlVa7ttBbVu2HkkMZfF93FemLTgauo0rIv+raoXuyfemzYsCFcXFxYWzGSFosTJ44jIOLrF/5V1Bpi4vyeCL6xGVffyY6+NGzQA1N62sjl3fb8+fOxdPJQaGuVrpWHjTr2BSfowyVJOQEzAfB7QycAKJSSwU9PABQRihS6f3oCoIj4uQmAoqPQEwBFCJ0AkPHTEwBFCJ0AkEEnAGTIdQJADsijbglTXmJcxw2Yd+kC6pkX/xkGipwAKAnIawKgJCK3CYASSGmeAKBfAaBQKBQKhUKhUMoImbF8DNq2G7XloPxTKJTSByfY7bLEIv3u774DQLoCYO7wutJ97BQKRXGcuOWFXuO3QldXdt6DvBk3bhyOHDnC2uSLj48Pvnz5gg4dCr9suiiYO3cutmzZAi7zCSwFwMymb968mbXJl0ePHqFKlSqowOz/VRBHjx5Fv379oKOTtYhX/qxatQpLly6FsrLiDlBiVkHs37+ftSkGZiXEiRMnWJtiUGRflMX06dOxe/du1qYYmD7peysAmPQpKSny5NfCUxLqVlEzfmQfHF5qy9p+P+bsD8e2bdtZ2+9FWazPBWXXrl0Y268zNNRL1/fHRk9fwEwAXJBYpD/47Q8CZCYARvaoDh49TZRCUSh2D/3QachKhSlB8+bNwz///MPa5EtAQACCg4PRsmVL1kW+rF69GitWrFDY0uu1a9di+fLlrE2+vHz5EhUrVoSFRdHvjy0o58+fR/fu3aGlpbiTm7du3YqZM2cqVKlauHAh/v5bsQcIzpo1Czt27GBtikGRfVEWzGQQszVFkRw/fvy7EwCDBw8udRMAJaFuFTXzZo7DPzMbsrbfj1WnorBq1WrW9ntRFutzQWEmaAd3bwN1tdwfcC/pzF66DpzQT1ckZil3fvtP99AzACiUkgE9A4CeAaAI6BkAMugZADLoGQAy6BkARU9JqFtFDT0DgJ4B8DtSqs8AAPOZOKrzUigUCoVCoVAoFAqFUqbhiphvhzCfcaJQKBQKhUKhUCgUCoVSZuECzFJPuu89J2KRCMmpAmTm/KS4RIK0dAFSM8XSa1LKtyYj63723vzuSRd+65dCwvwvmPQIxflN0kiQkcaGI01v1j0SpKcLkW39SSQisTS9DJkZwlzfHf0lxGJpenOWQXYeBCKkZIjznZISCUXZ9yaniei0FeVbRJlAUhKQxkxsUn4b0pNlz50xmULWUY5k1TvGpOb8ED6FQil15GrPaYxIVeIRZKSR5CZJTUq2MJoTIrsmy/yTktOQr0hZKpEgVUjkQmKSRcLf76NmpK5mPffUtIzfTi6WiDORzOY/iY69hYLLZU69p58BzIXr83eo0PY4ljyIyy6a9IQkDBp3Cu0PB+LMlY9Yc8gZa9bfQflBV7BoH/mb2O8FCGQ3CwSwu/FJds+Gu7AccAkL9sruueKWiPETzmHMnrcy//2vMGiFA+zcU2W/zYfnl5/hUVAeoVYiwavnbhi/1FEazpLdDpj6z3t8SmKafxrmzr8B57BfUYLEeHPJAbPtyQBIePHkM9zj2Pz9KlGRWHvIRZru4dMuwnaRg/TvjSfdcPfGG7RY740U9tYsJBERWLLjJVaw5ThhzgOcJmVJqy4lG6+nwNxBgI42MHwf60gp25D+zv0F0Mkc0CbPXdsAGDgNCM5PAC4mkoKAef0APR1ZGmp2ApxCWU8KhVKqiA8BVgyUjSNMe25G/k7IYD1LJuk+9pg6cTyWr1iNNWvW4OAzf9bnK/7PtmHylFlYs2o5+vXsh42XXVDqp8klYrwNfY9a949B++5RWDyyw9bweNaz7CNMjsTpNcNINdWWmprNeuPWZ5nM/luQHIp/107A+MlLpPV+zbF7EPzqm8/fCC6H7v/PF26LCtBzi0QGW5fiY2NgqqMOnhof44c2wOZZttg8yBIGFgZYNY38Tey9qrCfTVJRwciB9WX3DCkPPTN9LJ8qu6e/FXNYjSapsI1l/nNa4PxQXaza+gK+iflUXGEc7j7XRV3L3J9kSvX3xJJT0Vi9ooU0nJ1/NUMrcTSWnQmGbA5MgtTEVASGJyMoNjNbURakZyAoIlnqHp4olM4WCjMFiEoWIi6WuEekIC5NRNwy4PQ+DolxaWTsE6ORbVVU0ZGdtCtITZeFG5mCVIEszZlp6Qgjg2QoCTuMxCfKyJTew5gYEnaunJmYYtPMptJ0j2ysA5tOsrJaN6khqpPxNj9e3nSEu0YF/D1PVo7bFlTGyQu+yGRXKFAo2LsIqDMIKE87td8KDydgFjEREcCO/sD1A4ADEeLlBRFCYNwTCAoHdpL4A18AM3eynhQKpfQgAvbPIv3IM+D8R1mf8ugUoF1yDxkUJ3hgwuA5qDd2E7Zt3SL9jOrsTlVZ369Y2IzF7oMHsPmfbTi2rDOOrN0Av1KuKyZmRGD+J2fomraCf6dBGMNPw+J3Tnj7m7wZ+nxrM6avu4F55z4iLNQFTVIeYuLcA4hl/cs2EtzZtwT3lYfj2LEd0nq/eWpvKPPoivaCwpWImZZClai88FTNYWiRgMQ0WU/i9cYXVWoZSDdMFCkcDjTrWeMPlVg8Dft2FUCEyxfE9KgC01w6jQBn9rpCq05lWOrKUsThqmDg5FY4OdES0o9RJCfj2E1fXH3ihYkzHuGCV5pU+d9+wBGH7P2JuzdmbXCAZ5wQgZ990HnuIxx5EIDzd95h1OZPiImKx8ewNAS4h8EjJhO7t9zCncB0ZMQlYPHqJ/jnTgBOn3+Fv04FSLdKfL73Eo3nPcHRO3549DYMh7c+xJKLAbh47zMmrHdG8A+2Ofw3YhjoaMPdLRSBqbI3e2aVq+Pe2gZQVaKNncKyzRGY0BYoXV+EovwSpP33/QsYUJMo4cZAEvPm3Qgo/52ZxOLArCmwZDK5kvg792bW1QEapeubwBQKhcEP+Oc60G896VNqyfoUA13mVRnrX/II/egEJ6UW6GpbjhEnv4uKhj60VJnBkQORkMiaQiUiN8r8SiuJcV/wJkMFYytVRUW+LoaWrwQlUSDuE5n1dyA+yAfxogpo06omTE3qolW7ekh++xxB319QXGaQiGNx94E7RvRrBDVl+tLnZ+BKGAGKfvv+W0hPainm4XG0AMiMw0V7VVQzKS7NQgmaymIk5d1kLxHikWMGOtfSYB2yECI4WAzDStrIOS+trqsKzaxHqaSGXn1rYuaQhphhmwT79wmIDw5CuJo5FvS3Rtcm5VGfm4Cb/rLF9jFcXYwaWBuzBtlAMyEUkbr6aFVZE7VtK6Op+dfvWz6/+x5eNepi65ja+Gu8LSTO3riXIFPKjVRNMWV0XQxvooUTb5QxsE9FzBrZGGdXNoLFLzVQLmr0bYN1jTMxcsZN1OlzGasfReJLbCaduqJ8S+n6IhTllwkEqloCzLfzV70GZv4NNNZh/eQI6a9x7QIZO5SBtjasI4VCKTVE+hGtishhgRcBbdKfMH3KwK1EBpTJOCWRhLgIZJgZ4N9xtmjRohmq2w7FQ9+ob7dHSsQI8fmAd6+eY/kuO/RauhLV84qWpYwvSTFIgTK02RdBepp60CXXJKECzoFRAErqGiT3vrh+5TE+uLrCJzgKQqETQsLYG8o0sQhL4sD33wGk3rdAkyaNsPDgY6RLqFZQULgcLtOx0QL7Bg4HDetp49hTUslcgxDcqioqyfmljihDCH99TbQzyas882BixkVaYiazYC1/VJVQTk22OoDH4zBHBkDTohxMUwIxbIE9Nt4KQkSyCCK2sXDMNWEkjYZDKoXkuzXCLyAOvg6uGLLYHkNXvYBTYDjeeMmGGlVLTagx/bCWNv75yxL7FtxA/4UPserKFwh+ZQEAA4+HQWPawPFIL9zf2hJV4oMxfr4TPrJbECiUbGiV+M0wALbvBo4eBfpUAHYuAg6+ZP3kiO8t4J/ngHVvYFpH1pFCoZQaspQH1VrAkSPAgh6A3UrgccnVqJITYiD0D8bYXc/w8vkz7B3IxdRx6xCW5zw0CclbZJA3fIOCUbFCPSS9uI7QNNazlJJ3qGdWQPxOrzPrDpyLsbXK4dD0Dmhg0whvEi2hwjWFVimf2CkIEkk4oj7HQH/4Cbx8+RL3z27Bs3/m4mFoEZ1V9hvAFQsYre93ajIFx7SqESxu+2KPQzqGtTVA7l34RUhqKB5+0UBrw69v2hmS4+OgqakJnW+WuavAtrk2Ij9FIS17BkAC/ydvYDXBHr7f2dcV8cIZJ6MNcGpzF9Jh1EFNvcK/lTfU10KnQU1x5n/tcWZde5zd0h2T6uVZGcFTQtPmVrh5ajDOrLBByM0XWOX4C4foZCZj6rBz2OnKzOpyYFbZGMO6WaM8Pw3usb86s0Apc5TclzWUYoFIOz2J0j1gALDtAlAlEjh8mjkLVU4QMfTLHaD+EECtOXCfxJ2nL6dQKKUAZWb5GJG3bLsBAwcC88YTezLwueROAOjom0BVqzxMDEjaucqo08AGksQopOcZBzlcHhq0G0C6yaFYtW4GwuwP475LEOtbOimvoUekYRHS2E8aJKQkIhFKqKauLrWXdTSNGmLvB19kZmYiIy0Fg6yTwdFpA0tT9oYyDIdjCbNK2qjKbvfTMKyGCvoqiEmlb4AKCpfHLM2mOlT+qGmhbfVQ2AWK0a64lv+npmLhujcQdqyDGoa5pxiCPvjBoIox8tvmXr9na9RL98Lie7LjPpJjY7D4YCDGTW6GilpSp29Q1lNHZlImuFwO4j95Yt3jRNan4NRraI4Hx97hczoX6YnhmLTlIzLyHsSXmCj9OsG7FC7U+JqwNNOFid4vTDKpqGP+kHJYv/U53BJlS7tCnT3wTl0P7QwKP4lBoVDKCMyy+8NHgFj2uyGvz5POgVyr1wP4MqdiJ55EOHoMoFceuHISMKOHUFAopRL9aoAFkVUOXmReMQKPbhFHXaCOhcy/BGJoVhlKwW8RKBXnhPD38AaPZwm1/5iD5OjpkWxy8P21nqUDdR1DVEIqzgWFIg0ZuBMcgBTVymj5HRm4LMLlKUFZWRlRjzZji90HtJ81CuVYvzINxwRVy3HgGiKb6U9PDUFECB/GRr+ga/xmcMXMJxNoeeVCx1AX3WoyPQgPvQbURc9GxtAiWri2qSFalc/Rq+rooFN9I6hk6aACAQ4fdcBZrxxTr1o66NzAGKrs6YFcHg+NbDRwcM0j9Jt/H/1WvoBm2xZ4OrVy9j0yhAiL00HzavnvO+CoqmPL/7rA5O0HaTijNn/EwKVdsKCRBkk1D/XqmkFPVZYw40rmaGjBh1m92pjfQISRSx5gwi0xjq+sB30Ol3SiWuhsJesxmc9CNqptAh0lZfQaXAPxT11w3j0J1WtYwFyDhyqNa+DudAOsXn0fo7f6YN78pqisxYWOmRHaVGPiJmhrY30/Taxfex8Dlj6BWgsbTK2Z/8Zs80omsDH9OvGhaawH6/QvGMWUDWtOfBKgUq+WeDLNHBvWyspt6VMurv6vCYzoIYCULAaStsIlQ5+3mChis8jfRJjzjWI9KWUT0v7VvhChXZ88b9LfDd4KNBgFbP2T2NlbipsPx4GnkUCwF2BjJEsHY96x/hQKpZRgSfqOpUSbsJNuO0SvncDEhUBzE9a/5GFYvw0WdeJj26K/cfHMKeyw98OKI6thTpLvdGgCzIbtIXfF48zI9pi36yquXr2MDbNXI7HtSHRuWF4WSClFT60CJlewgMOXe9C4eRybk5SwvEY9VJdX369goj7fRC1jFTLccFGu+yqY9lqFfRPq/BbnIHM4qhg2ZxzOz1iOU1evYt+Kpai9aBk6luAvdpQ0OMGuFyQWGQ+Y0mSdfk8GLnyAs+s6QEnpN+k5KJQSysZj7zF+xU0YGRFlqjAEfQZyfUqTDATVKpFL4YZDW1tbODk5sTb54urqCk9PTwxklp8qgJ49e+LatWtE9s01Gyk3evfuLY2/cAgAT19AKCLjGHnW5SsCmoV//W9nZ4c6derAysqKdSkgKVFAQCRryUGVWpB9kqXgrFu3DpMmTYKhoSHrIn9GjRqFgwcPgs+X1xKKb2ndujWePn1KxBLFySU2NjZwdnZmbYpBkX1RFh07doS9vT1rUwyDBg3ChQsXWNtXhg0bhmPHjkFFpQiFfmZVkb8/kMaeJP8T7fhHFHXdEouSEOARiDRwoG1cDuWMtMlfEpyd3RZPGmzB/tGNIUmJxOcAdkJcWQtVq1qCX4QHgDdrUBGOh7qwNjkizoR7Sop0IbMKj4+K6urFt133P+ixPBC3bt9hbfJBIkiHf4A/qaqyZdwWpK7qKmD3WcOGDeHi4sLa5IkA4V6+iBGIwFPWRMWqFcC+95Qb8+fPx9LJQ6Gtpcm6lA4adewLLpdHmoqEvkWlUCilHMuaQC0irGWbaoVW/imlETKGWVnLnnlNorz/hPL/S2gY5al3rFGAIEahUH4RZhKxMhk7SlE75vK0UJmktVatmrCUKv9Aqt8FXPhcE0v61Jfew9EwJv7MPcRUL1+kyr9C4aqghpYeahHD7P1XhPKvKDjKqqSq1sh+ropQ/hWLMkyrW0vzbl1d/sp/aYcr3SdJC41CoVAoFAqFQin18M264sCFrSiv8zupxBQKpaBwgj5clJQT3Gf+lLn8pjBbAKpa6oA5II9CoSgOR9cI1Gs5COoKOsmXWVI6ZswY1iZfIiMjERMTgxo1arAu8oVZZstsP1DU0uuLFy8qbPuDh4eHdNuJgYEB6yJ/mM8ZMcsp1dTk/M3ZHFy/fh09evRQ2DYQhpMnT2LkyJGsTTEcOXIE48aNY22KQZF9URZnzpyRLrVXJN7e3t/dAlC+fHmF1tWfoSTUraLm+OF/MbpHZdb2+3H+aSIGDx7M2n4vymJ9LiiPHj1C8wY1wS/KbUhy4OhZO+YMgEsSi8x7rNPvCzMBsHdxKyjx6HIICkWRbD/rhhHzzylsH3SnTp3w4MED1iZfPn36JBV2+/Tpw7rIF0aAOXv2rPRQIUXACPSMwqEImLMHatasiWrVqrEu8mfLli1SQUpfX591kT+TJ0/Gzp07i3ZfdSHp3r07bt++zdoUQ5s2baTnECiSkrD//ufO5ShaJk6c+N0JgB07dkhPQS9NtG3bFk+ePGFtZYNOreviwc4OrO33Y9D6YFJHL7K234uS0FcqihUrVmDeuP7Q0ixdZwC06zMCnBC3yxLz9Lu/+wIAeggghVJC+OlDAIsIeghgaTsEsGj46UMAixB6CKAMegigDHoIoAy5HgIoB0pC3SpqFHYIYAlBEYcAlhQUdwig4inVhwByGH23dH8KlEKhUCgUCoVCoVAoFMoPYF930xkACoVCoVAoFAqFQqFQyjJc6dcj6cF3uUiMTYC9QxD8EmTf1mQQC0V45xoCx4AUvP0QijvEP69xjxWxdzNkwsUxCC/8Ulm7jMSwKNxxjYVALEFSZCzu5Q3ndThi2G965iU2KgGxaTn9RHB/G4LHn+MhzOGcERuPu28jkJCRfzgMiRExcCRpy5ninEhIfr3CUkCSWfYQC+H6LhTBKUDkl3B8jsikU2BlAQFpaw6PgTt3iHlBGgLrLi/i/dm4iXn+lqTn++2vWMhIAB4/kMVv/4g0cgHrUdyQ1vP+6de8M8Y9SL7zyv5v2LjvAwHRrKOcEKYDTqS8c+bfP571lDM+pN5lpcE3lnWUI8Hv2fjvAR4h9N0CpfQgHT8ekrpL+tAQ0pdKIRX4Fdue7pCxJVHIupcU4vCapM3eLZS1y8hMicQL+zukG8qvAYoR4fkO98jv7uQwz199xndEz5JPeAx5dmTMCZH3oK8gyJjz/tXT7GfnGcnmW5gM50f2UrcHj58hjgxNZYnUOH88ZvOcZe7bOyE+W9TJhOfLe3jjHUmHngLAJZoeudCiyomfqzcGz7qLdfeishXk9MRkLF57B3MexEFXRxXGemowjv6CiXvcoKxB/iZ2TeWcEylJWDvnLjqv/Yic4uiLi4/QfcsHJGdKEPDaDTN2fYEyE1aW0VWFyncmZB7ecEJYWk6/dOxf+RBdl72Bb/pXVd7zyRv0WPkSnjHfH6yU+CrQU+d99+iH2MggLD3kK3cdRi5kpOGfDU9gT8ZMvhofWnx67kOZYOcYoFNX5gQxYjoDU5YyTUQ+RHoCA7uxcRPTuQOwUc4HCU5vBnRh09BvKPAunPUoZsSkk9g04WveGbOfKIByGVZIJHf2Au06snGT/LdqDryX1+QHIYUIn/OG5c7/lc+spxw5Ow1ok1UOxGyV877t1xeBDqTeS+Mnz6FtS8AxmfWkUEo4/jfY8WMAEba8iUMasGggcWPbU3fi17MvUTZlt5cEwu+uR0eStkE7HrEuQNzbk2jZsiU6d+2Oy+75veLhgK+pAyNjYxhLjS4+HVuCOatuIbW0vQsUERl33zNgwk1g5h3gkYImXuXM5RVt0b5jF1Itu0vNyutE/pCI8ezYCnTt2lXq1q1LZwxafgwCUdnR73jK6jDIrrfGSPG8i3Ej/kUYqbfC5EgsGdcVbTt3x/LTryChau0P4UpEzGFPpa3VFz/c9jVQMyQC6awCHBMWhiqWelBS5qFqRX3Y1DCETQUN8NX5qGdF/iZ2S608iqShFoaK4uGSNZmcHo9znyqhjTVrJ/DV1FGPCSvLVNeFllI+zyMxBI++VEIF/Tx+fGW0NFPBu1g2ocI0nHtvhBHNv94X5vUFZ+764Mx9P7iGZ0jl8ozkFATGCsjfQrx/Hwo/90DpPXZv4pApSMfT5yHw9Y/CbadYqQ7l91nmf8khDKkCJgQxPN8Hws0rEhfuk7CfRyKFbXDpSSm4/pC4ZYVH3DLT0+DoHgeP975S9wfuydmTK4nB4bJ7H4ciLofc/sUjSOb+IgRJmfm35mCvYNk9z4ORkCFLl59rIFx8YmH3gKThaRgS/qMDTI5LQkSybKIkITQK5+/J8vLJKxyBySIkxSbgqU8K3rySld/7MFn5MQT+Z/okcL3xHhvfsStA0pMxeYQD3qUmYtRgR0jVA9Jhe7/2wpT1r+CbKL1LisPVdzjqmUNwTozC8BFvEcj8LRbh/eOPmP7PO0QQ+UQK6eku7X+L61FMSRMEGVgz7xVeJCdj9vib6Lr0EYYvI+avB5h0kqRVdpcMoRDP7d0wbL7snvFb3eDJloeUhAgMG+2MENbKvFbfuv4uNr2Mk9okJD3H9j7F6uckA8lJOHLsLUaRcPoufYjNj6PIg0/D2gPvEFDcesCXa8ASIsDNPkPKiNTYv5oAdsQeKUtnseN+HbAng/CxT6RMyXPorArsvsp6FjekJR2fDJwjiugxF2l9QGIEUQYtWX85MZGUPRM3Y7ZPYKaX5YO2IXDpiyze5TakUyDC+75LrKccWU2E8Kz8z23OOsqJkLfAinNA43GkzZL6x6Th30Gsp5zQ0AUOu8ri3toeiAgAdijmiw4USqHIIGPVpKmAjW2OFbGkA7OoDHwk9VmQQpRMMqa4k/odlWOwViDp8R5Yuvotxs7/E1qsGzKTcPWxG8atPYUuTSqyjnnhQJfkq6GNjfQwwjqVjeDinYqBS8ZDt7SpAhlEVslUgmRFa0CHdSvTSBD5cDtG7vZAxyXnIBJLSHcrwbkJdSFKeoP/LdmGcmNPI1lCZLGh1WC/ZROuhslxMryY4WuaoC5bb20aNkBigBs6rJuHGkpER3t/DWkNZuLKhgHs3ZQfweURhZboTJQ88Lj60DYXICaFUVMlePfCFzVr6BdSplXG4P5aOP4wRqo0hnhGQO+PCjCXeUoRi0RISMpEPGsSU4VS+Skvbo+9YdmrEr49Z5KDFrY6OHQ/SvoYE6OSIW6gh2psQsM9AzD4SCSs6xijbjkuFu15hySiwH958wmrbkQS5TwT+zbdw98febCtowX7rY/xr0s6qlXVgq6OJupWUUf4CxeM3R+MatbGEHl7Y9yZcKJyCHHj8DP8dTUc9Ui5BN96gzGXokjaxdi1+zES9XVJePrwuvwUu14lIjUxHguX3MT1ZAPiroJdq5/ifXgmkoLD8Mfi91CpaAwVn89Yey0UQlIAIU4fMGL3F1SyMoZSoB9GHQ/5ZrtC2NtPGLLND5bVjaEW/gWjDgeSe0R4dNYB0496w7q6IRJffcLg0+HZSnteXO69wvG3iUiJS8T0lW/BqW6Eqslf0Hn+C7yKyEC4XzDGzrsFT74xaplnYNp6F6LsixHyyhXDdwWgIpO+ID+MPBacK32ClDRci+djap3vfc9bgqjQIFwgcvs6oqxW0Wad/xMJ/N39cSdCBxtnNYDJf34qPCvHBlj7v/Y4zZiNtuDf9yYKPutFCPHzxSl3VezfILtnWVtVjDri/01Zf4WP6RNscGv/Z7wn9SjBxxevko0wp5k6rhx9A78KNXGUhHNxSWP4XfqM56lqmFlXgA03w0mNKUYSiKIv4QMVzUiTINcebYCkcCAg9xacYkOrHDGk0d19BsR5Av9n7yzgozjeBvzcxV1IkBDc3d2LtsWthVLaQoFSoVSg7Z8qhQqFCqVQpLg7FHd3DUECJIGQQNw9udw3e7dAoNCP0OQuIfP8fpPszO7tzOzOzrzvyDtXRLw9Wqon8xh9LMzaB+XrQgtRu8QKf/zd3iETki7yrMQdJwRkk406CIm1RT8huAvlU6G0asG/dPZa1kSkig9LyX+C+G/qtVM3D0NANPQfLuIWykqseAemTkONjtCypPG4TDXj/7KqXyLJt4iWae634C/ajhHds3UAiHbkve/AWXzTERFw8ZxoThtDyfxh7fvsuumk9fuWl+qodZ+CtRNvjJnEW62LqwH/P7cubua4rg0vNXVTQwoQ9rYwqjma4ubZtcb0pLF/y34sHYsyqFMj4uNiRZOTZJDXdOe3sy/Cjb6vtMZBaAptX+2LB5fZdejB5SHPCrq0Iyxfl8Drncsb/MVaDuOX93piaVHQerHMh1avCAnyef0T0QhUttKwKShdCNPhLPEtRrkiOX9QNpVKUuzUNaKFsnTyUgJNyz24tVJ0ZCjTFp5jkupmbb9J8sPaV1Ya28/b06aipRrwIFYlilDvzBUuC7kv2P82xd2c7r3SpNQsPnytFl5pSWw9EkH4+WiOPzSvX+fswqCWHpQvWYznm+q4GZaOR1Fb7O1s8HbUMX5+ED2GNqRRWWd6vliN0PVnOSzaRL2VFa2blqZyKXc6NbUVcceTmhyHR6UqdKvuzIVjQYSm6jh7PgalDzKzZBlea+Ii4ilNs8rJBCZncuFsIDSvSd+qznQcUJ969lnoU1L5YfFNXhjaiGblnHmhS3USNp9lT/bB3PQ0flseSMchjWhV3plOHauTsceH7VHinFZL7UblqV7GlbYNHAn1j+P/G4D2P+ZDWu2K9CrjQuPn6zK43H3hOatKVXrVdaZKmdKUsEogODmFSSJ9z4v0NVfS17kGiVvOsTvbktu40HBsHRyxf0xlFH4jiBGTb9F/UGXcrZ+kXOm56evHmMXRvN69FI7/KAqprFvhw/fzzvH9wgscDLqrAMazYL4IU8L/PM/JVhVpmE1+8b8QTou2JXBS71euogcuB8K5YvQ+EuuiniwcZcWP3x7j3VnBvCTy4KzLZFe4HT2a2aI0xZYOzsyY1oZWQjZxaFAez2u3SM7LjuiiQuDRiA/gr5/h++9hprKHuBDabphoDUCdrjDpA1g+EjxribS0gB/6qCfzmBRRuhPF+w4+BVVLgZsQ5Eq/ACdvqBeYiPlvGuMW3zl/7TO9AppyC2avA/ea8IJwpuZ7oTwo+S9fAzb4qoEmIiRIPG/x/5sexjS4CaHoazPMglBIC4cZK8ClInSvpwZKJPmU+JswbxWMnAk13dVAlayjxu/JqywcFS3bS2+I+sVUU5v+hTsn+X19AB+8Us/Q3j49SWz65U86vD+EMg8sYZXkSzIzCImKISsuhDc61RZF0024hkxafZqAwGtCztZiqc4gti1TliLKTzIfP5xTcMngyI/jiWnwAg2KPdHomeQRaPVZilRuYkGtgFC3ThGW7LzDhVPBOHcuT8mn2WrWsSjVK6RzIzKFS+GJtCj24E08ipVk3DuN+U51H/eqgMNDyl1qXCrhlYrQyOkxFbStUEJbaTh+NZ6jx2/RuIrzvQ4AS4QCP2ETL4zzoXTLslQq8ohOBGsLXC0e3ahlpGYQlJjEjB8203jwOlp+eJBIq2RltjcI5dbe9iE7AlYO+J88Sduhm1h3044XamfTNoXW6vxQFlKTMqha0jiBzc7RnVdf8FZqLILiE/lr0hZjnKP3c1ubTPzdpRSCzPRMbsUmsHDKNsM1LUbt5YYuiTjlGhGHrYNVjmZrRN1JokhxB6XvQGBFxXLGNCloXGxwUI8VMkTcQfEJzP1pq5q+fdwWyqchbpX466Hc0VrxqG2sMzOi+XJJAHUdYzhxI9nw9enSRBm5nUBgtDqN/yHiYu4wdnMUtawjuRxmNPiSmZJq+M3NGOU3NrTvUplhvaoyrHslGpSwNVwjHjo9elQxhvepTIUDVzgSId7pHRFXZCoJaZnYW2V7UqIcFHmEDYqH01emYUOed02iUr9GtC6hlilRcB0ekV+txhVb10TSMvOwnineAbb/AuFnhBI4G7ybikBPkdC7zyGPCRIK38zl0ECko2tDCDsE45Yo7ZTpKCXivRgA59aLQntCKOEbxItTz+UlWiGCzjxuHCW7vgecRRkZNR6S83TOx4PoYuDTUSLvdkIJ/hXqPCTI5yXOJWDzRWP+L68VlVowvPK1aZ79w3y1TnwDQgH/sC788i5cM/H0Pn0yTP0c9ill4FtoKp6NRJKfmfs+3K4ML4j2IkSx2CS+mcjbohEX7axWtCPKdx0cCL1EWZ48DDb4GH9nLrKSWDbxU3RdvqRe0eySSc5JP7uMKZdceaN9LTkOWIDQuJRk7razRFw/SYea8cya8j0xKUpX0P23qBjyVmp/S4v/1kWUH9GFXWLMUl96jxiBk5UaKMkxWo1WEd7lp/8oXEq70eDoDX47rWNAE+enXNKqoU5JFw4du0igvhSutjl/1hF3Iqni7UJ2Pe1BNFStW5KQAxfZEFaayp73lfxjBwNoMKg9Z5Z1prtQ1JIScqaRWNlaUdbRgWFjX+DEwl6cmN6JAR2qUdlDveBhrl5hWURJNs3qxfwPK5J4b6H6o7FztMI3yLimLi05gV/XXUcnKqyyzo68/tHzxjj/7MyrnWtQXbTPd7G0tqSMqxMDR3c2XjOzC0NeqEntYuoFOcTT29HQCaDYMxPNItcCHlgp/wBWIm4lfa99mC19XWpSs6h6gcDSyRZ38cLCr4Ww91rSA11sFpZWTHyvHR+/25gDy324mJZFWkwc247eYusl8SweoSfbi/jmvNeCd16txZw5FwnI0pMaFcOWw7fYLu6vlAFnF1s8XI3O/l5vvhZXNztjeAlHyunSiI1OYucxEdeFGMqVc+PspTiy9JnsXHyDi5EJnPe2E/prED7ZbAGkx8axXU2fMXlaihdzp7q32tFiaUGFlDiOBN9VODLZteQMBw0Gk0RaNHmo/BsQZb6tUHgChAKsuBph4CgKQ7l/XSeRe2ybLpRPkcflO2DjMXijMSz9VCiEJliCYG0jCqVoBW3swUMUwsoVhV88jxTx7T1qPVFe4CQUbg9RKVRoB8/bio9ZfD+pJopbMdb1nRDMp66HsXNhRHtDkTMZGvEFuBYx5r9qL2gnIk+JUWZrmg5XN+P/ol6iMhMVZUVRBvQiASmP7lDMG0R8M0aJdzAb3poG4142dBJLJPmaa2eE4n8A6laBF0WdnSna4I96wMIL4qSoV5XvumRZGDpQKN/RcCHwkW20qUi+c5Xft18h4fh83nv3HX6av5PoIwsY9/tyUnJitVmXzIqFK/Fs+To1Sv63jgSJidBa4GJnJ5p3K4p4FsOjdCkaOjuTnpFCsWr18CCJKHU3sqRLPgTjTt3qz14n7OVjmwn06Mmg1l4mbeqfNbQaZYBMPsFHY6WMrEezP1RPI9cn6EUTwnZwSCx37lrDUylfyY0Zs32p0rIktg8p8WmpyVzwi+TsPRdNaHL2SjyLy2dCqFze9V9fk2vRYpw6fpkS7cvhcV//p2xZF7YduGm49/oVpzkWqSP9CQbmLC2s0YpK5Uq4hnf6erJj3gl2+UaybNMFdqXZU+5xA6teRSiXEc+R82EcOnCd386nkKkT+XlMg1m7fkVczvgy71QkBzf4cCXFGgs7e0b0Ks7e+cfZfiGSVdt82ZxoS2Wh39xDKD2vdffi8ILjbPaJZN1OX9ZFWVE1+zU5oHyT2rhcuc6iixHsWneOxYH/0sLb2DJcpG+fSN82kb7VIn2bEmweSJ+1ky1ZSenoNMks2XSTo2fCCajihLc4p9E4UcRZKPXFijKshYbh066RKhSIt/pU5+2WQtjQZBF8I8bwzs5djSIyJQsrC2ecFP2ughdvVonlrVk30BQrztv9qjO8sSr8P5J0/NSydXjfLY7Xq0izyq4M7SXialeCanUqkXbej5nHYnBxvE3DgXtp2sQdXUQYf2wMY9/B2yQ0dqdEMU9GqOl7ZDm0sGJw39KsnXqETecj2b7nCpMuaags9FG9PoF08f6s8lQZEIX68jk4exa2LoYvtkD754Qy9G/PJhcxKNqhIu5dcEYIlJf9wbE4uJmgA8LSFZqLknVKxLtvP2zYZFQ+a9Y2jQKmOwz9vzM++/3i2a9NhUaNwNkUIw/iuf89FX5YC93ega4lwVek4/JVQ5EwCYEb4et5xvzvEorvNlHJt28rPnD1vCkoWReKCGVl4iT1G9gu6uLOUNpEM2AUjqwUSv9cURZ7wcvV4ZJIh+9l086CkUhyyi+irk5KMrqjf4j61AVmH4RX3aHhcOP3dPKICFslzhWDJqJsm1FmtvOqwx6fa6yePpmffprEewPa4tZ4AJ8P643t40eJ0KdFcVG0S3etwqdEBbDsQCBDhr92bwlggUORLQMjhVPszgh/RBz4GQeUnkm01tSqV4nk0DssWL2Wo3v3sSU4hLKVWuLaoDlN3LL46/uf2X92P798Px+Ler14vmpBfbmPI5lty5bRffjblDLR+M6zilanGrmT3KdczYrMe0VR1aDdS+2Y/WYV7C01lGlYkwnPZVMoypZj+sjaON+dgiKUgOjoJGINgy5OfDKuGTU8rShSqjjTv+zAS9VsDdvvfdCnlmHLwDINa/DTcG/ibidyI5uLfWD/fj2VGlanXvFHfcQ2DPmkJf2q2WHn7MhXn3TmwybGKfd9+jShkrslTTrVY243d8N9XRs3ZNvvTahpqaWcUHi/71UMa3GPt99sTBkXo7DeuGtzhjRyoUhRbz4f4E14TDrVu7Rg7jvlSYhIxFbk+e8RZYVeYUnP11rQrZLxC1Tu94NQiq3dS7JofGMsU1OJEErryimdGNXBE2cXN75/tSrWqkLSZ0BzmhezwcGrKCsmNMA1IZHU0hX5oX9pw0yH6u0bs2C0qOgiE7EsUZrN75b/hy5TpXV9lnxchfSoRKEZe/P3+5UM6eowsAVD6hh7tEvWrszPL5fkgXrC2o5RH7fiuRJCT3mxOW82ccHexYkpXzWmSFQSCSXLM6SxhZCntZSoWIo/+xoNWVnb2TL2jbqUstZS7bnGLPygEikifRYifVveq/BA+lxLlyAtPQHPUuV4s40zYWlWTB9VDU8bO97/qApG++waGnaqww/NHUnKtotA1SZlqWutM7yzm6FJJFo688HoCsqEdvETC557uSmf1rEh9e6Ueo2GZp0r0shZLSOWVvR/vTLVbG0Z8k5FHO4Yy1W43oG/RlXELVs6NfYOTB7XmCppSYS4eLF0Qiu6pcTi2LoWvUpnEuNQjDnifT9qfKBu6/I0d78//8qjVmWWja1GRnQiybbuLPu8DsXEu9QFhnBb3Nv+/qV5gKjHvusP9evDC69C56/h1/FCWjKRpNb/M3iuAozqJITGxkIgEW94gRAYS5kifqHkfT0L3hDx92gPAz4V6ZgJwzuaRlDVVoFix4zPvq149lVfg0VfiQ/GBB0AWULLP35cyARKR4AQ3ps2MKaj31DItiQnTykqFIKjQvFX4u34HnQaI979aPWkiajUDmaOg/0/GNMRWBrWiDRlsw+W55zbB8q+40fWQUv1PbzQG8LV8xJJfkTIA9jbG52dYqNJVJrWok51KA7fVzWW48Yt4JCozxYuEnVcJePvzIRGo8XWzl4kV3EO2NpYobG0xs7WGk1aPDMnjqL3K8M57hfO/M/60bv39wSI36WdnkXnN8YRoy7NCjkyj+vFX+bVek+ztjWfkJgEn66Fj46IY+FfKuqgV8TxM4slDQd8wtT/dWTFmIE07/wy1m3GMvPnD3C3b8jPSyeh9Z1O2/ptWXirEjNnfEFpU7TDpuTaKmaeduHtTuXUACOh+/4QZb03Y2Yf4uyK7+jT+03+9gtTz0oehSb4wlp9ydRtphEU8zH9PtnJsontsRTKsaTwEXL0LEN3ZvBhF28sbwXzvW8WC8Y0xeupR/F0bJl5geQeNehbPE8139xHyPB6UR/kSpUgFLQV03fh3KsLzz+hQfAf5p9j6Jeb8FSmMueELJ1waqeIsi79EbYMnoSmTZty7JhQaHNK9viVaeGPsavxb/j4+ODn50e/fv3UkBygrF8xrmFR1pk81Qvs2rUrGzZswCKn6wb1Il5lNEbhKfOu0KNHD0P8OSL7c7+LYnwjh3lYvXo1tWrVokoVdSeBnJBLZW/ixImMGDECD2XacY4R8d81+PQf3sHgwYOZPXs2NjYPGqz9f8le/u7yFO9BoXXr1uzfv1/8/OmeY26gbDV1+vRp1WcenrouykU6dOjArl27VJ956N+/PytXrlR99xk4cCDz58/H2jqXlFhlJpdSjynfjqHsZf+mnq4sP4rcLFvKzktZosG2UOscZWeprAeWfolzljoOje/Dz4l9Wfr9a9iJbBh/p2T16eqJh2lWryxH53RWfSZEyUT27CqYYubbQ7z4RRCbt2xVfXmL4d2JcqpkWyPam7vvXnkQOvH+ldev1J1aUV5N8STq16/PGWXmoykQeVe2P3w4b8oz0d2VQQwY8/+UTfETM2bMGMa9NQBnp/yxO8iT0rBDL7T/+HAkkkKIV+M6/DagHA42Wmwqlmf5//6L8q9gQcdXKlFP3K/AISrM3KszNdTv1poOptgNTFG8LIXiq7i8rvUfRfb4n1L5+k8ogtzd+E2dfUXhNFfesz/3e2nIHUH9iTF32TMg4r2XfzOXv3vpMPF7kEj+C4qSbynK7L2Op+zfVP4sy8qMgPsKoFIVWYjkWmZzFqQGn+PzIxWYMG6gQflXMP7ODPVEbqPkXVH4s7tnHMO7U99v9nevlFcLCzVclINn8kkoeX9E3pRn8nC5N1tTXEDQKnKLobtIIinEaITAXKWSJy3qFBfOw7Cc9r9i5ehABbdCLgCLCqZSGXvFlJJEIpFIJBITY+fdmP3bfqWGi2yJJRKJEc3tS+v0JRK3CkFdDSmkKEsA/IPjlW4kNUQikZiDsKgUihQvb+jFNQdXr16lcuXKqs+0pKamGpyrqykXb98nICCA8uXLqz7TY874Y2NjsbOzy/nU91wkLCzMMP0/x0swcpGbN29SunRp0RSary28du0alSqZd621shTnqZaD5CLmrIvucv36dSoqu0qYESX+xy0BuHz5slnL6tOQH8pWbnP1ykUqlym8e7L7306nQoUKqq9w8SyW5yfl9u3bFPNwK3CzafyuB6AJubxW75W0TQ0qvEgbABJJ/uCpbQDkEuZcd/ufbADkAk9tAyCXeCobALnEf7IBkEv8NxsAucNT2wDIRaQNACPSBoARk9kAMBH5oWzlNmazAZBPMKUNgPyGSW0A5DMKtA0AfaayR49cAiCRSCQSiUQikUgkEsmzjFafpUyzldPeJRKJRCKRSCQSiUQieZbRWiibrj+0c49EIpFIJBKJRCKRSCSSZwu5DeAjuHk5kLe+3MemAGV5hJHMlFR+m3mIr7bf4acZRxj0xZ5/uEWX0tWrs3ErSD2/l29W3CRV7WyJCrjB279cJEx3/wVEX7jCyOk+RKfm9KUks/j3k1yNU70hwbz65V5DvOMWBZCsbmObkZLGL9MeSvfvV4kxnjaQcC2AdX4pRk9YKG98bbzPmNnXiMs0BhtJZd6PB9X7HGTFhfgHilLWjRvMOpto9ERFMuLbfYZr3592mQjDY8ri2PqTfDjHl7hsjy3hRjBDJx3laIgaGBzEz8cTxP0CGTP/Mon3XwnB56/w+o/HOBP60HPPymL7sZvEJqazdNkJVl1XH4CBeCaJd2FI9w+n8EswnkuOj2XG5htkyM4wiaTgkZEMv30GI0ZDQKwaaGJ2ToNBg2DrdTVAIpEUOGKC4OPhxm/51XFwV67Kx6QlneVLkd5Bwn27YDeZ/5Bj4lg19n3D+fvuDWZsOWfYRr/Ac+IiCJmOQwXgZeUBp9dMYtCrg5lz6JYaUgjQ69k0/aNs5XkYC/f6yfHsHKDNyhIalUb2AmQnJiyKVUdusWFPGHf1zeTEJHbvvcqOEPhgWFPmftmWuT1dORqaxY9jxbHwD6z6oCGay8d8afG5H8Peb8PcL1pTJzWAql/5EJMG7l7FcY26yvtLQ0kTJTYtNpqRky5To3kl3GxzsCRDn8W2VT5crF6JSs5w/cwlWv/vEq+/29qQpraWwVQcd5aoVNBlZHDgUDyvfNzKmP4vm/NcqB99J18nxVAEdOzYcBknVztCrlyn45gz9BluvLa3ZzjlPz5OaIqIUqfjhwk7OVmzuuHctFE1WfPjTqZdFhkzINK07iJuHo5E3wqi2wdHaT+omeHaNyvGU+vjwwQnaWjcrTzh6y/z83mjwJ6ly2DJ4gsE2ZSgtpfyLLPYvfkKRYo6oo+OZuPJMMOzUtCnpzF78XX0aSn8sjvigY8+MzMNv4sRWIhyfeZMEOcjjGdjboTQZuhu7Hs0EWlpw1ddnBg0cAubgjKwc3LE+2YA4/YkiacgkUgKDCEHoEIN+GU+rF4PUWoHpqlIjYLezeHD6bB8iaj4I9UTEomkYBEGXZoIRfISXDwjvufvoesASMy/UkF6+Gl6NXgT96HjmfX7JKLXjmLM6qCH5Bhnek+czNy5c41u5niKXN5HVJq2YG98JeRAPt0IU8T72nEdAoWgW4jIjPPnjcbVGfDlHFYtX8qxQDN1fpsFPZcOH6Lq0Ilquf6DV9pULuwb2uUI8aykDYBHYdGwBrUzQ0hWewAi/IMpV9kDZZMAZacAayvhLDUGK8WGY+EsHih58fz6xzVGf9qCNh4WWFtb0HNAY/pFXeKPo7HobW353+gGxC07xpaAFLat9sF7YDOG17XL0dtISQhjyWn4oKWLSEsCU3+9wtAPm9O+qIhTpKlj30YMSfZj0t7oew2CpZpeaytbXulTkqDLQcQq9WZMNLMyKtO8WBLTfzpPp2HNedHL0nBts64N+dTmpqhrI0jNTObsLQ1DRJzKOVdPV375ug3NXdWUJ8QzNakCz5dKZc73J6nUvyl9y9oYrq3VsR5fFY3g/ZVhZFoUYdxnVZnz0x72h0JswA1WhNozc2hpHJRbJScxK86bXmX/+URio8PYGuPCx/3Lc/3MLSKz9QBk+F8nxL0MDg9tebth+Qka9m/BOw3tRVosqFS3Ij8PqUgxO734BCzpPKgaNxcfxjdSdgFIJAUGu7KwbBWMfNHQopkcC3sY8xPM/w4c1DCJRFIAcYPZm+DgIdi5EsoUAT9/IdMkqefzH5cPbeZS9dcZ3q489m4lGNyjBbv+XPbAzE5FxrewsjLslqC4sBNr2Z1cmRdb1SjY0r9W6C+vNIbxwhUsI+y5gt7KnRFT5rDo1w8pYr5NW8yIrdBnjGVacRbaAl2aTY5Wayv+yhkA/0B5MM4uVtxKUua9Z3JgTzC1Kzg/eWXpF8I2nRV1vIRweBdrB15u5c7RM+GGqeaOHqWZPr4Si+ccYFGAHWPbFienm9nc2neFtLJFcbUWKbt+hw1pFtQvna0mtLJjYFsPTp66c2/0/B5ZOo75xlDEy9OgLF/zi6BlGy/sgyJZFptFs8qu9/NracPL7Yvjc+QmaRoHBjR3pPsHx1hxKIhdp6NwLedBgxLG1N+6GUWjZsVwDI9l7p102tX25N53aWFNj1YluHwkgOh0qNaiMuPLWTJh7ik+meRD78H1KOdolOLD7sRSpYYbTo946Nf3XqZY/RJULe1B9fib/Hrs7uwDHZs3BNKskYhTDTESxd97MmhS1jHbO7SgVa9qNPK0NoRZO5egU9UEtl99cDmDRCLJx7iXhhZ1xQes+k2NqGNp1gLsRY3ziLpKIpEUFEQlUruB+KbFYUoyZAi5wtMdbMxVufz/BPn5UrlhHYySpgbvspVJjjpK1GNmw+t1SWxZuZ2iL75HVQ/zbPeaa1iK9NcqDnaFs+K1snejaavmeCjyfyFEnx7DlSO72LRpE7uETmDiuX8FHq0uWdEKpdTyDzQaahbRsE6Z1n7nDgsSy1LBTT2Xizh6OBtGsCO0rtgLOfJRZOn199yDZLLnWDglSzpi+f++wru/jebtN9fTYNBa4dbR/7QjSz+qhrOlnuthOtqUNw6bP0oBvheFVkvPgS3Y8b/qVCmaxR9jt9F40A62hRt7GILDUmhWTulZMt7n4SlmD/ptGPy/trhcOMO1Oo14s+H9Tpbw8HhqemdX2FUSo/n57zheauWFhZ0dg5s7s3u9PwnKudQkdkSXoWEJw5UPYm1BEZt/HyKsUdqZg5cTlOVFEomkICG/WYlEklvsXwW3E+HF18Al/w6vxsdEUqx4MdUHbkU8ycy8TcpjZsOnxF1jw/Zo3vnoOR4jckok+R+Nljcmr2B0p1p4e+uZPaAX/5uzm2xm1ST/D1qBFJweQ/Uaxdi9LYg9J+7QtEtpivy77vggzra4Z+hIEe4+WYRHpePsbG0cEU+I54vJx/jgl640Cr3E5P3RxsuyoRjFe2vCft74ej9vTz3Dzfjsw/h60jM1ODhYGZVkJxs8MrNISns4zjQcRXqMo/DuTJ/Tk9OLe3N6aV/CfmtCeVdL9FmZBMWkUcPVChysKS6iiU/JbvVPT3hkKnYuQrFPimOPTyxVyrtTt3JZ1u0eyLKX7BnzvzOE6zK5FphAzaKiwbS1wlv8Miq75T5xn8joVGyd7bFWn6eFgwNVSxajx3PFsLv3jHVc9o0WCvnDc2r1+J28yb4UG7asPiGeywHm3rAi45YfPnfSiQiKxaG9N97/6Nh2olqZDK7HZ0+LYhfgNpvORt0zmuPoLtKVKT8IiaTAYe7BLKV+zUkbIZFI8iHpsHMqDP4d2oyCzweIuuUfwxD5Bhs7e26Hhqk+ZSVnhBDsnbBSVvc+guvLvuFOiz487yHVf0nBpmiZatStW1e4bkzd/BF/z19B7AM6l+Tf0MqRzsdj5+VMi6tB/HxBw0v1sk3lfxJKlOH9RpYsPBZJulCuN83YwXvTzjNmfxKdmxbHMjONX6Yc5ErdprxSrTgfjanH+l8OsS0su4Iv1Nay3sz6oi0LvmnLn+83oIxzdgnTkjLFNdy6kYBBVS9WijEtbVh8WDGWp2PHnF0M/cWHD3Yk0KlVSWz+pQ3LDA0iWFMcZ8UAYZFifNnZiRV7g0nW6di/7AADfzrPqE1RdOhUDluLBCZMPceN6Axj35Feg4ubDTa21mgjgzmXVoKiDiKdzu5M6O3Juq3+xAsN+8Tfx+n1nQ+fbQ6j7fMVcHtMA6WQFXWHA/FelHV9SKLOzGT13pu89E4HFotnojyXBd+05726en7fH8PFwHh61nrUYjBrer5YmlU7b5OUYSz0usxUFs88wrbAjHvTGwL9Y3D3sPnHrAWJRJLPkd+sRCL5r5xaAy+PgWYvwLKfFPt5+RrvilW5eSPYKIuJv2G3b+Dg3AoPd0PAA+jjLvL19HP07d8HOytZYUqeHbTO9thFJxEnldonRqvRKgqnfGCPRONIr66ZBCRAZdsnGF7SZbJ9xyX2hSjPVEvvIc0o5XuRIb/7cNrCiX1rTxKQ4YJtRjLb15xgTZgbc18vhZXQcUtU8WZaZ3ve/+4k/klP2oOlofXz1Yi+EU2GoQdAS9fXm1M1wI83fj/PcRw5s+kEF1OccMpI/Rfr9lkc2xJExebFDUvflPu0G9SClnE3GSIU/QNJNvjvPMHhSHuKpqVg4VCSCUOKMvz9fYybc4ZvZ5xk3OEMvhxdmYCdt6jQriTGjQw0NHqpOX1sInhz6hm2h2mIPHiSzYFWeKUnc3fV/j/R43PwNmU7eBuNAWYjOTKSo3fsGdLMNttgm4b2L9bk2OYzrPFJoorbo9fr1W1Tj5ddb/PKNyf4VqT7g0nHuV6mBp+8WFxdQpHCGb80etZ3k7qERFJQCDwO30+ELWdFBREHc36B+YfVkyYgOQZmfAt/rBDHwr9zLnwrjiUSScEiyR/eeA2DgaJadeHPH8S3LL7tC/nXunrFGk3g7GoOB6eQkRzJ0qXHafPhQIoJIebOhW38uOKoeqWeqwe3cda+IT1aVnk2ZJw08Z7WnIFV4r0pAuUJP1H/i+NCQkr0TWb+8i3TFm4mMUPP2fUzmTRlM/+cS/zsoY+9wJaN542DnyLHO6ato/7AXpS2KuB2LUyI5valdfoSiVsVna9Q0++TnSyb2N5g4T9TaNMJGRrc7C3IUo5FCXO2syQrPYMkvQXOd9eRC4U/NlWPs72VcXq9Xk9SSgZaa2vE5UZ0OqIS70+lz0hN5+DFSDo18kJjZYlz9o4Fcb+opCycHa0NnQJPgj4jje++O0G1kU3oXVRVfEWc0SLOu906WRk69p8K4cWOFckU6bN1EPd/qPZPU9Jta/Vg+EP3Udi/5xodutfE2ULkNT4dkX0DNuK3juK5pIv7YGN1b3q/gawsYhIzHthv9uD2y7TsVRcPY48DycnpaMXvbNWpdhmpIl5ry/v3yRTPOk08a1stiSJSJwfLBxowvYgjTsShsRDvJ9s55b6I92F/932I62ITMoydIRoNLk7WqvKvJ+jwOYYccWb9xxVwzH5ziUn5Yf45hn65CU9PTzXEtDRt2pRjx46pPtPi4+ODn58f/fr1U0NMS9euXdmwYQMW4jsyBz169DDEnyOOzIcRE5T+u/s0HAPLR6ieJ2P16tXUqlWLKlWqqCFPSHQQDHwOHtj+v4Pw/6kePzkTJ05kxIgReHh4qCGmZ/DgwcyePRsbG/Ote27dujX79+8XVbT5KuIGDRpw+vRp1WcezFkX3aVDhw7s2rVL9ZmH/v37s3LlStV3n4EDBzJ//nyDBfBcIfIAtBwm5I2Hhkt+3g/dS6qe/06ulq2sTG5tmUjXrzZho7Wny8iv+Oy1dtgJWWrn9935LPo1Tv3Ux3Ddsgmvsa3oB8x/q2GudwA0q1eWo3M6qz4ToezOMO5vEFXwfbxgfWv12HS8+EUQm7cIXcqExN04YfgG/MLVAIGT+wDWn/iWMqrfFNSvX58zZ86oPtOgz0zh+zeasf6qjSjLOhoOm8HkwfWxszat7DJmzBjGvTUAZ6eCtQ1Fww69hNqvPKtCrvw/jKVQzBXlX0Erjl2ENq9UlhbWVveVfwULS1wdVOVfQQgrDvbZlH8FIUgXcbG554oXc6Lfc+WE4mnzoPKvIO5XxPnJlX8FjZUNb75Wip2/nsY/Xg0Ucbpni9PTw56+XSoZGgQnpXPhETW/jd1Dyr/CQ/dRXO9eivKvnBR5db4frij/CtbiPg8o/wpaLW7ZrlVcz/73lX8Fe/Hc7ir/Cla22ZR/BUv1WT+k4N9FI+JwFXG4PHROue895V9Bue5uOsSzvms8MSUhlj8PJfP94HJS+ZdIChLNX4cLQvu+ns3lUPn/Tyi7EGx7KP6nUP4lEomZ8RCK4xW/h75l4XJR+c91tJaU6voV50+f5MTJ/Ywf8pxB1lO04r17ovlkQIt71w34cgkL8kD5NxtODjD1ZaHwZ3emV/7NhUvZxmw+cl0U0fvurImVf3OhsbTjf4vOceL4cY4fP8UfbzYyufJf0NHqlCk0D4zxSgoaxcqWYerXjSnnpAZIcoytoytff9SMRsVy0PsikUgkEolEks+IOrKZyI5f0q1ecTVEIpFI7qNFrwyPyiHPgo0GK2uL+zMRJDlGmWpqbSmVf4lEIpFIJAWbIs1HMmtsJ9Uek0QikTyI5vbFdfoSSdIGgGIDID4pQyjRsraUSMxJQEg83hUb5N66zhxy9OhRmjVrpvpMS0JCAklJSRQvbp5RG2VdqrKez1xrr5V1hEr85iA0NBQnJyccHB7eetR0+Pv7U6pUKbOVfQXFDkXNmjWVPYLVENNz/PhxGjdubFYbAEeOHKF58+aqzzyYsy66y8mTJ2nUqJHqMw/Kd/k4GwBRUVFmLatPQ34oW7nNscP7aVrTfLZLzM3p6yk0aNBQ9RUunsXy/KQoNpvKlyqBpZnsJj0tR0+dlUYA75LdCKBEIjEf0gigNAJoDp7aCGAuIo0AGpFGAI1II4BGTGYE0ETkh7KV25jFCGA+whxGAPML5jACmF8o0EYA9bpM0EgbABKJRCKRSCQSiUQikTzLaPXKNgBy2rtEIpFIJBKJRCKRSCTPNFqNtTL6L2cASCQSiUQikUgkEolE8iyjzUpV/skZANnxPXKe6s8v4ZeTyWoIpCckMeS9lbz4VyDvf7mNRq+uo9HLKyjVdRn1lWPhfj6dpl5tZPo3S6n68hrjtcJ1/vwwQQnGzha9Xk9U9B1GDDSeqzd0K0vPxZCaZTj9DzKuXGHwxmjV9yCX95+h5qD1zDuXqIbAjG/XM803QfVBwImLVOm7iumn7oddP+NL4wmX73X/3DznR4NXVvP9wdgHuoSUrSIP7z/Pc6+sFWldS/2PznAtPsN4TWYm589d5vmByrl11Omzh30x6WTJPiWJqUmJgx2TwasEDJmjBkpMQoKom5Z8CCXEs//WvOuFJRKJ5OnQCQFwHzSpZKzLvNqAn6jb8rM8o88k+OoqetasR8MG9ekz5neikv+ZYH1mApumjaF5g4Y0qF2Nz9f5ky6yW6DJEhk4eA5eXAydF8HbhyG2oGcqB+h1xPouoZkoqyWEa9rrLfwjla3dCwf6jFRuXN1D79olGL8zRg2VPClarYVWfESqT2IgMz2DcFdbgo+Gc/dTSkyMJzkulRitLb+N78LJRb04+VllbLyKsn22OBb+Dxs8aDQpSejaQ8Z2MF67sCdvlEzktVVhhnPR/jcY8M1Fek540XB+/6SG/P31Lr7dF6s0QQ+hY+v2aHo2dVX998nKyGDltnB6tPNgxc5gMtR3WbOKCxsOC4VIISuLQ8fCKF/WkSPHQklXr7l8PJhmjTyN3T96PTt23uT5Dl7s2BZIcqbagOjE/afvYfwZa1b9peSzJ3+9mMGQ0UcJTMki7NxF+s2KZuqfPQ352D7Rgy/e2U9gfCGqhCX5g4ndYd4lSBffWOz9zjtJHiOEEN7rDPuSRKUXCgkPdoRKJBJJwSBS1GUjoNvb8GpXiD8AvQdCjGGkLF8S57+Xvp1n8/qGPZw4uo828at4a9qxe7LrXfxWvst3O+3ZcuQ4h7bN5cr3XVlzNrxgz/+NiYC/hRtQB+rZwcmL8MMV9eSzT1zQEfp2fZfo6i/ywcdDST8wkxdenaGU4kKAniOLv6DXJ6tJsbYSYoccdcwpWr0yVCsnAPwDizJVqOh8m0S1UIVcuEG5Gp5YPO2zEr9zc3ekvKul8OhYPe8EtTrUpHN5o/Va5yKe/DShDW+3clGsMjxAVmIK6xzdedHjnzsUJEYGsTnCnpHP18Ai5BYXkozafbmapQg8eosQcZyly+R8kFDaR9QmNOA2sZniGl0iW08n0rK8veF6XXIIi89m8frztSmTfoezcUYFPiY0kl/2wfh3q1LEsKGsljptGvHXuNqUEv6QO0lY2DtgY2l8TsWr1mLHX+0o51ywtsSQPAOM2wwLvwFXWaGZFI341qfvFYKXEJyN1YlEIpEUQIrClrOiLfkAPh8L3sUhOg7SM9Tz+Y/LR7YT3fF1uldwQ2vtTKfn6nFp7Waisw/sZd1hwaTDNB7wMq42Fth5NaVb7SxO+l4v2B0A7sVgYnsYVAtG1VcWNUPw/Vmuzzr+B1dyIiiZ0ZNmMPbDr3nn1bbcOvoDR68VhgE4DY0HfsORxT/QrJooB5Ico9VolIIie04eRqPV4q615UKiUvEns3VLItW97XLYV5LG0llHefl/u3n5s92MWRFJz1bOIjyR4+ehopfDA7svetcsSkmrf8YQERlNeWcHHnEKn62X8KpdAs+iDjznkMLEHbGG8BLentROCuXYbdF2Rd7mupDM23m6Uz41iT1RomW4dYcjqe7UL2FnuP7KVl+yynlR3MOOdl4WjN9iXG4QFxtNWFF3alrej1yZNVK5gqtIj4b6z9VmRNHb9Pxgp8jnPuadTcTOztJQD0skJsXOEayEMmql+iWmw148e6V3VOnflEgkkgKJqMPs7A3/CAsWAlAMQigCW/Ntifn/EXz9CqXKet+TJYsULUVS0hEis8+Ijo7kYFIKpYrd3V5Ug5d3Cfz8g5UJogUXxYC5lZrzS0LY1Qtdpoqb0V8ICLp0lgR9GbxLiIZXo6VcpSpY69KJVDqtCgFWNvbYWcvBxqdFq9GKgqOX2to/EBVLvUpWLDueTMrVEDZ7V6CSi3ruibHh5aFNWDS+ncFN7u/O+7/6kyKqaluhd2ufcPeFqJAYqlZyNdR12dHFRDJ+QzxVvWw4fiEKdy9rLmy4QlC6HgtnOzp4ZXL4Yhxnd/nhWLkMLq7WdK9tw9q90Rw7cROH+uXxdtSgS4jli2WRVK3mzJkL4Vi52nBtw2X8UvUGZd/CWvNAR8UDODjy/sfPc/yPTvww2JvNM/fSZsQBriTIJQASMyGLnvmQz14ikRR4EmDObxBmBW9/DkJ2yq+kpSZTvGhR1YeQ84qgz0pUzDPdR3ji9FkUcbu/jNRT/CYl9RlZriVkWBaHgJsnvFpaDXz2SUlOUo8UNFjb2j5eVpdIHkKLUq/JEvNIylcpTthGf1YejaFnJy8c1PCcoCjQVpbCWVlQraonGp8griQ5UKdKFgFhyQ+YX4g4eZ5Xppwh9oHFW+mcPBJHtXKO/5h9cOH0Ta64laF5OUuysvSUa1qVxtpgDvsr65+teaW/N+eO3ODv3bHUreuBFRY817okV/bcYO3ZRFo3KYHSr+1/OZjjliV5oZq14T5etcvRweUO288n4OjkhvudaPyUnlUVvU7HnBm7+f1UEmsWHGXBFZ0hj2WrVmT1ny/yerkkll/OXjFJJBKJRCKR5HeE8v/xMJi0ByYugteaqOH5Exeh9EaEh6s+ZdZmlJA3S2JvnNxpxM6echZWRMUYZ4gqRIRH4eHu/I+BpYKHeF8f7AJfHXzZDkpnz/izjYdncfH37pRHPQkxMWRptbg6KzONJZJ/R6tLVqa4yyUAj8LS3YnmWSHMug7dK/33HuDwiEScG5WhkoOWXq804NQuP86EGteWpSTE8/uia7hXKo1jtqjSQ+5wwK4sFV0eqqWFQr738C1eHVGf7g28aGtwZRnSyZU/ttwxWOF3qVEa53MXmBXnSYcaxsW59mU8qBV9hUWBHgxqYozo+AF/eg6tR6979ynDiB7FWLbtJo4ebgytl8GE+TdJSFfKiZ4AX3/WX9TQsZo1xa2z+GH5RQJi1DVyCUn4xOipWUzOw5aYCTkjzHzIZy+RSAoyKybC9BXw5hh4v6cylpKv8apQmasX/VSjfzqu+17EodRzFM2uA7oUoWkRW67eCFal/UTOnbpBraplC/ZyzQwhd07ZD1cT4fP20Ny1UA1oFq9eB3cuceJ0GLqsZM6fOo2+SBsql5Jr8ST/P+JTUSS2At8FmKtoNBosDbWiLf16uZCutaSEss5Io8Uie22pXJfdKmB6Oj/9vIsZvsa5V1ptGtMm7qDBoLU0eGUtH+9IYv5bFXEU5zyrVGTekGJ8/M5Gw/nG7xygeL/WfPeiR7ZltHrOnYimaefiIiUPoou4xbZge4bWenBtWt3WtUg/dol90aKady1Bi2qWVHiuIrXuTl9wKEKfVk5UaFyMqkraY0JYfsGC4Q2UVN2naovaOPpdZ0eMFcM+fI6XrIN4brDIh0hr1z+jGf9lcyo7WNGiTyP+7KDn1aHrqa/k8439VB7Yku7ehacXVpJP+Kgh1O4AAVmw+0dx/CLcklvD5DnKVkxDakOLl0DZ5GT+u+LZvwFp2eegSiQSST4n6jC8MwVSxPG+VdBU1Gu1hdty23g+H1KjYXvszk1n9ekog1HoP5Yc440vX0GZ7H9p0/c0f3+hOHJnyIcvsG/NPCLj07i+YxpLblSja6vqBVv6v3Yd1oh3kyHaoCUHYcBqeFm4APX8M06Zut2oUNaZX4c2pW7dhvy4/jJdx35F1QfF+WeWLCF7ZGZkGGYuZ+kyyMzUyeHsHKC5fXGdvkTS1kLVa/Yo+n2yk2UT22NpKddDSCTm5If55xj65SY8PT3VkCfkz5FwSp2JYqAofP8ZeDqp/iejadOmHDt2TPWZFh8fH/z8/OjXr58aYlq6du3Khg0bsLDIwVC+PgsmDwc/1W+gMsz4CINRxhzQo0cPQ/zmYPXq1dSqVYsqVaqoIaZn4sSJjBgxAg+Pu8a6TM/gwYOZPXs2NjbmM3zWunVr9u/fb+iMNxcNGjTg9OnTqs88mLMuukuHDh3YtWuX6jMP/fv3Z+XKlarvPgMHDmT+/PlYW+fSMH28L4yZCrqHLOMN+xGaFFE9/53cLlvJPisZNXWHOLLluUGjeLltZYNIv+nLzvxu+yHb/9dZ1NM69i79iSV7hdJMeUb/Poaadrk3U7NZvbIcnSPiMSW3bsH8QNWTjTdbQwn12ES8+EUQm7cIXcrUBO5g2Hcr0es1VGjYnQ+GdcPWxDPx6tevz5kzZ1SfqdBzZOVk5u7ILnhU5uPpH1HVhIYBx4wZw7i3BuDsVLB6XRp26CXqiALd/SeRSCQqb82AOXOyue9yrPxLngKNEDXHZH/uihubY+VfIpFIzIpzTZg566G6TLhcVP7zAvva/UUy5wg3jYGq8p+Vfpp127P49pUWxos0FrR75VP1uv/lqvJvNkqVgi+Esv+wM7Hyb1bKdWL2bOWdzuazt0yv/JsPDc37j1HL81031qTKf0FHq1emb2rkpAmJRCKRSCQSiaSgk3wzjlbjp1K/TCGZDy6RSHKEJth3rb5k6jbVW3hRlgB881ZDLC3kEgCJxJzMWnuZvu/MxN3dXQ0xLY+bbmoKlOn/gYGBdOnSRQ0xLcr08xkzZqDVmqceHDlypCF+c7Bt2zbD9P9y5cqpIaZHyfuAAQNwdb2/XZepGTt2rGEpgpWV+UYIX3nlFZYsWaL6zEOvXr1Yt26d6jMP5qyL7vL6668bptmbk88///yxSwDGjRtn1rL6NOSHspXb9O/5HCsntlR9hY/hv95h1uzZqq9w8SyW5ydl0qRJjBzQFQd7o6H1gkKfN95BE3Jpld4rWVk7VLjXAigdAJ2blRKCr1wTIZGYk62Hg2jVfTSOjuYZuVCUH0WoNAfBwcGEhobSsGFDNcS0/Pbbb4waNcpsa69///133nvvPdVnWk6dOoW3tzfFiytbK5mHTZs20bZtW7OVfQVlKqWi9Flams+S9A8//MCnn36q+szD+PHj+fLLL1WfeTBnXXSXyZMn8/HHH6s+86B0zj2uA6Bdu3Y5s1mSD8gPZSu3mfj1WMa9UVP1FT5+XRfN6NGjVV/h4lksz0/KqlWr6Nq2Cba25rOZ8zSMnzwNza3za/TeGdvVoMKLNAIokeQPntoIYC4hjQDm0AhgLiKNAEojgArSCKARaQTQiMmMAJqI/FC2chuzGAHMR5jNCGA+wDxGAPMHBdoIoIWi8D5k8FQikUgkEolEIpFIJBLJs4VW2T9R7gQgkUgkEolEIpFIJBLJs40Wfab4J3cBkEgkEolEIpFIJBKJ5FlGq7WwEvq/nAKQnbCrNyjXYSkv/G83A4Tr8/Y6BvwVQGQqxN4Op9G7Bwn+lz6ThPAoWvVYRMfPjL8f8L8d1B20l22BKYauloTwaP78bRsdPxLnxm7nhe/OsO9mmvHHj+Dw+gNsCUhXfQopfP3yMlxf3oZ/gk4Ng6ADJ7F9fiVbrouEPgHRQXeo885hbotEXd5zgl/3RaPT6zm87jANRu5k9PIbbF59lD03U9RfPCk69s3YxnfHU8hMz+CPxecISpPrTCQSiUQikeRfYqP20f13bzTfaNB+o2X0qUOk6vKx/JIZz+4V39C9dVde6tuTzoPe5dyd+3LhXbIS/Jn0wRvimv707tiIgd+tJSqnol1+Q5+F37GLVG42B03DWbh3XcW8M4nqyUKALoXTK76kpFZjsJdSss5zbPKJVE8++9y+vJm+TZ837JzTtU1t/tjpjzKpXfJkaFHs/Ei7d//AwqIYk75rzzLhVv7aGv2GU+wIyElt6c433z5n+P2y7zqysJuOifOukZSawbSZh7hSuTF/TxLnfujIX89pGPn9IYISH1Fys+LYudueOmUeMnKjAU8HWy4lKjM4FDI5eFzLc/Xvd+ZkZeqIT0oXLoP0bO1BelqGITwpPeve3I/KLesxooUbWSmpbD0Zz8vDm/NjvzJ07NaQlt62hmvu3y8TXbak3r2fEk+G+Pp0GSns2h9LWmomektLhvStSUlrYyHLTM80XJuQnHnvQ80Qv08VCUxQ7qGEG4PFfYzXGtIvv2qJRCKRSCR5hT6Myev7sV3fkSPv+fBblSpM2zaCvxNi1QvyH6Hnt/LeOH++2bqO5StX8HaFO7w7cS3J6nkjeg5NfZ29SS2ZJ65Z9fcavHZ8yrKj1wv0/N/E6EhGfXcMizZN8Fnfk96O8bz14TF8/tn/8Uxy5+IWXn/7Byq9/RcXr+yjUfwBhvadQGAhGG/T69P5/aNxPPfnbJYtW8bcP8ezdMK33Miu7Ej+Fa1OKFdK5SB5POlxqaSUKErN4k9raVZDyeL2JCalEJ8YyVZ/O0a3dcVWMbSt1VKiaU26aSLZe+fBKlsh6txNAjpXpOQ/jHJrqFvbmeXHEgy+jIRUznjZ85yjsQMgJS6BX37YydBpZxn/2x5GLwwkNVNP1I3bvDdmG5/9dZYv517kjtqncWjBRl5bfJtLJy6x91ocO7dc4khQKjMnrWWBbyIZScn8Pnm34X5jPt/J1EOxKJ9Z1M3bjP5uL1+J+3069TDvrw8hyO8OR6LT2LvtKmcjkhgmrr+YrCMy4BYff7WTMTPP8tGkvfx6IEbcIYOF36xl4M+n+G7eGV4du4cpJ+NFBhL4+fudfDhdxPf9AYYtDXqoQZNIJBKJRCLJJaIPsDA0iT5NhtLUvRbvtBqFs+4SK6+EqBfkP66ePoBtz77Uc7BCo7Whdv3KRB07RLQi2t8lI5iVS0Oo3/U57LUaLGxL06SOA5euBRdo6T/2yg2O3rZg2KBq1PIuypC+5SExgK3ns2f+2SXo+GauRzsy9L03qF65FS8N7Exi6BJOXXyyWcAFGX3cDg4He9O9rHG3KOeidfGMv4pvnOwAeFK0Go2iWcolAA+jywxmwOB1NBau1XuHuBBjjYNjTqZK6AgNTeTmHeFuhPH+/FA6dK6EbVQ0mc6OFLHI/sytqFLKFt+QhystHbsPJfN8rUdvL+Hq5YrVputcFeU9OiIMFxywFJW7gu/BC/xtX4klY5ow6eO2uF725a/LSSxedBbPvh34fVQTfhhSjWK2D777Gi1q06GKG73616VdOTs1FK77XuW3mBKG+/36TS38dlwjMSWDbZv9KP1Caya+UZtRXctzdPE14mt409bDhi49q1PXWd1LOjOdufPOkdy8KdM/aMLPw2qz8vfDbI9UNqHQ4FS6FN++25SJ3RxZsiWUpNt3WB7oxsdvNWT61235uYcXxnkIEolEIpFIJLlLRNQVQrOscbMxShuaEjWoJf5HpeTfGQDBAVcp4nl/21Bn16IkpRwnShlfuUt0FIfSUijq6qIGIH7jxtWAELIK8GjxLf9IErDB3ckoxxYp44a7+B9rGNh89rl5+TypeODqJDwaDd5lK2CtzyIx+dkfLtNfPE+Agx1W6pbFlpZW2Dvc4sIV2QHwpGg1isIoJwD8AwtLb5Yt7MUJ4U4t7EZfjyBWHInJwaNK4dDBm2w8INzxSJoPb8dPndyxcLQmM+X+9Pe7JCSm4/JQB0NWWiYBLk50KPGYPbkdnHm5cQx7fFO5dOQ6ZWp5iBdqPBUTnkr9uu4oM++1VlbUKm3DtaB0zt3S0KCGtWHVh7OzPY52VsYf/D8kRCTRok4xw/3snL3589tGuIjfdmhflohDpxjw7l6mH7tDbEImj6x6M3Vci7WiVV1nlL4PxyIO1LJO4GaUOCf87kXtUboKLC1EBOLh6Et6MbxhGq+N3c3oX46x4Xq6XKkikUgkEokkT8jKekh5EEpVfpc79CLNDvb3h0dsDJ0XWeizy5jCkyn8Njb3Z7Ha2dmL/BbsueK6hwRpRZ9RReBCge6h96fRagtP/kW511paGmwfKCh5t7SyQCf1/ydGdgA8Cdb2VC+hIyA0JQcGJhzp268G771kdG83czOE2rgUwUuTgE9itlKaGsvpMC31iz64xCAxLhY7JwdcrR73SWtp0q4ctw5dZsU+B5pWtL/38VtYakhOUeMQiQ6OTkEr7mNnlUl4jDETetEoZD3QSjwerVDME1KM9gb0eh2BtxPITE1jytxzxFapztI/O/Nt13J42D2uudRgo80iMcVYYWWlZOCbpkd8r4/G1pHhI1ux9+d2jOrkyZRPV7PEXz0nkUgkEolEkosUdSmHnVCe0+9qEdH+BGJJ1SKljP58SNGSZYiNvD/cnxAfg61NdVyUUeG7OLtQ39qGmHjjklGF6Kh4Spf0VPo4CiylSrqIt5NFmtK7IYi/k0ACFpQvdn/26rOMd9mKIreivBo2c9MTeTsEnYU9JYoa9Y1nGU35yninpNzrBNHpMklJLkrFsnKo8EnRGrsJn1irLZxEhLM00Ir2td0No9f/BVt7Vz7r6cGnk47hFycCUlP4bsphAmrWoq3Xg5Pcg30CKFK+KEKXfyx2XiUIP32RwGYVKG+vBgoq1i7JkeXnOSvq+7SI22wMtGFgXQf6t3JmxfxL3EmDa2evczXiyaZKlalckiu7L3FG3C/lylVGzPAjKUuDm7U1cRlZONhZcHLvBa6EP+Z+Ntb0aGDNwrmXCE8XcV8K4oZHeZ4vrZ5/GFGRjZ5xlRRLK0p7ueNm44STg3pOIpFIJBKJJBfReFalmSaFzb67iSGVg2eXcdO6Cp2EoplfKV62Ejd9LgjFVyGdMwfP4dTkBbyyyYPYu9OorA3Xrt0Q6qLCbfbuDKVhzYr3Zo0WROwrelKOJNZsDxNvK53du2+SWLwsLcoU4EzlAI9qtSmCPxs3nCY9K4K92/ahrdiX6iWf/fxrStSheFYkt1ONO6glxl0gUFONNl6PG1WUPIzWUBkU5BogD7C2s6VhjRQ+eGczHRX31Ul6j+7Jy9XssBQKbwOnON54Vz0n3IdboyAygsFf7+ecOLSwsqJerSI4P+qxarU0eb4Rq18ryrjPxO8/OoBN62bsf78y9upyeSMZBAbb0aTy/VH9+2gpW70oVdytsLV1oFnz0vRu7IEymb9kaU/c7bSUqVOZHe95MOaTzXT/7iKjP21Hw6LWtHmpDaPL32bwh5uZcsSars2KYCMicPXypHpxG8N0mnLl3ClpZ4zVu0xRvBwt8KxQmn2jPRkr7td3ZgyTxjTAxd6aT0bWJWXvCcNzWJtUildfcCU93o4336vC7gXH2R+ro1oFdxwsLejwant+bJTAKx9s5pOdSRz6oRHFrTV4lS9KRTdj5u3dnGlYzh6LEl509wzn5dGb6frVGV79thPdihsukUgkEolEIsldLBsztu1LpIZMoNi3Tjx35Cgv1H6Fdi75d0S1ZoueNElezPjpG9m+YQPzT8Tz7Wc9DBt8nZj3Fl4Dp4sjV4aN/5grm37h7627WTThWy5W6Uu35hUL9JRxtxJleL17cfYs2IJTk4V8exY+fKcu1ZTMFwLK13+ZPt1qs2h0UxxsvVl43YlPv/+U0k9rr7wAodFUYdigyrz/7SL27dvHtDFf0OmdoUKneECRkvwLmmDflfqSqTuVQ2NIIaXfJztZNrE9lpZy+ohEYk5+mH+OoV9uwtPTaN3V1DRt2pRjx46pPtPi4+ODn58f/fr1U0NMS9euXdkghEgL1bCOqenRo4chfnOwevVqatWqRZUqVdQQ0zNx4kRGjBiBh8d9o16mZvDgwcyePRsbG/NJ0a1bt2b//v2GDmlz0aBBA06fPq36zIM566K7dOjQgV27dqk+89C/f39Wrlyp+u4zcOBA5s+fj7V1Lmo8uhQuhPkQm5kuPI7ULFkPt1yuDnO7bGVGB3D0orJTgQVeFWtQvoSLQaJf+XFbtlT9nvlvNjNMEb/t74P/nXhxxomazWrjlovybrN6ZTk6p7PqMyGpKRzxi0OXBXYO9tSu6GywVWVqXvwiiM1btqo+E5IQzMFzgYZDJ48y1Kpa+j/PVM4p9evX58yZM6rPhKTFc+KsL2kZOqxtvanbqJyh48uUjBkzhnFvDcDZ6dHG2vMrDTv0QqvXKTVb4Vb+JRKJRCKRSCSFHAs7ank1oVXpVsLlvvKfF1i6l6dVK5HeVs2poCr/qaF/s+JUWb7s3cB4kUaDV8U66nV1c1X5Nyu2djSvU5xW9YrTsLJ5lH+z4uStvtNW1K1meuXfrNg407hpc0Pem5hB+S/oaC0UK2zGRUESiUQikUgkEomkAGPp0IQpy6dSzr0QzAeXSCQ5RhPiu1bvlbKt0E8CUJYAtG3ghUWh6j6TSPIf248G0/yFt3Fyym7G2HRMmjSJsWPHqj7TEhwcTFhYmGGKqDn4448/GDlyJFqteYZRZsyYYYjfHChTGL28vChe3HzGRrZu3WoYzXB0NN90QmVK9aBBg7C0NN9ayilTpvDhhx+adQnAd999x//+9z/VZx5+/PFHPvnkE9VnHn799VdGjx6t+szDnj17HrsEoHnz5mYtq09Dfihbuc2kiZ8z9tVqqq/wMW1jDO+++67qK1w8i+X5SVm7di1dWjXE1rZgzT/44beZaIJ9VupLpu00TA8qzCgdAJNHN8NSdgBIJGblj1UXeXn0AooUKaKGmJZu3brx999/qz7TcvnyZfz9/Q1r8c3Ba6+9xrx588zWATBkyBDmzp2r+kzL5s2bqVq1KhUqVFBDTM/UqVMNyre7u7saYnref/99fvrpp9xdV51DevfuzZo1a8zaAdClSxe2bdum+syDOeuiu7z00kusWLFC9ZmHDz744LEdAIryYWWlmEAuODz//POGzr5nie6dm7Lxpzaqr/Ax+KfbLFy0SPUVLvJDXWkuJkyYwKhXe+DoULC2KXthwJtyBsBdpBFAiSR/II0ASiOA5kAaATQijQAakUYAjRQ6I4AmID+UrdzGbEYA8wlmMwKYDzCbEcB8QIE2AqixFQ2sHPSWSCQSiUQikUgkEonkmUarS8oU//RGn0QikUgkEolEIpFIJJJnEq1GYyH0fzkF4GH0+nQu+oRx1OCiidX9x04S8fPAm9EkZObfzpbwyEQy5I4QEolEIpFICiP6DALDz3E0+KjBhaer4fmYrMwYLhwV6RXONzBM2fL/EeiJDw3kuHpdUKxODS/gZKZzwTfcIKufvhpD6jOSrScmPYpz6js9d9mfzEIlw6dz48wpQ95PnDpLfJoaLHkitHL6/yNIiGfE1zuZfzaJhOQMrhy7yCvjzxCUqp5/KvSkpWfyX/sR8oosXTRf/3CK6FTZAyCRSCQSiaTwERj4Jy/Oa0nzv5obXO9N44lOz8daZcotvnp9AH9sv0xs2A2+ersPi879UxPKCNnOK2+M5WZoNCHHltHvteFciVJPFlR0maxZcJQ2QzbQXLgWb25k2Mrb6slCQHok0957lZbNRVkVrmWrNnyy8pJ68llHz4mV39Nn4t8kJCRwZM7bfDB9SyHrAPlvGI09P7q7sNByOziC3RFFGfNaeTo19eaN4fXpoE3maqixByAtOpath2+x5XAQ12KMDUNybDz7rsVy7GSQCA/G507qvYUV0aLC9QnNICtLfy8s6la44fd7z0WTkq3A3rh2xxC+xzf63mh8QmiUIWzL4RAC4pQlG//kye+Xhf+VUAJvRIg8iHuejSFNVKLnz97mwo149p+KISI6zpCXIyfE/c5Gkyx+53/ZmN8tx0OJSlNulEXAlTsExhrTEx8WxRH/ZJKjYjjoG0u6uCQmLJbTwbJLTiKRSCQSST4n8xrfbPyIqKJjCf8yid3N2nP4wiyWREWqF+Q/Ao5tYunl2nz+1RCe79mfDzpX4Ofv5hGnnjeSxrpvPsKuwWv06vUifT+YQK+M/aw94ntPJi2IxNy5zfdL/Kj7aheSTr7GF3UtWPzzCfYkqhc84wQeX81Pi7fS8+ejpKSH8HrFFGa/N47zyeoFzzD6rChm/7qOb3/7gE6dOjHki1+4tnQ2V9IfrSNJ/onWuP2fnAaQnSKuDtiEBvLTpgiM6r0DH3zVig5lbUmPi2fE54e5pLGjuCaa9745RrjQkMOuBDLws52cibdCmxTKq79eQacq4hsXn2RneCoz5x3jckImcdcC6f/1eZLt7bmw5SRzz8cbKuGwo2cY9mcADi62nN56mjHbY4X2H8lHXx0mxsIebWIUr3znQ4TxtveIu37j3v18xf3+OhdnvN+x+/c7s025X4wITWfhz9v5+O8IPN0t2fXHAT7eHYeLqzW2lhZ4uFkT5nudl/+3m4vJ1niK8Ks7jzB6QwzuRexJvxNCnwVB4j6ZrPnrIOuvpihJIODoOT5afYdMax1/zjzM9egMfp99mJtKT4BEIpFIJBJJfibyKOuSbelerzMeGnva1H2DUoSw5doN9YL8R8CFk5Tq2glvgxhvQYXqlUnxP0G0UTQzknKbrYeSqNemAcYNE52pVdeLawEhZBXgHoAEv1v4xDvw0vMlsNfY0KljWRz04ey/8J+m6xYYbp/ZS0hyaXr1biLk9+K0f6EdWakH8bkcr17x7KIP3cPl9LLUczJuv2drX5Ji2tv4hhW2NSBPj9YwJi13vnsAmxLF8ZnckDvHLjBw7CbajzrIin2hKIPvlw/7ElGjOh8286B+87q8XCqJRf7GmtbZsSw925egQ/Oq1Ay/w+YY8WxTo9jpn0HXknaGa9Dr2Lb1Otbt6tK3ngcDBtcgMSgJEuN5+xd/ur3eiDY1i/J2/yocnXtaFOYkTkXaY+duS+fOtTn6Y30e2BxN3G/71mvifnUM93tZ3C/plrhfUjzv/ON+Z/AVSc2ytqNzy1I0rObFS+0suOKXSIlyTrjZ2lCjggPK5k/uLmXp3rY4NUtZcynEgndeqUmJzGSiE7MIWHuTy8bY/4GVkwfvdPBk/Mx9XLerxPNl1XxLJBKJRCKR5FPCYgNI0WmxFoq0gtazNBXE/zRd/jUEEBZ8Ayd3V9UHDk6upKT5EpddB4yL5WRaGq6O97cqc3Vz4GZweIGeABx0K5YMocDYWBkHMV28nHAW/9MLyTzwoMCr6ITEbq306mg0eJb0FmVXT2bmsz8Krve/wk1bWywsjAqshYUltnZ3uBogBx2fFK1elyH+FeAaIA/IzMgkvVQ5Fk94jmU/dGHhJ9U5v+wAU/ZEcCMwkhNbT9Lw1bU0GLSWSQcjCbxtLHAWxe1Q+qIsHex4qQHM2h7ByQ0nia5SnVKu6r7aoraNS8mgflmlmgJPb28+6VGCtKQ0/FNS+X3iJsN9W392nJisGKLtvVn8RVl+/3oL9QesZsiyENEYGX5qRL1fvbIuBq/xfl6kJT54v1afHida3C9KmRdmqcHV9t/3+bYoZodBdbewopJ7Ch+NWUfnT6/iUsUNW/H7f6NRs7JcPHabRh3KYSs7lyQSiUQikeRzNJqHBBZ9lkE61j4cno9Q0pyWdr+DIjNDOVYn995FHFsIl56hyPtG0tLS8nW+ngSt9kFZVK8us9U+kPlnF+Ma7vvcy/9Dz+WZROQ9S6cTKpBRf9WLb1WXmaUES54QrT7LUvwrHB/Lk3J650menxVsONZqLSlZsgi923oQGptOyVLutOrZlFOLe3NauNWfN+Pl2raGa++hsaBdhzLEbz7DN+tS6dqpFLZ3H7GomBxsLLkWlmTwJsXGMmt/KDb21njbOvDJ+O6G+56e2YWPXmlAFQ8LqtetyN6l/dn/S0tClu/ir6uGnxq5e7/Qu/eLY9a++/cbm+1+H4v7VXU3XPbkJCWKPEQzdFw3rmzqQAtHjcGWwYPoSUzMUv4ZOHAggGrNS7Bz/jniMh6+ViKRSCQSiSR/UbRIVYqSQVyq0XaRPswXX+ypV6yMwZ8fKVm+EtGR0aoP4uOicLBrRLZJAeBWhBY2dkTGJ6gBEBMZR8XyJQq0wlS6fBEcSSc2yShnRgfFEoMt1UsVjpmnZarUwoZ44hWbB0IRDrkZgM6yKKW93IwXPMNoqtWhfHIKmTrjiKhOl0lKcmlqVv33wU3JfbQWVuJhyRkTD9CgcWVsLpxiyKwAroUkEHj6Gu/sS6VvI08qNqxMxsFzzPeNJzDkBp9Ov05Rm392oDhVrkpP71B2WxajV1XjqisDGgs6dShH8NZz7PZPYP/GC1xJEjWwozP/6+3Ainln8QmKY/nq8ywP1VIkIpgX3z/I/oAEbkdmkOlajErZ1wCI+3VsX44Q5X7Xlfv53LvfZ73E/eYq94tn+Rr1ftmS8iAW2FjquBWaKpq/bFhb0bSYBdtO3BH5TWDpOl8iUnRkZVlTuYwNl3zCuB4YxaLTcYYdDtISQ1i5J5mf3mtP77KprAoqBNZIJBKJRCKRFGyK1KCtDaw6OY+TMZf48+AM4h1q08PbOMMyP1KyQnWizx4hODULvS6RPX+fomSfvpS0VuSxKG6ExQk5rgitGrlx5fwF0oWclpF0lnVb0mnToFqBXgHsUKEoFa3Tmb34ChdDIpi/JgCL6pVpV0q94BmnaI0GeFpF8NcfC7nif4SVy7bj2mo4dbzUC55hNK51qOQSxblIo8XHsBubuenRjPbuyqC25EnQKr1Gkgex9CjC9umd6OGeyu6jt9geCPMmdaFTOWtcvYqy/PsmpPkFs/1oMqO+aEVlUeCKlPPmy55exmnzClotA4a2Z8HH1fESNaxGq6F/zzqUd7DAs2YlVn1UnmtnbxHtVYFvOhdFo9HQfEBnfu7txpETIcSWKsuW4aWxLOnNjOHeXD5zi31Xkvnm27Z09FDjUDHc72Nxv3Pq/brcv98vfZX7BRPrLe43TNxPY0W3fvVpUFy0DoJyjWsxqq071lpPPhxWAZ+LcThWKs0XPUpgmNdgbcvnn7Wij2uSyO8tqnZuzsxPK+KeAS8M60S3EunsuhDDu8Nb8FkXT5LvZNJ1ZCO8HS3o0b86jgnSIqdEIpFIJJJ8jqYG3/ScTPn0NTSZWoN3L8fzaaeJNHRwUi/If1Rs9hLjGlzilYFvMvzN0ey3aszvb7c0KPYn54+i3WdrxJED/b+dhtOF6YwY/haD+3xLmf99x/N1SxjuUVBx8SzFlA+r47/nKDV7rGNdoid/fVLbIHMXBkrXG8BvX7/EvqmvU61Sa865dmbO5GG4F4JJ3RptKT759CU+G/kOI0eOZPToHXz6wzs4WBaSl58LaIIvrNSXTN0pjgr3MoB+n+xk2cT2WMrCI5GYlR/mn2Pol5vw9HzA3KXJaNq0KceOHVN9psXHxwc/Pz/69eunhpiWrl27smHDBiwszDONrkePHob4zcHq1aupVasWVapUUUNMz8SJExkxYgQeHg/18pqQwYMHM3v2bGxsFHOw5qF169bs37/f0JFtLho0aMDp06dVn3kwZ110lw4dOrBr1y7VZx769+/PypUrVd99Bg4cyPz587G2Ng5o5A560jJT0RkGxxQDc7aqScDcI7fLlmLLKyVNmbupwdLaBmuDHJvMjDc6Ed57Nl91q2a4LjM9VTWQJ/JlJ/KVi59Xs3plOTqns+ozIeI9JauGsTRaLbbWWrMsan7xiyA2b9mq+kxIVibJqUYbEFoLK2xtHjvNN8+oX78+Z86cUX0mRJ9FSmqawQ6ARiPybmdl8nc/ZswYxr01AGen+wY2CwINO/RSOgmlDQCJRCKRSCQSSWFHg42lHfZW9sLlvvKfF2iE4mdvL9Jrb6cq/xBz6i/Wp3XnnY6VDX4FS2tb9brcVf7NikaDva2lwdmZSfk3K1qRd8M7tTeL8m9WNFrs7MS3KvJuZwblv6Cj1SrzvOVTk0gkEolEIpFICjxuDd5hy+IxePw/Oz5JJJLCiebW+dV674wdqrfwoiwBCIlIln0hEomZCYlIoqh3NayszNObfeHCBcNUcHOQlJREamoqRYoUUUNMy+XLl6latarZpl5fuXLFEL85iIqKUkcSzGdBOjg4mGLFipmt7Ctcu3aNChUq8PAWU6bE19eXmjVrqj7zcP78eerUqaP6zIOyJKh27dqqzzxcvHiRGjVqqD7zULJkyccuAbhx44ZZl4o8DfmhbOU2F86fplaF7FsPFC4u30qjWrXqqq9w8SyW5ydFqX+8i3tiYVGwlo/7XPRDE3Jhrd4rdZucBSCRSPIF0gaAtAFgDqQNACPSBoARs61rzUZ+sAHQvn17du/erfrMg2ltAOQ9+cG+RG7jWtGVuFfjVB9MqNKIcZXqqb5nnxe+CGKLOWwA5APyQ11pLgq0DQC5CYBEIpFIJBLJfQraqHJeIZ+D5IlQi4lWlJe5ddoUKuVfQX4lkoKGVqPVG6xoSiQSiUQikUgkEsnT8GPVJrxRynyzqCQSyZOhVbbNkH1XEolEIpFIJBKJJKdYarTMrt2ajyqY12aFRCJ5MjQhfuv0XgmFc92KRGIO9FlZrFt9gqN31IC72NsxvE8NKjnpWLH8Iqeilb1dNVSuXY7X2xbFSgOpCUnMWX2Bm/HGn9yjiBtf9KuEsz6JP+Ze5kaGI2+/W41yhr1+sji705elt634rH8V3O0eZ6wknZULz3AyRvWqPNejEc+XtSA+Kpo/V12lSNOaDK37uPVOOo5uusI6/wT05cvwU7cShvyuX3OCI7e1NGxeme41bFi06jzXYtWf3MXFmU9fqsrsFT45sgEQfnIFP608RekuI3mvfXk1FM5tmcmSvdcNx26tXud/3Z/MkFWO1t2mxbHor+n4RFkzcuRIynvYG4JTQy8yafoiElJ0OLpX560P36DYEyyp/i82AM5vmcXivdfEkSPd3x9DK29jWnJCTm0AXNoxh3m7rtKo/wf0b1hCDRWEnuZ/v64ko2IHfhzaEe0T9jHnyAZAQjCTfptJhF0FvnxnEE62ypa2RgIPLGD6375U7/k+b7TwVkP/nRzbANCls2vVDLb7xtFnyCials9mAOvmXsZM24JV/X58N6CxGvj/87Q2AO74/M30RQdIVf0KVrZlGP7Zu5TNYTH4rzYAUu/4irK/mIRUB/p8NJamxXN+n/9iAyAhcC+/TN9Cgjiu1H4wwzrXEvcxnssJ/2WddtiFTfyxcD8p4rhmj1G81rKU8UQO+S82AAKPrWb2muMou8M3fWUcfeo+nYG2Dh06sGvXLtWXA/Q6zm1fzPLdvqJVgPbDJtCl8tOVqTy3ARDuw+e/LiUtQ6TUqRjD33qbSkXFh6PXs2nmWPb7Kxc50euDsTT3UrbO+m/khg2Ayzv/Yu6OK4Zju8YDGN+vvuFYITMxgrmzpnHtjo6Wg96mRx0v9YwgK50j6+ax4dh1IRncp1iFFrz1Zk8c71ejOaJZvbIcndNZ9ZmehIRbTAi+LfKkp4SDF2+VKo39U3z3T8uLXwSxOS9tAERf5Ztf55NYtAET3uqFjbrdY9yFdUxYeMRwXKZ2J4a90hEbcUqXEsvSOb/hE5QozhRh8OefUMslbx5IntsASItnydzpnIuwZIT4Nisq36YSHHaFSX8sID4lEwfXqrz10VCKWyay+a+Z7LsearjGiIbyDV9gaL+2WOeyrb4CbQMgK01RMuQSAInEVOiz9Fz0vcXWQ0HMX3uR31Zc5e/Dwn8ylNDIRD76YCmvCiV+qxJ26CZfTNhMnUl+xKfryRTf69HTIvzgTaav8GX62utsVq47G0mqTs8d3xt8vsSHX5ceZe4pRfRTyOLyET8mr/cnLi17k/8wGWzf4MMfmwKNcQu3Zqsfr41ez/7bOpJi45gnlPO1fopY+zh0nN9/nV+WXODnhde5kSli18WzfLEvU4TbdjGBjPRMTpw15uHPlb78sUbNw5lwkjOevC7SZyTy+1tdaPnqOP74ZTJLjwerZ3RcnPkGzV8ay4ZNm9mwahFfvf48U3f652pNl3ZzC20r1mbc1z8wecYCgmOM6ldWZiCjundmxdpNbFi5gG+/GE6/j2aSLN5PnpCVwTmR35YDP2Hjpi2sWz6dXs3rscUvuzqYu+gSbvJ263p0e3s8v/78s3ivkeoZuPr3Z9Rp0Z/Zv/3E5DVHhAyd+/lOvjSbRlWa8+tPk5i8YD1JaYqKIR5FSjjjerag45tfM/Xnyaw9m10IyD0yIs/Rq2YN3hzzHT///ifngxV108jBmcOo2fkt5kydzK9bLqiheUvinSvs2rqVraqbP2Myv/2+mnCleTclQunbvfhH8V5+Y/LkP/GJulsHmYaUW/vp2aq/qBvX8feGlXzUuwlvz71oUEBNg55EvzV0bTOIuWs3snHtMkZ2rsa4Vf4PKFt5i57483Pp2nEISzdsYv3KRbzeoSYz94WYUNLLIvTQL/Tp+z6rRR28ZvEcBnRszKYLUer5/EN6fBBv9uvGlDnLDd/O4p8/pe6rU0jWJ7FiWBNG/Sq+qS2bWTjnR3q0aszBINO9yUejw2/hezTq8wHrNm7m77XL+WFoJ75YffHe+7127E8mjRN14+Sp7L0SroaqiG80yPck29S6YtOGNUz7bTILVh4i1dxZe0oik4LpfeYwm8ODWBt8ibEXdjLYPxwhfjwTRB6bTP26nZjxs2hTl+0kQ5Ulbp9fzYuvfGp4j6sXTGP00G68ZajvYvildz0mzFjNpo1r+eO3cXTr1A2/qIL3RNKCttOuUm0+E3LWlBnzCYo2yp/6rCBGd2/PsrV/CzlrIRO+eou+H/whZMg0rpw4eK98/71uBb/9MoVVO86RaboKsECgRa9095mwm0wiKeRoLS34Ynw/fJf05I2mLpTwrsqelcI/qyP6Q8f55Yod33zdBV8RdmFFX+a9WY5bm44x9WAM9h5uLJkmrv2rM/VK2lCvSX1OKL+d0oKitrD36B0cXbzoVNOZtasuEvkU8nft3q0McStu9+e1SY5L4eSNhBwJjx6eDtRJDOXALSEKxkaTqnXE1to4qmzv6sScX8X95z1Pi3J21Khbh6NKfFPbUsr5ya3P67Gkfs8RLFkxjZoPDG5Fs2HOYSzLNWfXkbOc2fArLplJXPELylUhPJVifDRzHpMGN8cw0UJFo/XkvT/Wcva8L6e3z6CanZaD2/dzR5dH0lVcIJ/8tp2SDV7i8JkL7Fv4NVkxEWzfdyrPFB8d9nT7cDzz/xhnKHfZsSramOkbV/F61byzzJ1MGcYvXcq4diXVECNZ2PDc0E9YNO97yuRhh3wmLrzx/e/88dlA7B4aMStSrTMLd6yh59MN+j4VlTqP4aivr2H7PF/ftbQVea/Q7Q2qmXhXrozQ/Xz/014Gv9lBDTEh+gx2LpzN6RRrfttwknOHNtG8ghPb//yOkCT1mrwmM5HFP/2Bv1MZluw6w5ldS6nobsHff/1ObJp6TV6THsmvn/5MRJlGbDp8jlN/z8BJF8vKletQ+8nyntTbTHz/ZzLq92LfqfMcW/INGWHXWbjlGHnVD/q0JCcc5+SBINqOW234fv4c2ZDkHce5hDVNhnzFrmPim/I5zZcDmpISH0d0nDKiak7i2br4MJoSddi4/zRnt8+jhE0m185eM8z2IP4S37w9lZZ9u6B91NQrCzte/moO59X6YueKb/C2gnov9sWlYG2mcA8nG3cm1e/KhTb9OFG/HsX0Ov4OuSnU4GeDDNuq/LRqOaMauqghRlxLN2LqmoOG93hk2Wg8hPK7cfkm4nCg27g/OXTqAj7Hd9K3TgluXvXHN+x+R31BIY2ifPDnX/z0eqsHZhJqNEV4+/c1Rjlr50xq2FtweOdBQrQufPTXei6o5Xvd76Nwtbai6XMdsDXP5kb5Fq2FMo2kgPb6SSTPFKkpLDkUSxlvD15tZNwHXrHR0aVbTVqKBvr0tdh/FZ4yUlPZfjaMsv3q8km7IoRcCeBiWM6HABPCYjh0LlS4O2w/HYFDERealXPMUTehpbMNLT01nA1M5OoBf6jojYNt7nY0aq1sadGlFxVdH56z6ESjzhXJFJX/nJ07WLl6Ezr3crRpVpXcrP9dyjSg2wstcHooeo3WkVqNGqP0d1impRKs12NbrhQln3QefE7RZRKr02FhYW2YMl3cuwxWFpkEBPqTV30O1k6ePN+zGyUfsWV+uSa9aFHDO0+7lT2qd+L5tnX/MZ3P0s6F9t26U8YhL2MHO49ydO/ZEY9HzGiu3rov9Uubaz/sDE5PGceaeG/eea+L+BJMSEYkk4YNJ6ppf4Y3VXo/TCxtZWZywe+y0G9qULWcG7ZuXjQv7U1MrL9weTcbJjv61CSOBgbh7FaLMkUdcChRjpZF3LkTcZ3kFNPMhsiKj2ZPcCTFiteiuKiHXSpUo7m9DddvXCcj0zTCni4qhB1hKZSvUAN3WyuK1m9EI8ssfC5fz5MZQf8FG/sqVK7mgs/vf7Dh0N8sX3eJyiN6UB8ryjZvRZLvIfbt3cfmfYep0qAXNcs5q780Fw7Ua1cJ/bXr/LV1K+s2biTRyotWnetjnZXK6kmfs9+2Pu/2UxQmpYL8tznPSWya8j3+Ns0Y+mpjkeOCiY2lPfWcjDKKdWYGyupKBycXzLORcO5Tom5X2jcR8stDzZq9WxnqVypqOLZJSkKZ6+FcoxLuWFOlZWc87YU8ImSDcFE3Wjo7inYx58sCzY1z6Xp0f6EVzg+LeRoHajVuio1oZqzS0oxyVtmSeBvs2t0lgVV//EG8R3v6vVDzX7+Ewoh8HhJJfiFdR0BaJvY2jqJBU8MEGkdrUanpiYxP/dcNOxJvB3P0CvRr5knTNmUpFpPM1is5G7lXuLTpKK3e3Cjc34xcdAO9hQXODw9z/r9YU6euFX7+UZy5HEuxSi4ixFTY0vGLeUz/X0umvNSdoROWUPeNSfRpkG2NuinISmPTmvUk6xwY/tKLWFvkUXXr4koLR0euHVtKj87taT9oLDGJiUTFxKCXnbuFi9gAxs0+hFe9pvSsblrx9/bZ7cw6FsrbH3+Bm31O64v/TpYo7HGxyhRzISUrgrKVFcXtjD1U+hzXgk9HZkY6SUnKchA1DbZ2lFLWp5tQ501LSyE1VenwUNPg4Ii3pYUxCSZKR0pyEukZGYYOSQOurqIN0+TLDafsXGvwy5oF1LizjJ6turMxqRyzxvQ3jDbqs84zqlUr2nV8ga2X9djYVcL8S32tafPhNGZP7MJfQ/rwyke/U27gDwxvXZqkyIvMWb6D3p/MpJ73I3pnHyZgKxNWXqXxmx/R2vMZUAeyUvn1xk0hszgzoYyJ23tzknqHH6ZsQO9WjW/faKYGGrl5dgMXroRRq80gKpQoWOvUn4isdLasW0diph1D+3fFWrWNYODSUn7bfIO2739FPTc1THIPbVZWpmgk8mGtLJEUNuysaeVhIxT9KOJT7mtuSSGxnMnQULaY478YU8vi+LYrXEtPYfSr87DtvYurQhBctvsOqTn8vJsMfYGsk8MNLnZlB1xDwhi/9mYOp25qqFm7JFGnrrL7jI7aZZwNsqhJ0KWwe9Jw3pt5kOcm/sUXPetxZEo/vlx6QigJ6jV5Tgqn1v3IZxM20bj7KD4a0PqJDeHlGCsvppzaxNi2zXF3caR28+ZUdXCndMlSaOWUt0LFhf2rOH0jlOde+hAPR9MK9Ct++4w7RV7ELe4wu04FipAkfA7vu2cbI69RPi9ra2VKhprvrCxSDDNjLLB8QqOW/xVlxpalpTKOqqZBl0lSlk6EWT56OnYeoOTXaMRTTUNmBsmi4rOxVmYIGYPyGmN+lfjVNKSnkyzqXjvbpzMCmJekhPrwzoCh3GjWmylfjKaGzU3aDRhFYKxevM9W7BHlKDM1kV9HNubkts+ZsviYeSfNCiX3wLTRDPtpK42++YsfXm7CpT9f4Z3pe9g/dSTbk+pS2+4cWw9cQK9PJ+DMPk7djFN/nI3MJOb+8ieRLuX5+JUWJisbuUFc6DG0m2YZXMWTp0kxNOzprA84zq8RifQrU59X3U06/8mMxLJ84kfMPBjLa6O/pE+tux0fOoLPr+CNrl9gVbk3035+D7fctoBndlI5s3ESn369gUZd32PMoHb3Z0mkR/HDuN9I9G7CVwOqqoGS7GjRKw1FAfryJZJnFSsbBnYuRtTNMF6cpUzf1pOWksbXkw9w2cKSzvU9/zEF7B7J8fy1PYZabWtxbFEfzi7pw4JXSxK0/xoHY+5rvVninsp9FZf1mOEYZYqmck5xuvRMgyVri2zCq2LE8O49FKfcRfmNcpydIvW9cfW9xYYIN5pVNeHkwtgbfC2EtAqNX2LRx0P46s/faWCZxpqN20k3iRUYPdd2z6X/4G+x6zaS5X99Rek8nnmn0VRjwsaNbBTuk561CdFmUa5i2ceXF8kziJ5tiyYTmd6BYW80MvUEfGKib5Plv4bXe/Xk9R83i5BoZnz2Lnv9TGP4TSOUzgplKqDPvEGcsktKUiInoyJwdamIq7Np5h9Z2tlTpWgJ0tNukqxUnLExHEhMpJhHBaH8mmZWhLWzK9WES065pejdEB7KflGPlytVVijmplEAbIsUpbqdLbHxoWTqRMm8EcDBLEtqVC6NNp9pmjHHF7L1vAXvT57Fh+N/Ydq4/jicXMicIxGG9lKZxWBh48ALL3TETrSGN26EmLAj+REk3OGnZYcoVasHi8cO4eM/ZtHSxZKdm9Zz81YgFhHHeKd/X3p+NFO0yclsmvwBP24LUBpu4Vds5BtJjgpmxR5xn/K9aV7NOI28oOBYpDZnWws5R7i/a1THRqvnQMARhvj5Uadsa+ZUrYxToWj7Utnx7RBGTFxOi8+XMu1/L2OnVvzxt08wovcwLnlVZf6ahTT3eNaUf/Dfv4D+g77B6oVhLJ/7NWWyyVmxNy+w+MQ16tTvQ/VihaUzKGdotbaiOpAzACSSfICGii+0Ys1bpdFtOYhl49nYtlrI0ltOjPykC4Nq2T22qy7kaih7EzS0b1meBlWLUKdyEdp0LE9ZfQTL9sUYRyxu3aZip3mG+yqu0mdnSX2EQnxi7tZ71xQZtI+Ect683tLjnjK5dcr6e+dtW81n5vk0ln23CMteu7malu1+lm5ULp9JSq1iPOXuT/9KVkYK+zfOZ+nqHUSmQcSZrcyfv4tIK2uKWloRcHEP8/76i5kzFnJBpKt2japY5KJGHBt4nEULF7HrQgj65Bi2rl3Glj1XSIu7yidvv0sw9nRsUZudqxcatqryCc0rC1yZBB7aaIhj3l+zeOuDb6Bye17t1ODu+FuukxYfxsaV81mz7SjJogxdP7SBpcuPoOhd/oeXibSswDdalLqQcyxYsIpLEblrOCviwmYRxxKO3BT3jbnFiqXLOHLxNunJsWxbO5+VG/cTL5Sf4OObRPz7ct0YVHKEPyuWLGTz4UtkpiVzdNsq1v593rAN34XdC0TaVnE9AXT+R8TxBm4m5705/sgjP/Lr2njKvD2MVg8bpjAB47dmkplpdCGr3hUhXsw44MurTR801JhnaC2pXaceGfEh/Pzjt0ydPoWDZ/xp8NLbFDPV0ldrB1rVq0bEzYtM/nWycFO4dCOM5n1ew0R9EGDvzgsNKhB4/iiTp09j4o8/cydZT4fnuxjskpgE5xL0rOfNud0bmTJ7Bv/7+heS7YvQtU39vJsJ9ZRYuLnjSDiLpk411KHzV+wg0bUqTUsnMqRWL75Vwv6aySffzyfdthwvdmxi3o5VKys8RRt36/oB5s2ew+yZCzmdkErlKtV5/a+Ie99g5slpWFo4M2rpaVaNqMe1ea9g6d6MvWHGHUvOr/uCo5fSqD/8NbwK2MiwhZU9dZyFnCNcNXs7IuOCeOfaVbshgiUAAP/0SURBVPQ2rnR21LE25CoLgq8RYOpdUPKIkNNrRdlcyulQIeiE+7Fk0XLO3Igi6OgqRv68DuvydenoFcHqxfNZtHQ5wZERTHq1C1sCEmgj6r8bh1YZyvaeSwXPCGDcjZMsXriQXT630KfEsn3dMjbvvkJ6wnU+festgnS2dGxVn11rFhnyeF6Vsw4sm4j/7UyavdYfFzkS8kg0t86v1ntn7FC9EonEZOj1xMSmCAXKguKeNvdH7PRZREWmkKgq53YONng6Wz2o/GdlERqVIpRsa4q5WZGRmk5YXAYurnY4K5vACnRCCAiLSsXCzhYHfTpRyQ9OXLS0tcbLzTrbffVERSSJeFWvipWjHV5OFvful5HtNspgjpu7A9qUZCLTLfDysCFV5ClOp6G4ux2JsYnEa20o7aQVjVKqIS/ujpbGOEUewqNT0GlFHtyt7imrP8w/x9AvN+Hp+e9rmNMTIni7ezXWP7DTWgd2hC+mQtgFRj3fkc3qzoCtxy5j7rttcLX//6XwJ91722/dZ7R/ezap2Wx7NXphEsvG29Oh4bvcUMPu8r+NIXzY/N97Qnx8fPDz86Nfv35qyJOgJ3DpOzQaZdwnu9Jzr7Lg94lUfgqtp2vXroZ9+I1TiB9PbMBRenTvxsVsu+w5FRnMbr+fOfl+Jd5Zkl3l9mLC9r95q0EZ1f94evToYYj//+Pk1C48P/6U6lOw59XxC/m6d3EGd2vJYWUGuopW25194XOprvofx+rVq6lVqxZVqlRRQx7PnVMreK7vO2Tv1yhf5xMhmIxh6aBifLste2dPNeZd3Ey3Yv+/8bCJEycyYsQIPDw81JAnJYH5r/ZizOF4Zmz8m741i6nhOWfw4MHMnj0bG5un77UL3/QZ1V/fys+HDjO4qoMa+uS0bt2a/fv3G0Zfc0JWehKnFnzIC5+tET5bun/yCz+P6ourTc7uo/C0e7XrUuPY/ttbDP5pp/A5MGjyfCYMbIfjU3QAPGld9DC65GiWTHidD2cp+4O78v781Xzcpe4/dqx4Ejp06MCuXbtU35OTEXebyWMGMWWtj/AV5ev1mxjerPxTdUL079+flSuN9Vt2Bg4caBD6rRU7C09Jli6BbT99wJu/rFfM8OBQshoz56+gY92ixNzexqA6r2OoaYo1Y8Xa6bSuVAqr/6gvP23ZMpJFfJgvH7/QnrU3jTJCg3f+YtmYLqJtzfbN+syjeMcJDJ35NxN7VuPSn/2pPT6cQz5baOoRyUc1W7PAug0HDsyjuuN/7xlqVq8sR+d0Vn2mJSD8LF3OXSBa9StYaLT80WQQfU1ks/HFL4LYvGWr6std9oxvTP+pAapPwY3Rf62iu24VPYbPFLX/fWydPZi7ejHT+vbiSLxxy7y7vDhxBwtG1Fd9uUf9+vU5c+aM6stdrm38kudGTCe7DdUGnX9k1Q/OtK83kmxNvYFP1wfzcctAhpRtw8YSL3Nq/1TK5mHn65gxYxj31gCczW8cJEc07NALTYjvOr1Xiii0OW8fJRKJJNd50g6AvOJphe7c4Ok6AHKPJ+0AyCuetAMgL8hJB0Be8fQdALlHbnQA/FeetgMgN/lvSlruYM666C5P2wGQm+RlB4A5MHnZSgzizc4tCW0zntXjXycvVqOYswMgP5CXHQD5nbzsAMjvFOQOAK2ynlcikUgkEolEIpE8W0TdusoNevLD16/mifIvkUgKHlqNRpmqKDsBJBKJRCKRSCSSZ4ki1Tqw6/BUaprMCIREIsnvaBYun6efPW2m6pVIJBLzkpmpx9LKfFM6E5MTcLQ3j9VYXZaOrKwsrAxbiZme9PR0s06nNWf8ynNXppybc9q5YrxL2ULNnGRkZGBlZZ7ydxdzl0OFtLQ0sy6DUMgPzyE/pKFFixZ8//33qu8+n3/+OQcOHFB9BYezZ89Sr1491fdskC6+F+tnbpu5Jyc9Q2/278Rc5Ie60lwY2mxlyWQBW0aflpaO5nbUbX0J97v7RkokEknh5satQMqWKqf6TEtaWippGek4O5rIcpFEIpFITEp+sC8hkUgKN1pdcl5tTSWRSCQFj6wM8y2J0itRP7hZg0QikUgkEolEkmsU3vk6EolEIpFIJBKJRCKRFCI0R88c1QddC1K9EolEUrgJDw+naNGiqs+0KOuvFWdvn/M9/CUSieRZpFSpUjRr1kz13UfZIjEoqODJr59++ik//PCD6pNIJBLTo/E7uVKvubmm0M8FeO+nI/zyYTMsLQqYJQeJ5Blj1rrL9H1nFu7u7mqIaVH24F+1apXqMy1XrlwhMDCQ559/Xg0xLcOHD+fPP/9EqzVPgzBy5EhmzJih+kzLtm3bqFy5MuXLl1dDTM/06dMZMGAAbm5uaojpUfY1njhxolkNWin7uy9ZssSsBhl79uzJ+vXrVZ95MGdddJfXXnuNBQsWqD7zMG7cOFauXKn67qOUE8UQoLmNVuaUXr16sW7dOtX3bNC/RztWTmyp+gofw369w+w5c1Rf4SI/1JXm4scff2TkgK44OhSsQZver7+DJuTyWr1X0jY1qPDS75OdLJvYHktLuSpCIjEnP8w/x9AvN+Hp6amGmJamTZsaRpbMgY+PD35+fgbB3xx07dqVDRs2YKFYtTUDPXr0MMRvDlavXk2tWrWoUqWKGmJ6FMV7xIgReHh4qCGmZ/DgwcyePdusVp1bt27N/v37zdoBkB8MtZmzLrpLhw4d2LVrl+ozD/37939sB8D8+fMLnPX1Z9EIYLN6ZTk6p7PqK3y8+EUQm7dsVX2Fi/r163PmzBnVV7hQOszHvTUAZydHNaRg0LBDL7R6Mxq8kkgkEolEIpFIJBKJRGIatAar0xKJRCKRSCQSiUQikUieabQWVtr/uO2UnviIeHyuRT/groUmk2XoXNATekuEhaSIo8eTmZ6Gn/LbwDgS0o1XJsfEGe7lG5BEmkhkSECM8d7RGYbzuvQMrgYq8cUSnZ57e2elJKVw6Xo0Ecn376nPyuLmrRiuR2cKXyY3xPlrkenGkypJMQn4BCep+b5P2O0H05cm7u8bGEtM6v2w1GQR551U0pJTueR//zkq7lb847dqzBS/C096xHmdjus3jc/rgn8McQ8m9T6Z6QTeSiAj9x6fRGI+UiLhgg/cFP9NTYS/Moff6IIilKrPtNzyU+O/LJ6DGbZ3zRJxBoq4fXwhPF4NNBERgWreRdyRiWqgCUkU7/vCBWMa/G+b/t3fJUx9DtGpaoBEInkiom8Zv52IJDVAEKuG3XWXr4BR/MwHZInkXcUv4BaZ9+Q3vaiKgkRV5COS68O1gAge1RLokqK46HvBcI3R3SBZPVfgSBDvS8jjQjEQbaA4Nlfda0qyMgjyvyKa+qskpWV7wxlJXLnka3ynFy8TnZRvCmuukp4UzWVRfmOyNXM6kffrl+6W50CSC0M5+I9ohWYr/v2XJ5XFnkX7qDtgNXWyucZDNzH/olL40pj6xXrqfH8R3b8omZG3b9Bd+e2QrWz2V6oiHTvn7DLcq+mQk9wgkfEjNhj8vWbeQnnv4TeD6TZUiW8rq4NzT+DxO3mRVgPX8uX26HuVZ2pcIiM/Xsug9ULQI4Z3B66h0VeXiDWeNrB7wRbqfHWW5IeWVWxdvJ+vDyaoviyOrD9Jo1c2MvVwzL0nf3LzMd5aF8FN3+t0/uIsJ2/EckW4k3t96PnNUQLu/vwhzmzcz47gfz7YdXN38N6KW4Z7nN95iucn+xCX9ogXEB3C218eITxF9UskBZXji6B7J6hdBz5YqgaaiIDD0LUZ1BFxK65lBzgSpZ7Ma9Lg9zHQupEafwMYNEIIsuppUxF/Apo3FPGLdMzZbyJBTERycAV0aa7mvS507ApXlI5aExF1CQaI911XffdN2sLGq+pJE5ERA19+AO1bGNOw3k89IZFI/hWdkB1njofOrYzfzl9n1ROCzV+o9Yrq2ou6JVQ9Z2b2zP6ALq0a0e3Nz4gVTYBCekIYX34/AR/fS1y5spWRLV9mg1+Y8WQ2Ys+tpEu34ew5d8VgePbKFSFTm6S+zmUShAQ+7m9R/642utfF8b7sUvkzSMIlPn/lJVo2a0Sd9n04eTPOGC50uXVThtGgfj1RVOtQp14Dunwyh4x/U7wKINHH59G7e2cainxuyNbM7vtrJHP/PizK8hmmDnmN9ydsIltXnuQRaLPQiL//3dCOa7kS+G59g/Rjb5K0rz8d7BP4ev411KL5xDQu78Sey4miLKdz+nwGNSs8aA25SkV3Ms8FcDNRVGJRsVQomTfGkrRtKlHOP4y7OnN0eBhlirlwz0ZgUSd6hkfie1dxToth41lvGjzCgHS1GkU5fjrS0HGsT89kp08K//ukJmdOhao9t1mc801iQDtjXi1d3ejRsTz9hRs6rAldkkPY4hf/T3k6PZ7Fh4rTtnJ2C7h6oo6c5n9n7Jj1Tm3DPQYNe4437EN4f1Msilh8JzgCv+uRHDgTyvXoDMN9U6NjORuYiE6NJCMthZNX4/8xm0EiybdsW4N+7HdQ3gyGPDNERTB2q/gm0+HABLjlA0dMpQSKjzQuCrYKlygUwc72QnBdK1rEc+p5E6BLhlEDwaUimNoid6poDH4ReVWe/QeV4dx+mLpGPWkCskTN3vNrSBZS+NLhEHMNvvpTPWkiIm7D5Wj03wuFxU4Nk0gk/z8pov44cQn9lClCkFXDslPpOSE0CUlWqV+CroC3Gm5O/NYy9YiGZb+NUgOMWDsV46efZvDKgJfp338sw15OYNbaS+rZbGRZYutYki69+hsMLPbv3wr3grgBVpYQoDs0hsNvirq3tVCOE+C0qTrezUPQ6b0E2FTis5dbkn3TMp3uEFPHLafo8GWiqKaz6m1vTk5fydEMM8wGzCsSQvhuzhZeGPkdlUo/uEtUu2FzmTD2LVGWX+eHb9uwde1v3Il+tjo/chshKSsq4X/X8pRyaGmhxUpoyMp/RQSvVMUNB8PZJ6dG0xLcDkggNTKJXfGutKr3oDTjUbModYXiGxGv48qZCBo3y5utwiwsPXEplUKcugzg4rHrVK7ufn+3RI0Nr75kxdKDxqmudy7dQdO9HCUfUYlWru5N3LHbBIjjtPQkLmVY0bt+aRIv3MJX6QGIDWXTVR2Ni9gaf5AdTQZht/XoH2GsIeJ6OLquZfF+IM5M1m68RammVSl59+FbWNC2UQmOrL1m6Lz++6+tDJofaJiRcfeuushg3vn+NNFqN3DwUR/Gbw271yEgkeR7vlqPpmNtMIfx8iodoE8Do/Lre1gEuEEtL+O5PEfUG5/PhaoibltRX5avYfjmMaVV2kNLYIsQvt4WgpitKTtgROXXcSi0LmZ89vXUbaiKmdCKvmcdGNpLlDsRfy0hjCppKmbiHSy8xDtftQBNEZEGM/R/SSQFFkdRV/y1HI23qC8ftfmJshOFUrcoztLS8HmbnSq9WT/vV8p5PNzYabLt4KLBs1iJR8qO+SMTuYCLkP+7lwdrUendUhR/8X7KFyxr7DmldNt3WDr/W8o4PFjRi7eNW1E9mYcvEG6VQpQyM7h2RaqaaUvfPMGpJJNnr+Jt0d4/XIK1FpZo1V1jPIoWF3+l8vL/odVnKpXFf68MYgLvUK3zX2gbzcK29XJWRrvyfhcP5XPMEc5F3LgZEcOdmETCyntQ6+GtFS2dqFReR1BMEheC46jrZZM3VZm4aQW9hm2h6YZ1xcuPuFHe48EPyblGKawO+RMvlPhD55JpVfERCrzAraQbba2COXBZR9RFf6yKFqWChyMNxMd64HomsVdCiChRmnLuxqeVGRfL1v032CDcornnuFKtNM9XcXkon3p8rybRovxDcaZn4heTQY1STg/IgZ5FHNGnxBGhLCXQW9G1Q3naNixOJXcrw33tK1WnY4lYdt9WjAVksGlHEN1albg/40EiKSiYcPb3faKhbW1Ro4oP5u1t0HKAcKbqAMhGXCDsOQAlqkPlEmpgHpOVCDOmCkHsV3i+rBpoBtKFALhwmRDoS0G7mmqgCclKgxXLRRvlAF2UjgAzoPRXS7lHIsk5ynfzqG/n6m4hQIlvWqnbR81ECHzqiXxOaijrtp6mfYN/Tlmw9ihJw2p6Phvci05tWjPsm3ncKZBmQ8S7+Gk7CL2DTy6Cd0lonTeDgvkdrWVVPvv9Wxwu/0gprSvv7Ehi2s+f4Wltni19zYZohzeuW0fRSs9RxFEqMP+G1sJKFA7jIPd/wtnbk40ze+OzvC/nFvXkjYqpfPj5cfxyaFnEycER16Aw1l+PoWQp90fMyLKmVmlbDl8Nxj/AmjJOebT/q0ZDvbpuzN0bQeDZW6R2qECZh/V7Vy/KeiUQGp3GxeRU2hR/THeHtT3dm1lz+Nwd/t5yk2qNS2JjZ0O/5ras2XqLXSfDKFbfCzf151obG8p5O+NhG8/ENQn8OLYJFZ2N5+6i9OoGpWbQpuRD+bfSUtLWkoDIBxf1xyekiizZ46zMCrDW4mb/YFo1Gi3dWngxafMdYq7eZMnNknSs7Zg3nSsSSV5iFgXIBeatMRqK+q4bHP4L3p2nnjMRWWHQfwBcKw6/i7jL53T+1VOy6SvYJ/6P7SzkMZ3x+euEYGbK6UN6Ib1O/hT2ijg//AVaFVNPmAoR7wWh/P96GOq+DEPbqOFmwCzlXyJ5Bnj423lxgtG457mT8GormCHqmA0FYL9zfQLLPhzBEd5kcLsKauB9nKo9z7KVa1gnFKVN62eRtfFHxi4X+SxwCP3ljRYg9A4+rQYhQfCVaIMLYR2oz8rk7LH9RFs70Oa5VthnxvDTrGWkFjIL38GiHf5ympZvpr2PWx6ph88KWr0yDzwXtDwLK0sqlXWjZgV3alUuQovKbsSFhROdww4AOzd72rmksmJ9KI1qP7j+/y61m5XiyqbrBNi64OGc0zkGT06RckWosSuAqcczGNjC7RGzw7Q0KOrEzgtXic8qgYvN43qbtHTsVInwk9f528eCBuWdxCPX0KhJGTKPX2fmcUQlXfTea9Da2lFVPMcWjWowua8Dw37xIfKh3tmspEjuxDnibvdQnBornmvlzq1zt4i5awBUn8UFv0hKtS5NiX/pEKtZyxvbfVeYtiuU1sNrUS7vHq1EkneYpdyK2qFcJfER1RSK8GqhgKYJxXiVYi/URCTBmDdg/2X4ZSl0foQxkrzi7C4I84VqRaF6L0iMgy97w/f71QvymnRYLATzcXOEkD4JPuuTK23akyPa0LNLoPGbULkfbJ0Jedgu/StKvmWvrUSSc5Tv5mH5yNXbWKfXbgD9O4i2RdQ1YdH5XsE8vuwLfvNxYObaLyn+/4wAW7uVom11N4J9/RVzsgUM8dI8HEHIy/RtBcoKsOMB8GybAXgkuouz+HzKIV5b7MPeXfvZ+1sfwld8ztc7TCaEmJ2Y61t4/9WveH3FNLoWNdEASAFGq9fnjg2AuFvhtH1lOaVfXELprsv5YEMoxetVoWoR9YIzvpTrJs4p54XrvvAOIb7XqNN/JRP2RN+fhGBpRb1K1py8nkDLSo+eUu/o6U5kYCgZVUvj8ehLcgcbZzo1CGNTsJ6WHo+uRCtWceaPqT6Ube7FA/q/LpOo+LR7g2AWFcvgFuTP6ZLlaFFaFQ5LFqel/W2OuHvRy+sRUpvWghdeqU2j035M2Rf+wMzmmwf9sKhTmof1f6UFq9OjOW8VCebjNXcIj07h5oGzvHsUZr1WkodXVGTHtngxPmwWx0+7kxlQ/9+ulEjyIXEREB5pnNGUliiOhRRgKgu466fBtlMiznDY/r0QQsSH2aSTYWJAnqPXwRSh9P62Fb5YIQShGhAp0pFgoo2dPtgBQUFGd2AuODjDWPF/VDP1gjxmr1D83/sdeo6GL8VziBd5jxZCj4lePeHXYMgIKFYJpo+HTFEGlXJgypnCugzjO49Vt4uJF0qKYb2XRCL5V5SdsKLFtxMVaxSFk0TdEa5Ykhftx/NfGb/l0GDYcUyIV6Juq1oq/3ayibwE7fqNV386wviZ02jofl9A1OtSiYqOIysri5SERNJV2wC6pAhOBCbTpGU9CtyA6cWrsEK0O0LO5ewlOCHyVKWkwQTPs0qmkG0iRJmMTU4Tr1tHbFQEMXEp6BPiiCWd8+d8RZENJyT4DmkWtrg55aWSlH9Ii/Rn9NsfUmTUat7pWFn2gz8BWo3WSvz7L49KQ7UWVflmWH3e7VudEb2r81af6nzyYTuOj6+Om8aSjn3qM2FoHd4S55TziutVwwEnDzde616FpqVtcXLzYPTIRrTxsqJpl+p8+1YdmnpYU7tZFb4cWg4PbOjxen2GtS6Ku6cnH77ViHdfLIZdseJ8O1IoyW5KPnKHEuVK8mlHxYiThs79m/NZjzI4WGooVqUcb9Z3EuEOvDqoOt5OFniVK8H7g+rRqaIdVjbWvNKmDIYO19hYlu4Jurf/vtbKmbffacrPwytyz5SA1p4hbzfnrzcqYqO+Ag/vYnzUzeueoq61duenn5vimJhC0r1+miySHUrRt85jlHQrK4a/35leNtHMXneFZTec2D+lLRVcjZ0YjdrUopm3rfGtO7oxuHclnJWaX6OlbaMytGhemmoO/95rLJHkO94UglmxOnBVCHRbxonjJnDDREMBlUTcI7uKOItB12+gzdswU7h/dNDlASlCOF14WUhy4virnlBSpEFJx8ezTKOEOou4Son8K664h9KqgIv472wCa4yKBf7duyBOvPP1v0L54sa8t+5uutkXl9fAuWS4Jd5B07LG+BVnyhm1N05CPRFn1w8xbOj9wXNCEP7AeE4ikTyeuDvQTnw7jV82mHJhgqg7ig0SGrNQnHoLxVL5lkuIum2BUDa//hk61jD+zpwEH+GLL77g89m7iQo8z/fffM3KXZdJjrnC6I8nkOBcmQPLfubzzz8Xbgm3xU/Sz/xBvc5vEpGQwoGZExnx2WeG82M+/xq7bt8yTsi5BU5p8hDy+LZj0GkRDDsEFSrBt/UebczxGeHahs8p412KV6buJiv0Mr2aV+WF1+aR0vQVvnulPYe+7iKKbDH6TDnHwM/nMaLFM7QtTEoU8/6YxOc/TONOdBJrp33Ot9+tJ4oUtowfxEI/Z9wD1vHNl0q5n8SRW4Vn9sPToLl9fZ2+ROxW1Vt46ffJTpZNbI9lobV6l8mtm7EsnXecsi914KVq5jClLpHAD/PPMfTLTXh65tCSelKsYr8yG+JbdhYCQg63OW3atCnHjgmhIkfoITFBfEbqsLOto3A5nwbu4+ODn58f/fr1U0OeAGUEKzHxn7MdrEXDb5+z77hr165s2LAhmyXpHKIo5PFCA7W1Fy7nnbI9evQwxJ8jUpOEe+DFi3cu0u8k3n0OXv3q1aupVasWVapUUUOekMxU8fwfYUHLyTXHgujEiUIwHzECD48c7mKQlQkJogzc6yQWaKzBJeczuQYPHszs2bOxsTFfG9C6dWv279+PRrXqbA4aNGjA6dOnVZ95eLq6KHfp0KEDu3btUn3mQdmqbuXKlarvPgMHDmT+/PlYW/+HsWtD/Rlv7EC9h6i7XRVr8uK7ihXflYJGhClGlHKhTP7nsqVLI1Yo8tmxsnEQ1b1GNEP3t3M2YiWqIhvOf9+Hz251ZN3Ud7HRp5CQpE74F3Wlk6MjFv9xO/Bm9cpydE5n1WdClLr/7jp3ZacGk+5Cc58Xvwhi85a816V06eLdKVvOZsPCyg5HBxvR/KaSmJRqbAY0WhwcnbDKvldgHlG/fn3OnDGBbQzxrSYKOSszWwHXiHbOycWO9IR4Uh8o+BrsRP5t8linGzNmDOPeGiBEzYK1+0TDDr3Q6pKUIaIHagtJIUSvz8DXJ5oyvVtL5V9SMHEQCpdrduecY+X/6RHxOIr47sb9FMr/UyMaepyyxX3X5VD5zxWUGWWuLk+l/D81tkIofzjvSsePqV69pe0/41ecKUehtKK8uTwU/1Mo/xJJocNQfz707RiUfwWlI0ANcxFhZuyQegALG5Ek1wecg52VyIqlUIYeDHd1dSDzjg+f73Tnmy/fRLH/rCiM986LuvK/Kv9mRWlrnERbpzgzKf+mxMI627tTnZNQ/pU3aGFlK5oBNdzF2STKv0kR36qjk8sDeXcR7ZxW5N72oXBXIYfktfJf0NFqNEJK0T9jhUSSYzQaO57vVpmXaytLHCQSiUQikUgkBR2b4nVZv302TYoXjvXgEonk/0cTfGGtvmTqNnGkhhRSlCUACckZQhGWnSESiTkJCInHu0KD/zat8z+gTLlVpt6ag4SEBJKSkihevLgaYlqUaanK9FRzoUwjVKYTmoPQ0FCcnJxwcDCf9WB/f39Kly6NlTKV1Uwoy1Bq1qyJVtn33EwcP36cJk2aqD7zcOTIEZo3b676zMPRo0dp1sxExjQfw8mTJ2nUqJHqMw/Kd/m4JQDR0dEFTm7LD2Urtzl2eD9Na+Vw6dIzxOlrKaLtbKj6ChfPYnl+UpQlmxVKlcDS0oSzPnOBIyfPoLl9ca2+RNJWE06VzZ8oHQBLJjyHpYWcMiKRmJMfF5xnyBcbc24DIJdQGjKlQTMHT2UDIBfp3r27YW/op7YB8B/p2bMn69evV32m5altAOQi3333ncEGQJEid7fPMT2vvfYas2bNMqsNgDZt2rBv3z6zKnYNGzbk1KlTqs88KMq/0glgTjp27MjOnTtVn3l4+eWXH9sBMHfuXLN1Fj8t+aFs5TbN65fnyOxOqq/w0fWrW2zatFn1FS6exfL8pIwdO5b/jXi5wNkAaNypj7J0Qmlg5ai3glY8C61WOumkM6dTqiRl9NFczlAXPCK8MDhz511R+B4VXlickn9zP4P88A5kGoxOpsHo/o1HXZ/fXX54prntRJbEfyVfhdMpWtSjnkthcAX1O8wNV1C/ZcM70ysGAP+9fpVIJBKJRCKRSCQSiURSwNHqdcr2SXIXAIlEIpFIJBKJRCKRSJ5ltPosxXCBXAKQnfCgUKYuPM/xO8oWiUZ06ems2+zLIh9lT9hkVovzc0/GGU+qhPj68+PWYDIe3ISVQzsvcS72/j7V0bdC+XnFRS6E3w+LvB3G73sjiL4TwdTF5/hxwX3397UH9/zMTnJIKEeCs5/Xc+3UdSZl+/2kRT6cDrufl0dx67wf6y8k8NBO4hJJwSH2Nkz/EX5U3FxIUsNNycGVMOknuBihBpiQxFD441eYuw7SH9jUOu+J9IffJhuf/QwR/+OrrLxB2Yt/nXjnv82AO+q+3abk5nH4aZIx/4t3GbYPNzmnVqhlX7g1h5GVuUSSA85vMn47x4LVAAUhyy1Tv6kfpwvh0NQV2xOi1+G7ZzU/iXT+KNz8wzfVE/fJ0sWwfobx/I8z1hCZYeI2Ii8IDwch4z7o/CBFPV8YuH3C+E6FW7ThMOmFpN7X62+JT1Mtz/fcDHxjnoFybSK0FlYWUlB4iNsBwXwz+wyzdoTfk+NS4pOYs+A4f5xKEL4k5s84yQe/XuGO8bQgi71rT/J/7J0HYBTFGoC/u/TeQw2EGnrvvUSQ3lFAEAUBxYaIogKKiiJiwa4UEUF67733HmoIoSWB9N7L3Zu9bCA0H2C4S5nvvZFMud2Z3dmZ/5/yz8RV10i7p/5FXL7G1zuU3wlEQ71r3XmmzjzFnweibj/6Y5tOsSdMT2RQGN/uSadn9yq8LFzvymZM+GwzR8If9JL07Fp1jFhyG8DRcX7fRVaF2DJIvUZruyjenHGcmHQ1yQMo7uNNu0p2cjeIpIAiFO4eTYTy/ZtQgn+Aia/C8yMg2UirmxJvgK+4/5C34MMP4WSYGmEkAuZBNXH/998TSvB8SDWiBpolyt6pNXz/M3w7Fd4YAONniXA1/mkTcQxq1YFXx8KnQlAPVttaY3HzAHTvD7/8Cl9/imh04btdaqSROLsGBo+D30T9/168g4EdYckVNVIikTyUDNFejBbfbN/XRNs9HnZdUyOSYXhL+EB8U78K5f/zd6FVcwjKZwKzLoPAJeMZNusYfQcN5eWXX6ZHnZJq5B2OzX6VY85tePnFAdifn0fn4bOJK+iyf2QkLLtwx808Aj+eLTIDAAnXDtH+2e58+e3P/PrrT7wxqCNvLbhUJFQ6jaY4nURdV+q74nr7erPsxxXEWhaF0ucNWr1OLv9/EGbNqlMz8RYpqhwdeT2EChXcsMjRkN2dGOUcwdFw1R8bycLYyjQvq/pzUaFqcU4fvYUiluoystgfkMnEyfXwO31LXS2QzqFzKXSrn338lMbcHDcXazyEq9S0Et3sUjh8PeH+jRoJ0cwOq0jz0vev4LCwtsRdvUa9znXxCI0gUFUKzu/14/Vp+3n3j9MEJWR/LNdPXGDpqXh0WVmsX3vKEP/6tDMEZGbf9eLB82rYcQ7FZJASFsnkmRe4s/ggiZm/neJStCmmviQSe6F0zoALV+HMbqjoLhSzW0K4M1J9zDSDQW+h/3USmMJ4eryNUP5mCwH1fsHvqaN1hq/mQYB49jt+BxvRZqzdLp6JkZ59moUQ0oXSO6a3yIsaZkwcvYXguQGuiPKvFu8/KxX+NvJJBsWrweL9cFXkYfuXoktJEvnJPZMpkUgeiE40Gi37ol8qlHxHNcyAaFf6jYbj4pu6fBFeaAJREULWM8EKo38h7eZRBn+0k4mffUK50sUMp+e42N1/jGijEYv4fEBjPIqX4fnnnyXiyHyuRKmRBZVqot1bO0B13cFDyML1y4GrGl/IObfxF/ad0TFtywWuBp5hWENbFn0xi5tqfOHGAmdR15X6rrjgHXPw7P88jW0K1nF8pkSr12UIjVMOAtyL1sweRzcNt5IUITaLg7uvUaOyc67NEub07uHJsh3hhtE2f79b1OrodXf/oVLRpxTW52/hL5TllMRoLphb07tCCawu3mR/mnj2oSFsvWlJI3dr9Rd3yExO4Nx1sLO8/1iuqxfDqd6hNE6q/2GkxEYSGmuOlcj80bX7eXFREq+PaMygipkM+f4CcaKIIecC2XwhieiLF5h7Cj55rSH9KiQzZX4IqaHXeGfWTd4Y3pjXfR2ZOusKaXZmBOw+w44AIewq9zhzhR9PpWJvJz8+iSkQCnCrFuJDFJV3+1YIi4XGncSHY6Tz1J1LwUsD0NiKj8wUSmj9ftC5MVjfPxj41NGIVq9dO6VJvEPZkuI5GOlBlK4Ng7uKKmCCsivYi7I2qp69k06v5sGnfPa/xsJdCL12yXBK1P8/hCLjVAV8hZNIJP+OlR08P0Q0Y6KvuEvMEv6OQqkMEt/U0SOw/xBU7wHeDmp8/uDaucOEVu6FV+ZF8fmf4tT5a6TpHy7T63WZXDh/WnRZnSlZaI7tF+Xd5Cf6fSvxLkVbWERIT0ogXcg+DvaWaLQOVKpWgYywPdyIVBMUEbKS/Zj582V8O7bCXGsiOaAAokUjbQA8EI2GaqKdX305HSJCmXfLi/L3jCpqK3lRyv8ysalZ7PZPp3n5Byu/tp72tLWJZP+FdIIOB+DsVRIPd1valdew7WQqgaduoKtSnlJO2b1P6rVAXnpvK32E6/nWbhwHNKV3Vft73pKeSyGZtCz34PNvL+w9xfPqNZ4bf4yuoxtR1VLHqv3x9B1RlyrO5tRqVJmSF8+zItd2MV1mFoF+11kfpKF1n8bMHVoa66wsQkLiWHouiSr1KrFqnA/O9i6M6+nC8j1BpOuyWL8piPa9qlPMdEdHS4o6Z/6BunWhz2sQLYS3MpXvVkqNganHUk15f51oK1euhkxr8Q6eFc/eyCMhpn72GXEwcwXYlIAX26mBxiIeXh2QXf9nnBGdTklR/23UOIlE8kToTmR/U83aiP5F+EvVAof8JS8nxUeTeHk9G3ae5krAWb4bO5zXZ+wke2rmDrqsdGZ+1Ic+vXoxdlUcM359lWKFRfRPSxHCehCUcIJa/29KrPDgUqkKLtzgk8E96dOnHz+tOUOW7goxsWqCIoGOi+uWc9iqKZ1bVZLa7GOg1SqTzvKJPZCaNT1ZvTmYg0dv4tPRG897J+Gt3SjvpScwMoGg5EwaCKX6gZjZMaC7A/uO3GDFplvUbVgcS3NLerV3YevGK2w6EUv5esVxUOVl67LlmfVle2aNq0p6kj3dWnjgfI+erxdK9/X4NOq4PniGs0rzWiwQ1/isd3Gu6UrxbF1HoQvpSc7U4OGUnU8zMw2WZpmk5LIN4FqrFvPerMCSX7bQsM98Rq8II9GzApt+bsT5FftoMWQJPX+9TLjoXSr51iX98k2uh8Yy/4o9L7W3v3sAXSIxJo3fEEpYBgT7ib+t4KsxcDlajTQSihJqSkXUZDtw0mDLDPh4Jfi+LhRgX+P3Kybd+pcEf30Kf5+FAe/DMzXUcGPhAhuPZtf/LV9C6k7o/pnwq9ESieTfUdrte9sQbYvsbyopDoYL5X+F+Lb/Ed9ZPkLZxmtdqjOvjHyR3v1e4MOX67Drr1mE3GMEV2tmybBPF7Nk+RKmdS7JyC7PcTQ0nxo1fFwuC+X/gtB629UDN1MswTMNNbqP59e3X6aUdQqx8XE0a/MMNuZ1KVFMTVAE0KclMX/JStpMmICPHPN+LLRZydJgwsOwK+VEk1M3+F7oE881uHcGPpuaxezZufMCUc5e2Fk+XOKt1bQ8yQcu8M9VexpWsDWEla9RCqczF/ntmFCe2+YatdRohHKuxcW9FN+/5M57U/bif/eBA+iiQgjJcMfpIUt+NVqt4RrVGlXlu2YJjP3tHEl6LcVtszh5OdtCSlpSOv5JVnjmHjAV967Rsgbrf+zC1q8ac3bxIa4mQokKXvzznQj7tg0Zmw+z+xbY2DnS0iaRnzYH4dWkLNXN5EiSxIRoRMdvbg6lagrlpwzEhkJwUTIHbEL2LoC+HwnlfyjMF4qwXVFqCzKF8j8ZXv0eXpwCP75hGjsQZmbZ9f+Z8VBXaDP+RwwLAyQSyZMi2jHlm7J1hJ5dhD8Zrtw07SDvPdg5uqANCiVBbXJdHD0fOvaqNTMXxbGh9Yi36egWyMGzN/JTUZ6cNcch0QOeL6EGFA00Giee+242O3bsYNuWzXhE74RKzSmdv3apPFUSr21g3bUyvNfJWw2RPCpaRVEsHC3AU8DMge4dEjkZpaem3YNHFX2qOPPbP5eo36AY5rlb3YQENh0NJVGdgdGWKUvprAhSa1WggYd6Lc/i+JZNJqJ6cdo9SGBWtiE8U5WhugQ+XHxFKPBquHhhp7ZcoWSTkvzLmEM2WnPaD22Ex6HLTDueQP8+Fbm56iA/b7rK78tO4/ZMXfrkshsWd+Yi/T49xOLtV1m5IxSnuhUpFnODXmN2MGeLEnaT9EoVqe4psmdhyZCuJZi36AKNG3iIyqReRCIxNmFboNaLsGIFzJ0BP12Cyo2hhoua4CmTGAkbxL33nQTFsOexbbBe/G0s/HeJsq+BqCTxEQsBde16uGykowgTrwnld5holqyhuy9sX539HiKMdAxAxGVYvQrOi3ykCwF95wbYLd6/sbhyACZ8DR5CAGnlJerByuzyG3MZ5tLP4OMfsu/7xSDYYQWDXgE3NV4ikTyYjBTRZonvZuv+7JNLzu0W35H4ppOuiv6jX/Y3tXQhfD0PrMpC27qGcYH8QtlazfHWH+WIXzS6jCTWbdyGd52uuNmJJujGadYcDBCpUrmwfQtBhgFBPVEiPCDchfIl3fJTUZ6MK6L9Xyva/WfKg8tDVuEWUlJig9myZoWooiv4fYwvX+y1ZuKUkQjxvIiQws5ff6VEi86Udb7fhprk39FK5f9+qjSqwZ63so04NRvQgc3v1cJWaPeV2zRiXk8PEerKr7/4UsPDAhfv0mz9oyf9K1tgbW/LTyPqYWshmlQrSyqUtCfHdp/WzJYp3/Rlx7gKir1yFUtGf9KLI2Mr31aevWtWYuukasqCThU73p/xLJ91Ln6Xsl+xQyNeqPKg/f9mtBvShnkvlro9CWVh7c7vczowqIIdZWr78NdnTWnr40zHLg1YOtzb0AE07PcM3/YqhmsNH34cUZWa5Z1p/Ext/h5bHc/yZfhzQgOaVHKmTsNy/PNpQ6plH1hASU8nSpcoT+sqtgW/I5EUXNyaCyVMCGeDhPLz6nhw7w/b/hTh2attnjq3LsBoce8pQkhUjEf9/oHIx5zsOGOwZqIou1DCTyZA2CkYPgI2nVUjnzKRQlgOFJ2vYlD2XfEMlHeguAtGWn9+dhO8NBjmCwE+XZT/49fh0zVqpBEIOSSegSh/zE14LVf5c04TMwYdB8AeUd+V+34mFJa3foPpz6mREonkoSTFwAfiuxnztWg/xHe87HPxHU0H61Kwql/2NzXkZfE9e8HO9dC0jPrD/IFNqQb8tWwUs3o2p37DVuyw68m8H5/HWcSdWvIpHyxQtiyY4xCxibbN6lGvXn1aDJ7Pm6sW8UyVgm4uP0v0c9fFuxL9fFfxXorO6n8DWfG3mPzeSFFFB/HO7ONMW3qE11sXHfWf8PN8sTmE3n16Y120xn7yBK3WTA//YjG0KGJta01lz2z12dzOlnIe1gYF3Uoo+N6Gff5meHk5YKNM+ZuZUcHLCQch8yurKbzcbbOVeUsrKpWyxzJXg+Tu6UgZdf99Dg6uDpRxvrOP39LGiorFre/aS2/lYEe10raKWqGiwcnDDruHbLh3cLWnrJvFXQq5m7sDlYtbGa5r7+JAtXIu+IgyWKvLFmydHSktyqbRaChe3MkQX62cI07qTZ3dHNUwJzxslEJlsGftBd5dEcKYMTXxekheJBKjYG4H/T+FlJRs5zcTvDyMN1NTqSVcVe+d4278qEYagXF77753SiS83laNfMp4D7zn3qprZaQR+bZC4Y++597b31UjjUDL9+6+d46ro8YbA8eKQjk5eefe3w8VjbqUiCSS/4tzSTiS67s1uBVCtrOEiv3vhF3bAXUr5EMl05yydV9i65ULnDx1nPlTXqO4vZLJCA7sCuHN55ob0pR+/lsunz3BiRMnuHBgER1rlseqwCvMQvB8rT3sEH1QcyOt9stH2JdpyP6LEaJ6ppCcmMC4jmWwKEpbcT3rc+hCAKNaFlcDJI+D1rBvVs7dSh4bc2o1K8u7rzThpVpGmmWVSCQSiUQikfwrkdv+5Hi1MbzQLH+tWJBIJPkDrV7R/wv8KKDE+GhwdrOlpLOlYqpAIpFIJBKJRJIPcPd9j+XTnsNOGmeWSCQPQBPkt1hfOn2b8md2SBGl3/tbCQpLksqsRGJibkYk41HKBwuLO5tejMnZs2epUcPYx7hlk5ycbFjO5+ZmGutt/v7+VK5c2bAVyBQo9/fx8VF9xiU6OhobGxuDMxUhISEUK1YMc8XyuIm4fPkyFSpUMFkdUDh37hzVq1dXfabhzJkz1KxZU/WZBlO2RTlcuHCBqlWrqj7T4OXlxZIlS1TfHQYOHMiVK1dMWlefhPxQt/Kas34nqVGh6JzBfy8Xg9KpUqWK6itaFMb6/KjcuHGDUp5umCmn8BQgzlzwRxN0erm+dMZmNajoogwALJzSXghecjmERGJKps49xbBJ6/DwUAxuGp8mTZpw6NAh1Wdc/Pz8DEpwv3791BDj0rVrV1avXm2yzqxHjx6G+5uCZcuWGYQYUw1AKEyZMoWRI0fi7u6uhhifIUOGMHPmTKysTHGWYTatWrVi9+7dJlXs6tevz/Hjx1WfaTBlW5SDr68v27Ypk0Smo3///g8dAJg7dy6Wlg8yiJx/yQ91K69pWtebg7M6qr6iR5eJN1i/YaPqK1rUq1fPYFuiKDJu3Dg+GjUAR4c75t0LAg18eynHggqFV6eGSCQSiUQikUgkEolEIimUyOluiUQikUgkEolEIpFIigBanXJ2s0YeAyiRSCQSiUQikUgkEklhRoteMTYkLd/dS2ZmBMNfWEF9g9vBvqQsNebJ0Ot0fP3DLvziM9WQfIZez6pNZ4lKlYNBEolEIpFIih76zCimrepDvd/rUe+P+qyOyP8yUUr8HgbXr2+wLTBs6lIyHiiu6ji2+EuaG9LV48f9CWp4ASc+giEvraLeoBV0HL+HG4lqeBFBH76N3uJ9Kvvwe4/+lLg0NaJIEMY3XXwN9b5Vxx6cCFWDJY+EVmstGje5AuAuUm+GUnvIATp92o3j83uzfkIpxg3exJ7QJ1feNVot495sQy1H01l3/jd0ulD+WRRKpk7WBYlEIpFIJEWNVFbtHsLkC2cp7+mDbXIgQ/5pz6mkZDU+/5ESLGTVOu/R9o/1HNm3ldKnvuDVPy9wr7QavOl9RvxxizV7D7F74eesGN2Ytefi1NiCSUZKImPG72RttAafCo7cOOxP8/GniFLjCzvJoSfp0/oFDqU5UaVaWU7+9TFtRs6nkAzt/Dt6HXPeepFdHScYDGr+NNSbt8Z+Skym1GEeFW1WivKw5AqA3IRFxpFkV4z6pbItYRevUom1v7ahnqsZer2eK7uPU3vQCuoPXMbXBxJRdOagkxdo+e1xXnx1BXUHrGTMqluGcIWD6w7zweYYJn+1lROxmeizstg2fzt1xDU6vHOIK0nZCXUZmfz+3UbqvbCCdpMOczNRZ6jkJ9fsN9yv7oC1/HAs9j6bjfdeL/Bh10tQfpnGL19s5Nc/99Fo8Aqqv3GUqwmJTHr/CNsCQ+g15hR7j5yh1TfHGTRqBV0+OM6NhAxmTFluuE6dV7ayNSRVXCeDP75Yz+zTSYZ7nd+yn96/3eDG0VN0nXiCqHQ9Bzcd5801RaUplkgkEolEUmBJ3MfUw1to1vAbFvX6h42dRpMUu4+ZgeFqgvzHuX3rCGoxgsH1i2Nm40K/rk05NHcp0ar8aUAfwZyPV9FkyDBcbS2wr/wsg2qlsffUxQJtAzw64CpLj8UxYmwH/vm0Pd8OKEXIoROsDMhd+MJLwJ5/2HkpkrG/rWPBvEWMe6EJ/qsmsP9q4S+/PusIi7en883ARgZ/xfajsfPbiV9aPl1lnQ/RapXjnorGt/LIlK3oxduVo+k+di+fzj7JosOxuHjaYW+pIfRCIC8uS+Gf33tz/I92+C/cx4GoDDLT0rmxK5QRn/Vg+/SG7F8bSJBhBCCDTfsjaF7FiuiYZFJ1Ok5vPsEbJ13Z8mdvPmmTxdTVIegz01n43SZ22FbjwF+9mNpYw/PTLxMXGsybi9NYOrM3u39sTlZQPNkqdw56/HJdb7K43lergw3XW/R97utpDdeLFelvXY3kjFMFDs3rzifFQxi9LIFJXzXCt0IpVn5Xh+Kp6VzfG87bX/Rg/ee12fXrRs5Vb8eR+b3ZOKY8o784T6S4TlxMEvFp2d1HenIqt+Iy8GhYndaWYWw6FcLcnfG80d7ZEC+RSCQSiUSSX0mKOMNJnR2VPYUyjQY7r5bUFjLchaggNUX+I+jSecpVqYiFwaehWKnyJMcfICrWEJBNbAR7YlKoUKakOt2npWz5Mly6LGTFAiz/hweEEaKzp2pZS1EuDV5VPHAlk8DQFDVF4Sb47DFideWpXN4WjdaCSlWrY5GVwK3wGDVF4UV//hg37FxwVI8AtbCyw9nhJn7+/227dlFCq5dLvu/H1pa3x3Rg55TGDH3GmUXf7KDp0B0ci8ri6qkblKxTEuvYeK7EmdPcR8uio9mNjZ1PGaq5m+Hq6U5np0gWnM4k7cY1jsbaUdfN2pAGXRbHzkbStXtVPEW9bdKlCdN7lYCEJH46lEX7Ji7cDE3AtbwnVn5+nIy3xi09kndnXSAs1ZwBvqVwyL5SNsr1zonrdatiuF5jw/VKGq7348Hc1/PA6owfp5Q9MnbWtKrihFZjThlvczIS07n3k3GsWobKrmZgZka3F1vxdl2Y/dl6On52nPDz8USo6e7HgiH9qzLls22YtapNRTvTnCcukUgkEolE8qgkpsVlT4ip0+IaGzscs//MtyQnxlOieDHVBy4u7mRlRZOWrgYopKURJmRFD1cXNQA8xW/iE5ML9ABAXMLdG94t7SzJVgeLBvHxyihPzgpuDTb29hQViVsfF02GnR3m5tklNje3wM5eT0yc1GkfFa1Go6h+8oHlJuBEAPPOpOPmZE2ZMuVYtaQXnzRI47etoSSlZnDrRgRbD4cYXHpJL/pWy1buNWaa7HMVLazo28aNtWsC+Gv2WUp2qE0xG0MSAzrR4lqKtArKCgxHGzPRYOtI12Vw5nT2dbdfSGHAy3Wo5OXJoj87M6Q8rFh7im7vbmP3LcNPb6Ncz8I8+0TH3NfLuO96tamk9mba/7frQyQwJBEdx4yftvPmP9ehei3WfNWckg7/fnqksqgkPUWHJi7jvn1oEolEIpFIJPkNR2uX2+qUgZRoFBXLw9Y1258PsXd0JjQ0TPVBTEykkME8sLZSAxSsrSlpZk5E9J2Z4fDQcJwd7dD8P1kwH+PiqE6sqaQlpKMMCbjaF41hAGcXN/HfnBeoJzkhHr1Wi4O9nRpWeNG4uGOdlERmZvb0ZWZmBkmJ5ri5FOAKbWS0GtEooJcPLDe69BQmLrjI1aiM7KGR9CxC0/WUcrPCy8dTKNdW9O9elZG9K6K7fBP/xHvnzzVUb1mJ0udO8PFxG55r7ZI9MKAgPs4KJexZty+IVB0EnQug9dfn0Nrb0K5YFubuxRneqyoDqlvxw9owktPTCIzQ061zVd4dUpeqiXEE5LZyKq5XvoSD4XpC537A9Yrdud6acB7blE1mJmeDLenTp7oorxdRAbeIM5yIoMFSKPqpaVnodZmcu5qqjiRn8s/8i0z4qT1p+85xPeHeZyORSCQSiUSSv7DxqE4dTRJnQq+TgY6oq7s5rS1F85Luaor8R8kKVbjsH6hOtui4ftkf+2Jt8ci9+9LZjeZCWQ4MvqVO96Vy4ex1qvt4F+gBAPfKHpQigZOXUkXJdQSeDSPGypN63vnT2HZeU7J6HZy5xNkLceh0aZw/7UeWYyMqls49+lM40VSpS8nEWBLSs5e6pKVEEplYhgY+ctXxo6I1bBz69wndIodPvSrM6W3GyFc30GPsZnq8tYOzFWvwWnNXKtSvxjjvGDqPEeFjN7LVpgwvVL57FFJB41KcF1rbY1nbi5auuVtYLS171mOo7pLhGmNm3WTCcxXRWtvywUetMNu/n27vbObZX68y6c3aVLLMZP2CPXQRYT3f34e+ZR26llUvZUBcr0ddXhLX63LP9cZPUK534Pb1Jr4lrmer/uweNBpnyrvF8+qUC9y1wMDGhsl9PJg8aZPhWfy0PwVz6wzikyzo+lx19s/bTY+P9hKQaSGuoeHS7sNsN/OiT8WyvNTJkXfWy3M5JBKJRCKR5HPsGvJ8+bLsPTGObou603HzLEoUa0R3D2WmNX9StW5LzE/MYePFBNLiQ5n590F6fzgQJceXd/3B81+sEn+5MnBUK/atXUx8ahYhB+fw95lydGlRrUCL/45epalX3oo/v99M97GbGLv0Jg171qT5nZ0OhRqvWh0pU8KG70Y9S4+e3Zm+5DhtXp9AdSc1QSFGY1aLZxpl8N3mywb//r/GYtm2D3Uti8bgT16gCTq9WF86Y5vyZ3ZIEaXf+1tZOKU95upSegVdlv725gitmbokXkGvJytnj5hWk72cXgkTic1yra1XTgzQiV+pq/3R6fSG9NnJRZxyDeG56zcijcEsQ67w22kFt+93D49zPUM+hLKujPwqvxM+wzWVcCWp4e/cZRFpbpdX+Y34VyvilNjcv1GuoxH/zbneveWXSB6FqXNPMWzSOjw8PNQQ49KkSRMOHTqk+oyLn58f/v7+9OvXTw0xLl27dmX16tWYKft4TECPHj0M9zcFy5Yto2bNmvj4+KghxmfKlCmMHDkSd3fTzTgOGTKEmTNnYmVlulmkVq1asXv3bkM/ZSqUs6WV46VMiSnbohx8fX3Ztk2REU1H//79WbJkieq7w8CBA5k7dy6WqiGwvECfHMx7W9/lVLxyglEFvujzCw1t81ZNztu6pSfu4O/0/2SV+F5s6PLax7zWvY5hL/jGTzszNetVdk/uBlkZrPr5PX7bcEHIZpX5dNlXNHKwMchxeUHTut4cnNVR9RkPXUgIPaadJjVDT0nvskx/uwYeJtgB0GXiDdZv2Kj6jIWQsc8vpeNbMw2+Ki0HM/XDIdgZWQeuV68eJ06cUH3GQx9+lsGvTyAyPhWXYr34/s8RFMvRW4zEuHHj+GjUABwd7NWQgkED317K4J9SU6SG9iAUpd9MdXc9ISGU5ITfrmtK2D0VTxFeRJLb5CjNCoY45Rr3/kb47w2/nTb3/e7hca5nyIfqVX6XE6WEK+kM18qVXkl8+/45adSo3L9RfpL7eobr5LqMRCKRSCQSSX5FY1uar3ssYuvgrcL9lufKf96jwanpKDZv3sSmTSt5Q1X+wZ8NG+OZOLCFwYeZBT3f/E6k2STS/kDjPFT+TYm2VCnWzujM1l+68Nd7plH+TYeQt6v1Z+tWUVeF+3GS8ZV/U6LxrMH8JasMdXrhXyONrvwXdLRmyoy3OrsrkUgkEolEIpFICi6xx4/jPGI6rXyKyHp4iUTyWGhunl+pL5G4kaJuB0DZAjBrYuu7tgBIJBLj8+18P4aMX2ayZdBt27Zl586dqs+4nD17loCAAHr16qWGGJe+ffsaltpqtaZpB5977jkWL16s+ozLqlWrqF69OpUqVVJDjM+0adMYPnw4rq6mszr+yiuv8PPPP+fpsurHpUOHDmzZskX1mYbmzZuzf/9+1Wca2rRpw65du1SfaVC2Ba1bt071mYaXXnrpoVsAfvnlFywssk/BLyi0aNGCffv2qb7CQdtm1dj5i6/qK3r0+TSI5StWqr6iRX5oK03FhAkTGDesH44F7OSFFt0GoAk5u0xfMmUzyjLvosyfa/05fUnZ8yWRSEzJsfORVG/cHRubXGdnGhFFAVUUUVMQGRlJTEyMyZTQNWvW0K1bN8P2HVOwdu1aw/1NgTLwogw6ubiYbsbsyJEjBjsEpqr7Cps3bzbs+zaVHQiFpUuXmswORg4LFy5kwIABqs80mLItymHFihX07t1b9ZmGmzdvPnQAQPlmTTVg+aTkh7qV1/w29zfSqt45l9/bxoEexe+yWF2oWX0wgR49eqq+okVhrM+PijKQ17BmZSwL2CDkwpXr0ASfWaEvlbZJDZJIJBLTIo0ASiOApkAaAcxGGgHMRhoBzKaoGQE0BvmhbuU1zpWciXshzvC3u6U1F9v0x038W1QwjRHA/IGpjADmBwq0EUCNuWIAQLHjLpFIJBKJRCKRSCSPT1kbB4627FWklH+JpCCi1aUrI+zScqJEIpFIJBKJRCJ5fEpb23GqVR/D8n+JRJK/kacASCQSiUQikUgkkieilJUde5t1x9miSJ3DJ5EUWLQ6nV4uAJBIjMSkN2dh2eQe12ERC88lE3LpOs8PWoSVGl5z5B62X0sx/C4lNoEeA+75neJ6r+ViVAaZ0eG0ffYvEbaMpeGZht9AFqu/W4dVz9WcDEtXwx5ECmNemH3ftZ+be4OYNIi5FUKzTrNo9Veomv5BZLJ4+hbslN++eoRkw6BiFh++qlxrNj2nXSY86hqNlHjfhfx5OlHE6zkwfyPWTZU0W/FTfvKfSeSbvj6GPaGNe00kLkMNNhKRZ9bhU8JR3L8E3xwKU0OfNjoiLp3gxSaWhnJbWhbj3XnbiU1Vo41AWnwYW6YPVO9vSbn+n5GWaZytZYkR1/myf3H13g50fftbbsQZf1tbQvAR2vi4izy48e6yvKnNj0v0+U1UL+Uk8lCcqXtvqqFGIiuVs6snU1atA7W6v8bp4GQ10khkJrJ75psUV/PQ9KUvCIi4Y5jMKGTEsmrqENzUPLQbM4vrMf/W/j4F0iOZ+34vHNU89J2yhrCEnH7BOOiSgpn2Ujts1TwM/2UvsSlZamz+ISsjgX2z3sXJ3saQz7I1urHrcqwhLi3cn0kvNDKEK877xe8JjTNyfXoQ6VEcXzeP6t4eWFbrwLWobDlBn5WO/5ovcFTLYlmyKr9tu2iIy01G/C0WTex2u1yWLUdxNiRBjX0yHC0s8LY18sx/lhA09pyClrNByBYM2AYhRv7WjIqeuJBLfPtyXfXdOdH/k9ncFOJU1tX5VMl5n7ddRf4JzAf1Na/QpRN4+hhfv9ICSytrhs87o0ZAXMBeereoqJbbm+mb/Ug1bpNX4NAqgru0ASCRGIehr3dm8w/PMqqZEzZ2Xsz9Sfi/akudpBv4vrGFxZYl2fBjZzYJ18I8iC5vbmLdlQys7G357COR9uu2NCpjRZkKPixTfvtJU8o4mhF4IZRzyRlCiEnmp013TrPQ6XRkZOrQ/+snridLpCndqg6blGv+1IlfhlVk05yd/HY4zrBAKFPEi///KzrRGWvNNNhciWBvjHLDWG5cMUer1ai/1Rvy4uVgweGAeLL0GZw5nUpxN1sRrs+TVsh/xXui/Lcw15qLPBtf2Fz4/ZtozD3JyMgQ5VMDnzqpbP/iJTyGbWLzhrUMe8adn8cMYedlZZDFCOh1bPz5LXp+so63v1tqsCI/Z/zzWBjFjqCOgG0zuVjnJ8N9f3uzKetnjOXbHbfUeOOx4Yfh3Iq3I1O8+8x//+CeGou/H41O62Gofzoj5yHk1Cr6vfQVlYZNZcWSGVjs/5VBL88kUo1/+ujw3/wbA8f+TccPf2HRrMlELP+IYWMW899Um8chk2PzPualKVt5+du/+OvbMZz77RXe+nS9+EqNRRp7vn2N1387zQd/Lua3SS+y9bOBTJl30CDtGYcU1k0azMdro/l26QqmvdKeBWP78ccO/3wnbabEnmfhwSQWr9rAz2+1IuTCOvqO/J5IfQzzXhnIZ7uz+GvJGuZMfoGIpZ8yY62fyRfNXlz2Li9OXEQbbzvRd2be7t/jbm1jyJDJFO/7uaE9HFougFcHfElAdrRKBnv/EHX0h6O8+90Clv35Ld7+vzNy/AqS1BQFhsuXYdIx6NcKfmovXuZVmHJOjSyMZHFq0RecrzHF8H5fbpTM0snDGfv7AbKK+/KnCFPCFfdOe2vRD7jh5l54jjZPCPFjWO+BXCvRCCetkLGUCWxDxAXe7tufwxatWbthDR/3cGXi0MHsuhqdHS95IFqt1kIIcHIJgERiDMpXLknbBiWp5GGJuaUdTcTfbeu4cXr/FW5YuLLnsya0b1iSdsJ9PrYF5RJjmbvuBplmZtSqIdLWLYaHnTn2jk60VH5byx1boWgdOBKMWekavN+1GJeWn+BkzOOLKPaerrRTrtmgFF0al8TaUnOngX1E7F1saOeRxtErmaReDiNM5NNR5Dc3TX3LEnElnsykdA5HaGhW21mN+W+kRZ3ns8/W4tNxDN5lFIusd9/36ZLFzZ1f8f0yWz6Z1FH4Fe3XWO2qLc//eYrpr7SjTZvWVCvlgIXGHksL49xfp/Nn3ozFlHhlHtNG96Bt27a0rVcJrVEsuGupO+Az5n7Y13DfGlU9cRTPw87WmEKPnshjc/nsj3heH9tHdKrKuze20KXj1u5v+GaxFR9/3Fn4lfsbt18/v2ctN5LsePWdd+ja+QV6dGpE8PlfuXDdSGpnllBstm4lxa4Ur4wYTu/eL9JC1MNLp2YTEmmkwcC0OFau3YetVzWGDRzAgEEvU9O7OKeO/kNcopHUxqQwZi8/RvGaTRjasxcvDx+Ol5OWXXu3kJZuJPU79ho/Lz9L9XadGdSpK2+/8yqu2hhWbzsq2gs1TT7B3qMxP836lWd92/LK66PxFn1tVEKi+Hp0xMfE42TjSo2WrejSrhWWlhaGAW1TU2XgHM6cWEqz0nefPa7LSiUtJR2fsvVo1rYZres2EN2g2T2tkZ6UxCQszKyoVr85Hdo1o5irGxqRzvQle0yuhkKieAY9ykODcgjhA47chEK7CMCc1mP/ZOY7nQ393bBhL4neDmLE+9TaFKep0vcK17yODX4H9dQfMZi29saUg54uDl4N2HnZn7HPVMEy9wRDWCBrrybT0rcL7ds/y6uvdCcjPJwTwfJo939Di5X45AvPAJFEUvBITWdrQAKeTq54ud3ZP+fm7Y6vUJ5vRMSS8S/ya1ZWEtsP3MJ3QFUGNitBcmI0+y8nPvZMS8CmQ9QesMzg2nx0GL23D4ObOD2eUGBuTi1vKw4FxnLu6FXw8cLxntPEbD1duSUEq7iYJM5Yu9HSO2/EjrMrv2V5cjOmTu1JtlhkxPVfcTd4Y/wvlBz8Lh3LuYkA5YUZSdhW0PgxonZtatdryCcLAnjtl39oV/Fu4fBpoQ/140IY1IjYQG0lD7WbM3XZccMTMA63+LJ9S8O9+4xbQaux3/NOm2JqnBFIjeHrr34gq8ObDGguBFHD/KCRtZz4IMZ89DOeA8bSpZJyfKZyfyPWP8FV/zNC7i6FqzKeZ2FJ1ZJeytIhkpKzlyc/bXRZmVy5EYjGrBQOStW3s6O+qztpaWmkphlHI8hMSeFy+C1R/JJYK0bQnVxoYW9veAYZRlqRlBYfyyXhbKyLYTia2qM4raysiI1PEMq3cepEclQ4ASmpONi7YThRtGx5Wog/IqNjRa00br18FHLGKi/u28h1nY5KdavhigsvfT0al8B9dG3RkEZ9x2HX+FVG9qidD0Rmze0858bJszk9Otdn+9cDqFe7Hm8vDmXavHepoMZnY0GbwQPxyYrmnf6tqdemN8f0vnw7rbdBmSxQGB5CknhxwilL7gzbzkLhuiG2kCLeveFfPYe3LSdZPINqtXxyTXdksGfWHHbq7RnSpyMWZnkjX+UXHnw0rPJMMjh3KZD09AzSM5S9nxGcOidXAPwb2qwkpWPMfw2yRFJkEA2alVaLTp919+yI8Ci7t8z/z5nssWcD2HzVjIzgIDZdScUzJY11RyIeewm6jasj9at60EC4Rj4upAf6s/K4EBof6zpmVPGxJ+xMCHtPpeLl48y9p4nb2jjiFBvDnrBYKO5MGTX8v5ASspeJU1fw0vtjqO2cM4hiPDHt+OY/2Bdkz/h3X8TeXOmgjC0i2lG5QQMa1KtHafd0fhk9ib03oozTsqeni64XjvrfpIHIQ2XnSD7oN5BlN4y199CSMrXrGO5drawD6775jrmHA402/HP10N+sOBDLRx+/hruV8t6V929coevUtlnsvmLF+PdfxkEx7GuCPChbH7JXvgjErf9fu/U0yMxU3npOHjRYinbVmOj1OrJ0iqKv3lfc30pj3Dwo2770ho5EfQ7iPVg+UGh+eujEM9Ab1qWrZTcXecj+K9+SHHmCKdO3YFuiCT+P6ymqjxZL93oMeqk10WlaUqMjKVbKjpSE/Du9rDFzoN3wAdS0SCUj8hbJZuakxN/bDmswt6/Aix/0R6sozOE3cBXlio0wsr2OvKBJZShnCx8tgsYz4YDSBglVuPBMej+EDPxXfcXXixOpOuB7JvW6I0VlJoezfOMWHMo3xbdhJSP3AiaiYkM+692S4HnvYWdtSYN3luGgN8PqrmUCknvRajTKAyoSVUQiyZ9YWdK1phOh0dH4Bd3phK8JJXpjQgblS7pg8bAOTZ/BmhWXibHIYtvyE7w/6yJR5nq27wziRsbjqX+lG1VjzqTWzBZu7pQWdLXUs2znNdIfczKzUv2yOF8MYN3FTBqXd1JD72Btb0Uj2xRWbI/Ap4xz9iD+f+TKjr/YdiOBJR/1wbveM/hdjeLs9p9o+sFyNcXTZfeSHwiPDGJka28qPD9DhETz5YC2/LjTWFMRFXl39mzm/DmX+d+NRZO0ndl/7/i/dhvyBDOtQczv8Pr3zBZ5+PGnMZTnEjsP/pvRyLzEnRe+/dFw738WL6VJ2Qv89sG3hBlp0/WhxV9xOTyM9zv5ULbLRKEAJjDntWd5dYHx9qLuXfw9oZHBvNbGm7J9pouQGL5+oS1fb7mSncAIFCtRWkgSGdmDmFlZhMVGY25pjZOjcVaiaIWy7eZWzNAmCj3cMDB1IykRWxs77GyMcya5uaUVTg7OQvlV92UnJxGYloqjgyOWD23E8xZrG1tRXltxf6EMKXlIiCMwMxNPN1e04ls1Bnb2jthYWhoGtQ3PISqSKzo9pYt7ijqS/+TNjJSzjGnajeX+1ny/eiXtKriKd3eD9wa9xEJ/Rw7s2cvO5d9xbelE3vx26b+uyDMl4Ud/Z3CfD2g5+xgHT57jq262fDK4PfP8cnUEWcksmPoun/x0gD82H2bH7q2UDVrBq6+9QUjC48kMJsdJfO+ze8O6gdmuo6Poj0RYXswq5Ft0XD06h/6DPsGm8RBW/DiK3JsoI7d/z9w9IbR5ZQJVXNTAQo8nr8xawfnr17ku3JGfh5Gq9aRO9SLzAJ4IrUYZIS9g37xEUqjQmNG6S018neLp9eFOPv79uHDHGPTxHmK8vRnTo9RDZ0/So+P480QKTZ9pwPXNQ4jYNoTj02rjdO06i86pI/+Jyfy+4JR63eN8s/4GqQ+w0B52NvB2mo++PcaqJB2VvV0wTCgKgo5cvB2vuF1BGVw6dIaP51/iVq69pWbFXCiZFMv2lGK0q3K/sKexNKdWKWuWrL5OozqOeSIOutfsxqSJQjh7dSTDBvbG3ckaN69aPNe8opri6dKk3wdMnvAuI4YN46VOdUWIFQ079aVOaSNYRc6IY82vG5WFj6ItzyLoRhDpenOcXfJmcOX/oSlVAx8hgRxevhllwV3YySOE4UT1SkZYhi80vXM7duKfmF3XU25d4FaCePpupbA20uB/9c5jmDzxfUYOH8awHk1Fp2pB9bY9Rd1XtoIYh4Z9x4v6N85Q/17uWk+EWFH/2T7UL3P/ANzTolTl6tjq/Nl78CppyaFCATmLbdlOlDGWESozcyqVLUdG0llOXgwlKfIaB69cx73iM7g5Gkfp1FjbUMezODGRp/EPjiU2yJ8D4VGU9mmFvbWR8uDoTDPhQoJOcj0mmfALpzmanEXV6nUQTa9R0Lh50NLaiovnjhOWksb1A3s5hR0N61TAyAsi/i+ZqXF8/+oQ/onKZOKCZbxYtxiGVdOJsRyMiMPMypWSbo6UqlgRT62G8MgYoYLlT6E55doFgtJssHdxwM2zBBUreGOZEkNobDJRJ5fx8fQ5BMcncSkkhCytC56u9rh7eVPawY6k2CjSMowxYpzHOFpDcXshDMXB5iDoUFa0BWpcISTi7EqG9X6DxPrdmbXwd6q45pIO08L55Ye/SS3my4QXqhl9HaIpMTO3o0SZMuJbtWXegn+wKlOCJl5G3ApYANEaGmM5ACCRGBVnVzsqlLRB2aKpYFe6BMv/6McEoa8u3HxZuEDcGzbG/+c21C+WS2rTailRzJ4ynpaGPi4sLI5MZ1vatytrMAao4FK+NC2rW3PiaATmLnZUcjVn5/6r6nUvs/pYBHf381o8SjjhFB99O82Ko1HUHNCGn54rjZW5OV6lnLAJC7sdr7gzkVnc9L/Owl03icnQ4yDuVa6EPVZmjjRr5USl1sWpYGZG2ZIOlHSxwMzMgjJCIXG3tqBabRcqV3Ghjrs1do4ij2Vs/9MS0WJ1ejBh4iQmTRLu3VcpKZ5vicoteLtrbTXF06XZcxOy7y3chBdbiRAbfIeMpmUl1+wET5OsJA5v/IK6bm64unvSb8JSytfqwWuD2mHYjfCU0WqrM+jNngRvGkd5V1dav76YmiMm81LNezd/PA10XD+9lGe9S+Eq7l2j6zsk2zRh8rdjcM35uJ4ytbqNu/3uJ43ojEZjReN+I+lXv7ia4unTpN9Ht/Pw8UvtRIgN7V4YbdRBiBot+lGvmjtfDqotBLF6rAnQM2rSeEoaoxooaCxo06Mf5d0yGd3Bh9LV2nMqzo6R772Fi7GWBJs50G94Xzz0IfRt5I13o76Ea90ZMXrY7fb5qWPuwYhxfbCNOU2bKqWo3H4k5iUqMaRfZ4xkFxQsvXh7Yk/0AeupKwTxms9/QalaDXmubf18p5TEnpnHT/NPkhQXxdSXW+Hu5mpoS2YGl2BI9WqE7/+TiqXcKVn/eUIcKzO0f0csTbyv+sRvfUQ+vRi51B+u7KVupXIMn7IB2+YdaeGuZ2oPH0MZ+n+xg2K+HzGomT3RJ5fz6YczOJEKreo3wTrqKB2ql8CzfD3WX8+iXd+3RD9dwDTnmEh4fh60+wte2ARWpeEVxQ5LISUzkSUzfmFPcAZBRzfSvY674T3X6fgCtxLh+uFV/HEokqad2lLRSKuejEnslUO0qu5KvS7vEJqsY+HrLSlbcQxXiOfnvlUMz8KzdEWmro+k2/szaOqlGIOWPAzNzXPL9SWSxIeTDyybSiQSydS5pxg2aR0eHooxsycgNYbVazeAsw+d2jfA8jElziZNmnDo0CHV9/jobp3gzw0XaNitN7U8bdTQR8PPzw9/f3/69eunhjwq4WycvRbDye+2JejRuwPuVo+v9XTt2pXVq1dj9rj7tzNi2bpsHTeS07C0daRD934Ue4KV3z169DDc//FI5MDCVVwQ98bclsa+nalR6vFnvpctW0bNmjXx8fFRQ56AyAvMWXOMam270KTc4w/+TJkyhZEjR+Lu7q6GPAFhp5i97iwNuvSmdvHHN+s1ZMgQZs6ciZXV42vuWTePM3fjKfGXljI1m9OuYeXs2dTHpFWrVuzevZsHG3z6dxID97N4l3L2uTmVmz5Di2oln2iVUf369Tl+/Ljqezwizu1gzaGr4i8LarTvRmPvJ1uK+l/aohsnNrP1ZLD4y5qGXUVbVOzx2qIcfH192bZtm+p7DPRZnN2/gcP+4cJjR8s+fans/GQjMf3792fJkiWq7w4DBw5k7ty5hrO/n5TUiDOsXHOEe3fAN+3xMtXckti1dDGB6jmSZZv1wrfqfx/U/S91SyHi3CbWHgrJNXdnRvk6bWld34tQvz1sPhZosN1j6eRJl86dcbXNZP2YNow4VI4DW+dR1j6LE2sXczJc2TMvusqqrejTrJLh7yelaV1vDs5STsAxIorNj0PXIEq1+NJStN2uptFluky8wfoNG1XfU0KXwbl9WzgcEHrXvK29Z1m6PetLglCQNx+4ROXmnWhc2cNom23q1avHiRMnVN/TIy0+jA3r1xGd62O1sPKh5wstSDq1gQ3Hs4//LV33GTrUK2OU8o8bN46PRg3A0aFgDTY08O2FJvjsCn2p1E1qkEQikZiW/zwA8B/5rwMA/4UnHwDIG554ACCPeLIBgLwhTwYA/iN5MgDwH/kvAwB5xX8ZAMgr/quSlheYsi3K4YkHAPKQpzkAYAqMXbcygg9Tr9Vg+vy8no87PR3DcCYZAMhHGGUAIJ9irAGA/EhBHgDQolFGzuQeAIlEIpFIJBKJpDChcyzLjzOX8O5TUv4lEknBQ3N093x99Jl/VK9EIpGYlsVbAuk46FOcnXPbtjUeb731FjNmKJb8jc+VK1cIDg42zICagokTJzJ58mSDRXVT8MknnxicKdi7dy/e3t54eXmpIcbnn3/+oUuXLjg5Gc94371MmzaNMWPGYGE4RN40jB07lunTp5t0BcDo0aP5+eefVZ9pMGVblMP777/PV199pfpMw6xZsx66AuCFF17A3NxYRh7yhvxQt/Kat14dwox36qu+oseEv8L5/PMpqq9oURjr86OirJYb0LUttgXM5sIb4z9Fc/rMaX1qspHOS5JIJJJ8TlhCGMUcTGM9NiMrw+BsLR9/77ZEIpEURhTjXhUr3n+iS2BgIFFRUaqv4KBss5k3b57qk0gkEuOjCQkN1pcsVkr1SiQSSdFGmYUvX940loRTU1NJT0/H0dFRDZFIJBJJYSI/2JeQSCRFG60+S/1LIpFIJBKJRCKRSCQSSaFFq1fOCpFIJBKJRCKRSCQSiURSqNHMmf+b/pdp01Rv0SUyNhV354JlxEEiKYzEJ2Vg7+RhMkN0N2/epGTJkqrPuCjL/zMyMrCze4JD9POAiIgIkx2/qBAZGWmyI/CSk5MNx4mZ0qBYfHw89vb2Jqv7Csqeajc3N9VnGsLDw/H09FR9piE0NJTixYurPtMQFhZGsWKmsUeSQ354F3Xq1DEY27qXUaNGFcil9OfPn6datWqqr3AQFnqTYq5FV4aOiMsyad9pSvJDW2kqYmNjcbS3NWmf/SSEhkegCTm7Ul8yeSMUrLznOf3e38rCKe2F8FfEH4REYmKmzj3FsEnrTNaZmvLsbT8/P/z9/enXr58aYly6du1qOIffzMxMDTEuPXr0MNzfFCxbtoyaNWvi4+OjhhifKVOmMHLkSJMNgigoBsoUZcvKykoNMT7KKRi7d+826SkA+WGftinbohx8fX3Ztm2b6jMN/fv3f+gpAHPnzjUM3BUkCqMNgKZ1vTk4q6PqK3p0mXiD9RuELlUEqVevHidOnFB9RYtx48bx0agBODrYqyEFgwa+vdDq0Rd55V8ikUgkEolEIpFIJJLCjlYjlX+JRCKRSCQSiUQikUgKPVpdhjQCKJFIJBKJRCKRSCQSSWFHa2ahBZ3qe2JS+ebjtbQecbf7+VS6ITY2LIyXx6zl7S0xBv+DyWLjnwdpq/z2hwD06rjE798q11rPJytukZEdxMGV+9R7bGFRQJIamndcPuVPt1HrWHgxO/8KmckpTPpyM69uiFJD0pn/xQ41H+uZtOxO/nJzfssB2qjP47Ybf5grqTquHDzFS19dIlZNq7Dszx10mhuk+u7m9OGLnAp7wF3CQun6xnrDtXtM3MuVBDX8/5GUxNuTt/Dhrjg14NEIOniS5QHppItnMuHno1xP/88V6DHQc37/Wfp/dJSrKWqQYMGcXey6mab6Ho+QM5cYOvMaeV+TJEbn4nJo0wYmin8lxmX/T9C6Nfx6UA0oYqycnF3+JefVABPw1/vZedgQqAYYGV0WfP86dOgKh2+qgRJJAeLn4dnfUI575wt4MtHCyITwdffOtH7je1IzHiCT6bPY/eckfEWZWrcexZGkAlGo/0+CkMlfXw9C/mXyASHXquFFgIDtP9LZ8D7vuGe7vcGFR9UBCjB6nR9v3VP21q37sTn4jt4m+Xe0uqxM0PzXVQA6Ai6EcjoiC1dHK4PTpiTzwbtLWXZJKIppaRz3u4Vf+L+9GB1h16I5eDqMg9uDOGdom+LYtyucfadCOR+SKlQ/ofxtOkKH7y6js7DEUhfHSwO2sDZKCB15SGJsAgeux7Frd+htpT4pMRE/v5tCAc8uw6IfxX3LV2XX793Y8XMHNIcP8t4DFOmE8CjSHcuzTqRT0hrc1MaUt9aSFBXHMf9Ewz2yUtNY+ut2/olzZ+FAr+wf30U6h3bdxNnBQvVnkxQSSo9Je+g9qoPh2tPb29L8vd0ExP3/dxoRE4tHg5pMaeOkhjwKyfw+4xI3E3VY2trw+eiGlLU07j6ShKh4tly8zrrD0YoFCwM3rkUQmfJk9SAlLpFjV5PJ21okMTo/PAeDvoZje+BciBooeerohbD5zjMwbqFQ+sSzvxqtRhQRkiOgSwOYJoTQA6L8wfFqhBGJEQp//WpCedkK+0UeQhPVCCMSdgIqVIa5O8RzEIJ4TKoaIZEUIAJFPb4UCa6u2U4x7mU6W5SPiI7A9Yv49coVTp4S8nHODNpt0jj9/XDe3KRj2eat/Pp2aUY2elUoikL+L8ikCG3/Q9HeXBUKg6M57DwHH51WIws/5pa2uIg66qo4FxdCzu/hwMErpOb7+vrf0Whr8f2uXexS3fLf3yQjQk9xd7mv/VHRojcTTzJvaot367qsnN7B4BaOrYW5TicU98TbStqj4OJuSxNtFHuvCXU/MooYjR121jnHMmXhdyYGMztbJr3blvkfNqGSRxRzV4c9cPb9v2BWuwY1tSEkqWMW4ZeCKFfFA3PDo0rl0PkU+jYQirPwm1lYMO6jjrxW09aQ9oGIdMpjNjg16DaisV7x5152elRh3hu1cH6AQVv9lWtsdKuC1123yGDpzAMUb9+CIdUsDNeu1KoWU8vGMmbRTdHkR/HJpJ1MHL2BeoOWM3pdtOgYsn8ZevwsHccfZNmCA3x7JNnwjsL8r9Lx19O89sYK2r99iMtJOuZ/v4p6L6yg3itb2HQjhSObzzE/KJFpn+1l48143pp2gCtpOqED6Fg3d5u4zwpav7eHq7GKOp3J4hlb+HbRKVoOXUGdtw4Z0orSsG/5PkPaegM3sSw411T+I1Ksvg8n9l7mWvrdtUsvnmXA1oPUFdduPHwd6y5nv0D/HYfp8uNJer6ygn5fnCEqNYtpny6n3pDVfLE96r8vgpGYnl6TYdsCKH7fFyZ5migNzxs/wrLvwVkNK0pYin5gxkL49UP4ly7gqWJXAv5ZA1NfE/lRw4yNU0XYtAXee150imqYRFIQqf8CrFgJK4Wb/KbpvqlHJDMljhn/7OSLn97gQdNHJIfw3R876T90FE7WllTr/jLPuO5j25FrjyWf5zsCr8KRGHjnWZjeEfqLdnDfCbiixhdyyrUcxgJRR1cKt2zJeMoLUbr2sNepXrAM0j8xyikx2Q52//EJJfv2pbql6Y7xLWhotVbK5583TUBUQBC/r7gg3Hl+WH0VC08POlZ3eqxDBjQ2FjQsYcGxK/Fc3BNAesWyONrmCPRm1GviiV1MHB36reLbEwl8PWMgy18uyd3z4v8drdYCJzsrriYpQwvp7NgaRq1y9qrybs0r/Sow+sO9TBflnbXmOom2dlRye3Auwm6G8qfhuWS7FcciyczRODMy2LhwD+8dMmN8p5LYP1Bw0rF1azCdWxe/W67KSGGfXzo+5ZzUgQmByHej6g6EnA4jUZfJvt0huA9tzYnZHXHdsYcZB+KIuhrE4NkR/PZTH07+3pqzc3exJzSdjNR0Lq4NpNsH3dn+bUP8F21ntUtTDs3vzab3fXhz6lnKd6zOoNL2vDexJW1FZoNCE0nLymLVb5v5NrgU2//qze/dnXnuCz+C0/SE34hkR7gN2+b05MuqCQz4PZjMoEAmbtCxbra47he1OLEngsedr7J2tGdUpQy+3BBL7jHsiwfO0G+FniUze7N1Yk1+/fEAfrE6UhOSOHMgimnf9GTp+1VYMXU5V8u34OCcrjRzziBdTv8XfLyqgIuNVD6Mjmh8yolnbys63qI4+G4utIOKlcBKFN5U5be0BR+hgCuKSk5fYGysHUUeyps2DxJJXnDjCPzxu3B/wBNMUBibKxsnEFm8Oy1KPWQE1swMa62GDL0u+9M0c8LTLo0bNyML9gBAQBhkOYj2VzmyVDS+1YqJf4XMHpJsiC46pLDtg4lstajC2y82zu/jVXlOWvg+Zi5PpXPHVpgVRRnkCdFmpSqff9701qGnL/Pxb8eEO86sPeGkxSeQkPa4wwsW1KxpReDFcA6fScCzijN3TiPWULl5LfbN7UKHKmnM/uUwfUYs4+VVEXk/g6vRULuElsWnU8m6cZMF2vJUdFHjBNXb1OHsry0Z0MKTgGXHaTtwDT+dSnrgMnIXN1c6tihDF9W1qOx0u5JeuxbAEatSdNTfYPzKsLuU2Rz06ensT/TA1/ue95SRZbAf4GR9t8bjYG9DRmY6meJiZSsW57nqdkI4s2fYM+7s9Yvk6omrONUug1dWKmEZdnRtYMWCw9kbp6wrlaNhSUWQ19KsW2O+7GjH6p+34zvhMMEnYwg2pLqH1FSWn9YzdHBlXMRPfeqWpcKVi+xSVmGbm1O/dnEhG2vxKmNFVnwaadbi31vBjF8Rgt7RhfF9vMg9YKnM4sfGibxFpxhc4j2z/NmY0bhvHUofO8ihkDvrP877RdBpUA0qCXnYsVRJ2rsksupS9lspUd2b0o5aksNj+OWYNT07FcPK3IyebctjZyEl1kKDXM5hOgq0NJkH5IfymzoPRb0OSAo2Dq4QfhAmTYDRr8ELIyE+r9eY5h2ZIUcYOvU6I8cO5fZi2XuxKk3fvqXYNHc6gUFhhB3fwqwzhWCvtJAT78KhqKm+2WSFXmTCihP4NG1D23K5FJUiQRbHVy/jmltPfJuUlGPPj4FWayaUxzwSmKv3bUvolsEGd2NxR2qlJDJ9RSAPskfycDRUre1FxqlLbDqVQf1yTndeqNBo1268wAo/PcvnD+bSvGdobKvn+NarxDyF9tmnWnFOrr/G+sPhtO9YGuecjCTFMnfFZSwdbCnt6cZX83qz86NK/PDZMQIeYFfF0sqSkp52Im2283S0uF2m4mVL826Xiox/uzH7Z+/j5/P3j1wmxCRiVsGRsren+VVsbajlquFyaPYS/mx0XAqMwbG4C/aiLTTXahD/N6C86qSUTBISU7l6IZg5qy8ye9VF/HGlk4+1IY3GXJs9iSWe9ZIFexk04ywBNt6s+K4Nld0fvrQmU6/BSlWiNVl6ovRZZCl6twjS5mQgBw8v1s17lsZZ4Uz7eQ+dJh3kTC77kLr0dLbsDjDkTXFHQh+yT83cjsHdK7DsyK3bRiN1Oj1WOTYJRGCSKEeGOiqjEc9PyYmyXSFdb4mDTXa4IX/3ZFFSgJErAExHUR59V9oQU7cj+SUPEklBZfI2CA2F4ADoUwF274Kr/2bA2rTsXrUAr5c/pHXJf1N+zWj/8S4mdy3O4r9nM/tQPL1qW2FvZ12wP1eHO9ODBnL27Nrl9Zrg/M3hjXPxvxnHswNG42xTtBrgLKFnLl6+ke6fvUEZKfs9Flq9sik8j+pLanwSF6/FGtyZMxFcEHqbq/hAc/S/5OjE2/H+1+OITtWTEB3PxeAk0nLNGthXKY771VssD3enXc1cSqdGz62zQXz4+17m7Q4jKDyTaK0OC1sLzJ5CnbfydKR5WBA/ntfQt2a2gmzAVse2FRfYfjFBnbHXk5apw8bZ3qB0Pw7Wlo6INpiydSryXW8bZn5zkGtJd0+h3LoWSmUvl9vP8Q7WjBhagUN7AwhOzP5NalgUUw+l8PLzFbET/pi4VCKShQYsFOGjlxOpWtaJMlWLYWfnyGuD6/Lhy7XwTo7lmpImNyL96asann9BSVOBrKBwImMfoohbmFPHLZ2th2PIFNmIjkjgOm5U8FDj7yU9jahMG0aKa3/1ZkPcAoIIyGW11MzKiv7da4r7KveuS7syD2/MveuUxe1gAAuuZ5e/eEkb9hwIRylOenIq5yPNqF7y7gdn62ZPG49Yjp5PNRjLuS4azgwl45LCgVwCZjqK+rN/Cv3QY6Hc39R5kN+fpMCSBkGqEVMzIUF5CQXTzBac8q9mcfrETi7NHkOTJk14tvcnXD29jE59XuBkyN1bFzRaczoO+ZAPP/yQ91+uLeRKd5rVqFCwBwAqeYr/JMIVZeZNyHDnw4U8KgRP7yI0AJCZwMp5v5JsN4ARA6oXueY31m8OG+IbM7Z1CTVE8qhoNRpF8csb5cd/zT6q9l1icI3GHYJ61Xi/U/Hbyvnhedtvx1frv5Q5Z9PYOnstVUftIyAl1zIBrTPVq+rJrONB5dy12cyCIcOb8Ekra0aPXU2dEVuILFuJr1+vhvPDJ6efHI0tvbubEZqqwdsqVwegceWrybVZNG0Pgz7ZxdCPdzFxczxffVSD0qKsQcfO8/X2iNsG9wIvBjBKSXfbHWRn2N0Kt9I4936jHc85JPDyl+e4pYYr+5mOH4qmSvkc+wN3U6xpPaa2s2LMxN2Ga4/85iwdh7ZhWLXs/GbExjLpyz0M/XALf+vL8bavJ2VqVWF02Vj6TFTyspWFicUYWu0e61WWVrzayYPpX+0wXPerjVGiP8wkNtGSZo3tmT/nFMeT1AEBCytGvNoI9+OHGDBJ5OGPC7w6pgktHmYQLCWFX37aySDx3F78/DiunevTvLga95hoLK157bXSWKl7Exq0q0WftEuGsr38xV5K+tajj9fdnbfG2p5JHzbl2F/rGTxpN99tjiBTsSIiKdgoxzcNfRuCxYd3fIH4+z0ILwLn4Zga5RSAL4fCax+Dckrqhu/Es//SsEWpSJAghM4PRfnHzzDIoiz8TJRf/G1Mwi/DGJGHz/5UbNTC7InifczJjjMW14+Le4o8/LASkpPgm3HwwVI1UiIpCFyEZp3E9yvq8ZABMDMQmrQGd0c1Pv/xzmw/Th49zKFDh9i04hPK1e7LxuXzqVvKhmsH5jNqxiY1ZTa6tERmTfyQ9IGf0aicgxpaQClTCsoKZf/7bfDJdlhyE7rVAFc1vghwZc17zNyVQcM3h1Lt3lXChZ4YFk2ZT/3OPXGxLVqrPvICzc1zK/Ulkjb+51H7TCHsZd0zjqAx02IptH9lT3dGpu72Mu0czC3M0OiyyNBpsLTQohNplGtYGP7OIlNkStG700W4RqvFQh1JMCzhVmdsc+7xX+n3vlCEp7TH3Fwrri/yK2RaS/ExKfcy5E/9W1nqnpOPLJEoUy2UVuQjd/5y0umyxO/vfTACpexaITgr17ZQl6YrGNIr9xbPICcsS5RfK/L18FKK/IofGRZzCEVWeX7ZacN4ftAJvvzRl5L2WszMzRCXMaCUUXmuCsq1LbTqexIyu1JWA8Kfpu7f0Irnr8Qrz0cj8p0udH9z5T2J/BrCRJrbZRV5yMm/kne9+K1yX8OzFM9FeV9ZIm2m+lxy5+tR0KnP9857V8qvF9fRGlZJ3K4f4m8Lce2csJx755Ap6pjIhmELgF4kvl1uiUmZOvcUwyatw8PjYUtIHsJHQlDbkXtfY2lYNhMeZhjpISgzKYowZQr8/Pzw9/enX79+aohx6dq1K6tXr8ZM2S/0qChnv7/eAk6qfgN1YdcPYPV4I7M9evQw3N8ULFu2jJo1a+Lj46OGPCKxIfBqX7im+g20goNfqX8/OlOmTGHkyJG4u7urIY9IyBmhfI+AcNWv4NANtnyoeh6dIUOGMHPmTKys7lle+/+4tEvUgw8g95ib9xBY+KrqeXRatWrF7t27Df2Zqahfvz7Hjx9XfabBlG1RDr6+vmzbJhQsE9K/f3+WLFmi+u4wcOBA5s6di6VlXu39FnLDsQXwxs/Z3koDYPZoIUg8Rnv4CDytuhV7czOvfXqWOT+OwVrIYJs/78KnqSPY/3kPjs9+kbF/XxeprHjm5Ym8+0ILg93SvKJpXW8Ozuqo+ozIjSD4XHQ+QgakXFl4rzZYG7/d6DLxBus3CF3KqCSw6I3X+OGSjmmzfqaFl2mO4alXrx4nTpxQfUYk4izPjZrAwE/+okfNxznOPO8YN24cH40agKNyXGgBooFvL6FhK+1mHjQCikJrZXm3y1G2lE7c8gHxSrRig8BKVRYVBS5HcVSUQitFIVN/m6NcKyiDATnXyAvl/140QiHMUQaVe+X+O3c+zERec/Jxb/5y/MrAQE6a3E6Jzrn2nV+q6dVnkIPyXHL770dR+rOvm3vgIBvN7XeTW8lWypiTF0X5N4Qpzzq3Eiz8t9OIcOXaStLs5681lMEiV95ulzVXHpS859zXUF71uZjlei658/UoKIMRd7/37EEPtRhq/pR8ZCv/OWH31hVzpY4ZynbnHUsKMFN2C6XrYC639LGVf8kToBXC8S+5n7vifnls5b/A4lxKKLn3lv/xlf//RKmasPqePDyB8v+fqNxG3POePDyB8i+RmA4hBzR44U79nfdmniv/TxPnkh3557exBuUfLrNpcxwTBrQwxNUf9pd6ZvpmPhqSt8q/SSnjBX90hz97wKQ6JlH+TYcDz//4Nwc2LzCZ8m9SPGqwePkqkyn/BR1tVrIyY5Y9EyspbBRj4fyOeDkUlpZeIpFIJBKJRPJvxBzZh/mgqbSv7qaGSCQSyR2EZqjM0sjZz8KKKZdQSiQSiUQikUiMi0ujoXw9qkWROxNeIpE8GnlmA6Cgo9gAUPaya6XCLJGYlPNXYihfozXW1rlO3jAimzdvpmNHE+xlFMTExJCQkECZMmXUEOOiLBFt3bq1yQYOlX3fyv1NwY0bN3B2dsbR0XQGv86ePUulSpUef/99HnLw4EEaNWr0eHYg8pitW7fyzDPPqD7TsHHjRjp16qT6TIMp26Ictm/fTvv27VWfacjIyHioDQDFNpGyLbAgsWnTJp599lnVVzjYsnE1HRoXXUvsu/ySaNOmreorWuSHttJUnDx5kuoVy2JhUbC2PG7asRfNzfMr9SUS5QBAbiOAEonEdDyxEcA8QhoBfEwjgHlIgTQCmIc8sRHAPOSJjQDmIdIIYDbSCGA2xjMCaBzyQ93Ka0xmBDCfYBojgPkDkxkBzAcUaCOAesWCs0baAJBIJBKJRCKRSCQSiaQwo9XrtcpGcdUrkUgkEolEIpFIJBKJpDCi1ZhniX/kCgCJRCKRSCQSiUQikUgKM1pdurLnXa4AyI3f3hN4tZ7LlP2Jt4dG0uMTeX74AtrMCzX446Mi+ejNjbQcvoYWL69hyDfnuJl6/0DK0UUbKNZpCc1EOiWtwb13mCupOs5t2kujV08RqabNEPeY/Mlq2s8OUkPuZue6wxy6qRzbeAe9Tse1w2epPXSt4drtX1vP8gvJauy/kxEdTdfRaxm/M1YNeRR0HF6wg19Pp5GenMKHPx7lerpOjTMS6ensO3SGboNXG8pcv89mll1LJOMRx7EiAoOo9fYxwlW/RPKf0WWA/3kY3RYcnGCh+NtoiO/v2kXoWxXs7IQrC0sPiu9EjZYUfpT6d0nUuTfbg709zDujRkgkksdHyFADa4i2VHxLA76CTDU4n5IVe5Wv3x5Ay+YtaNmyJcPm3G9fIPbGVoa2b0DLFs2p0rgP6y/cQpn+Kwxk6tLZf20vjpvmYLdxDrUO7sUvtbCU7uHoMlLwX/ahaPLtRddvT6Nub+IfWTQ6fr3uNG+Iuq7Ud8U1a1wHT6daLLuRpqaQ/D+0ZorROyPrb/kdXZaOlAouJBwOvy1DJyTEYZ6lJ12XrWX+/cde7J5vyt5Z3YXrQltNEMOWhxnicqPLzKJC9epsNqRT3bTGlLfWijhxnzSdYZAhLSaONybuwapdMzYM9cr+8V0kcHQfeHvcbewm7sxFXloSzp/TuhiuveydGnw5fRtrr/9/bThFA++92Y6pbZ3VkEchlTVrIkSDq8fS1oYv3mhIWUvjGk68deYSwxYkMeO3boYyb/+hAr+8u4cLUY/WSytWg1PSs5+7RJInhJyGzn3B0kdII0J4FG2I8UiFj56DZl/An7Og9A14qTvsvqrGSwo9oeegm6h/FqL+ZSQpErEaIZFIHpu1H8Dq6+I7EkpkWoYamE9JCWHq8MHcqjWaHXv2snfvXma/XF+NvENGkhlj/top4vew+O1qjBn2GUEpamQBJyY5lD9iLZlbpx2TijtwJuoCPYScGKfGF1au7PqV9kOn0+HNH/h73nSsjvxIv/HLSFTjCzMabW1+FHVdqe+KW/HzKCo2aEvz4gXLGr8p0eoUhVYuALgPM8+KlHUPJUGd1b9x6ire1d3Jto2dRliknsyUDMMAgUZrxtAxHVk3oLgh9rFJSmLajINUGdyS91t5YPUAA9wJJwM50aQSxS3UAANp/DHzDPXb16KOZ7YS7lLRi8/qmzFtwRWSCWPooBUMH7mFjqNW0+OHAMKTdegyM9m19ABtxx9iyjebeG1hCCmZeoL9/KkwbicvjVlH/0knOBcSy8RJK/F9fQOtX9vEtAPRnNzlz4pbSfzy3WG2h8TR992tXEzVkRgRw9TP1ol0G/B9ezPrLiqrEDL47cOlvDrjMN3eWk/todtYc0MoKxmpzPluE61GbaDlkHV8sjdSpHxU9MTGpwn9SkNqRvYIr3Opimxd3Ima7uZcPnaOSl9eMoSnJiTRX+Tvgpq/98cupZ0oy0u/BRCfz0f0JQWM0kLgunRGKGF1RKuqhhkNW/j7BIzpBX37QNdnswcgEoUiKCkalKgN50X961lPdF5qmEQieXyE8sjEldDhDdGu26mB+ZdI/8P8ddGTIX1bYGH2cGHeo2o7apd2EAKrGcWKu5IRc5HYR1ssmu/xsC/Dn7Ub07u4N+9Vqo0yhXYzLaXQT/LcPL2XkKSyDH39JXr3Gk6PjtW4vmYjwfl8zCrvSWHZl19QtduzeFrIDvBR0aJXNCE5F3ovGq0GD50VpxKVLymR9etSqVrSWh0rsWLMqw1Y+MsuWg5bQ7vX9nEmSYPZQwT/cyfP0EGka6G64bMucXt1UnIy46Zs5aeLerpUtHvIWEwm6zbE0q3ePTP1KSmcuKmnUim7XDqHlqqVnYi9HoWS9eBoPYM+bM3mnzszKCuAb7ZFEnTGn0nHLNnwQycR3oUSZ06zOlgo5ko1uJDJG1M6s+Tjmuz7az/JrTqw5afOrPmgNvN+OId9Gx96l7DjtTGNae5gjjKApM9MZ/ZPezhTvoEh7T+jKvPR5wc5Gi90/fQsUt1LsvL7zvze2YzPFt4k9fpVZl5yZ4XI05Zf2tFVPNdHR0PVZjWYVieOzq+sFc9zPV/tjkYrOj7l2SlFyNTfqc9ZygCXyN+cn/ei833WkL9v+hanYB0aJMn3KIZUlaPzlMFnow8ACLTi3soHkJEOp/aLJkrU8NJF90zmIkdO/VNkH1PUP4mksLDqe0hqCF/0Fp4HS2T5ichbV0mv3YpVY1vQooVw/ScSJOSuh5GVGsfvc+ZRY8AkqrmpgYUAIbIbOB9xDWUTbUVnNx5nbWvBJYQz/lHi3+wHkJGxhxshhj+LDPHnNzDzlA29n23Nv4yBSe5BqzWzEFqTfGL3IQSqutWsWLA/kcQLIezwqUhFRzVO4FKxDBeW9+Pw7I68VFbHmNGreXNZmLJz7D6q163Jltnd2ae6WcMrY60OUl0Pu0a1Ls0YUzqOl34I5EG78XUp6fi5FOOZUve8J5FH5TL3rjbWZelFlFCIRfIKpZ2p7mklBEMLmlZ34szVWILO38LMTsPefddYvvcWGns9G45lrwWz8PHE21ZIkCL98y83poVZKB+NXU+Pr48THJzKA+cU0zM4eMuS7m09sRI/9SzrTu30MM4rm+zNtXiXccJcZMbe3gx9RhZZniJeE0S/L0+x4UgY2FqRe2GDLiOTA0dvsHzHVYM7E3lPZ2ZlRe9XOnBtaW9WTq7FtfVHaP3iNo4+ZAtAWlIq2y6b0aKRnUE/8/Jyw8lWLhOSPAWUb9Fk46mpMH8i7MiAEb9Aw0Ik3UkeDZPWP4mkgBN2EKYshvHvgVvBmCaIiw4jafc/NHx3I/t2bWGk1wme7T+de8UhXVY6Myf05bkXXuK4rhkv17MkrYCuhMxIjWb5LSEfCrcpJgYh8hpITA3jo6thQr4rzZyKJbMDCzGVOg+itYclE9p5oDW3YMauBKETmKMpSoPAugx2rV6FedXXaVzFVg2UPApahG4oZwweTDmf4iStvszf++Po16GEstA2m5ibjHh/DyEGbdiKwe+3Yt2kWmxedI7Ax1xS5VW2EoObeDLy9ZbEHzrMh1ui75PfYqPjcfd2wD1niDMHaxsaltUSEJyYy4xDFmcvxeFawR37e3RcZWLcwkyLhYU5Tq72VC3vQrVyLvTq34RPn3FSU6mkpTLl+z0sDLZiyOutWf5BI7yd1VGLB6BUoZxGmNQMLmXoHj527ujBj991YeZgb+xTonjhjdVsClbjBBqRR69SToa8Ka6Yba4r6bJY8edeph/NNvThUdqLX6d14O0GOpadTTCE5UbJkvJrjUZHeq7O7t5nLJEUbESNXvMdvPYrPPcRfNxdDZcUOWTjJpE8GZv+gOAU+PwFaNETgmJg2w8weZ2aIP9h7yRkvao9aOLjAOa2+D7bgvTrp4m9xxaa1sySVz5fxrJly1nwSSe+fn0km87cb7eqIJASe5nBp3Ya3DtXrpEhhNssfTRvHdjKphRrZtRrSwPru/bLFkpKVOvFiqMnOX/+POfPnWFstwqYW7ambCk1QREgIzmWlev2MmjiANzVMMmjoc1KUpa4S4nhQWidHGhue5M/r0Ln8rkaExdH3FPjmLEhJHvGXzQ+J86H41qpBKUecwBKq7XAXOjVLt4l+PPN8hz69QDHYu4elg26FEKFsi63lzjdwZJhI+sRsNePPcHZs+RhZ6/yoZ8ZkwZ5Y6P4b8ZzKiIdkhKZcyCKBlVcKVW9JJEXwzD3cKJqOStWzT7KzqD7LWdmpVnhXd5ZpLHH/8RlgqIfsrHIypKOlbJYtPI6iSIb166Gc8vBi0YPG4CNiWbpgWhKlnamXVNvvLI0ZOYahNJotXiVVPKm3NsZT2VFQg4irnJJW3755yTHbqZl19yYWDZdy6Chl7VhcEN7MwnRbZN8M4Rzt8RTsrehT20t6zfeMuTvSsAtIhIL6NC3JH/z0FGvp8zxWfDSh9BeCK4zJoDdwwfrJIUYw2hn9p8SieQxqdwaRo3ItqPSqjHYCLnPozxUeUL7TkbA0cUT7cVThKQqPh1xUUmYaV0QotBD0OBQqQ5N3NOJiE0qkNK/Y/FGJHd62eDO16+LVpfClGPbWZKp4dP6HXnR2aaImEIxw7VsOapWrUoJgli9ZReVn+tG6SLU/Yfunc4Bm84Mq+WihkgeFa1Go9QUKTHkxsLSgmIOSutpRb++xXF1ssHTXIu5tRVutsrzsufjL1vjtPcULQavoMGQVfwW6MDyCT64itiAHUcZvSQEZfu5hY01twLO0UZJd9ttYnlQprieJZ7OFuoCDC31n23COF8rRo49xTVDmEI6Z89kUMP7wcZoHHwqsOCtKvw2YZ3h2kPmRDB3ii/tSma/U0uzdH6ZtIkGr2wiqXkr3m3jQqmqFZndx47+o1aJ36wnoG4dXqgmGkzRY3g4CgVa+aGVFZOHV2L1D5sN1/3pvC01fcyJjbPhueeK88tX+9iZkImLoxXm5hYMfOMZ+uNPyxdX8MLfN1n2ZVOU1Th2DjbYW2bnxdzKEg97czQOjqT5naSFSNvk9QO0fqcdHR65f9VQw7cO619xYcKYdTRUnudrh2nzajt6ettQpro373uE0FaE99+qp10dJ8zNLBjwui+1r+835G/CikRKF7cuIh2ExChcOQh1S0Gf8ZCcCW+0g1rib2OQEgyjv4Ro8ffBtVBP5KOUcO/PUhYESYoC149BA/HOe45T7CHB2Geg2rvZcRKJ5NFoOhR++BF+FO6LD8DdHmp3hecaqAnyH6Ub+9Lf6yqzZm7iesBZpv+9hhc+/4TSVnBqyQdUGz5TpIri9z7P8Of+W9y8GczGH6dz0KoRbeqWLRTSf1D0RX4JjyElI5Vvzqyh1Lb5eG1fyIr7F4UWKsLOr6Nl1dKiuy+FT/M+nHLpzbyPOt5ZrVzYyQpmxviVPNN/IPY5+6olj4wm5OwKfcmUTUV+DKDf+1tZOKW9UGZzzTYXeMJ4ftBJvv6tA14OhalcksLM1LmnGDZpHR4eHmqIcWnSpAmHDh1SfY9ITBAsXMRdRjJsawvFvIPqeTT8/Pzw9/enX79+asgjkBEPCxZChPg3N7XbgW99ZWzxkenatSurV6/GTDEoZwJ69OhhuL8pWLZsGTVr1sTHx0cNMT5Tpkxh5MiRuLs/5mLG2BBR//7hrvOfrGrCm8+qnkdnyJAhzJw5EysrZX+gaWjVqhW7d+822LIxFfXr1+f48fvPUzcmT9QW5TG+vr5s27ZN9ZmG/v37s2TJEtV3h4EDBzJ37lwsLZ/Cfv3kCJi/GDxFG9q96WO1o/+PvK5bGamBLPpxBaGYCUWwC12b+hhWjK760Je/PD5k5Zh2ZF7fy3dL1LrkWIGXXu6Bex5aTG9a15uDszqqPuMSkxTK/NAwxQrObZS2o3OpWlQzUjPWZeIN1m/YqPqMQ2ZiOIsWLuRWbLoosJbOL46lugnEpnr16nHixAnVZ0QSbjJz4Roadx1KrccyJp53jBs3jo9GDcDRwV4NKRg08O0l2gillZA7AAop5pQuZY+F1P0lkqeLixe8Nk7pDe64x1T+nxgLRxg68u57K67D4yn/kgKMcyl49Z73/wTKv0QiUbEVmtSI16Fn3ir/TwML6woMFt/8uHHv0L1ZtvKfGb+HZTvt+PR5kX+BedmWIl5JI9zI3nmq/JsaF7vivFGhNuNyuXfLG0/5NxXm9p688Mpb2e/0XdMo/ybFoSSvjBhlMuW/oKNFL80GF17cmD6tBcXtpBYgkUgkEolEUhTIiLVnyI8/Uq2EYg1KIpFI7kYTfHaFvlTqJtVbdFG2ALzxXA3M5CGSEolJmb/hMl1fmoazs2lO8R0xYgR//PGH6jMugYGB3Lhxg7Zt26ohxuW9995j6tSpaLWmGTQcP3684f6mYOfOnVSoUIEyZcqoIcbnr7/+omfPnjg53XMqixH57LPPDO/BwsJ0VrRHjx7Nzz//rPpMw8svv8ycOXNUn2kwZVuUw1tvvcWMGTNUn2lQ7v+wLQDKlhlz84J1rG9+qFt5zciX+vL7+Eaqr+gxbmY4X0+frvqKFoWxPj8qSj/1Ys9nsLMtWANtw97+EE3wuSX6UilbhbdoK77KAMDwnlXlAIBEYmIWbQmk0wufm0wJeuONN/hRMQJlAq5cuUJwcLBhD7QpmDBhAp9++qnJBgAmTZpkuL8p2LNnD+XKlcPLy0sNMT7//POPwQ6Do6OjGmJ8vvrqK9555x2TDgAo9//2229Vn2l49dVX+fXXX1WfaTBlW5SDMig4bdo01WcalEGQhw0AKDYrCtoAwGuvvcYvv/yi+goHb456gR/G5l9jiU+bj+aGM2XKF6qvaJEf2kpTobRNg7q1w9amYG1DeO29T9AEnV6uL52xWQ0quhROI4ASScGjQBoBzCOeyAhgHiKNABZQI4B5iDQCmI00AphNkTUC+BTJD3UrrzGlEcD8gCmMAOYXTGYEMB9QoI0AmimGQBQzABKJRCKRSCQSiUQikUgKLVp9ltD+5ap3iUQikUgkEolEIpFICjVavT5T/CNPAchNVkYmMXFppGTmei56PYmJacSn5SyX0JOSmE60SKe4xNQHL6PITEsn4QFxaSnZv8txMeJaWf/2GrKyct07G50Ii03O+s9vLyU5nQzdg6+iF+VOSs++78PK8rQxlDNe5DFXFtNS0knJHfAY6LJ0xCZlyoUvhQ2daMtioyFacXGmWdmUkpB9/7QsNcCIKOWPiYE4kYf/2igUNEQ7RYJ45zGxoqGSX7ZJSYoX34CohxnyPUgKGLoMtf/I7URdzvdtip605ASR3WiDi0sR5XgA6SmJapo4IU8Vkk5COcksPk30e8IJObpI9H2izInxsaJqiveYW3HQZ5EgZADlHceIvrCwdoW6zDQh6kU/UMzSZaYa4uJTFd22YKIXslxcrPJ+FZfE0yqJVqNVDP3IJQC5ObP/FBWf+ZuPtsTe1iFShVA94JUFdFgQZvAHnvTnlU+P8P3CM3w7349Rk/dxMPL+2nh86Wb6zAxGNEt3sejrpXSefIjvxO+Va0z8bjfvr82+9oMIPXic9/Ykq75sQs4E0GTiWUT39J84dDCAq4kPVliigoJ4ZVYgyvjArfOBrD6TgLFVm+uinDW6LuEnvxQ1BJb8uJJvD8Q+UVsfeTWYhuNOEKH6JYWBJJj6Bni7gZvifOC3FUIJUaOfNplC6Zn9E3SuBx7FYOkFNcJIxJ+D8a9D2RLQaqhQhoUwVFRIDYVpn0IT8c4r1IGTD29HJU+RdNET/Tgd2tUErwqw/ZoaIZEUECK2Q3FPtQ/J1ZcczN9tSuqlTYwcOYqvp3/H999/z8JDQWrMHTKvbOe1Ua/w1dffMHbQEN77YQsJalyBRSek0c0nocM8aP8X9FkOu/6rRJzPSb7OnE8/pGmt8rhVb8H+wJzy6rm0YyaNy5YU1daNkt4V+XDefrIeMrlXUEm4uIl3R/WnbElPFgqx516OLnyTcqL8fX49poYUPA6t+IYJ035lxsyZDOo4kqkr/HgaEp1WoxgulPr/fWhbeON+Low09duJjYqkhIs9ZgYbgXoWLT9Lp+F1+XRUAz4fXZ+X6lny5cbH6STMaNbGh8ni98o1vn+tPieX7OC3M5n3K7X6dJZvN+PlVnZqwP8nISaRwOB4roUl3x4F1Ot0hIbFExiSQFRsCiGxGYZ71a5bltK2ZoZVBtdvJmT/LjRV/C6Ty1ciCA5OJDgyHbeKZWjvY4fyCJTVAFdDxLVuJRMbm0xUchaZGRnciL5TTSOjkkhVRydT4pMM171yK5HU3CsrHhFNi+KELb9I1ANm/bNSUg3XVlx0ana8kr/rMancvKWUJcWweiA2KjvNTbXcksJEKtyIguOREHBAKIJCMJgzV3SWRhoBCLkEf66HF0aCKYzBLv8CwoSwWl8Ir0UNPyG0bwyALr5KsyoxFVdPwD/7oP8AKFhG2SWSbDzaQ2i4EF5EPxIp5Lk3qoGVB5TJvxa+dbEXeOm5cTR+5Wu+mPKZ4RSVUW3Lq7EqulCmPP866bVfYcoXnzNz7rtc+n08e8/HqgkKKMo7mnFStP2tYftzUELIAR8d4r4Zt0LE1X2L+edgGEM61if3oWW6NH8mjXyLxNafcSXyChMaWfLtyPfZGV9wZ8LvIz6I9yZ9hVPjFylb0kUNvEN6wiH++PEknWpWK9Bqbb3OrzH90/eZ/N67zJxQlTkzfyM8Ie+1Fm1WklI5pDp0L2ZWJXArHU9ccrb2fPFIIBWquaryZRbutpb8te4m8Qa/lvb9mrBmcEmD70kwd3Pm/SZWLFt77b6RnlShYF/2caSexaNV6evHzjHi80OsPBjCH3MPMnVXdiN/eN0h3ptzjo17rzHmkw30/i1IUZv44ZtN7ApNw2+XH28suMr2o9f58MPtrDofw5kLcURHxHLUP5Ejy7cyfMEt0rOy+OOH3czYfYPV687S8/V1TN8XTejVG/h+d8FQm/Q6PV98vZXjsZkkhYQy+pN9/L0vhMVLj/DhyluGFbuPg8ayBI0qJ/FPrlUACilxiUz+fAffbA9h+/bTjPzmtGEQINjvEs3f3sLvm26w70w0/scv8srHh1lzNIQ/V14g7O7LSAo8Qvn9bYlQ/MW/luI7yRA128lL/G0kjbBsA9i3EcqbyBLsSwvgrw9AGcgrajQaBLvmQrGCdQxPocNHKE8HV4KXrRogkRQwlBWxrq7ZM//6cNggXOtnRNtimiNpH4WQs4c4atWKjo1L8tBDM5IT8U9IpnbdmpiLRObFqtHANZZD568W7K2QF29AhCX0Ky/6e/GOeoh/04PgdOEdASjX4T22bfqd6q53n3yhO7uBjYEWDHljIOXcyjHozRewTd/Pup2RaopCgKMXvy7Zycc9KmKmvaeyZ6Ww/LPP0bwyg8beDmpgwcTK1gErw4l0GkqXKU1GZhqZT2Elh1ajEQKjviCPlTwlRCNZRmfGjkjRkKRHs3SHLZWK5UxrmDP8tVYUC71Ml1dWUeXZNcw5GkW4Ovv8ZGixt9eQkZhxX4McER5BCWsHHulo7rRkvp3lT/leTRnbryofDqrKyh/3sT0gnM/mhzJ0aBNef646A6tlz+TfRmjkp8/G07SpB891qcm835+lZzV3nmlVjNLeJejV3JWcQ6FSr/izIdKRT/rVYMywWjzj9C/l1mWy4J/T0KYRk56vyjuD6xGw+iy7kh93BEBDz2d9WL/yIldS7vz26rFz7HeuwIzBVRkxpAW+ZsF8fyLJEGeb7s5LQ2swqJUb8/++QJPhbXm7V1U+erEmxaWMWvg48rN46eLF+rSBoGLw2QSweZSPJg9R9G8j3/IuTHdym+kx3bH1ktwo3aQUKSQFnZ3zhYARDUNHgbUpG/V/Jz4mnDRPR354uRmtWjancqPn2Owfdrccae9CLXdLzlw4j2L3m1QtGpcsUlIK+Faxq1HiP6Lht1EbHC/n7H8L8P7vJyX4/CniscbBPruu2vhUQ5mSTEi6e+twYSXu2kkW3SjNR4OrFJ4FaEJ/2rphO8W86uFsm/dtkGgF1L8kdyMUznq1HZm7K5qbp4MIbVUBbxs1TmDm7Mzf0zqxd2Y3Vn5Wj7j9pxk4+TzhanxecvNyJDWrOz+aXpGRxeVka+pXsjW8WntXOyqbJXA1MIFAvQdeHiJUo6VqJae7R4uFp0NvH4LnbKfDW5t5YcoBLsU/uHKEB0SQZGeHpciQRmtNvRoPHx3XZeq4dCuBY+sO0fOdzfSbfIALoSGcuqImECgnUcz/cw/dRbziph/KVuDvRevuxtd14pmxLuy2UYzkqFTKV3Aie7BMQ6VyDoRFZMeaezngLIqQkZrB+ShbalXKru52dlZYWcg1qoWOSp1h8WL46XNwC4Hhr0PUg+vSUyPvB2klkoKF/AYkBR6hWP40F7x7QZcqalj+JDE+iswb4Qz/aRd79uzm9wEWvPnKFG4qyztv48bLv/1M6tKhdO3ene5DJ3A2zlgGcp4i97Y1DxZZiwS6e5bVau4S8As7iayYOp7Gz4/G27rwrIIMDdjChL/0vDN5EC5PYYJDa5hVlh32AylWwYMymwL5+WAaA9u43Zlgigumy6ANBMQqQ6lmVG1Ymtd7VSD4cjgRT7q0PDOZZdtSqd6mFHdNTmcmsvO4lmqPugdNfPR2ZlnEJmWb6stKSMUvQ4utnTk2ugRiE5VQPaHhife99mJexflp1iAO/NwWX004Y+b432V5Pwf3Yg7o0jIMhgFFs0Nc/IM6kizS0pUKpsHd0YH+I1qzcnoHVk57hsXfdmVA5TuNk8ZMy8AXW2bHC/dO44fZOtBStWtT3MMCuWx49uLpW2pJSsq8vaXg1q0EsLq74dOaaXCwTCFEtfqnGEXRFTLDKBKBSzno1g2GjYW3q8OFvXDGyHsclWplyqpV9CY+7mBs66SSB3PvEjaJpKCx9TvYGw+jR4OjGpZPcXIthrVdKdxdLIUwZU6N2vXQJ0TdZyHds3oH/tl+mXWrV7JywUdUynKkQpliBVtnLqPsAxcFTVc73RBlU66Q1EsWvSWeXpVrYCOeRYq6Ejnl8iXCsKZqxVIGf2Em2W8tn+3Q4U4o27bu4mJkHNGXjnLoUsE1CJx48xjvjf6aXj9OZkDOypY8Rq4A+DdsHGjjc5PlN3S09sw1Y+xUjP51oPfUc0Qrfl0W/6y7iFfbSlTMtUrgcTi89gQzXcrzScu7e5tY/2ACq1Wk9KMu7bW1ZVgzLbNmirwJvfzY0avEVK5Kt8aleKVqPCv3R5CamMQfOyNVBV5FaNBr/znC/MB0zLSWVK/shIuD5QOrh3XVytRKvsnq6+kif1eYuCVbybKyssbqQhT+4rq6S/4suSQCzc3p0NiJJX+c4nqahvCg6wz+LRDzey6sDBQoe3oUd+/WntyYW1vSpYIlM49nDzqUrl2OqxtOsTtG3DQ6hD+O6Hix1t0vwdzOluFtbZn9mx9h6XBivz/XYqW2UKiIPgKvzs/+O/YqbAgF52KiV3zCD7KgkvubLmoU5bJLJJK8IS0SflgNxapALyHo5XM8SlbAPOQoQXGKL5PA85cwM/PC5gFdn1ZrJuLMSDy3k62xlWhao0zBVgEquov/JMPaEPFvGmwUfX+pclDGEFuk0NasS21i+WfWBuLF/9b/sZDY0r74Vi/8q121Xi1ZvHA6tYo74OBgj7Wo42ZWtthaFcyyZyaE88HYD0nr/TlvtSv/1L5RrUFmyvutBQUaZw9XutdQFHEzuvWrQ69GxXAUGqtTCU/aeisz8Ra8OO4ZPi2dwKjx2+j/4S6ul6jOulGlDVtwrx8+y+ebww0KtmvZkriEXOIFJZ1wAz/eza6gDLyrlST4wFmeV8PnBttx5evGeN7VaOu5GWvJkDYuDzRubevsQAv7iOw8qO7XU2l0fKULXzROYdTEbcy8Ys2ZT2viYGnO8I964hJwmiHTTlKhoj0WtuIjEdepXrM0xW3N8W1fnn3/7DdcZ/YNT74eXI6y3t40tQ3jgzk3sPYuRYsKtuJ39kwd14Cd8/Yx4s8YhnVzM+THrWwJZg1x5OMPtjHouCMzR1bE3dKMep2asPB5K8ZP3sZbC8P5e1I9EW74ySNhJ8rZtVrOwIhGXK86n7auQFUPCzzKlWbDJB9+/3o7/add4NVJz9KspCV2ro50rOWUvWpDo6Xt4A68XyOaNyZtY+0tN15s52ESY+2Sp4SZeJtXvzesgMGlApyzg/ETwdtVTfCUubQbSop7t30VFMOqg2sKAVL8bSy+bCzK7gDrroHfCnASgtGM7WpkIWf7DNFIiC997GyIvA6NSkLLr9RIidE4KeqdqxAm+n8McTHQSXyHVT9QIyWSAoJyioyQzajfAorfb2k8v+FWuzUfdrLj2/c+55+/5jJj1w0m/zmZkuJTPDRzGCUG/mpIF352E0uXLmXR/L9496tljFmwhNpuBXy5dDFvGOAFi7ZAg79EPywEy7frFGp7MBeWvI2tpRVdpm4g6+ZZ2vq40bTnLyTb+vLeFwMIWTEKJ40T72xNZczHY6hpV4gGANIT2b1lHUvXbCE2KY2jW5aycvUxMl1K07BRE5o0UVwDvF3scSpbnVpls3WTgkU6O35+j19uVqBnyTjWbdgoyruLy3F37enJEzTBZxbrS6VtU/7MDimi9Ht/KwuntMfcsJm8EBIRTtfPjzN2rC+N7FMZN2ULJQd0Z0KD/95Sbvx1E3sq1GdKBw85liT5z0yde4phk9bh4eGhhjwiqULpuKHu87ASglvZx/y9itKJHDp0SPU9IukpEBx09xJ8MyeoUEz1PBp+fn74+/vTr18/NeQRib4hlN/cHYT4Ej2EIuzyeEshu3btyurVqw2zRKagR48ehvs/FsnivSv7e3KvALBxB6/HG/xZtmwZNWvWxMfHRw0xPlOmTGHkyJG4uyszW6ZhyJAhzJw5Eyurx7QomZYIQTfv3gJgKd6B9+OXpVWrVuzevduk+1jr16/P8ePHVZ9peKK2KI/x9fVl2zZFRjQd/fv3Z8mSJarvDgMHDmTu3LlYWj7GjML/I0W0J0GiPXER7afH0znVJa/rli4rieDAEFKFHO/gVpzibg7iLx0L3mzD/obf8svgBiRHXiM4WrGOr8HRvSTFXO3yVOpvWtebg7M6qj4jkpEBt1RDd0o9KGZjEnWmy8QbrBfK2tMmPSGc66Gxd52kZW3vSemSzmgzU7hyPYTMLB1mFnZ4lS1lsNX1tKlXrx4nTpxQfU+RrAyChZyVnHZH0NIKOauMkLPutAA6YkOCSbQVz8Tl6U/zjRs3jo9GDcDRIa/aCh1RIUFE3WVU3gzP0iVwzsMVDQ18e6HV65QLFm3lv0jg4clPg8uydtkxJs49T8sXfPkoD5R/Be/a3jQvayNrkcS0WAulv3LlbPeEyv8TYymEjvLqvXPcYyr//wnXMnffu3LFx1b+Cyy24r1Xyl124R5T+ZfkAVZCAKp4z3t4AuVfIjEpNmo/8pSU/6eB1syOMiLPlStXooRB+YekS4tYcqkOH/SobUhj6+4t4rPTFM9j5d+kWAg5toxTtituGuXfmFg6eFJJ9HfZ7zLblVGUfyXS3IbyFSoawiqUM47yb1TMLChdtvxdZa94l/KvoMW5VBmjKP9PBy1upcpSuYL4Xm87rzxV/nPQmlmY3T1iLym0eDeoxrfvNBWuMQPqOuVZO1m1WRW6+tjLAQCJRCKRSCQSE2NTpht/Lp1GacdCvB5eIpE8MZqQsyv1JZM3KoMORRplC0ApTzu0ReroDIkk/3H0fAQ1mvTE5kFWjIzAwoULGTBggOozLpGRkURHRxtGtk3BqlWrDMvwTbX0es2aNXTv3l31GZeAgADD0nsXF9Pt+z18+DC1atUyWd1X2LRpE88884zJtoEoKMu9lWXfpmTBggUMGjRI9ZkGU7ZFOShbY/r27av6TENwcPBDtwAoW8VMWVefhPxQt/KaRfNn8/wzZVVf0WPVgQR69uql+ooWhbE+Pyp79+6lUS0fLJWVKAWIf5avRRPst0RfKm0rBuNZRRhlAOCPCa0wNyviIyESiYn5boEfg99farJ90O3atWPHjh2qz7icPXvWoIj2MpEgodgeWLx4sXo+rPF5/vnnWbRokeozLsrgR/Xq1alUqZIaYny+/vprhg0bhqur6bYwjBgxgp9++ilv91U/Js8++6xhIMKUtGzZ0iDcmRJTtkU5dOvWjbVr16o+06B8Ew8bAFDqqkUBE77zQ93Ka9o3r8H2n9urvqJH38+CWbZ8ueorWhTG+vyoTJw4kXdf7ouD/cOOL8+ftO4+EE3ImRX6kqmioy3iE9+F3gigRFJAeGIjgHmEKQ1vPbERwDyiQBoBzCOkEcBsntgIYB4ijQBmI40AZmNUI4BGID/UrbzGZEYA8wnGMgKYHzGaEcB8SN4bATQOBiOAGsVOglz1LpFIJBKJRCKRSCQSSaFGm5UsLQBKJBKJRCKRSCQSiURS2NFqlL2euY8blBAXGcvGPde5HJulhoAuM5OjJ4PYeyPnrG0dASdCWLP7usEdvZL8wMMUYoJDOXg15b64IP+g279V3MajoSSk/8uLSEzgQHCa6skmJS6RHefiyVD9T4r/hZuEpTx4IEiXnoFfSLKhikQH3eLQtfvLYgz0+lT2335etwjLePRKmynKsP9MJMmynkueNhcPwpq1EByvBkgkEomkQBETqFgkhWNX1YD8TCZXD28xGFBds2YDZ65F/YtIn0Hgwc3sOXWZrEIoD0UmhbMm7DpHktPVkMJPTOB+9d2vYe8xfzKLkJybEHaZjeuyy7716FXxJUgeB61U/u/n6tnLvPDuVr7YFEnOEEBqfBKTvtjMuG0xBv++FfsZsSWecqUcKONpw6/TNzM/8P5G59Kuo3y8LuK+irlj8V6WBaRRVvxeuUb8xUu0+j4A3UPex4XdJ9h26+69GpFXg3ltzlUSVP+T4uxqh635g/eB3Lx2hQn/BAkFHKzt7SjuYG78HSNxsfR/eyMboi0Nz8o8/Dp9xx4kIFmN/z+kxiUyYdZZwgtjjyfJH6SGwcAu0K4T9OoNu26oERKJRCIpMGyaBk3aQM8e8NUGNTD/EnF2Ey/NP0u5cuVwsTzH8JYjOZxy/7SQPjONn8d2o22n7oz7YTnpd+a3Cj66NH7w20azgxvpeXQzU0OLxgB8+IWN9O3chT59+tCndy+e9W3N5xtvqbGFG71ex0/ffoClS0nKuSbx6cD+zNwZIFXax0CrNROPS9HuJHehbVuV6qFhpKiNZNTNW5Qv40q2jcBMNuwP5c3nvKlZ0ZU6VT0YO7g6lwIfRxXX4O7paPi94p7rU496AceYtDvp/hn2zFQWn3ZmYL1Ht3QbcPoqs1dfZP6uYJLU2fKsjAy27bzI7HWXOXb2Jmv9EgwDEyFB0cSmi7umpLBo4yXD7xZuCycpLZnNO29y5dItVh+MJjoyhkvh6YYPLCEimr/XiWttDeHs2SCOhqSSFBfP0uNRhnspderw0euEpWWX5pb/DcN1/9pylbDH3HZy82YUx9NK8VavEoZn1blfbYZXsuBWZBopCYmsOBZ5uwofO3aNm+pLu+p32XDPpcdiKTrjwRKTEBcLJRvAz1+CYldFIpFIJAWPKzdh7mLwLhjGsTxqdGXXj+8YDJg2az6EapWOsWyb6I/uITNgI1c8+7L9l+FqSOEhNTODZAsnptVqRvmCdSLkf8LCzo0Rvx8mQ8j2KYemYR4Xxr4zBWHVyn9Ho9HywVdLad+8ATVbDOCzoc5s3H6UTFMsUS6gaBEPUVoBvB8zrQuOJTKJSlaUST3H916melUX8cAMsTSv5sRrU89wMSaVyNgMKjepzOcd3AyxT4StPUMb27B/ezA5mwxySIhOIsvHgXLaR3hPQhM+umInw/4MpX790tgGX+HFv2+SodOx4ucNrAq2pFVVR775YTefb4gwbB9Ys/I4Z6Iz2LryGHtSXejQpBgBWw6z8Gwatao74V7MhSZVHLi+/yQzdkWTlpbGx5/vR1+5OI1sYug5dg8rziUQExbBR6uCDAMEikK+ePlJLidmEnbmEn2/DqRCrdKUzwzn5V8u82+7He7F08MJr8RrvDv3BrfE845LtmTIGw1pVcaK+KgoPl55/fagycoVxzkfl8nV4xd44bswqjcpjf2NS5wOUxNIJE+DYj4wfTI4y7ZUIpFICiyvfQ9NyxZIsVhrpsXSyhZ72/tHoS2q9uSb94djb1X4TrqytrRnfNWGNLAsWv2vS5mGdKvjSUREBNvWLSXDqiQdmnmrsUUHfUYqAYHXKFemNCY6wbhAotUrD0s+sPsRynYVS1h7PR1iw5h/oQTl3HIaFw1dBrXkc19rli4/Tb/nVvPKjNMcivhva6rMzEGXdf/wVVR4JMUdHJUs/X9Sk/lpfTy9h9enTml7uj5blai1h1l38ibf79UysHN5KlXw4LVWbvdcT090bBaxQTdItnZh0rRuDK/vgoeLFdY2VhRzsbhdTdIuXeScfSl6l3emZosqvN/IVo15AFlZLFh9hRZDG9KmnD1NW1XD5ewl1oQ9+giAubs7u6a3pFJmJL8sOEi3V7cy5e/LhD9kWl+v07Fu81U6vFqPJsXEM+jXhOalxcOVSJ42ykdStGQQiUQiKXwUwJnkmOsHORpRmq415TK0okEMv/ZqjaenJ50mH8a1QjPa13BR4wo/8UEn+erzSbw3qj8z059jdM/GBfGzNRlafbqiRT3GdGwRonZtNxZuucXp48G4dSxPqZwV+FkZhMTqGNKnFhOHN2LD8u6MrJzOsLeOcu2Jl5/oSUnWY25tdo/+oOfymTBqVHN6NL0iS0dkhgVlPLIza2ljgYtZGlERwmld8XRWQjV4l3a8+3oaDb2HN6ZNXAgD31hJ3QHLWR+Yvdz/XkKvx5BuZakOIJhTuqSNIfxBKAMawVHxLPlpK02GrqLF6G2cSU4mMdcWLX1WFr/9sMUQr7hJe+7eSpGSmEKYnad41vX4dHRr1v3YAssTp5i6MfTBBgl1esJjNFT2ym4KzMy0WFnKAQCJEVC+iUf6UCUSiUSSbylgmkRq/Cne6zIe39EfU9fz0beLFkTiw47huvkvg6t78hSpRXYbswuj1+wjOjqas/PfIOnqSnoM+JbwwmTf4V+wL1GdUa+P4cPpU2hzaQMf/75abgF4DLR6vaIYSYn1QTiWcaHBoWvMOKHj+cYOd55SRiSvjN7OxWhlB70GG3srald2R5eZ8eSGVZIT+G13Cq07luUudTo5hi2Xnala/BEbdKHslrBMI+Bm9vR4alwKF9KtKS6U9OK6SEKjlVAdgdfj71PuLSxtGDGxO8fndefbrs78turKAz+m4uXdyIxJJMNgVC+DwKuJ2RF3kUac0OOVJWneHo50H+HLobk9OfR7J4Z1rELN4moygcbMjFFvdsiOF+7TVg5qTDbnD/rR5fdso2rKvh9HR3vaNnQhMSXrHvMVacTGiTRaDaU94MLV7JeRmZlFatp/PStBInkElPpYVGURiUQiKSwUoHY8Kz2J718fTMyAz/lgUPNCPwtq7ViW6dWaGNyHXqWxKLI6jAZrB0dcXFyo9vy3vNgwi7ijm7gq5OCigNbcEidnF1H+mrw3dzxnN20gXMj7kkdDa2ahVfRByYMwd6RL6xj2hulp4JSrSbUuzoeD3ej1zkE2nQ3nsF8oXy25RMeXalBJ6OnJ0fFcDEu73X8oxwoeVdIJd/R8JJEpSoyO0JBYjqjhf8w6SGCTxnzUyCr7RypBp0LIalEOz4dMYGcmJXJCvYbirqRZM6Z/cbbPPcymU+H8vdafEp3q0rlmCd7vbMVfy8+z50gwP+6JuPvEAaFJr513gHHrgsV1oggMzaByRWesrCzQJydy9nry7ZMMbCpXpV/xBKZuv8mWlX7MuJA92GDv5ETFy7eYr+Rl50V2RIhnZmZOj2fLcn7hIRYfC2fNrnOsDDWjlv2jN9j1GvlQJfwM/aad44By7R3nePuwjoHNPXEUjV+lG2H8bbinP5vCxYPSaunapRL7ftvB/KPhbFpxikOhspJLniKp8XDyMJy7JqQx8WEFnoET4m+JRCKRFBwCjsLhU6DMa0RfF3/7QVo+PmAsPZHVU/qxVNeb2RN64GKphguSIq9z7FLhswpvaePBy14+BtfP3V3Ir5mcjw/nVEK8wYZWdEo0R2LjSclOXmg5veRLJv2+nMOHD3Nw9hv8tM+csl2HUKUo7ALQJ3D1Ys4kZSZhIZexci2Fi0ZOaD8q8hjAB1C+ViUWvOhl+LvN8+34a2RVwzF53o1qMc3XVYRqaNGzKZvHVkQfl0Z0QgZd+jfnm2ddDOOQWekZxKdmj0L5tG3MJx1ciFfSCRcVn0aqUBB8B7ZhcC07YtTwSq3rsf+NipjdU3ftvMswtom96rsbj/Je/D60DBnqNRSnWPyv3qEpc96sjD4pjXKNq7PhlbJoxUfR8cVneLWJA0k6cwa3dMPG3Qqlrxj0YgsaeljRqW9dOnnoDdcp17oBk7sWp3S5cnzatwQJSVlU8W3K5C4eWJib8+rrzWnvoiPLszSTOma3No7F3JgzpR7u4vcxpSuy/atmVHM0o2y9qiyaVBvHtDQsXEuy+O2qKONOj4rGyZkFX3Xk3eaOxCnltHLhny/a08bLAnt3Z377rAHFxHONLlGOHV+3oI6LBaWqV2TBJ3VwS0/DuU5NNor7F7v34UokecWNk9ClCYz+CvGBwycDoZP4WyKRSCQFh/EtoElXCBHC8Y6vxd/94Fb+nVINOrqU177bQdzF3Qzs043OnTsz/M0FKOcAHF/wPgOmbzGkSz81zxD3whdrubT1T3p168/sHRcLhQqQlBbHiKOr6Hb6GCGi+919dRctDhzlihpfWCnXoj0RP79LkyZNaD7qD5oN+ZKV3w/BqUiIuums/vZ1Ook63blzJ0bOiGTG929g/TjKRRFHE3xmib5U6lbxV9FWjvq9v5WFU9pjnn3OX+EjKpI+E3fTqEtj6tilMW/TZXq88gz9K/z38m78dRN7KtRnSgcPaU9S8p+ZOvcUwyatw8PDQw0xLkpneujQIdX3qAgx6q4lNQqiTX0ky5138PPzw9/fn379hNBpArp27crq1asxMzPNItIePXoY7m8Kli1bZjhKy8fHRw0xPlOmTGHkyJG4K7NaJmLIkCHMnDkTK6u7V6MZk1atWrF7924hlphOLqlfvz7Hjx9XfabhydqivMXX15dt27apPtPQv39/lixZovruMHDgQObOnYulZa5p7/+K7gGrBfPYtHie1i29XnQ99/c9Wm0C3w/qTMaLfzKuQ6UHplO2VObVJ9a0rjcHZ3VUfcbn/megdL/Gaz+6TLzB+g0bVZ/xUIxe3y65KK8xy5xDvXr1OHHihOozHnq9KPudwos6b/yyjxs3jo9GDcDR4cETtfmVBr69lBUA0gZAkcDNnb8+86VdOStcPZ34/L22eaL8KzTr05TRTXKOSJRIiiKiDVWExLucbFclEomkQHFfOy5cfkZR+kQe73YaIvf9zjrLAbzStsJD05lAV3xqKIrvva4ooMn9TotImXNQBrDu1Gcpbz0uWq21XjzF+0fOJIUPezcnGlbzEM6dcq55N2Lu5OlEaUdpZV8ikUgkEonE1Li3GMe2P0fjLJdESySSB6AJOr1MXzoje49QUUbZAhAYnFCoRkQlkoJIaFQK7iUqYG5umkElZQm+qZaBp6SkkJqaarDqawoCAwMpX768aAdN0xAq969QQZ2xMjIxMTHY2NhgbW26M7RDQ0MNy/9NVfcVrl27RpkyZQyzKqbi0qVLVK5cWfWZhosXL1KlShXVZxpM2RblEBAQQKVKlVSfaVDahIdtAVDekym3ijwJ+aFu5TX+F87iU9ZR9RU9Lt9Mp2LFiqqvaFEY6/OjEhISQnF3F5P2l0+C/+UraELOrtCXTNlEUd8FUOhtAEgkBYSCaQMgb5A2AKQNAGkDQNoAyEHaAMjGqDYAjEB+qFt5jaltAJgaU9kAyA+YygZAfqBA2wDQy9PRJBKJRCKRSCQSiUQiKfRoNVplBEDaAJBIJBKJRCKRSCQSiaQwo9VozYT+Lze+SyQSiUQikUgkEolEUpjRotgaktve7+LauUBeGr+dVZfT1RDITEll+k+7+WBHjBqSwYof99P3/a3CbWf6hjAy1ZjcBOw5ZrAvkJ1OdV+c5EZaFn47/Hh/2S3S1LSIv3765TBn4x50JTh/8jLnIjNU393sWrqLvr9fIiPr/tUcqf4B9P3uNLFp/32/x959l4hM+e8rRo7uv0BQgtx/IpFICgmbvoO+fWHtJTVAIpEUSC6vA8UOyzeb1ICCQCi/vTyEvhNnkZZ5v2yly7zF9Ff7iiZKcR9wKvmOfFsYuBruR//jQr4WbuylyyQUoYXNRxd/rr7Xvny6yl8NLdzodRf4WC3zHTeK3bcerCNJ7keblaI0AnILQG5iI2JYc/wm63eGCTU/m+SERPbsC2TX9VSDf/kvW/jb2ZtFX7RnweSWRG3bx8T9CYa43ETfuEVwZglminRKWoN7vw5eVhrCroWz/WISWWpayOTYsRAiHqioZ7B/x3VsbSxU/x0ywkP4Yn4kwfsu80fAvYMHGWzaFcLznavgbPVfR3rC+fW3K6Rk/tf6EsmPP1wmPl3WO4lEUsBJiYSeTWD8HFi9HAKi1QiJRFLg+Hkw9JoA65bBoUA1ML+j5/qWJUzdt1fIe6fI0t0vW53+5xMsen/FokV/M7JhFP0av8XVO7NPBZrIpCBeuXiJiPQ0opKi+O7SToZeEe1yYSczRegTzWg14juCQyOJiori1NWbamThRqOtwqRFi0R9znY/fzaQEL9Q7F3kivZHRWiEyhIA+cDuxax+DWrpbpKsjgBEBAZT3scDc8OjSmXvmWSGtHDF3EyLlbUl7433pY/3/cq5gmLJWEl3x2ke/4nfuM5GWx+87FT/bXTs33aVWw1r82knK5Zuuily9z/27gIgiqyBA/h/g+5SQRTEwEIl7FZsFPXsPM8zzjjr7Dj77D7PFvVs7O5WRAkRQUKkuxuW3f1mZgddOfQDxB3i/e5G5r2ZfTu7Ozv73psXnzkffoy/nqfixJX3nwrcV07dx1/bH6HTxBvY5pKCrLhEjPrjOjpMuIxZN9nMK3Uh3bDtPhPXYYILfLIzsWHFa9wNicHIeZ5w8Q3CUCcfzPjjMvVb+RrOp19ixi3ZY5PCozF8iy/othISkQjbt9+h0riGFdejIRblYPdmD9yKSMDYOW548P4jhh4LYx6Xm5mNJbteISRXgsAnbhh58C1G/H4ZYzf7IFkkxYn995jjGbTNGxlUmOZ3/zV7jHdwJiiTiSMIglAYoSawdCdwaBWgzsYRBFE+dZ4K3DsNGJeffHFedhp2/nsbf+6cBTM2riDrMXsxoxs9va4aOvXpioysx/gQWjHyTDqqVbC/uQPut3bAA1tb1IQUYTnyOeGKKc7/HlYddkOr3/fi4YP7ePDgAc7P6sxureh4EAiFzJS59OJ6bC2qDRqEJsrcTaFb3vAF9LR3pCX2f/D5KtDWVkJoBn1HXYRH9yLQxEKLLbirYmy/mhi/4BkOPwjG5cdRkOjpwK564fNHJ8Yn4Aq13wV2eeibjPyW+ilRcbj8aVsYCr8eS/Dgbii6dTFhqmvkSXLycOVVLEY7mqF759pIfuoOrxgxIM7Dnf23cCjeFPcOOmBazXT8tDMEdPJR78Jwm2+Cu3t6Yaa1EuYsuY32Yzri0c4uUL32EKvvJSHI9S28Vc1wb68DNjkKceJ2Omb+aYsuNavi+PpmqJqWgefO79FnVm+cX20NjaQk6nllTcpEWTl4/SGNetfycHXnbbhq1sWt7V2QeN0LJ2J4mDLHGt2NDXBkky1M0zLxKkz2oiViMXyCkpBJnY/pCcl4dCcSS1f2wZGZ9fDi4E2cyaiJm/84YLxBIgbtDkNWTCh+O5iI/Vv64dyyRrh/PQzJTEoEQRAKokRd922bA2rUbympSyeI8q1hK6CKJsDNTKglEnZ/JcJ1esDewoCN+bacrHSoKOlAT6di1FgqCZSoF5WES9HBWO/viWRlQ/xmUrT3ojyLD/NAfFwuLA1VcePqJVy4cBfhTKvuyiU3yQX7jyejZ48OIDO5Fx2fZFi+gsdDEyMezr3LgTQyCkeya6G2HruNYt3dDq832aGlmQqub3uMNqOu4Yg/tS+7XZ6amhrqmunAkl1qGqh+ettVNNXltmlDu7BGBKJcPIk3QBfz/35YqWEf8SrHEMPM+cgxMMHg6lm4H5QKaXo6Vt3KwZghtaEkkaJVRwsIX3jALZZ6kIoq+jY3goD+onwMwnPUxABLDfBUNTF7vAVePwmGiC+A29VX2Ps2D027W2NF3yr4NNMudRj0kWjWrQ3b6kJq/SsnEfUjc+p5Ovp3qgk1dVWs/LMNuurKVWF85WH5qjeyQE1d6lc4NRUrb4kw+qdaEFCvpaN9bUieesAriY+suHisvxYOrapVsfO3etBlH0sQBEEQBFEihWXmyiBpzBuMX/4G4+aMh1pRbn6KM3D2+AVo95iBxoZsXHkjlSBHImaWXCn9QYlxL8gNI9zvYVlkMnLEEigJpRW+c3NOYgLT4vfUirEYPnw4hgzui26dVyKkor/wL0jw9vJ5+Gr2QLc2Nf9fsYKQw5dK8qiCWKU6W4qsfsOqeHwjBHdfRqNtz5rQz69Zyk7DtUcRMKqmi4YWxthzfijuzDHD6gUvEVDI+BNqGuqob6FH7StbLKqogs+epapaGmjwaZsOdAupAEhPzkBeHR3UUS54aotw89R7pEhysHaXC2ZudkWAhh6OXgxBYk4eMkSZOHaYjn+BOYc+wLK9KYxUqIdRr0OYfwB5EkgEAvDZ1yagLqYZ1MXTtEUznFvcDO9vvET/n0/h139DkFbgtfGUBd+uJKcK6/RD1JTpxHnQMdKEiWb+m/j/8ZX4zPiUubl5SKdei9NB9rU4fUSjDtVhYGKK2yd7oFZ0MCYsuYEuy1zhQ5oAEATBBfqSSnIfBFExlJMWAE+vHIf6sEXoYV6Uu/m5cDm1FIceVcG/awfiu4eF4khKtCtUrx9klvqv3ZElEeJXGwdk9h6PmLZd0EgpEb+4uMLv8wBbFdofZz8gOysTp5b1RrjvXrx6V0EGdygCSXY6Tpy9gl6r5sCi8F7YxFfwpVLqKscjuZbCqBnroG1QKLZ68zC0mRobS1HOgdMeD7gEZ37qPaGsIoSqpipUf0D3k+iQGNSvofep0iCfOCYBa1/nYOXCrtizsB3+oZc5rWAa6oPjocporsuDTedm2E3Fbx9pDo8AEXgFvyBVdKCfGo+YVOpKKZXg/ds4qBpoASIRqjWri10L2sN5dXME3/FFwjeuKXzq4CQiCfN+pKSkI4veV10ZFio8uAWlQEqlfffEEwy/EMfsn4859XIlzAwKoqxUxBVSgFfWVkMLHaBlN9lr2TasBtwC8qjHipEj1MKiGe1weGl71Aj4gOd0CweCIAgukJ9SgqgYyknh+Nl9ZwQcng07OzvY91uKIM8z6OY4DO7hWewe+aQIvLcPE/+6ifnHd6GxevktLWlVsUG4/Uhmed60CZQgRoZElhvX1TZDByq7LhWlIraCVwCoG5tCg/rNSUmi8thUWCgQQMCjyiKqlacknOJzHFfjmmC+vSkbQxQVn6dEf2lIC4BC8TQwoK8EIRlAHRW56mC+IdYvro/Nyx9j5i5XLNz5Eksvx2HRfCvUpL6MUd4fcPBFIlXole0eGhSC5fR+nxZPvEwo6pUpD+4v42D5afyBz9zcQqHR0AodzD7/UqkZaGNac22cuBmBmTOtEXXjOebseImx+/zRb1gDWBasJK5ihmX99bFw90ss3PYUK9/rYv5PZsgKCsfkv55gAXW8C/YGoWnfxjBS04SZYTY2O33El+VsPpp1soDBE3fMofY/6JICMd2/gHr/Zi2wQeAdN8zf5oqjIepY2JVuc6aOOqZ52HYoENJa1dA5NABTqMetvRKFbJVPHQ0+U9PC8rnN8PHqc/xBvdej93/AT8MboHZeClavu4/p26n3dLcXcmwaoXMN9jEEQRCKkJEIbF0IbDkKZpCV6/8AC4/JthEEUb4cX0J9f9fRs+oB3pep9c1AUtkdLG/BiSD4vfXA69evcffyKlg0G4I7l07BxlQNER5XsPzYE2Y/UcBNjFt5HNP/vgmHhurluq6SL1BGdVUNZqmmrISPcW8x3P0JFr6n8oJvbmJrkhAdzZrArpDsZEVibNYCxjW0cGLRRPyxcBG2Hr8Lky7TqM++nDbtKLZUXNjohEY9HGGoWcE/7B+AF/bmnNRUdIsNVl70XP0n13SFUMiHOE+MjDwetFX5kOblMesaqgJIRHnIkgqgyTbFz8kUIZudbkWoJIC6ioC5qIqp/bKlfGgoU2nlipD+n+nueFBTVwKfSpvZTyV/KAYpMrPyoKyqxM42IJObnQehivA/LQBEuXnIhYB6ni830M+fSR2zppqAeix1jPS0fXw+tNWEzB333BwRpEIhVATss1KvIT1LRLfYh5C6mDLpSeljEUHEVKryoK6hBCUqOodJj3o/1HigNkOTel/YVJBFvR+51P70e0FXxtLPT2/LonbMFUuhpCyEOtMdQHYMWSLqGDWFEFNp0lML8qhjUoIEKqpCSOn3WiL/3uQ/95evRUSlk8nOCEC/b2rybxxRLq1z8sT4ZVdhZGTExihWq1at4OLiwoYUy8vLC35+fhhMz0HNAQcHB1y6dAkCATftXx0dHZnn54KzszOsrKxgaWnJxhRRUhgwujvwxYxhXQHfXex60a1ZswaTJk2CoSF3nXPHjBmD/fv3Q0WF7i/GjQ4dOuDRo0fUNZ6767mtrS3c3NzYEDe4vBbls7e3x927d9kQN4YMGYIzZ86woc9GjBgBJycnKCuXYub/9ybAHfn+jubA3ZNA9dIbYehHnVtJ4VcwZsEbnDm8CGpKfNxZ2w+LU36G6/peuDx3MObfCIW2pjqVl6S/V1oY8edWTOvZ6FMe63u0tjbHiwM92JBiSaQ5OOb9FBsSEphWqC1MWmNXXVNoKfD60WdpKK5dv8GGFEQqQcbHKxjksBDBVJ7dvFU/HNq+Fsbaiv39trGxgbu7OxtSoDgvOIyYidHrnTHURp+NVKy5c+di8eTh0NbSZGPKBzv7AWQWgMIIhAKm8E+jC6X5hVyBErUuV9hWoQrxOprKzKLBFv5p9H504Z9ZpwrU+ft8XpRAbxZSBWJNuQIuU9BW+7LwT1OmCsQFC/80ukBdsPBPo59fiy18q1CFYuY51WUFZpqyitKnwj+NRyWupSE7tk/pUTurq38+XrrwT5OlJ2SaGml9KvzT6EoNNg3qvch/fpoa9Zro+PzCP40+Bjod+jJFF9zp7fR7rka/ViqOea+/eG8Kfy1KTDqy5yWFf4IgFE6vBnDVlyrwyy/FL/wTBFEG7PAq8F2mCnWlWPj/kfRM++LKv0uYwj8QjLv3ErFgeFtqXQ39Nl6Fr7cXXrq44MWLF9RyG9NLqfDPNT5PBWOtuuJdpyHwpZYj9WootPDPGR4fGhaOuOHjQ52qvrhxeL3CC/+cMmqCq3fuc1b4L+/4Evq2Lyk3EQRBEARBEES5l0gV8FP7LEefplXZGIIgiM/4dB9zuvk2QRAEQRAEQRDlm37rifhntj1UyA0+giAKwYt8d0FqnHGDqQqozOgxADKzxYU2tScIQnECw1NRo25zzvogP336FO3atWNDipWamor09HSYmJiwMYrl6uqK5s2bc9b3+tWrV8zzcyEqKgpaWlrQ1OSuL19AQADMzMxKt09zMXl4eKBp06bg588Ny4Hnz5+jdevWnI4B8OTJE7Rv354NcYPLa1E+egwCeiwCLqmpqX11DICUlBROz9WSKAvnVml7+vge2jXhZtyessDVPwstWrRkQ5VLRTyfi8rHxwd1zapDKCxfXS+euriBFxl4UWqcfJ2NqrzkBwEkCII7ZBBAMgggF0o8CGApIoMAypBBAGXIIIAyCh0EUAHKwrlV2rgcBLAs4GQQwDKCs0EAy4ByPQigOCOXWiVdAAiCIAiCIAiCIAiiIuPzePSdHtLunSAIgiAIgiAIgiAqMj6P7jtFGgAQBEEQBEEQBEEQRIXG59Fd3kkFwJckYoRGfMTQYefRYuwFWA+5hdMf0yH6jvdJKpFg865H8EqlZ10oe6SSPBw4/hpxmRI2hiAIgvi/pNQ1MzYS2DACoMet+Oc1u4EgiHInIwG4ugaoQn2XfznERpZd4pxYbB3bGS1atICtXXMsO/YcudL/ZlaDTkxEjVqWaE7tR+/bb+huxLHbyjsxlX/1CnNBtdtHYUQtrV1dEJBb8fOy2VHe6NHCghkvKX/540IEu7USyMvG+3ub0ampHXNOt5i0GTl5pAxTVHwm80JqAL6QGh6NHosDMW2HI1yPDMDDbfVxeNY93Amhx0soGbqlxZxpHdFEW8jGlC1SaRxu30kG+eoQBEEUQ1o0MKgH8FEDSI8HsspmJS9BEEWwoh/gHE5lihKo73YWG1l2ZaekwHjSXmYGl4dnNuDx1qW4H/3fvKo4Ox3m7cbh4XNXZt/Lp6egoozZn5gZibWxIiyztMMvespwifVCv7eBSGO3V1T0jbuUpASY2P+KVatWMUs/Kx12a0UnhfeVrfjlSBr+uf2MOadd986BChnIvcj4EimPbgfABglaalomcniq0BBImKoRHZOa1MXSAd1rKkOSJ8bz88/Q9OfLaP/zWcy7EgcRVWoOdn2L+oufYNS0S2g1+hxGOoVCwtar3D31GLNvJGLu0qt4mSRCXlY2ju64iea/XEa3qY/hkSjLMOampmPVyitoM/4yOs1/As8YEXXVFuGW0z3YUs/XatQVLLodAyr2C3R6x9j07Kc+gnth6c17DM9o+pHZ2DD/PFbtfoyOEy7B8ucncI1OxeplbngQFIkRC7zw6JkH81qGT72EQcs98SEmFUuXOKPdr5fRYsJNHPVJp1PHtkXnses1vQ54XXmIzps/IsztDTrPfI6oLAlunHmG6VeoH1GCIIiKSssYuO0KTHMAytdg5ARBFLTqLnBgEfW9ZsNlnEaVuhjWph6zrqJfD9VUguAT9t9bOVKpKrtW8Rhq1sAxm3aYYtYQfzWwgRkVF5SZjspSFVur/SBMnjyZWTrUKV+j0ZeYNAfnT17G0KmT0aAqdzPWlGd88MTUH9ICQJ5pXTPs6ZqHfr/dQP8/7mD15SjwlAWgK5ZC37zHvJcquLG3H57s7Q08eo07sTlME//cd9n4Y11f3NnUDmEPPuI9UwOQg1uvU9DPSg25IjHEUglcrrhjfaIZ7u/vh42D1LDROQzS3CxsX3MH4Q1a4NH+vtjbRxsT175HbFQElt1TgfO+fni4pwu6GCmB/sQ+k+Alld66BFl6mwerY9PZMEhys7GDSi+sPpteX11M/ItKj3pEWnIWsmo3wEMqfptNIpZdTsX8lbbobGGCE+uawERMvZb3IizZ0BfOSxriys57yO3SC48P9MP1efWxZoMPwql0RKI8iNhaDolYjOw8CQxtG2OEaRrOPv8AZzdgfjc9ZjtBEESFRE9Vp6oGCKi/5WsqYIIgClKhvst0Zq8cVub5Xd+C9zoOGNaskIOXZMD30TEM+6k/+vefB4/MkrdoLWt41H9K7JShgfGhCKH+1tLVR2XJfb7c+wf1mfbHz/M3IjnryxJCRSWVRuN9gir0Hslee/8hY3DWNZSUZouBL82jm0uQFgBfUFZG95GdEHKyL/5d0hjht9zRdtgN3AvPRci7KOgaq8LnTQTueSXD0FCKy245zMPULI1hrsmHloEuHIyT8O/LXKS+D8BbkR4a6LM1VBIJfD8mw9HeAlpUZrFZJzv8+6s5JOlZOOMPmOvl4bFbJMIlSlAN8YV3phasNeMx/i83PPFJhlE1DXxRj0ul5xOcgn5sek07UulNMIc0PVOWnn5+ekKoUem9jaQeo6aMpjU1qE+dD30DAcQ54v80/deoXw01NKhzQ6iMcVPbo5tmApbPuoQ+6z0QF5r5jaZVAgz6qRH+3vgEuj2sYKpKmuMQBFEJ0DkP0oeKICqGclSOerl/LHr06IE/jntg5MA+4OX9N09f99eTiPnohYvnT2JWtzwMb9oPr6JledfyJi83BffiqTw4tTxPTft02c3MiceS4GhoqprgQB0TNrbiEqhowa51JzQyEiAtLgBnNs5Hr3mXUPY7rnw/qTQMUc888LTKbJw7dw6757TH4tGT4Z5SsI008TV8gRJVQCOZli94PvDEX4/SIRDwoKVrjD1/98bW3so49iiWyeMpKQmgpkIVqKmlXW9b/NFGQ/ZA6prLXHapQvNPXari7sX32HfAH3V7WcFQroUKncanyzOPKobz6fpLJgAVNl01fQNsXNMFtuYG2Lm9F7YOMkVmbAxGz7iM88HMznKkzE0ohlx6VOzn9PQMsGFNZ9gZsrvJ/vx/mZlYsP4+9r+ToOe4jri8rAWqaX67UJ+VnY2cHAmi3yejfP68EARBEARRaZWjW4ktJxzBrVu3cPXMIcSeW4qJh93YLZ/xeHwqTyugFjV0nDQbPY0+4IV3+bxjmpHgC3uXa8wyys8fOUxL1BQsfHkHl9KFWGfdCa3UKn5/LGXD2th19BLu3r2LO3fuYnBTKd6d3AvfVHaHCozHqwrD+pYY07MOc14b1uuJpjqReBdLCrRFxZeKqS9OkUuDlYOurgr2OL/Fy5As2cUxMwtPqPX6phqo0aAaooPSYGZZFW2a6ODRWU88jSnYlIqH2q3ron7YG6z108LQNjqf32I+H40sdHHxzgfQEwIEvX6Hjpt9AU11OJrl4H0k0NyqKmpLkjF2ZyCS0jJw3zMVtetXhUOnOmisRF3m5M9vOr1aurh0W5beRzefr6e3IxCJxa7VliAlVRXN7apRr1cX/p4hSEynE+FDXVmKtHQRpGIRXN5nsmMe5ODY0QBsdeoDA79A+KdUll5YBEFUavRFnjR4IoiKoWyO1/xNShom6NyyFiJ9PyKbjSuUJBFRYTyoqZTPQrKOcStIHSYyS1BzWyhJc7DF/S4OZIow17oHphpolsePr9jS40MRGse2xxVnIZsqigj0GsNQWxZVsenCSJiJ90my24wSSRZycjShrsYEiSLgS6V0Aa081gH+OOZN6uHeH1WxYtoV2I46D5tx98Dr3hbT2uiilnUD7OwgQtdxVPyoy3hn2Rgj6qoyo/yr0q0p8mkZYnR3I5i2MUMr6stI36GnWw4IeHy06meHpVVC0GbMeUxwSsTWn+uCr6yKOSt6w9zvJZpTz9lxfyT+XWoNc21lxL54hdajz8Pu13vQdWyNwfQIJ5/w0ZJKb1lVWXq/Hk74Ij0L+fSW2aAW9eVQUqaPQ1YlwRcIoCLkgc8zRBPTNAyc5YlwAY95LcweahrYNqEmNi25Qr3e89jnI4SBQR5S0oQY9GtLvHa6C9vf7iBdRwvq1GO8bzyHS5W66FHDGOMc9THjHN3ngCAIooJKCgMcGgC9p9I3oYD1w4AG1DpBEOXP702o728nIIjKF99aRa33AiKS2Y1lj/e1LVh9LhCZmZmIC3HF3rM+GPdLN6arqPelVWg+zQnIDMPiAWvhTe2TmZmC61t242PrSXBsWaNC3P8LS3yPTVEJyJXk4aT/HTR4eAaNHjnjSgWfBiD6/WUMbGGDBg0aoKF1O1wJqIIpWyehOru9IuPxjTB4Qmf8vewkoqnz+uWxxchoOQjdqpGReIuKF+F9QWqSeaPS37kYPP8OTq7pCiGZQoIgOLXOyRPjl11l5rTlQqtWreDi4sKGFMvLywt+fn4YPHgwG6NYDg4OuHTpEtOkjguOjo7M83PB2dkZVlZWsLS0ZGOKiJ76b8dKKjfGhhlWVNwEdr3o1qxZg0mTJsHQkO2rxYExY8Zg//79UFHhbmTlDh064NGjR+B96tumeLa2tnBz+29TakXi8lqUz97enmlizKUhQ4bgzJkzbOizESNGwMnJCcrKpZjpPzgbeCPfcrEKsHwWoM929SwFpXpupYRgxca/kZCaTTcBQO+x09GjiQlTsL+80B57dObh+oLu8L+2FrtuyS5S+o27YuEv/ZibP6WltbU5XhzowYYUKy4tFFtCw5HBhmn0LaxRFq1hp6A7wn2WhuLadaospVCZuL9zBy4FRELK48Pa4TeM7Wap8OKcjY0N3N3d2ZAiJePC8o14kJgGTf1GmL5gEowVPNnF3LlzsXjycGhrla/ZF+zsB4DPo98sUuYlCIIgiOLTpArri3ZQBX75pfiFf4IgyoDxWwp8l5eUauG/1OmY4c/VG6hD3YEdm/9CT7bwL852xYX7Aqwa2ZbZrV6fRbJ9qGX5RMdSLfxzzUirJv5q1AY75JZtjRRX+OeOOrpMX4Dt9Oe6fRvGcVD455YuBixfw5zTa5crvvBf3vHFGaQLAEEQBEEQBEFUBNkROej+1040rVGGKy8IguAML9zrvLR67k02WHnRXQCW/GoDoYA0hyAILh28+B4DJv8NfX19Nkax6GalJ06cYEOK5e/vj48fPzJTOnFhypQp2LVrF/h8bq6D06dPx86dO9mQYt2+fRt169ZFrVq12BjF27t3L4YOHQpdXV02RvEWLlyIFStWlG6z6mKiuyEcOXKE0y4AdDecs2fPsiFuDB8+HCdPnmRD3Bg/fjwOHjzIhrhBn49f6wIwb948KCkpsTHlQ1k4t0rbiEHdcWKlrLVBZfTbzij8888eNlS5VMTzuag2b96MiUN6QUNDnY0pH4b+OgO8iLfnpSbZN2UjGFdiTz2jERqdzoYIguDKlcch6DRwLrS0tNgYxfrzzz+ZDCcXwsLCEBkZiZYtW7IxirVp0ybMmTOHs4LXli1bMHv2bDakWK6urqhRowaMjY3ZGMW7ePEi0+daU5O7/oT//PMPJkyYAKGQu3G0V65ciWXLlrEhbixevJgZk4FL9HtAvxdcWrt2LRYtWsSGuEF/L75WAdCrVy/OxiwpqbJwbpW2CbMnILNdJhsCmmkbYG7tpmyo4tt4NgFz581jQ5VLRTyfi4q+WdTfvg3UVMtX/4Mla7eAF/nuvNQ44yYZB4AgiDKBDAJIBgHkQokHASxFZBBAGTIIoAwZBFBGoYMAKkBZOLdKm25dXaSMoqdBARpp6cGj/U9Q4qglGRe4GQSwbOBuEEDuletBANl1giAIgiAIgiCIEmlIFf4ft+lXqQr/BFEe8SXMv8w6QRAEQRAEQRBEsdDN/uk7//pK3LUeIgiiaPiQklkACEKRpFIpxJL/LtT/hW6X/3YW9bHUny9I5Pb5msLSln+MlI4rmHAh6OdijoEN56dLx38i91wSphay9EipBMVi8ZfPpwBSqex5uXhumlQie26xWPKfz18h6M+Ufu2cPDn7uVMLN69d/rMv5RO6qNj3X3YM3HwGX7wPHJ0H9PsgIcdAHYL8Z8FGKpj8MXD1URQZe6wFP6/Pr4G6trBxZUH+79wX13u58+7z8pXjlvts6N/h71VLTQv3WztAmcM7/3T+hF44+94rEv1aC/l86d8fOp7+W3HfBTrfyL72Ai8y//vK2e9wOcKXium+npV8BECCUKB7/5yFsMX+/yztj0QjPigcS1degwYbp97+LJbeikJOnuwq98+Sw/95nLD1Qfx+OwlSUS7WLLkI5RaHMf50OPVDyDwEwV7vYdZxP8ZcTpBFFCoPzusu/CftuhPuwiWavpBmYe6YgxDO9PxmZjLMzwd16Mf2cMad4GwqRoIrW2Sv17DXMwTRMSIRLh55ANVWsueoM+Ix3FNEzOO/XzyWd6vJDGDW3HExSi3Z/yMzIQibxjRknlcoVIJl60F48CGD3fqj5eHj08voa0U/N73o4ef1TohS2JimUoS/fYzdM3syz285/zobryC5ibh9bD96tzCH0NACp15HsRsUIzczGvtndoWqsuz9r27ZFec9Y9mtipGZFIxDf/SAkpLsGGrbOeJugGIHtU2Lfo8dk9uw56AKbHtPwMuwXHarguQm4MyqkdBnjkGIJo7T8eKjggf3zY7E3lkO0GKPofmo5fCIyGI3KkhmCDaM6wJ19hi6zdiFwLgcdqNiiJN9Ma9fc6iwx/DTnycQlaqgC3JxSPPg++wW1o5vzxxnh/XP2A1A+ocnmNS7ERMvFOrj103/IkZRl/WvEiPE5TrGd63BHpc2hv65G6GpQOSTdTBh3+/PSwNcL3BJzIl9j42TOn7ex3ow7vjEs1tLRlUggB5Hd/7F4lzcCXoMletUnuLafpg9voXrqQq+9iiUCK92ToKKshL1+dXH1Ug6UyZFmOsJ2BloMZ+ppqEJNlx8y1nl348U7e6M2oYa1Os0wvpn8id3Erb1t2Ref4MOUxBFZ0GJr+ILlAR0Hp0gCAVpN9oBwVdGwHVBXSpkgKOnhzLh452FGLvsPjZ6iHH5yGAm7tokPWxadQMTLyYwX9PRc4cw8SfGVqdC1XGNWg++NAwrO+ggMz0Fj94koomlNk49CkcWW2lQHHq1jPH05DDmOXxP9oRpxEdM3BeE4mahG+gr405gJvWblAN3dzHMjT+P6B8fFYIlez9g0Ox+1PP0Qp1Qf0w5Fvn9lyGpBK/2TsFBt1xoqit27uPkCA9EW/+F4OBgBJyZiY+u57Hx0jt2648mgsepzbDfGozgD/5YOrwuzmxYhGcfqByhAtB3opxWT0N481HoWJWNVKBI9ytYuuUc2nRoAxUOxi7MTglCsG5fvA+k3v/ra5AY9Air/33KblWM1Egv+Bj/iqCPwbi02A5hHlcwZtYBJLPbFSE+8DmCrdcx34GDk2rA6+ZBTPjzTLGvHSUngcf5bZiy6RYm7L8N90dHwXu2B9OnH0CSwjLBuXiwcwHmOHlj1aUXeHFpK2Ivr8a8paeRqahjkGbh0tJfsfxqHA4+8cS9w4vgvn8+1h58QF0pFESahmPTh2Gnhzouv3mH86tG4sb637H71tsyd1cyNz0B25cvhKjTWDSWn30zMxTzR47DxRgLvHrnjyubhuL0ytk48tCX49cgwtsLf6P+vGfMd21aR7ryfi62X3CDYcspeE3F0fHBwYGY01EAgWpDmFRhH8rIxb1/1mLp2Y/YdtEVb59cgFX8BSxddg5p7B7lTUjCO4x574+xjfojuOsAdBSHYaTXO8Sx2yuatPB3WPz3KTSs/XnAWonoI5aMm4hI27nwCn6DmQ3zsGTULDzLKIOVbt9DkosDq36DQbV6bEQ+KbxPr8CWh4nQ1+FuGt3yhE836yUNAAhCcVS11GFmrInquvTcxQJUqabJhMVxUXgTlI3JM+zRvZEeE9dleCcsaKOB20e8EZgLaOnK9q2qRZd0hKhGrZtRj9dX41MFIX+8lFTHxjkNUf2tH3Z6F/+OD18oQPWqsueoZayLqnpC6OipoLizLLdoZ4zAgAzkJmbgSboGbBt+LpDzeALwBVL4u4chRGyIxUut0bOaAJ8nECqZ9KjXWLXlAVoNXQjz6vScrIorDZo0+QmbZw+AmZkZ9R5mQBvqqGmizW790dQwcNcjzOxuhho1TKEqzYCy0Ah6OooZGZvHF2DJaS8sdWgMVQ4K4CatxuKlx1V0rKnJyU+ZtnEbrFkxG7VrmUFZNQ/6UEYN6rujSNUa9cOmP4bAnDr/+g37GTpUXJayEhR5P65Wu1+wZXIn5jvQd9Bo0N/4bOoYFDZDuzgXLk+fQ6JZCz/17QZrO3u0aVoXoUHOiIqjuzoqQHYqrj72gq5pIzh0aIVWHfugac1qeO97GSnpYnanHyw9BscfBqBmo+boZtMUXfoMRB0dIVxeP0JOroKKrkkhOPQ4Ak07dEGHBg0xYMxIVBem4dYjd4jL2A0nZa2q2HPHHdPaUd9f+dbr6cl4HpcMc3Nb1KtXF127d4WKVIT3/iEc31VVhcP6a5jXy5z5rnXp0pP6paOufNRvt5KKDkypODreIOcFrj9VQp9V02D9xXWZBwH1pVQSS6nXboCaNYygpqwJ1epVqCtX+ZSakYhoiTZ6VjGCmZoRehgZIT01CkEK+torViZu7fgD79VH44/xdCFY9uFK3l3BFR8pxs2ZACuzJpjwx1ioZNzDxftJzPaKIQ++ZxZh3/MaWDm/KxX+/IXNTvLH5i3nYdlvKZrVp38BuZvGtrzgSyV07VBZq5MliMonJiAakbm66CRXWOYrCdC8XhUqbxuDmG9dxyU5OH/hIxq0MkbzWjXQrLYA566GIr2YX+2koEhYOx6DQZcjMO57HheTDLBymHGxCxJ6VfXgE5GI2Lg0hNYwRlN9dgPFsJoJxvUyQ/gLT/QccRq/OcfBvmUVfN8kKmK4Hl2Lh9pDsWlpVyqLRFNkTjMJf/dtDwMDA1iPPART+1+xqG8ddpsivMJA6rmNqlXHSucYTNp+BG3Nyte8tOVXFs7OGYqq1Ptfv+8aKDd2xKoxbdhtCkYVUO6cckKiQAUdOtpAjY1WKEkubp05ijShBjq2a6qwSgi673Nw2Efw+AZQo099dQ0009OHSJSHXJFi7oKJsrMQGh8NodAAzMx02rpoRR1Hdk4u019VEbLTUhCalgxlJT0I6DywYRW0VlZBemYWmBs+CpCRGIfw7Gyoq2qD6RJewwwtBQKkpNHt58tJfpN68zSogw/++Ao+797DNzAEeeJ0BAWHlZ1KjLw0PLhzHTxNQ6rQY/a5AlSSgsOL/0GgsSXm9LdhI/Mpoev4ybCvLsR8R2uYNe2Jt3ojcWhdX4VWGJYmAV9IvaoUXI+JQWBGKoJzsiGVRiPoe+8qlDlSZHmcx9RjgZi7aSbMBPSXS3YyRni7U7kQNejqyCoE1Bs0Bt1ONDm1vLbr+K+8+ADM+OsErCauRidzPSom/1oihv+ZtTiX2R471/VhKp8Vm/8rn/g8Hv0LQZoAEATXVDRVqIJrFpIz5DJIUinSs/OoTJQa1L5RPZ8VGY+jPiJE+4Zh9s7X+JgoQahnIIKTincRVDfUwfyJLbD+95ZYN8UWrTWT8OdOP0QVszudjrYW1IOicSs4BQa19CE/qzlPSQWzFvfAvc0dsGN2Iwi9QtF+6mN4f0ffylSfC/jjbxfMWDgBZp/agSvyuqaODpNmYv369VgwzBZv7x7FtC3XobjuojXxK/Xc69asRpfGfOz8bSLOuoWRql2FUIL1gF+wlnr/l43rgvC31zDxz2NUdlTxIjydMX+3L8yaD8O2X2zZWEWSwv/uPiz/NxZN+s3B2iF0NyfFoQeAkkdlcNg1BaGu1/Sgp59Qzy9Q8DEwzy//xaeen6/wt6HAQLT0MbCr5YZBLexY9zv0PW+idbMGGLD0CPQlKtDSVKdfThmQhmtLfsWRp8rUsTlhiC1dIJJJC/fG6ddvUb/VT2hU43N8vuy0XOhbW4BfvSGs1TOhmu2Dq8/D2a1lX1ZKECZ4PWaWRcEhqFGtEX7V0cKRd5dR98EpXMlRhzL1m6xVwW4Ci7NTsXXrDmhaDcSA1nXZHI7sX3oAXHk8Pr/Cleyend0A15T6WPx7b6gwFxTZK8z4+AjTNt7AyCm/oJ5Gfka5or360sfn0TXl5H0iCM6ZNjJDLd1cON0ORqZIlntKCI/D8SfB0DQ2hel/f8dZUni/jUBEjhiqdP/AwGTw1ZSQEJeMJyHpxSoEqmhrYFgfS/zavz4m/NQAY+yqwM/dHxHFrETWNNBEe2Eyzt6JR4sGXx54wK1n0G57Cd41a1HPY4dNM2pDLTIZ4d8xYEvIq2vwjorF+hGtoFHTFu6B8fC8sR71ph1n9/jRVGDl8BN+/fVXzNtzD1PaJuPhjq3wUVjru6roTT33hMlTsGPtXKjmvsHFy0+RRyrBFUCIOu16YDz1/s/edhkremfj5d4teB7NblYICZJCLmBk67EI0e6AYxf2o5aWohv0ShDtewQjHWZB3HAIju1fBiNlxfUJ4fMFqFatOnU5FCOPbvqbnY2A1FRoauhCS0MxbSGUVFRhpGvAjFBN/Q+kp8E7KxP6VJyKimI6Q6hpaEFPQ1M2Cjj9/U9OhLcoDyZVq0LA3DH88TR19KCjokJ9Duwo3dFReEcdi0VNE6rwXF4ynGqw+WkRvDIzkUktb48tRpqKOupamENBb+M3iHB//wKM3XgWbSatw76pHb+4e//mzF94EcJD/wnjYVDwtn5eBg5vXIXLz5Jx7c4jXHF1hy3vHTYtmo6QlOLkFrgjFmXiTWoCs/hQn42asgF2tB2MjF7jkUkt07QlyBNURR26J2AFIspKxSvP1/h4fxfqGqqj+6IrVKw/BnXujBT1GtQ5IEUue7MmO+gD4qCMerVMZBEVgPvdk0gJfYKuZhrQ6raKiknAsj5NMXXjEXhGxOPAzD7QMq6P669CEfBiHyzG7JQ9kCgUX5xJ/0qVjy89QVRkRqYmmNvbEE+OPULPGTfRd9ZN9Jp2HVdyqmHfskaoxu5XEN2s87FrGPgaZnA+PACuR6nlcCe0EWXh5PPPI/8/PPWcSZNeBi5+iBeR/+0glxYZj/GLbsv2m3kbK+9EQq1WLZjld2n2DUA/Ng16WXgnicr0B2Howns46ZX2+Uqiogw7MyXcepWELo2/bIpezao2bKomYcq0G1QatzDvdCiymtSA7edxAovNrMsMXLx0Geedz+LMwS2wMNZGLdsB+GdiR3aPHyvokTNueEcy69L3F3DDlyoWWtjC+Pv6NRRNTix2Tt/PzLBA5Yzg6vISGRIV1KhpqvA7f5VRgvdVnLn5jmlwyAu+g5Pu1Legpg0svlphV/rSo30x+adf4VOzKY5fP4n21RTW8/6T5KBnGO04DbHNuuPkuT1ooq+4wj9DIEDdmrWQk/oWzzw+IjnGD8/9PsCocT8Yfce1pVhU1dCsSjXER7nB42MsYoM88SoqFjWbdIeWotpXa2mjjbYuggNd4BefihDPF3iTkQerZnZQVtQdUX0jdFBVwRu3pwjNyIT3vdt4z9NCa5u65eyaxIeymhpUBFIc3r8bIurz7dCyCeetGQIuLcIvs3fDcsI27NswDTrKcm9qihe2/n0XkmZjMKOrMRsJRN7ZgL5j5sMvKR0RSYnIobL+9HRpSqqq1OsTUD8dInA2fWgxaRo2hms7Kp9DLRcbNoAKjwchXwA16nVkJvthNfWda1uzLizY/SsKJU1DLN55GZcvnsfZM2ewfHRzKtYY81evRq2ObdAUiTh99C7SkYY7TmeQaNwZXRsr/rfgR3FceB5XLl9gXvupFUOpGE2MWLodMybPxJlzl3HhnDPOHPkbtnWNYGLZDftm9pE9kCgUnx7ACVKSSyQIRVMx0EW3VlVgwOaT+cpKGDurP7zW20KXL0WOSIKqdRvi7TEHdDH/Mveob2JIPdYA9DBzEkkWsiRq6DG+Mazyy9oa+hjlaAK1pExkamqgQ3NTNKSeiE6TXnKp5cvfeh6q1qqKTlaGEFBFGWYfqkRj2aM53m5qAiPqh7WeVXV0q6eJ3DzZdnoRiWVNXuk4+m6zqoYm2rUyhbmmEpp3NEb3zqaw1lZCjVpG6Gyjy/RJ1jKphvs7uqK1iTKThkWLBgje1hxG33HDUrtGM/Tu4wAHB2rp1hG6GsrQqVIXXZuYsnv8WBJJJJZ0asBMP6NqPRZZBp2x+9AimCrot1ckuoJW9HROKmoYteEROjhMwrRh7SBQwKVdKhFjThchtAztcDsSCNzUj3ofOuNRlmL6XQff30EV8FTRec4hZMeHYBR1/jXpuAHfmvSyVElSsHtSF9l0Z/X6IlKpBXYeXglLBXao/fj0MG67JSIu0A19mhgw56G6riEu+bM7KMCbW0fwPCADoa9voF1tTeYYDM0bwyWC3eFH4ymh05Bx6NhQHTN71IGBRReEqjfAgoUToa2ougi+FobM+BU2VdMwxNoYxtZDkWtqh1nTRkBVUaVGgREmr54MS+UgdDTTg0XXGahq0xnjB9lDqKisntAUc7ZOhknqYzQ20EbTMdvRpFtfDO3QrMw1OM1OjsRgayH1W9sbHonA80X09Hj98Fqajeuz2jLnsbK6Nv68GIm+K07BsbGiapO+IjsKf2+6gpB04MX+WailL5vKz27EUqTnivHy+DZci+Rh5BhH6MnVtmSEeeDqmdsIyBPAoUc/mKR7o3NtLahXbYhHyUYYPmkpTPU4b9pQIkmZUWh99yAzBWAVl6cQ6jbGoTrVyu2ghl8jUFKDXUc2n0MtbRrQt4W00LxtW+ga9sLMpY74cPwX6Ar1MPVSIiYtnIlmFagfhIVd70+vvU8begBEZdRv1QnWTazRszf7vvToiqq6alQW2Bz2NhWtCqh08cK9zkur59wk3QAIgigT1jl5YvyyqzAyMmJjiikvC97vfAG1KmhQ17TYheBWrVrBxcWFDRVVHqJ8fRGaSo86xINBjfqobaJd7Muql5cX/Pz8MHjwYDamqNLx/uU7Wb9zZW00trKEhrD4mTn6B/TSpUsQCIpTYpIixNcV0V/MOqiFBs0bQLuYt/scHR2Z5y+OnNRoePuFfNHdQU2rBho2NCnWOMDOzs6wsrKCpeXnqZWKRoL4jwEIik1mWsBoVauL+mb6JbpLuGbNGkyaNAmGhvKjZvx/mYmh8AmIgvw483yBEHUa20KvmGNBjhkzBvv374eKSvFqMFJjguAXHMe0hMgnVFaDZaMm0CxmTrxDhw549OhRiZqL5yR8hGdgLLXGh5G5JSyqlmw2DltbW7i5ubGh4kmPDsC7EKo0CQGM6zZCTf2SdUEo2bVIJin8Pfwj6CuCEDUaNoGJVslqI+3t7XH37l02VAxSKaKDfRASS08EqQyLJk1hpFayAuaQIUNw5swZNvTZiBEj4OTkBGVmxMWSkYhz8cHHA4lfDBini8YtLSGM/wDPD7L58TUMqqNh7dJpVfU95xYkIoS890V0WhYbIaNhYIIGtasjOSQAH+IzYWbZAFW18r/8WTjzayssDLLFs6sHUE1dgvB3nohgZ6ZQq2qBJuYl/L1ltbY2x4sDPdiQYkmlYvilJSGF7QdvrlkFVRVc7u2zNBTXrt9gQ4qRFuUPn9Ac1LO2gh79FchNg4e3H3JFYiip6KIBlQ9QU0Dlp42NDdzd3dmQYkjTIuDqE0Nd26y+vLaJc+BPfT+yeHpoWN8MSj+4Tmvu3LlYPHk4tLUU0dyz9NjZDwAv8t05qXHGTbotABtNEATBne+uAPhO35Pp/l4lrwAoHSWrACg9JakAKC0lrwAoPSWtAChNJa0AKE3fUwFQWr6rkFZKuLwW5StxBUAp+pEVAFxQ9LmVHfwEzTpOxaQT1zGr7Y9pFcdlBUBZwEUFQFnBRQVAWVGeKwD44NHVI6TwTxAEQRAEQRAViZKxNW4+uI2pP6jwTxBE+cO7e+OQ9M3tfWyQIAiCW/dfRaJFt/HQ1OSmRnX79u2YMWMGG1KsyMhIxMXFoWnTpmyMYh04cAC//PIL+Mzk3Yp36NAh5vm58ObNGxgbG6NKlSpsjOLRd1pbt24NDQ3ZTMZcOHHiBHPHle5XzJW///4bU6ZM4bQFwJYtWzB79mw2xA0ur0X59uzZg8mTJ7MhbtCtIL7WAsDa2pqzFksltXXrVsyaNYsNVQw7Nq/G70O5az3FtQM3kvHrhAlsqHIpC9dKrly5cgX2bayhymGLuZLYuucweIFBgVJN9fLVdIEgCOJHiUgMR3V9bu6U5OblMoumKrkmEwRB0FRVVaGjo8OGPktJSUF29nfMH8uRbt264c6dO2yIIAhC8XgRMRFSkyoVZ55IgiCI7xEUFAQLC25Gj6Uzs7m5udDWLtnAZQRBEETZVhbGlyAIonLjS+i5vgiCIAiCIAiCIAiCqND4ghJOy0IQBEEQBEEQBEEQRPnBO3pol/TIng2VfiIAn6AkNKily+mgQwRBAGHR6ahm1hhKSiWbt/p7eXh4MANLcSEjIwOZmZmcTYHo7e2Nxo0bsyHFe/fuHRo1asSGFCs+Pp4ZfE9NrWRztpeG0NBQZiBCrs59Gj0NZb169Tj9LaQHZORqIMx89LRW9PRWXOLyWpSPnpq0SZMmbIgb9PXw5MmTbOiz0aNHMwOnlrd8m6urK1q0aMGGKgYPt5ewttRnQ5WPR0A6Z10HuRYQEAA7Ozs2VLnQXUZrmlSBsJwNROru9Q688LfnpdWzb1b6CoDB8+/g5JquEApJiwiC4NI6J0+MX3aVs0Iwl3Nv05ltugA2ePBgNkaxHBwcmHn4uRpV29HRkXl+Ljg7O8PKygqWltyNZL1mzRpMmjQJhoaGbIzijRkzBvv374cKh6Mad+jQAY8ePeK0YFcW+mlzeS3KZ29vz8xOwSV6VoqvzQLg5OQEZWVlNqZ8qIhjALS2NseLAz3YUOXTeqon/lq3ng1VLr/99ht8fX3ZUOUyd+5cLJ48HNpa5WvgZjv7AeDzVagf2Epe+CcIgiAIgiAIgiCIio4vziKDABIEQRAEQRAEQRBERcfn83mAlA0RBEEQBEEQBEEQBFEh8aXSPOrP99QAiHFr3x3U7HP8i8V+5WvEZtHp5mD97NOoueQN8v5PY4O8nFy8uPUKDfPTmfwK/mm5kLCHl52Wji1rb8Gc3d72dxe8S6SPv/SJqWO5c+k12o46Dztq6brGF1HZYnYrkBEZA8fpV5htLcecx6n3n4/zC+990GbOY8RkAX4u79Bi1F24Jn/e8fC2Kzjlm8GGvhT63ANH32ayIVZeHp4/8ETHkbLjav3zC3hniplPMPCpO0YfDEM2JLh89iUCkj4f77eEvgtEi0HXcTfu8wfk/M8V7HqZUqIzI/5jONov9kQ8GyYIhchJBx7uAMxqAhMPsZEE8aNRV8nUJODvX4Ga1Lm3352NVyApde1OSgDWDJMdw2kfdgNBEEVHfY/e3AFsqe8Q/T0ysweCUsv0TTKJKBF7xndhBmGzsW6B+bvvIVta2AFLkZESgi2DmqHfH/8g+8dknRUvIwc4+xigygQ4T3KdlYcUXte3o2NLW9jZNEXbcXsQm1NRTmrF4PP49GjD3zcIQFZ6FhJy+RjYqz4mDWyI8X1rIfyBO0YdiaIKo1KkJGYgLFnE7l04usC9a8sN9NwcgG69G2JSv9owCnqHVr/chW+qGFlxCfjl97OY8zwLY/s3YJ6nelogGv96C7eDv512sYlycHD9TeyJ0sHtwwPw+t9++MM8GsOXv0W8mLqwxsZg1IqHcPilK7VtIB6vbg6nf+7gXEAum4CcPBGikrJBP0xEvcZgQRqu34xEHnt9TkvNQoaosJqRHFy/mgSrWupsWCb8wXNMupGHcwfp4xqIfT9LMOVPDyoNKeq0s8Gx8TWgigScORuLQpMtRJ5IhAiNDFw+E4wc9jGZqZlIyy1iAgVI8sSITs6lf0oJQnH+coT0HxcgPRyIT2cjCeIHS4sGHDtB6kadc7FhVLiQ34EfLe490L49pL7ZQDR1DBml/JtIEJVCHPD7FKDnJGCkI/Vb8gIYO5H6PpXd3ExGbCQwbAdev36Nxze2w23DdJzwpwrFBYgCb2PIsJ/xESqISUwty3UaRZeVBcy9Cqkndb1LyaDejKLd9CIqALooBiNcfvgSr59dR4/kA1h99ClT1iKKhs9Tpf4thUEAVXU18duIZlg83hpLfrGBfX11BIWmoqjZkOTYaBy7F4+Rs3tjyxRrLJ7YEs7zG2BgvyaorcXHG5cAXA0RYtuyrlg+wYZ5nt3LOsMmOwqr9gQgvRQ/9KgPEdj0UoN6njrQUKLfHCG6DmyL3VNrQ08gwaXjr5FYvwVGN5MVzlVqmmJ1T0Os2OePJCbm67Tr1UPWx49wS/72hUoUFoNztS3R9IuBJcXwDUiDtp4WBEJZTOOOrXFtRTNoCHnwuf0MXdb5YN06d9yKiMfwGa/wXpSHB8cfoOmYi2gz/hIOvU5DYZXDgloNYJEXhifRX2ZexVRh3v3qC1hRj281+iyW3EpkWnKEuvmg6YrnGD3lAhwWvEZAfCbWLjmD5j9fxNgDweQ6TCje3PPgHVsH6JNRTQkF0qwKXHoC3pzh1A8hG6dohvWAZy7gTXSgf64IgiiRKsB1D2D1YmDeVMCAyoCJ6d+TslsBoFW9MSZ3k03dqqldF3UbAS7u0UxYntC8I06cvYaFwyrQ9IOq1AV3Y1/wJtSlMuJsHFE58Hiw7z0COmrUD55adbRpqga/wNDCW2ITheKLM763C4BMRnwKFm56jHErHuKXVY9xOVQFi0fXhBa7/f9JfB8Gn2QNtLPShoC+3lIfbq2uLXFgtClUpRK88o6DkrIOWtfV+lRfYVhTHw7VtBGTEMu0AiotMdGJSK1bBXWZA5FRVlNGwxpUwTtPBHf/LNSx1Ifqp8081DDRQc7HOERls1FfIVBRwdSOOlh7NhpZbNx/SeHmHo8+dgb4clJCAboNbw27FD8MWfSAeq+f40Z4HrTUhfTbBTFV2E8TK2H6Ahv0qG6Ik9ubI+eJFxb7GeL2gf64s6YVrjm5wyv/Nr8cHp+PEV2rY4tzFOQ7JIR5+WHqXeDK3v5w2dcTGbee40xgNiRiMVLd0vD7X464uqYpHh+4j7DGXfHUqT9WddWgtrMJEISiaOhQX1Tqx4DM5EkoEo864bS16ep0+qeAG3zqvNehj4Fa5+oYCKLco748kc+AX8YB46ZTGSCqgDlvAUDlscqD3NxsJMbnoGmDqmzMZzyhKnQ01Zm8YoVBvxgNZfKbX8llBD3B9luRGNCjA8hM7kXH5/EEVHnz+68IEqrwGRSaAt+PyfALzUBeVioevUlHZhELgtI8Cb61a56EKrRSxyqQ/3CpL78StUikkkLvapeUgHoSvjKfKm4XgnqiXGpRLnCWCZjKAgnow/w2Hmq2tkSfWA9c8vlKFQCVSECWEnpY0N0zCtDTx9Y1DriyuiOmtNfE5j+vw3HlG8Tm9ykowNsrFg0baSHYPxZvY8SoIUjARa/C3+kqjcwwKssLh16mf6oSiguIQ+MOtWCmRgXUtNCnuSYe+8lqW9Tqm6CuDh+56Vm46C1Fty56TCVsg0amMNAgt6EIjnAzhT1R2dE/AVxnrkkFAEF8n8xEgJ7TPCSKyotFAsduA+LycEcjG2/Ob8E74+H4uSG5HU5UfHHvbmJAr07o/fNsqLRfjs71tNktRFHwSyuzoGVsgNM7+sLFqT9eHO6Hjf1Nce3wY3hQ19Ki0KxtAFNk4s1HuVvoQYGYfyQMOVSB3MbSAKLcJHiHfS40p8Wm4nZcGgy0DaFeik0vDQx1oOYXj2A2TMvLzMLqzfdwKkSApjVV4BeQLNe9QYrI6DTwqxmg2pdd9gvHU8ZPw63x9FUwRIW0VxGJspBEvQ011AqUZETZ+HvzI1yP4ENVWYDmXZrg9j89YB4XgeuRhQ9+IaHSz8kSISk1B8kZYvQc2hwj6n2lcM5TQv8xrRDk4Y9MueR4clXGaWnZyM0/5Px4KiyV8gpUzrB/CYIgCIIgyoOmwwEXF+D5E2BsLeDqLuBtAruxrJLA7/ZeTF7uivXrZkNdmdwGJSo+o0Y9ceHGQzx6/AjTjB9jwO87kfP/RpsnPuHz6etEKdw+F2Xl4MnrcNx8HoYbT8NwwT0WPG0jGOX3YU9Oxa0XYcx2enkRmo3s1HTcc42AX1wujExrYVAXLRxYdw377lD7PPRHz5kv8PfR13gQK4Jti1poqpOLcase4+KTUCaNWYsu40m2JiaPs4R2KRY4TSyMMdo8HlvPRyGXqfiVwNstEPejNNDeXAlDRzYB/90b3AuS9ZfPS0jCzjtRmDq+AQyZmP/PwLwKmkVF45/3/z1Z0wI+IsvQ+L+tzpQEqJaTib+c/RGXLXucKDkd0VCBpX7hF/x6lnoICs9Dy+Y10LWpNk6e8UNg1te/IOpV9dFekIUdb2TVGwa19OH9PBTR9E3/3Ew888tFqwItE5Q1VdHLUoL7T5NAH1ZEWAJSmK4lBMEBcuoRXKB/RrnOe9DP//0/5wRROeXEA64fZev0QEv88tGcLDngKeau2IrxJ6+iT319cv+FqGTU0fSnn6AR/QFxYq5/hMsPvuwu7vdfLtKjEzFh0S30+v0G+sy+jXNp+ji71g616abjtPeBcJhxg9lOLzOvxSM2MBRD59/GftcUCNTVsGJRT/wzxBB/LKT2+eMhbglMce2QPewNlaFZszou7eiDGdXS8dOsm0watzPMcX1PX4yzKuXmTirqWLiiG+qH+aDtmPNoPvoCJl7MwY6FNjAR8sAzM8ep+dY4ueE2s63dtJdoObIjpjRTZh4ecP8Vpp6N+PZgFAIljPytHiziCr73ebh/PR7WLfQL6dakRL32TphmHI9eP19gnrvLHDf0n9ISLTTkf6j00KJ+LoZMd4VmV2vMrxKK1mMvoMXUe6jRzQrdq33jR436weszrC7qp8ie3cy6AdY3z0LHcdTzjb2M7DYtMaZ+/ofKEipj3O+doPboBlqOuYDfD0RCrEzaYRMKtqAt0Lw3EE79ADzcRK0PoNb/37CcBPGdkiOAIc2pZQ6YAVS2jaPOvT9k2xQl3AvoQx3DhDV0S2Bg1Qigy2rZNoIgiib5NdCzM/X9pb5LLVoDToFAx8FAAwN2hzIozhtDRo2Hyc/HMKm1Dhsp43tjIzrO+ZcNVUDpmcDCC8DcF9Q6FT71CBhNrRMVnlTigbVTVyCF6ZGcijOLl8C4fVdUUyJlj6LiRficl5pk3mSDldfg+Xdwck1XCMkIEgTBqXVOnhi/7CqMjIzYmCLaPhZ4KT/vSFVg6wrqT/H6hbVq1QoudBNQDnh5ecHPzw+DB1OZTg44ODjg0qVLEAi4+RF1dHRknp8Lzs7OsLKygqWlJRtTRGmxwMqZQAQbZtgCJ+aw60W3Zs0aTJo0CYaGRW1Lxorxpwr9ywH5LncanYD9E9lA0Y0ZMwb79++Higp3/Yg7dOiAR48eQb77maLZ2trCzc2NDXGDy2tRPnt7e9y9e5cNcWPIkCE4c+YMG/psxIgRcHJygrKy7OZLqfC7DqxgC81mfYG/hsvWS1FpnluRb65h+ebjSJdr+VbV/CcsX/sTnv7ZE9uUZuDOkl4QeZ/B2LUX2T1oGugzZT5GtKtTKi0GWlub48WBHmxIQTKzgQPPqesfG2YYUBfSpuy64rSe6om/1q1nQ5XLb7/9Bl963AyFkuLxv6ux57rseQ2bj8P6Wd1Q4PbkDzd37lwsnjwc2lpfTNlW5tnZDwBfKqYzzKTNIEEQ5dyMI1Sh64TcsrXYhX+CKDatKsBG+fOOXopf+P8uVesBuwocQwkK/wRR6Vn2/vwd+gGF/9Jm0rQP9h09QR3u52UrVfjXzvPExZsirBzVjtlPqfGQL/Y5cWI/RpZS4Z8z9OBfv3ehCvzyi+IL/wQXeOgwaumn83kHB4X/8o4vldAdzcv1JYAgCIIgCIIgCEp6QDRsl2xHc/OiTsZNEERlwov0uSg1Tr9OjwZQqdFdANZNb8lO50cQBFf2OPtgyO+HoK+vz8Yo1oABA3DhwgU2pFjv379HUFAQevfuzcYo1vjx45nm37LRYRVvwoQJzPNz4caNG0zzfwsLCzZG8Xbt2oWRI0dCT0+PjVG82bNnY/369VBSKmQaWgX5WpNvRaK7w1y9epUNcYPLa1E++nw8fvw4G+LGvHnzvtoFYMWKFZyeqyXRt29fXLlyhQ1VDAP7tMP59R3YUOUzcKkv5s2fz4YqlyVLlnDeTYgrf/31F6aO7ActjaJMAVd29B01CbwI7wtSk8wbpAJg/h20tzaGgE8qAAiCS7dfhqNNr9+gqclNn6pNmzbhjz8UPIgbKyIiAjExMbCxsWFjFGvPnj2YOHEiZxUAe/fuZfrAc8HDwwMmJiaoWrUqG6N4N2/eRLt27Tg792lHjx5lClZC4Vemi1WArVu3YubMmZyOAUBXgsznOEPP5bUo386dOzF9+nQ2xA16PIivVQDQ4yRwNWZJSZWFc6u0bVq3DH+MaMCGKp9NZ8Lh6NifDVUup06dwtKlS9lQ5UJX0PZsbwdVDsfMKYkNO/eDF+51Rlo95w6oX1o2unIigwASRNlQ4kEASwkZBJAMAsiVEg8CWIrIIIAyZBBAmUo3CKAClIVzq7RxMghgGUIGAVT0IIBlQ7keBBA8MgYAQRAEQRAEQRAEQVR0fL4q9S8p/xMEQRAEQRAEQRBEhcYXZ0rYVYIgCIIgCIIgCIIgKio+jx7sScqGiE8yomKxafcTDJpzGz/Nu4XOs5/jcWjmp7fq/QtvdPyd3nYHP00+h3nXYpEjLuSN9H4Di19uIzKTWs/JxsU7bhgy+RbzuG5jbmDrizhkimW7FuR97TGcvLPYECs1BbsOP8OgWbLnth91G+cC0iGhnjrUzQfznaOQQ/3395b78En4SsIF5ebizrM3GPrrTSbNHr/cxNoHUUjNY7f/H2lxieg04yGCC3v9BFEZiKnv6YPbwBBrQKgE/OvNbiAIgiDKjXAvYMMvdPtYYPBuNrJsSwl6jg3THFHFtDYehbKRXxHxajMseDw0WnSTjSnPJAiM90H96wfAu7oPBveccSwhg91GVAZScTYOzewFZd3q2P8kjI0t3ySiLLg8vYL+LRqh7/bnP6yIzieF//+SZqVj0dJHSKzbCKc2dse5Dd2xZ5Qm5iz3RHieFJIAfwzfH4yNi7pS27rh7KYe4Lm4YP3LbDaFL+W/xVH+oZh/WYxN2+k0u+Hq7mZ4uvkFXkbksHvIkWbg4lVltKuvxkbIvLn1AqdjjXBkkyyN46trYtu2N0jLlaCGdX2s6l8NfFEynr1Ip8r1Eua5pWIJsnPFzFJYGT0hLBpTj6Rh1c4eTJpXdtnB928X3AjMglQqRU7e51YieXliprKBJqbW6TRzqPeE2o0gKq8wKtM4aQGk7fsC5Ws8KoIgCCLfyuGQqtkC1elAOcjYxHlj2JiJyDVrCzW1b//4SCXh2DfzEOq1aQ3u5vgoPek5Cfj9jQskhnZ43akfHHjJmPDaBd4kP1ppZCQ+xK0AEbqo0v3ZK4bg27sx/UQQBjq0YGN+DD5fQH1TSOntC8Hvw3ExvhrGd9OHbFIAHupYNcL17XYwFYpx4oQvDFo2g0012UjZfE1NjO5cHceP+CKWiSkcXZjOTU2HX1Q287OiommMc8790Lnmf0dbTvWPgmfXOqjzxVVaAolYGfHRKYjJkt3dr2peH0/+bgsdFT68bzxB2zW+OO38AW4JqdiwLwDBaRnYuv4ORqx7gd9X3cayi1GQK88zpFIJpBmZ8ArJpJ6BKr+oG+KY8wAMra+G2OAQ2P7p8aniYNmyS3gQm4u0mATMm3cVE7e+wMxdb/CRVLoSlZl5S8DfHTwrE7palSAIgiiP9r0Db3p/4Mt7L2WXUWPceOqNJQOt/s801hK4ndwNl/bLMaq9aYUY+islORjPsviYVKcxbDWrYVItC0hFH3AjoYjNV4nyLTcJe6bOgu20+TBRrwhVWjIWfebg1e4ZqFP1x84swAePzq2SUQDlpaSkI6e+AWqxYZpASQAjLWXwckXwisxFwzq6X9SgmlTThiQ+EdHfKAibNK6D6yPUMWXuNdiOOI+JTkGITsot5K68FK4eqejVWIsN5+PD+qf2WNYgBf0mXkKTwRex4UUSEjPyPtdTC5UwYHhdNDfUwZJplgi95YFbeg1wakk77JrXHlF33uFh+pddAwwtauLxFAPMW3wDdiPPYcQ2X4Ql5CDva/VCEgmun/eAqGtnHJ7fDjsmN4SpOjmHCIIgCIKoACrY8FjijEQcueaGpTO6QJ2NK+9CU+OQChUYKMnyn/pa+tCj/iaKcpkwUbGFvLyIMxiDsd1qkfsuJcCX0u8aeee+oKKqDGG2CHS3/f8Q8KAt4FOFbhEbIZOdIwIPSlBRYiMKwxegQY9WCDg7CE/2dEJzXiImTruJS0FfPhPdZD8YAtjXKCQxJSXDz0wsAAB5Z0lEQVQMn2gP7xMDcX1tc+Dte4yc+xw+2YX/WgV+SERmWCiW/e2KZYffIjQxFk98CuzL58O4rS2Czg2Cy0F79NDLxO+/38CxN2mFNoCTSiTw+pADGytV6igBTS116sLL3ZzRBFFmkHowgiCI8q9C5Ytz4bpjAmIaTkXLH3xXUZHEBVov83k8UpypJKTSROzbew4rVv+GqhXn5r9C8SW5dE3Z1271Vk5GVXShFxCDd1mf35ec1FQM/+0c9gUI0KqpBj76xCEjvxxNXYQ+hCRDq3E1GH+tCxa1z60TjzH1egoT1NDWx4SxtpjdTQMP3qd/8QmIslKQlqWCKmoFLmW5mVg45Ty2e8maN5nWrY65P9uiqWYWXsYUPuCfNlU4t+3cAAvHNaMWG+xe0wtTmn35bXl53QVjT8cx68qqOhhLHdeKAbp48Da5QOsECfLYllUqShIkpMreAPoaLMkfGIAgKjO6AoBUAhAEQZRvsh6eFUJe5BtMPRSB7u0tEOj3HuEJqciOD8OHyIRynfs3VdeBkMqX5rIVAWmZ6UijPrhaauWl/wZRUhn3NuNaTHUYZEfC1zcQyVRZNiokAJEppPVHUfEhpQuDJMcqz9DMGCu6i7Bg+1uk5tIXFhEuHX2JjFr1MbSeEuyHtUKL5HfY9iyN2T/LPxAzb6Zg43gLaDMxheDxYN3EGFdPv8Bxj1RZ67KYaGx2SUfnulpffAIxngFAbROoFqzKVFbB6C5VsPmfF3iTKGuBkOofhCfZauhYpfBfK6tmVfHgrC+i+coQ5iVi2kZPxOd8ecmvV98YL665YufjJDDVCAnxWP0gCe0b6kGVek6V0FR8pC+woR9x3o96KQIBenWoisvHfBCSDUS++wD38EIGMiSIyob+an359SIIgiDKmwp0HRepVsWSNb9DNcwTbm7uCIpOQlZ0ALw/xjA3cMorDR1DmCMDFyJikYNcPIgMQbqKGdpokTJNRZdZtQ3+GNse/l7u1Dn9DvG5OQjxe4vgBFIWKSq+gB7lrvDW45WXQAkDpvfCsoa5GDT9GjpPvoVz/Dr494+G0KEL5Tq62Pxnd/DuvaS2XUX/XTHYt64HOteUNdn/8Ngdf1yMko2Wr64B2zq6UKYeV6VRHXhtbYL7/zxCV+pxnZf54Lc/+2BAXfnayjy88xeis7V2IdUyAjT8qS1ujjfEkoW3mOcefjAR/6xuj9pqfKjr6aCJqRq1lyGGOWhiyiJ3CFo3hvMwFUyadRUOf3ph3LQWaMS8iM/0LMzwdn8L+B17Cnv6uBZ5YsjcPhhvowmD6lWwuY8yJkyh3odrwKphNaFLvRi7ns2xuFEcxs64ij8uidGzrRFIJwCi0gp4DJhT34Bu04GMPGCcDVBjGruRIAiCKBeGagEqFoA/lYE7P5NabwyEJLAby6DcdLi9eonn7j7IycqCt9tzuL8JA32L6JXTFFQfuRtq+jUxcMgojBpFLyPQoZEZ9Bp3gWPbhvjmuIFlnJ6aOUZRedS7Qdehff0olidJ8LtlMzSqQK03iMJVserDns/04og6mlpo1X0g2lgUHDut/MmKD8HzVx7wDktGUnggXrzyRnRm6bds4EW+uyA1zrhRwfo7Fd/g+Xdwck1XCGXD/hMEwZF1Tp4Yv+wqjIyM2BjFatWqFVxcXNhQEWUmAa9fA/KVz8qmQMcGbKBovLy84Ofnh8GDB7MxiuXg4IBLly5BIOAmB+Xo6Mg8PxecnZ1hZWUFS0tLNkbx1qxZg0mTJsHQ0JCNUbwxY8Zg//79UFHhrkq3Q4cOePToEXg87kontra2cHNzY0PcKNG1qJTZ29vj7t27bIgbQ4YMwZkzZ9jQZyNGjICTkxOUlUtx7tU394BY+bti6kC7FoDatwZ4Kp5SPbdyUvDUxR1ZuZ9HvlfXro3mLS1waW5nXKm7BkcntmG30CSIDfBGEK86WtUxYOO+X2trc7w40IMNKVBeJu4nJzHjAagracJORxcqHFw2Wk/1xF/r1rOhyuW3336Dr68vG+JCJnyeekKnsQ2q6yp2OsC5c+di8eTh0NYqvbE1MqID8MJPfk45FVjaWqGGZun9JtvZDwBfIhEBPNJmlSAIosTU9ahSSzegm9xSzMI/QRAEwbGmXb+8jndrW6qF/1KnooN2HTtTh9rt09KWKvxLY6/hjKsp/vzJjt0xHx9V6jYp1cI/p4Tq6GJYHd2MTNFWl5vCP8E1dTRs10bhhf8fRaNaXdh3bCu32JVq4T8fGQOAIAiCIAiCICoIvoo11h7fiVoGpdg6giCICoMX6X9Oapx6k16VxVRSdBcAh/ZmEJTnDlEEUQFceRKKjv1nQ1v7q0Nq/lDLly9nFi6EhoYiKioKLVu2ZGMUa/PmzZg1axb4fG66Qm3dupV5fi64urqiRo0aMDY2ZmMUj+7+0KVLF2hpcdePcc+ePRg/fjyUlLi767l69WosXryY0y4AS5cuxapVq9gQN7i8FuX766+/sHDhQjbEjcuXL3+1C0D37t0hFJavecDKwrlV2lYsnoU/f7ViQ5XPiiOhGDJ0KBuqXA4fPowNGzawocrl5MmTcOzaGqqq5WsUtGXrtoMX9sZZaiq6zUZVXnQFwF/TWkIoIBUABMGlf875YMj0gzAw4KaJ4oABA3DhwgU2pFh0P7qgoCD06dOHjVEsuuC3b98+zsYAmDBhAtP/nAvXr19n+v/Xrl2bjVG8Xbt2YeTIkdDT02NjFG/27NlYt25d6farLia6z/fp06c5rQCgx8O4evUqG+IGl9eifPT5ePz4cTbEjXnz5n21AmDFihWcVlaVRN++fXHlyhU2VDEM7NMO59d1YEOVz8BlPpg3fwEbqlyWLFnC+TghXKErSKeO6AtNDXU2pnzoN3oyeBHeF6QmWTcqfS8AMgggQZQN5XIQwFJCBgEkgwCSQQDJIID5yCCAMgodBFABysK5Vdo4GwSwjCCDAHI5CCB3fsQggIrADAIoZeaqIwiCIAiCIAiCIAiiIuPzeGLqD6kEIAiCIAiCIAiCIIiKjM8TCKnyP+n3XpBUKoKfbzzcmCUZKeLvrCShHh4WkYz0vLJb2RKfmAGR/PS3BEEQBEEQlQWV9wuLfwe3KDdmSRCx8WWYRJyC927U8VKLX2gclX9lNxSQFhcKD3a/iFT65l8FIBbhvZ8sr+4VlIKcCvKyiKIQIfztG+Z89vTyRnouG00UCR/02Cmk2/uX0tLw+5p72PcsCRGxGXj1wAtj13kiLJvdXiJSpKRkI/drV2aOScSJWL7uFRKzSQ0AQRAEQRCVT3DIfvQ+2Bp2++yopTl+uv4XkkRluFSZFY41E0Zhy3lXhAS8xcLfBuOkVw678bO8yDv4edwf8PYPhu/dAxg8bjr8E9mN5ZUkD5f+dUG70RdgN/o8Wo67hCnno9mNRMUmhdv5DRi47DQiIiJwe8evmLPnNvJIEabI+OJMusqk7N6V5kJkeByuRxpg3vi66NfRDJN/s0Hb7FT4RslqAHKSUnDPNQJ3qSUoRXa2ZaWk41lQCtw86PhI+MTkfHpXk2OT4RObByVlAQTsaIuJEXHM4596JyFL7oQNC4ph4p+8T/50Nz49NpGJu+sajZC0PFlkAUkR8f8nvSQ2PQmCA2IREpYgew1vk5EjzsO7t1F4+zENz98kIyE5lXktr6jXkp9esL/s9d51j0ViLp2QhPqxiUEoW4ucFpeIV8FZyExMhsv7FIioF58Sl4I3UaRKjiAIgiCIMk4ciJWXZiHaaBZilqbjdsuOeOS5GycSEtgdyp6PL6/hiIcllq7+DQOHjcIs+5rYuNYJqex2mVxcXDkL/KajMHT4Txg1bx0cMm/j3DPvcp37T46KxOqjvmg8sgfSXo7BIiseDm94iYcZ7A5EhSWVJGHv5rNYtmMu+vXrh0krtsD32B68zy28jET8Fx+g508lXQDk6euqQzkmGNtuxIMp3vI0MXdVR3SvpYrclDRMW/YMr7OE0MiKwbSVLojLlCDa9wMzk8DzWCAjPhwjt72HmC2IXzr2EteisrD7wHO8owrwqYHBGL7cE7HUe//qkiucvFKZi3DsSw/8+ncApEI+nl5+jUV3kqmSdQLmLn+KsBwhMmOjMeKvt4iXJftJ6ocQDFvu/t/0XD3Z9AR4dtkNC+n0qB+Cwxtv4o+L0VBTleLy9sdY8CAFKioCCHk8qFF/I70CMGjBPbhRv3nqVNj/ngtmnIuDkqoQiR9DMfRoGJVOHs7se4Rz7zPpQ8CHZx74/XQkRAIRtv/9DIEJIuzc9xT+GaQ9FkEQBEEQZVzcC5zPUIGjdW8Y8TXQxWY8TBGOawHB7A5lT9BbV1Tv2wM1mGy8ELUb1kNmoCsSs5jNMlkRuP44HdYd7cDMl8DTQZNmxgj4GInyPA546vswvElRx7A+JtAUqKJnD3OoS2Pw0Ou7musS5YA05h58ss1hoy0bfV9NvQaq8iPxLpaUOYqKL6CnvZO7Y0wAqsbV8HaDDQIfe2LQ7CvoOusZzj+NQWoe4Pv8LSIs62Nuh6po3dEGg43T8W+Q7EqrrW6Gn3pUR5/2DdEgOhI3kqkra04ibn8Qoa+pGrMPpGLcvBEAdGiKES2qYuSYhkgMSgcyUjF1SyB6j22BbjbG+H1oXTw64I53MWl4GasBA2NN9HVohmdrrfHFBFFUereu+1PpNZNLL02W3uYANr1qmD60Hp5Q6XlThypRVkG3tjXRpokpRnbmw9s3HTXq6cBAXRXW9bWgSiWrp2WG/vbVYVNLFV4fpZg4sgkslETIEQH+54LxtQk/lHWMMK2LAVYdeAx/5TpwsGBfN0EQBEEQRBkVk/wBmWI+VHiyaVD5RmaoQ/3Nzvtvk/qyIjrsI7T09dgQoKmli6zst0iWbwKQkgzXnBzoyk1VpqungeCwmK+OF1AehIYlQwQBVJVkNzF1TLShTf3NIe3AKzxpoC+C1VQhFMj6sAsEQqiqRsLvA/nsi4pPbv7/l1gshtjcAmfX2ePcxp44NLMeXhx5hK0P4xEcFI9XN18x/Y1sRp3H+sex8A+T1TgJjNWgQf0VaqphsLUU+27Hw/3KKyTUqY8auuy82tTVNjlTBLtaOkywSo0aWDzQBDnpOQjIzMbOtVeZdNsvdEVcbjzi1EzhNN8UG5dQ8SOcMels1JcD9dHpZYlg+0V61Zn0ArPk03uJWCq9eLoRgJAPXbVvz/MtqKYGdWZFCY1NRFi44AK6zPaBkpk2lAXfPmlatK2Ft8/C0aJHbaiR8SUIgiAIgijjeLwCeRsqf0WXj/8TX5bw+MjN/TxSYV4e3QSaOl75Q6bW6ayYiNkmIxKJyvbrKoJCPq6y/3kRpYM676VUWU3K1mDRf8USCfjkoy8yvlRCFV555bgK8Ad4dfMleu2PYNb5VAHYzMwIw+yNEJ6QAxNTfXQc2Bpu/w6EO7VcXtUB42wK3OXmCdDV3gxJVz2w6lwWenevCbX8k5K6MKkrCxAUJ2s6n5mSimPPY6GirgwTVQ0sWt2PSdd9Xy+smNQKjaoI0aS5JZ6cGoqHm9viw9Fb2O/HPFSGSU+Ij7FFTM+A2a3oMtKx9GwcRs93QMCN7uisJ8R/24xJkZEhkV15Kc+efURt2yq4deQNUujBAAiCIAiCIMqwKvr1YQgR0nJkYxdJY73hAzVYVzVjwmVR9Vp1kJzweTS/tNQEqKvZQV+XjaDp6qOtqioSU9PZCCApIRV1zE3KdYHJrJYB1JGLlExZPjMpNAnJUEXD/Ba3RIXFa2AFi6xs5LF9rcViEbIza6CRJbnrWFR8qZR6s0ht2RdsW9SD1O0VJh4ORmhsBiK8PmDK3QwMbG6EOnZ1kf7QE8ffU/GxYZi37T20hf99/7Tr14ejcSRu8KtiYEOm15UMT4DuXc3x4aonnoRk4OnVN3iVQF28NLWxsJ8aThzyxPuodJw774l9HyTQjQlHn1nP8CI0AwkpEkh0q8LCiE2LRqXXrQuV3jVZes/k0lvQVw3HD8rSO3/+DfYFiqFLz/pQKAGUBBLEJOTiiyE0lIWwMxTigWccMyPCqYtvEZsphkSihDqmSvB9F4fQsCQcfZUCeqbE3MwonL6Tjq1zumGAaSbOh8t3RCMIgiAIgiiDDBuio7IUZ14fxZvUQBx6ugdJ6lboV12+NF22VLdoiHgPF0TmSiCVZODhNTcYO/4EUyrbKcpMRmQCVehXMUBbG12893rHDNCcl+WFS9ey0MG2frmuAFCvUwV1lXJx8IQ/AmITcex8EFC/LjrXZHcgKiyeXjNYaMbDO1FWqRUXdgvBeq3QlSqvEEXD5wnp2hNZ7Rkho2RkiHt7u6GrUiqcb3/AaS8R9m/sjV4WytCrXhXOa5oj1o2Kv52ECYvbo76BEPpmJpjbpxrTf57BF2D4uE7YO7MBTOk6Fuoq279PY5irC1CliSWcZ9bEqycfEKJbC6t7VWWaLLUf3QsbHLRw/V4QQgxq4PZkMyiZmmLXz1Xx4vEHXHydjCUrO6HnF4MAgEqv3qf0gqn0Vsmlt7GfLL1gA1Pc/s0cSjwhejo2RdMqskqJmjYNMamdHpT5RpgxzgyPX8ZD1cIUf1BpMK9FWQ3LF7VFN2Ei9Xo/oGan1tg2uxZ0RDz0mdQD9jrpcHaJxaTxrTDL3hCpIVnoOqE5amoJ4TikPqQJZBYAgiAIgiDKOJ4VljuuRc2sU7DeWhcT3yViTtcVaK6pxe5Q9tRtMxhzrDwx9ufpmDltPu5JmmDntA5Mk3/Xw9PQ+o/T1Jomhq3eDhWPXZgxYzYmDluJKrOWo5e1CZNGeaVrVBN/zagPv9vPUK+3M84kG2DvvCaoTm4CV3g8fk3MmzcQ86fNwpw5c/DHzMuYvWYKNIXf7t5MfMYLe3NOaiq6xQYrL3oE/5NrukJID4pIEARn1jl5YvyyqzAykm/qojitWrWCi4sLG1IsLy8v+Pn5YfDgwWyMYjk4OODSpUsQCLj5EXV0dGSenwvOzs6wsrKCpaUlG6N4a9aswaRJk2BoWKCWV4HGjBmD/fv3Q0VFhY1RvA4dOuDRo0dMRTZXbG1t4ebmxoa4weW1KJ+9vT3u3r3LhrgxZMgQnDlzhg19NmLECDg5OUFZWa6V5feSSpApyoSY6VvMh5qyBgpp5PldSvvckublID1LdrNFSVUdqkr09TsLe8d3R3i/PVjl2IjZlpudiRwRPWaVAGqa6qX6ulpbm+PFgR5sSIEkEqRlU6+J+rj4Aj7UVfMn21as1lM98de69Wyocvntt9/g6/u1ocF/IKkY6RmZzNgPPL4y1DVUmIovRZo7dy4WTx4ObbkBNssDO/sBZBYAgiAIgiAIgqAHF1NX1oSWiha1lH7h/0fgCVWgpUUdL7XICv9AsvthXEjvhd+712fCNGVVdXa/0i38c4rPh5a6ErQ0lKDBUeGf4AhPAE1N2XmvyUHhv7zjS+gB3cg3hiAIgiAIgiDKPZ1mk3D1xAIY/Z8ZnwiCqJx44W/PSKtn36HWKnctAN0FID45p7K/DQTBudDodBibN4GS0ldHrPyh6KaZdBNNLmRkZCAzM5Oz7g90F4QmTZqwIcV7+/Yt0wyfC3FxcdDQ0IC6OjMBKidCQkJgYmLC2blPo5ty1q9fn9Pm9x4eHrC2tmZD3Hj9+jXs7OzYEDe4vBbl8/T0RLNmzdgQN+guMV/rAhAVFcXpuVoSZeHcKm1ur17Atr4+G6p83PzTUbt2bTZUudDdFlu2bMmGKpcPHz7ArHpVCDnqNllSrz3fghf57oLUOOMG3dWpUmOnkiQIgmPrj3jil6VXOCsEt27dGi9evGBDisX1GAB9+/bFxYsXORsDoH///szzc4GMASBDxgCQIWMAyJSFMQCGDh361QqAw4cPl+4YAApAF/7pSoCKRK+uHlJGpbAhYHk9Wyyjlsqiz7JQXLt2nQ1VLmXhWsmVefPmYdGkYeVuDIDm3QZSxX4V6geWdJxg7vyThSxk4X6RfR95nC1cPz+XC9evnevnJwtZyFL2lm8pbP+yvpTX4/7WwnQlpv9Qy54m7fGnpS2zXmmWCviZFnWpiOdzUZfy+tppfHEGPXIouf1NEARBEARBEETJrLC0wySzBmyIIIiyis/j0U09ZbUBBEEQBEEQBEEQRUWPv7/bqh2W1LVhYwiCKMt4Ed4XpCZZN0gdAEEoQHp8EvZdDUJKDhuRr3pVLOtjCkFmMnYd/4A4plGOEPb9GqK9sWxAsNjAUOx9EIe8AtN2KtU1w5IuhsiMjcE/F8LB06uGCUOqQ4vZKsKVM15w06uB5d2qMDGFSY1LxKGrH5Ekm0qYoaSihGEDm6COthSBbkE47pONUQ6WqK0nZPf4iswU7D4eiBj6OFXVMHpgPdTR+vyY5PAo7LsWiQwmpIrhoxqhvgYTYKxz8sT4ZVdLNgZA5Ess33cD0vq9sGJYyQal+Z5+t+8fHMPJx0Gw7f8b+jX9+vv9Nd8zBkCQywWcuOFJfeLUaxg2F70aFL9PmoODAzMPf7HHAMiJw4ldB+GXmgVVbQOMnPA7amqz24rB0dGRef7iygh/jn/230IatW7RbhBG21uBX8zftO8dAyDS1Rl7r72FRc8JGNvalI0tnu8dAyDg0b/490EgmvSbjJ9sqrGxxfM9YwCIEz2wc/tFJFHrptb2+LlfeyiVoIvh94wBkB76FHsO3mHOhdodhmJ0l4ZUOrJtxfE9/VrjfG/j4KlnyKLWG/SaiGGtqss2FNP3XItCXl/Gv1fcQF/S7QbPRt/GOrINxVTiMQCkYnjfP4vzj31BzzzfccwidKldsnElhgwZ8tUxAJycnH7IGABuV/7G5ddxqN6gA8YO6QKVUuwqW9p9pv1vbcPx5/S3TohGXQZiUIdG/7n+JXg4Y8fFt2wIUNMxwqgJ02Aqyyh8t9bW5nhxoAcbUjCfIOAJ9fpbUdfuptz0xe6zNBTXrlNlKQXKS43GYafDCE/IZmO+77teUjY2NnB3d2dDiiFN9sKOreeQyIZldDBwxu9oqv9/8qilaO7cuVg8eXi5GwPAzn4AdY2gL2qkBwBBKER2ajou3gvEyWvvsfagO7adfY8Tt6jwqwSEvw9B69EXsPisH05ScceveqPPmDOYfyse9GydKZGxOE3ve8UHq/Z7YPdlf2a/016pVMpSuF93w6LDHlh15AW8mNI3TYRrzu5YcSeODRcuJT4RO53csOuiLM2TtwKw46ArRm3xRFqeBB88PmD18Xf4kJzHPqJwsUER6DT2PFZepNMIxKHjr9B8wEkc8c2DVCrF65suaPDzTWxjj/3YBTc0H3MJtz/QWeXv435iJpp0Goltf63AyjMv2VjFEKeHYFonO/QevxBrV63G1bex7BZFkCLN6yD6df8Ze4/9C6d9OzHc3gYnXGMVc2mX5sJ53VRM/nML/j35L7Ys+wM9x69GSsGaqh8kJ+oFBrcfiHX7nPDv0YOYNqA1ph5+xxQ6FEGak4T1Y+zRceQcrFu9EsdehLNbFEeSEY5Z3Vqgx7gF1Pm3Ahc8Y9gtiiNKfIcxnfpj+e6DOP7vYcwZ2QNjdrji21eM0pUd8QQ/tRuI9fupc+HIAUxxbInfj8oKoIohRWbgJfRtPxTbDx/F0cN7Md6+IZad/6jAbJYU6e+Oom/X0fjn6L84cuBvjOzaFAeeRCnwGCSIddmJAf0n4+C/x3Hon20Y1K01bryjC6llX3bybSwaNhurV63CgTMPkaOYS1mJBNz9Gz/9vhMnT57E0X2bMbpXK6x9QFd/fSnR4xxWrtuMY8dPMPs6X7qGhEx2Y3klygVWXAcWuQAH3QAv2W2FykKUFo2DO9dh8x4n5jOll1ch5f1DLRppxkdcYV8zvezdtgYrV/4NnxTFXe3LOz6k9JWN1AAQhCIYWtTA42ND4b+3M4w0VTBoTEf4nqfCKxrg5J7HcFExxZm9A+FPxfme7I9pVhL8vd0Vbhli1O1gB29nat+NNhDw1bBgbR9mv7czLahSUBqcriWiS8daMMjIwlW3eCoLVnyTFjkyafqfH4KDPxng5esYhIqKmpIIJ3Y/hJ+OOW4dHcKk82RdS2hXqQZ9pVxkZ6Tgr0M+4DVrjMf/Dma2ex/uiW7KsRi+2AthbColpVLNDv9cdcawWoof1TRPrIIuk+bj4N9LYKTKRipKbiw2zlyP2FptcNfNB24XtkGYGoET526iyB/dd5DEP8TmTWfRau5p+Pj74N8Z7eHr/DfO+NFtEX4wqRgPThzA82RgyyV3vHO9iQ61NXBj1xqEpbP7/GBiqRDWjr/C6d9tqFeCVg+lIU+ijI7j5+LwnuWopujzj+V58yhu+Edj4b+v4PPmGYbaGeLejmXwpT4bhZCKcOfofrzMUML2Kx7wfnkdbcxVce3vvxCpqHKBOAP/btgBP/WaOPHgLd4+PAULXSku7d+FZLnWVT+UKAHb525AVHVb3HB9B49re6GZE4dTpy8gR1F545xIrJ2+EdlNHfHUywevji9HbqQfjlx/QX1f2H3KKlEy9k1dgNAaHVG1Kv2FLtvTexnV74hDNz3h7++Px4emQDUrHQFhUezWAup2xtPXb5l9Xz+6gaZV2fjySsoD2teHdHVbsE0eKyX7P88znym9rOxjzMZWbPzqjrjLvmZ//6f4tY4mjJr3QLvqirv7X97xJfQXqLhtJQmCKF2x0TjmmgPHng3R3UKWg1fS1MD8qXaoEpuApyHfzrnFBcbgWhrQa7A1JjYBTj6IQFYJclpRoQlwfRdHLdF4+C4dzWyqwryobXjjY+Hkkoee3S1hZSC7pphbW8L/SFc41FFHZlAInn2UYvzgJqjDdiNQN66CeSMaQhQYDM/vvGneqMsotK1X/Gb3pUFFpxoGDh+MmhxMIS9JjsOt8CSYmjZBVU0VGDZqipaqQvgEBkAs/vE1ANlvHuFluj46d60PFeq/xr27wxjRcPFQwJ1wSR7e+b6lPoCGaFTXAKq6JmhdywzJKQFISPr+ViVFIVTVQvefhqGuDncFBWWtKug/jDr/5LrSKNpHL1ekS+ujubUxlNUM0KJxQ2RnBiIi+r93I3+IvDy8ff8OArVGaFhbH2p6pmhTswaSkvyRmPK5ieyPJKUKX88/hEJH3wq1qmlC06Q22hnqIzLWHxlZCqgQo0hSE3AnLAHVTJrAWFsVenUaopWGCgI+BkCkoFY54vhI3IjKRO26VjBQVUa15i1hJ5TA810A0xKsLAt+eRpb70ThlxVzUUWd/k6X7TuKuqb1UC01EK6urjh64ACUqrfBTx3N2K0FZCXD0/01s++HOMVcH38oZSWgiwV42pW7DJMU8o75TD18AiEq8zVspU2KsLunsdtPin4j+8FEqWxX2JUlfPDoBnqkBQBBcCo5E4FSIUwMvuzLqGSkAUNkITzhGxk3umm9RyTEEi00t9BHn74WSHYJxuOk4n+vnbbeQMuxF6jlKrZ45qCagSqERa0gTM1CoERKjyzKRlCodRUl6jJDrYri0xEjVUMNwy8rFDQN1KhiYwpiFXWnsILJzspEdg5VwMl/37W0UVNAvcfUeaGIK3tMVBj1PLxPn7tSNWPQPRAVkdGXUOdbUmI8tUZPbUP9UaIKG+oaVIj8pilafFw0cx4wn4NAAENtHdkMwwr6KCRSCZKTEqg19hiowoGxuqxGTlGFzjxRLtIz6C5Z1AHQx6CqhprKKsx3UVHvQ052FrKp5dMxaGqhplAoew8UdAxZmenIFYmoz4E+AIquHmpQvyMK+hi+QxLOrF0FoyGbML1zVebtK/visX1AL7Rs2RJLzidAWcMCNat9pRAU9BR9urZn9rX/aRzcwitAJQCBxxvGMp9p67YdsOisLxtbSeRl4bzzOYg09PFTr44QlI8vbZnAl+bRFwryjhEEp6rpoZ16HtyCvmy3HOcdhRBooUGNr9+Fl4hFuOcShrjEGLTruR9NFr1DSlYcjt5PKva9iwVbRkLsOoFZvFbVw/N/X2FvUZtyV9GCHXWYyRnU/vkZPSoT+MIzCfSrUjUzQj3ldLwM+HIExBC/OGp7FdQq2ZhllR49YB+fGbSPbfqWJ0ImldOmB8aiikKyuB9IlSrk0HXJ+STZ2cxAhGqqP74tOl2+UKYLWJANlAmJBNniPPD5Aup9+fp3hih9Kir0581+DtT5l18AFAoVd0dGiRkMTv5cEDPnQbEHtSwhHp9PvV76+dljoJ4/kzoOIVUA5yuopeXn6wF7DHl51DFIoaJEhRWU1RMI6NdLf//Ya1IufU2irhUqpT9YX2kKvbQOS59K0NFSiscPXyAtS4SUmFA88flKk/oywQQbAyOpU00Md6cpyIs8juEjdiCxwI9/3XHHmX3EuRk4sXAAIp7dwNHbbiXqKkiUDWrVm+G5H5XPoz7X3PCbsOZFYf/vf8FXMY2NyoSM8Ec4fu4xzPuuRod6dF6EKCq+gG4uQa4ABMEtbSOM6qIN1wvPMeeObKCkuA9hGLbBG2hsjJ7Vvt6vKS8uHLfcMzFoak+8OOyIF3t6oVcDDby+HYCYYvY7pTPsdEaVyazmiZEnZe+mFYWmAcZ118T1489wIlBWA+B+3xN9plzD3CNhUDI2RZsGajix/wGuf5A1yfW58xy/HQ1BjV710Yqj/tPlnYquPhpoaiMjMwwiukFXVAQei6Soa25GZcR/fI6/SpPmMEUSIqJluY4Mb0+EohqsG5VgFodi4lEFfQvzOuCJA5FCtzTPyoB7fBy0tWtDT6dkI44TJWNu2RgqCEQ8ffkS5cI3MgzKarVRzUgx/WL4VKGzds3akOYFIpU+FzIz8CoxHjrUuaCrpZiCp1BVHfWMqiE3NwhZ9M3VlCQ8SU9DFUMLqKl+/RpempS1dNFAWxeZWSHMGGmIi8bj3DzUqmEOJaFiKsXUDKqgvqoq9Z2MoutAqJJ1EJ5KBGhU1+xzq4AyKCk+HJKMKGz6fTR6DJ2MD1Gp8H9+BGN2PmD3KJvoiie6wsWyz2y0qClFur8rkgr2euHJ9uErqcPGrh6UhcX4bSfKLOYzpRZhta5oaUXXvfIr1efq6rQIr+ItMXt+T3DYA65c4kvpPqLkIkAQHONjyJQemN9JCwcXngXPbh+qDL2NDFNz7JjXAqZqX8u4SfD6xnt4K1fBVEdjtGhUBS1sjTG6kR6iI8LhE8Xebb//jEkzf+l/mm4q+19/zfr30z5NVn1AnS4NMMCCvXuWkIweg49+2l5l9C2EJGRj3Nh9qDH7HVIgxJAZPTC3oyamj9jP7GO7/B2atamGUT1rQENdHWvntIFD1RwMHCpLp9FCf5h1boabc+rge4sJ/s/P4vTpy/iQJgUiPKj1awhOLzjf4o+RmxaLm5dO49r918jKkyLI5SbOX3zNtHz44TQN0bdZTfi/foydhw9i3YbtiJeooJt9xxJNwVZcvDpt0K6mKg4tn4+Dpw9i0fIj0G0/FL3rsncgfyQ+VahoYk1l2mOwfdM67D+4Ew9d/dBs0BQYKyg3IM5Jx+Mbp3Hx+hOkiIAYz7vUufeUmQpPUXLT43H78mlcvfcKmVSBK8T1Fs5deMVMhacoZlYtoSnIxI5Vy+B0dBfO3XiNhkNmorYuu8OPJhDCqkkziFIjsX3LBuw7sANP3QJhM+g3VFVUzlBFA+2a1kdciA+2/7MLu3Zvx7vgGLTqPwbairr5raGHns1q4aPXC2w/dACbtmxHVKYUnXv2gLKiGmPoVEO/JibwuHcFO485Yfmq7chQM0SfTtZluolu0/HHmT7UdHcJacwbNLMwQPMBS/Fx9wh2j7Ln1pa5+GPnAeqacxoHV/yKaz7qaDl6Ekypc/7f6U3BqzkBHxGN5c1GYDO1z+mTR7Fh9zVINaujhVWt8p39p2u8n38AnkVT61TYPwK4Ta1XEgGPD+CPP7cxn/2p3TNw6rEKGo/qA1PF1DVyLiv8KZb8Ewi9Th0wwFRRPzQVBy/c64y0es4dao3UAhCEwuTl4WNMFjS01WCkJfz8IywWISQyk/ktoysFDKpoQk+lwHczNxeBMTkwrKIBXWpbakI6YkUCmFdRR/4NnszUTESmiVHFSB3ZiRlIFX3Z+VJDTxPGmp9zg3m5IoTHZoIqu35GXRMMDKnnV+XL0qNLN3IEykqoYaiGhPhUZAnUUNNQWdYQXJyHUOo15NL9AKgCmgmV+1YXfn4Nedk5CIvLZrsnCGBsogkNuYzpOidPjF92FUZGxbuD/M8YI8y/KF/gt8DeN3cxvFbx5lQvydzbSYFP0at3b/jI5T10jH7Bow/bqKMoOi8vL/j5+WHw4MFsTNHkpcVi35IRWHDYlQrpY97JS5jdvSnUi1kGd3BwYObhL26T6SSvy2jVbyKiEjOhZ9weR2+dRAdz7WJnLh0dHZnnLw4JVQB/5TQT3ebS84SrwGHOZuycNxoGasV7dmdnZ1hZWcHS0pKNKZqs+I8Y3aspbvuxEYw+eJJ6Ek3ZUFGtWbMGkyZNgqFh8c7Z5I8v0bdXN7yJZCMoGrpj8CR0F+qw4aIaM2YM9u/fDxWV4rWgkIiy8OH8EthO2E+FhOgwejH2r59FXWeKXwvVoUMHPHr0qNh3iyU5aXhx8Hf0WnCOCqmi3/yt2DF7BPSLeS7QSjpXuzgzCVe2/IoxG6h8FTQwapMT1o3tAe0SNEgpybWIlpcehyPLR2PWvudUSBczjpzDAofm0ChBnZy9vT3u3r3LhoouNykUf82iCp3nvahQFSy/dB1T2tdDSRpCDBkyBGfO0N/vL40YMQJOTk5Md6dSF/cO7ewdoNT4V1w+shjUz3SpKem5VZjMZG/Ma90XRyMSAGUdTF57CIvH2UOH+qyPTGmCXx93RbD3JggDzmOw7a/wpB9k3AHnL+5GB8uaUC6lSuLW1uZ4caAHG1KQ1HRg+lkgmA0zagCP7Nl1xemzNBTXrt9gQ4ohygrBut4DsdEtgMqv8dFt2h7sXToYhqqKqumTsbGxgbu7OxtSFCncz65E38m7MXDNaWyd1Aly2UyFmTt3LhZPHg5tLU02pnywsx8AXoT3BalJJnXSKuBOEUEQxP9T0gqA0lLSTHdpKGkFQGkpaQVAaSlJBUBpKWkFQGkqaQVAaSppBUBpKmkFQGkqzUJaSXF5LcpX0gqA0sRJBcAPpJBzK+YJ2rcbgp6bHmCxY3028sfhpAKgDOGiAqCs4KYCoGwozxUAfB49bg8p/BMEQRAEQRBEuff+wWmo2yzCZAfuKjQJgii7+OIMMg0gQRAEQRAEQVQE9Yftwq3T02FA5kUjCKIQPKeTB6X7tu9mgwRBENwS5UkgVFLlrPlvanoqtDW5mZJALBEzU/ooK3HTpDU7OxuqCpi+72u4fP68vDym6wOXzc5FIhEzZRyXx5CTk8Np839aVlYW1NS4ndKJHIMM19cEWps2bbBx40Y29NmCBQvw5MkTNlR+vHnzBk2bFneEkLItKysTaircdB0rC7JzpZx/T7hSFq5TXMnNzaXya/QAIeWroi2Luq7zwsLCpKampmwUQRBE5RYcHgxzU3M2pFh04StHlMNZBQRBEATxY5WF8SUIgqjc+AL1yltjRxAEUZAkV8KuKR49/RS4e3qCIAiCIAiiguOL6UmDCYIgCIIgCIIgCIKo0Hgur1ykUeFRbJAgCKJyi4mJQdWqVdmQYtF9wOlFXV2djSEIgqjcqlevjubNm7Ohz16/fo3w8HA2VH7MmTMHmzdvZkMEQRCKx3v34qRUGnqeDRIEQXDrwKX3GDj5b+jr67MxikXPLX3ixAk2pFh+fn4IDg5Gjx7czKc8ZcoU7Ny5kxkMjwvTp09nnp8Lt2/fRt26dVGrVi02RvH27t3LzHmup6fHxijewoULsWLFCk7nVh8zZgyOHDnC6WCIgwcPxtmzZ9kQN4YPH46TJ0+yIW6MHz8eBw8eZEPcoM/HM2fOsKHP6Gv1vHnzoKSkxMaUD2Xh3CptI37qjhMr27Khyue3XVH45589bKhyqYjnc1HRFXkTh/SCRjm7aTN0wgzwIt9dkBpn3AD4bCxBEASH1jl5YvyyqzAyMmJjFKtVq1ZwcXFhQ4rl5eXFVALQP6hccHBwwKVLlzirAHB0dGSenwvOzs6wsrKCpSV382avWbMGkyZNgqGhIRujeHThe//+/ZzOBNChQwc8evSI0wqAsjBQG5fXonz29va4e/cuG+IGXSn2tQoAJycnTiurSqIiDgLY2tocLw5wU3FdFvRZGopr16myVCVkY2MDd3d3NlS5zJ07F4snD4e2liYbUz7Y2Q+giv0q1A8sKfwTBEEQBEEQBEEQRIXGF2eQQQAJgiAIgiAIgiAIoqLjl0YLu/TEdPgFJ+O93BIclw2JlN4qRVxUCt7HZFNrX5cnykUQ/diwNGSIZHtmpaQxafmHZiKXiaGI8xASSqXHPE8KYkgFBkEQZUV8GN2RH0jNYSMIgiCIciU7SXYdj6D+lgMScTpC3r/He2oJjUn+al47MykG/ux+cRkVaL7ZtEyAKhMgNY+NqETy0vCROlfpz/RjWDTE3ypoVUDi9FjmtQfFprMxRFHxeTzqIkDPPV1iYtx1uo8Gg858sdj+chX/+oqo7TnYuvAcGqzyhvgb15v4iI/oRT92zDVc/UB9mel0999m0rIZ44qPVExuVja27bgNu8H5z3MWnWfexY5XaUwaBEEQnMilMoor5wH2rYCGjYHLAewGgiAIotxwPQkM6gHUrw/M5GYw2GLJjsK2OeOx4p9LeP7wFn6fMAwX3n26ZfZJXsxjTPp1Bu48eIp7//6FwZMX4EP5qN/4OokYOO8B/H6J+szOAJcS2A2VBJXvOLbkV1hT52qDBg1g3aoD/rpSWfIeUry5vgc/O3ZmXnv3jQ/ZeKKo+Dy+kHofv78ZgG4tY3hd+xnZz8cj9f5gdFZJwdJDAUhhtxeVnbkW7vukQyrJxes3IjSyyB8NWYr7h29jzsUEdJ/bj3me2Av9UCczEht2PMeHtApUm0kQRPkSEwK8jgDmLQBU2TiCIAiifLn0LzBxJWDO3QCUxRHseg3/3DfGsq3z8MvkqZjZ0RCr1xxFKrtdRoSrq6chs85QTPjtV0xZuQ1d487D+fm7b7bMLfOycgCPeEh/bgHosHGVSIjbefy56yy6rb2P1IwgDK4Sg00Tl8I7m92hApNKpXhy4zLaLNqE7iZsJFEsfNCDp5bCIID0pVJZSQAVZWqh/gqpNC3q6UJDtrnIGrcxRuTHNGQnZOBeii7aW6vJNmQm4/CNRDToaIWDA6oyz2NUowqOLbYFPyAOFwPpVgMEQRAcqNEMuHwcMC5f01ERBEEQctZcA/pZyTK15UCQlwuq9esNcz59wELUbVQPGX4vkShfCMyOwJV7abDu0oLJ8vP4emjWtCr8gyLZrrrllIY6sKobeLUq5+9uhNs9hGWYYMiwTtBSM0NPx64QZd7FG9+K3yqax+Nj2s7rGGdnTMaxLyG+OJNuKvT9V4Ck4Cg07HEIghb7odbhNM4k6mJ2byPqclQ8Ovp6+BibjOjEdETVMoRVfg1CUjoeUOd0/eo6EMh92joNq6FBXibcPtLdDQiCIDhEX5vIrxFBEET5Vk5mFowK/QhtA102BGhq6SEr+w2S5ZvfJifBNScbenJTlenqa+JjaMz39QAmOBUS6Is8qEOVnrGVx0NV05pQpj7Q3FxSHiL+PyqrShfRv7+qU8vEEGd39YPrkQFwOdQXo2plYc6yVwgo5o15TU1N6FIXpctByTCuqY/8DgDQUEEdvhQJqdlfXrASsxDNrhIEQXCqnNw1IgiCIL6h3FzLpRDLDbAlkRQ+rhcdw2xjicX0ANqk9F+hUOcsyYIQRcUX0G31S6H7vFBZCY3qGsK2gSHsGhmhS0MDJEVGIa6YFQDqeurorJOFM5djqHQ+12pCVx/j26rhoUsQrvunw+Pqc7SY/gJLt7yEl5ouBjdnuwoQBEFwhb6WkjwVQRBE+VZOBpQ3Ma+D1MRkNgSkpyVBXc0WenLZZ+jqoY2KKpLSMtgIICUpHbXNjekbx0Q5ZV6vEZSQhcwsKiCVIio0GGKhHmoY68t2IIhv4JdWdVFKeCy6jT2D2o6nUKf/Gcy8EAUDK0vUzz8PPd6h3oBTzHZ6GXg8GpHvAmE3whl/PUj8XAchVIJ1bWW88E1Bh/ryhXohBk2xRz/VWIycchGD9gbhzYu3WH0zGXUbVEcbI7oNDEEQBAckVG4xlcqEpWfKKgAy06gw/atMEARBlBsZKUByqqwCQERdw5Opa3kZ7ihvbFEf0R6vEJcnpcqAmXh60w2GvQbAlMoSi3OzkJKRA6gaoLWVJvzevQe1GySi97hyNRVtrS0hKM8VAHRLh4xc6veW+rDojyhHBKRVnqkADRs2gxE/AkcPX0FMoi8unbkFVdtxaGLK7lDBZaUnIzklTXZO52QgOTmdWSeKhi+lp9Hgfc87xkO9FnUxb5QVRvWsjaHdLTC0R21MmdoBbmsbQZ8vRCeHJlg4ogGG0dvYxb62GtT1tNG/cy00NVGBpo4BJo1rhjbVlNCihyUWjGuElgbKaGhXB3NG1oQB9Uw6xoa4dGAQNg2tj6E962EOtf9CammikYjLvmQQQIIgOBL4DKivB/SdI8uMTGoD1J3NbiQIgiDKhTFVAL2GQDCVL740l1q3A0IT2Y1lT/02gzG+5hNMnL4Mq5atxdXkmtg+sysE1LaXByej8ZQj1JoWRq/eiJwX27Fi5RrMHbcCymPnoo9tDSaNcis1HfjFCRh1l1qnwnuuA52p9UrC3GYkFs/shetrHFHNsDEeojl2bpqGKpVgHCK67Lqkrx6MzTrgbhTwcecw6On1xpNsMv5BUfHC356XVs+5yQbLp9zsXOTwlKClQtoyEUR5t87JE+OXXYWRkREbo1itWrWCi4sLGyoiMfWjk5Ii6wKQj6cKGHwedKkovLy84Ofnh8GDB7MxiuXg4IBLly5BIKCzj4rn6OjIPD8XnJ2dYWVlBUtLSzZG8dasWYNJkybB0NCQjVG8MWPGYP/+/VBR4a5VXYcOHfDo0SPwOGyfbGtrCzc3NzbEjRJdi0qZvb097t7ltlA1ZMgQnDlzhg19NmLECDg5OUFZuRRH7EuNpzKV7DqDuhbq6VB/Sq9UVdrnljQ3AwlMizMeVDW1oalKj4qfi4OTusK/+99Y/1MTZj/6jmlGNn2HXAhtAx0ol+L3q7W1OV4c6MGGFIRuAZCW8+XvLj20ma7iR3DsszQU167fYEMKlJeF+GRZ1w6hsjp0tNUVPg6AjY0N3N3d2ZDiZKTEI+uL8r4QOga6UFLgGzB37lwsnjwc2nIDbJYHdvYDwOcJy/9AIMqqyqTwTxAEdwRUhkufKrTRBbf8pZiFf4IgCIJj2gWu44Z6pVr4/xF4yhrUoRpSiwFb+AdS3x7F+bjOmNWzEROmqWnqsvvplmrhnzP0a9BWpQr88ks5mb6htAjV2M/UELocFP65pKEje92fF8UW/ss7viSXvrCRd4wgCIIgCIIgyjuthmNw7tSfqKbBTWsugiDKNt6p07ulp/dsYIMEQRDc8g9JgVn91pw1QX748CE6derEhhQrJSUF6enpqF69OhujWC9evGCaHXPV9Jpu7kw/PxciIiKgra0NLS0tNkbx6O4ftWrVKt0mzcX0+vVrpkknn8/dXc/Hjx8z3QC49ODBA3Tu3JkNcYPLa1G+p0+fol27dmyIG0Kh8KtdADIzMzk9V0uiLJxbpe3R/VvoaFOFDVU+z32y0KZNGzZUuVTE87movL29YVnLlLlGlScPn7qAFxYZJq1mVI2NIgiCqNzC4kJRw6gmG1KsHFEORHm50FTjrhBKEARRltAF/MIK+fS89vJz25cXLVq0gKurKxsiCIJQPF54ZLi0ujE3d5sIgiDKmqCgIFhYWLAhxcrOzkZubi5zJ5ogCIKoeMrCAJMEQVRufKmYTJpIEARBEARBEARBEBUdX0AGCCEIgiAIgiAIgiCICo8vzqCnASQIgiAIgiAIgiAIoiLjBQQGSDXUNSCVSpmRn+m/zAZ2Xf5vvvx9aPnxBR+Xv04ruK2wfWiFPU5++9fI7yefRv46LT/8rb/yCttGrxdUlH1oBbfnh/MVTKOwdOXjvrYtn/y2fAUf9y3yj6MVll4++XTztxeMk/9Ly99PXsFt+WFawbjC0iyo4Lavpfv/0ixsn/x1Wv5jCq7LK+zxNPnHFSZ/f/nHyT+m4HrBfWj5cfnkHyOv4OPlt8s/prDHfyvNospPOz+N/HX5OFrB55Lfjya/TissDdrX0gkJCUHNmrJBAAt7TMH9C8qP/9q+9Hq+gnF0/396oUei/9pjCpJ/rq+lnb9OK2yffPLpyP/N31ZQwcfLy98/P518BdMrLA35580nH1cw7cL2peVvL2w9X/7j5dORXy9MwTTz/+YrLEyT31c+jib/mK/tQ5Pfjya/T8H988O0gtu/ti3ft/an0XHy6O3/L938cGGPzfetbfLk0y6Ybv66/Hbat/bPJ/84efKPKbi94Db6L+1r++XL348m/3iafBpfi6fJp0EruD9Nfp+C8YWlmx8vH0cruL/8PrTCHpNP/rE0+f3ktxW2n5qaGvT09NiYz5KSkpCVlfUpDXnycfLPIR8nL397/no++f3k96HJp1kwnpa/TR4d16NHD9y6davQbfnktxWWTr6vPYc8ent+XP56/mPk4/MVFkfLf1zBx+fH0QqmUzBMKyyOJp8mrWC6ha3nK5imfJhWMC4/LJ9Ofrgo8QXX8+XvJ7+ev1++r22XT4cmH5+/b75vbZNXWNpfi8tPi5a/TT5efjvta/H5CqaRv06Tf8y3Hp//WPl9aV/bn5b/mILrNPn05P/mb5NX2OPk1wvuT5NPM397wXRoBbfnPyZfYWl8bf+vrdMKC+fj3bl+SOpxcy8bJAiC4NaD15Fobj8OmpqabIxi7dq1C9OmTWNDihUVFYW4uDg0adKEjVGsw4cPY+zYsZxNq+Xk5ISff/6ZDSmWl5cXqlWrhipVuJvK6t69e8w0iBoaGmyM4p06dQqDBg3idFqjf/75B5MnT/4is6Jo27dvx4wZM9gQN3bu3Inp06ezIW7s27cPEydOZEPcePXq1VenAaSvlQJB+erKWhbOrdK2a9tfmDaoHhuqfA7dSsYv48ezocqlIp7PRXXt2jV0adUMqircTd1bEjv2HwUv0ueC1Dj9BlC+plElCKKCWufkifHLrsLIyIiNUSy6AEbPR88FuhBKzwU/ePBgNkaxHBwccOnSJc4y1I6Ojszzc8HZ2RlWVlawtLRkYxRvzZo1mDRpEgwNDdkYxRszZgz2798PFRUVNkbxOnTogEePHnFaAVAWRmrn8lqUz97eHnfv3mVD3BgyZMhXKwDoSkNl5fKV+a6IswC0tjbHiwM92FDl02dpKK5dp8pSlZCNjQ3c3d3ZUOUyd+5cLJ48HNpa3NywKik7+wFUsZ+u5CeFf4IgCIIgCIIgCIKo0PjiLAm7ShAEQRAEQRAEQRBERUXu/RMEQRAEQRAEQRBEJcAXCHmARDZCYGZsHJavfoB+s26h3+xb6DPtCV7GiZhtJRXq7ouZpyKQzYbLFine336FiddT2PCP83CfM6r1PQ8H6n1l3tvfr2Dtnbj8tx7inBw8vvMKXX6+zmzvOPUO9j6KRmoetTEjA0MnnMLGN6S1BkEQZdAHD2DZAOoXhQ/Mu8ZGEgRBlDORPsDWiQA9DsqQ3WxkGZaXjicHZ6Iqde2lB29t3HcqXodmsBtZ6YEYXteY2f55UceYzdch/jxAePkjpfLEVBkDbQ4AzfcDjs6Adya7sRIQZ8P72QMsG2EHvlAZE455sxsqh1jvy2hjpMOcz5qG1bHrdsCnMhXx//HBDLIjG2jn9uknSLZqgAtbeuAytfzpqIRfdgcy22j0VAISZmEjKHTc5/gv33k6voZ1A2wdWh2qcnH0fgU/o/zHy8cX9nwF/d/05DbQ65/2Z+LF8PBMhEgkezy9rWB6+el8+ZrZFQq9f/7f/Oj8uC9QUdatrODMvrcXVrSDx8WnOOAjZja/uOyC313UcOLvnsz2m+ta4IPzM5z1lV3M6NQLSZUgCIJbEuoaNnsIYNQN0CdXKYIgyrFlA4HMRoAxdS0rLC9Xxnx8fhKjZh9Ap8VOeHjrAJSe78b4CQeQwG5nqNfAX5fvMAO10cv5jWOhShUYDfR1ZEWA8io5EVjtArSwAY73BoRJwMyXTH67MkgNe4NJoycju2lPGChLKlUpQSqJxIpxP8PH4mc8cH+In2um4Y+hM/E6+/tuWlcmfOaEYToC5CE7U4jQ8DSksxe9Ft1a4d2fDZj11JBI/LboJkYve4B+ix7j7sccJn77qhP4af49jFt+H3b2ztjtK4vPjY5A1yH/a+8+4KMo+gaO/+6SXHovpCfUECD0DiJIVUBUBAUFu2Kv2EUBwYKPj10Q6SIKSJPeeycJISEN0gvp9dKTe+cKpIAKz4s5AvP9eIaZ25uttzf/2dnZLSxbeYhuM2MoFnnRRyIZKaad9OZOHvkpkXyRp6muZueqYwx5ey+PvbuZB7+JIbtUQ1ZUPENf2y3K3cOgcVtZm1h62aGtLW/UxfLmJVwqb9fqOuV9qy8v8Uw0/d8+zOzv9jF52lbGfxlFelwKK45nc3BDCH+cLWLOjF954O2dYp6HWB1Tyta1x5gg5q9dtxFvHiE8r4oLcfG0/yD4UoPAO++tZXd6KXP/s4MXd+VTkJbA/U/uISxHH9j/FZWjAy/3s2fu0hgKKWP13iw+e6QV7tb6uzIsbe158dF2dHBV3UJfaUmSmhylCayPhUl9RAXMkCdJktQU/RwF790vKmmG9A0u7MBWcjUuPP7kZAbcdg9DB3QmJXYRcana7qMGSnP8AzvQuXNnOnVoRYqoX1s2a83Ywd2a9n3AYj1IEn8f7whtvOCBlpAvfotO11n3m5idfy8OxUXzTG8fzG6xG7o1kRtYfbKEx999g9s7D+CN9x9Hkb+Z1bsLDVNI/0SpudT/x5T7pwzELTGK2yatocN9m1gZV0ZJpXi/tIip0w7iO+o2fpkxiLn3OvLW7HDStD3SS6DdyC4snn4Hv73kytqVCZRqNJwJSSW/TyCdHfSlo8llugi6X322P7980hf/46dF0F0uvqsxzD5Sw4qPBrJk1ghGVpxn4ekCQo6mMOD+Tvw0bRAb59/GABEI12uoNJT3sra8T/vhfyKM1RHlFJyLYdbh6nrlLQjN1wXRyRnVPCzWcdH7A7FIjSPT1YOJvVzoP6Yr97ezRVEE7e/pzpLp/bnXPpPlJ6r47p2BfPdGPx73zOWXo7lcqRO+wsSEJ8a15fCiY7z53ziGvd6XIOd/eoyWAns7EyqzSinPzSQ4Q4W3tZnuncqyCnILyrFu1YJ2Dsr66y1JknSj0p/CJEmSmjbjPQXzmsTHRlKj8ED3FDJzC4KaeVBdWUVpmf5iXENFGTtZ/MtBvB54l17eF/vmNlHnssT/xDrYG2rJ/k76v0UV+r/STSvtzAkyscbNWX/Vwap9J3zF36ycXF1a+mdK7S00F5na2zH389GELb+HRc+05Mivh7h/RgRJBSUcyBHfteAYPl4QwqLjeVRnxZOULT5kaUYrZ3MRpCpoMzgQ+8wEsvMr2XQyh1dGedVeEMopJs9cRXNnCxSm1sz4+W6eaGdOVswF0gqK+eGXEGYuPM3x3EqORRTTtrc3kd9v4YE5IXy7/hxZlQ0Cam15KkN5Jla68p5sry8vNV99qbwThvJ0zRx+jviJCqoCE1QmGi67Ri8C8DbO+mZfEzdfHuprybcLjvDoR4f4M6qUiqq/vhav8vPlm8HlbNHYMbmNdntcAwtTVNUaqgyNMQmnY/hqxRneeGc9jyxKQNsGI0mSdMOTw5RIknQzaCLnsurqOle7RcXTRPl3l4LLOfb9t5wyb8k7jw9r+leNGw5gYCIvl90qqqrq9/JQmJqKyE66FkoTEQjrvkTqXB59dAN7dZf1TegxvC1fPNeFvLNJRJaYYGVmwYi7AnluXHuem9CVJV8MpaOzvpBLbNy4zV3Dn+fjCMm2Y7Q22r7IRJxptEGuru+8hqLcYrJKarC1tcSnhTvP3N9OV/a7zw9gzr3N8G3bnCULHmDBswG4xMfy9JfBFNe9tUOUpxBlVf9Dee+I8r64z/3aAnKhMjSU5zfk8fD93VgyeyATg6wM79RVw8Vzb01FCXuCS6kIy2BX4d93/9fRVHIsuJhmAzxxtnKkk0cVZ3L1Lbate3VgxpTuPNnbTpeWJElqEmQDgCRJN4OrqMbdCDw8tdc9FaIuLP5UVpKcn4e5hTX2tpfXWaviDzHl52O0GTyOUa0sDblNmKe2jixW/GJDQIb2ZmMRa7jdBOsm/S0v/9a6DoeVhhisPDGBbExp6eepz5D+kRIzE32rmbUNY4JUfDA/nAzDle6okHhKm3vRzdeOx9uX8ueeTGxszUg6dJaHlqRQYfjO1VIw5HYPFswJw7KTNzaqOmG3owt9RZC7LaYI1EU8O3UXG5IrsQtsjnlcIlEVZjjbV/HznIPsiC8l/GAUG5KqRJ41wwd6Yq0wQVG3tVKU10eUt7VOeetFebaiPIv4RCLL9eUtEOVtjys1fOjqKaxVWNWY4mCnQpGVzqdb9UOqmJmZY55cSKI2kZLAhhjtPzSc3nWWs237su0tT778Np5/eq5ARkgsX6SrmH2nm9gJljz/aCDz5h5lw3l916Xs+BS+PVSIpziRKWWjpiRJTYE8V0mSdDNoIlfHfVq1xbT8DAeOnqekIIlDYZHYtxmNp6OCY7/N4Jnpv+vro5oaDu9YR4balLFjx2KtauqX/4VWruJ/atitvRVA1J33JoGrH/jJH6KbnUnHrnQml3UrD4ojQM2BFWvJcu3PoA5NZPCOG4CyuvziJRsV97wymDd91Tzw7J8MeGoDM4+YsmlmR1xMVTwz7T76lcYw9JmNvBBqwr53A3EwhWaejjhb1p5I2gX54Odly339PDAT30ELOxvaeVhgggWvvzOAkD8OMuDlQ/R+/g4ea2OOtXszFr8eyOyPNot57iJxYE+e7GpHi9YurJm/R7ccj6+qZuYrQVjX69+hL+90nfIe15bXTJT3RiCfTteXF397T57qZoe5pQUdPfWtggqFAn8fe6yUpgy9qwXxG48w/1SBWBcnnMz162LWKpAPblMw9sWNjPg6hfeeD8RaqcHJqxlzhpow+ekNDFiv4b2x3liJE+uWc2W8P9mTTne04z6bZIIT699/ZevqSG7sWYaJ9dGu0yPL01j20WB6NtPPr0WPQHZ+3pHts7fq3r/341ge+/hu/nuvOyYmSlr6OeEuGzUlSbrRaJ8CMNwKPPvABZH+731gNQzkaLySJDU1ExzE+asVnNPA2lfFvztC4o17X3GXwRPo3cGRD8e2x9mnJ4fznXj1g1dxNYPYQ3/w05w1JIvpqitzWTrvBxROzRkxoHPTHvzvIg8R7I9whZ83Q79lcLQKpnTWDQtwK8g7d5CeLa3oMPxFLqirWfJkT9x9X+S84f2bmdJ2GM++PoSIhZNwsXLhiV/imfjqC/R0lAMRXS1F8uk/NN6V2wxJSZIk4/p0cShPTNuIq6u2db/x9e7dm6NHjxpSjSssLIzo6GjGjRtnyGlco0aNYv369Zhon4F9tbRPjTmykfrPnXKGu3rrb/26BmPGjNHN3xhWr15NUFAQAQEBhpzGN2vWLJ555hlcXFwMOY1v8uTJzJ8/H3Nz442CNmDAAPbt26drrDeWbt26cerUKUPKOIx5LrpoyJAh7Ny505AyjvHjx7Ny5UpDqtbEiRNZvHgxKtV1vOp3chOk172XyRoG9wer6zeP631sVWacZetxbdinxDOgC13beKIgjw9ub8GOLj+x96txqKqzObL5CMWu7bijd8vrPl5rny7+HPl5uCHViErUECx+fLS3A9vZQkcno/TeGPlBEps2bzGkGkelOofDhw9TWGbIEExVfgwY3lF71Daarl276h4v2ejK8ti5/yil5VWoLN3oO7AXto38JKKpU6fy3pQJ4tDTjsLZdHQfci9KE1PxTZH3bUqSJEn/C22Q1nc0jK776nvNwb8kSZLRdR/Z4Fx2x3UN/v8NZs3aiUUdLV4j6aYL/qFo7w98n9GHH6eO0F0QV5q40E9MM/xfCP6NykqEuv19YYAfdDZO8G8sZtbO3D5Uu99rX3c2cvBvVBaODBl2p269hw9p/OC/qVOiqRZH0WU380uSJEmSJEmS1MQoA8exb+0CgrxsDTmSJEm1FId3LdWknFhqSEqSJBnXur0J3HH/29jZGecpGO+9956uK7YxJCYmkpaWRp8+fQw5jevTTz/lzTffRPm3j5L693z++ee6+RuDtqu1r68vnp7GG0V4zZo1DB06FFtb41Xav/vuO91tCGZmxrtOOG3aNKZPn27UWwDeeustPvvsM0PKON59911mz55tSBnHjBkzdPvDmFatWvWXtwBor/6ZmjatS383wrF1vb335vPMmtLJkLr1fPJ7Nu+8864hdWu5GY/nq7Vs2TLuG9YfSwvj3TL3v3hn5hcozkad1Zgo5NMTJUmSJEmSpBuLtkHMw8PDkKqVnp5OUVGRISVJkiRdLUVqVqrG00U+N1GSJEmSJEmSJEmSbmbKmjI5AqAkSZIkSZIkSZIk3eyUSgs5UrMkSZIkSZIkSZIk3eyUNeWyB4AkSZIkSZIkSZIk3eyUyCcASpIkSZIkSZIkSdJNT7Hs1x80i7/61JCUJEkyruSMYtz9OhjtMWQhISF06dLFkGpcarWakpISXF1dDTmNKzw8nPbt2xvt8WsRERG6+RtDVlYW1tbWWFlZGXIaX1JSkm60c2M+gi86OprWrVsb7VGQWqdPn6ZTJ+M+Uiw4OJiuXbsaUsZhzHPRRWFhYXTs2NGQMg7t+XDFihWGVK1JkyaRmppq1GP1f3EjHFvXW2jwcTq3djSkbj3hieV06NDBkLq13IzH89WKi4vD18MNE5Mb5Wl62qv6/1x/CzkTgSItYq3GQ71F2xdAkiTJ6D5dHMoT0zYaLQju3bu37pnwxqCtbGsDsHHjxhlyGteoUaNYv3690X7MxowZo5u/MaxevZqgoCACAgIMOY1v1qxZumfwu7i4GHIa3+TJk5k/fz7m5sZ7rvGAAQPYt2+f0RqitLp168apU6cMKeMw5rnooiFDhrBz505DyjjGjx/PypUrDalaEydOZPHixahUKkNO03AjHFvXW58u/hz5ebghdesZ+UESmzaLWOoWpA3+tY0At6KpU6fy3pQJ2NnaGHKahu5D7kVZo20tkMG/JEmSJEmSJEmSJN3U5BgAkiRJkiRJkiRJknQLUGqq/74FIPNcEgt2JJJfpn9aQGlaBgvWR132+m1fCsWVuklIjohjwd40yqouL7thef/kxMkE0q9y2utJo9Fw5EQimTfBUxIKktI5m1NNdWUlO4+lkv8P+/x6uBAdrzsutsSWGnL+HdXlFRw+X6Rrx8qMTWRbpJrrscfys3I4eK6Uwuw8fj+UTZkhX8yR4MNxhGdWGNLXT7m6lHXbotgeVzu3mupq9u1r+H1LJlNTQ/zpBE5mVBmmlHSyI2DBAtgp/krSrSThqP7Y1752hIiThyG/MYnzEoc3wuJlkFJkyJSkJujgH4bfklDjfJeuQVV5MuvFsi4Qr42HI6m5YhVPQ/rZwywxTHcy5frXYYymQqzLnlhYL14p5YZM6WaXnxTGL4v0x/OKVcdRG/Klq6M0MVP+5clNU6Zm1qfHWLEhlm9C9ZtW5eTAsN7eDOvkwpYNIcTYeOrSAzq4YGkqPqMu4L2Zx5i3LJzF5+qfYLTlzdaW96coL+TqdtXqP4KJLmr8IEd772Hb1m7YmxnvHsTro5TvPzrE7qRKsbNN6RzgjLXyX16n0mKmfXyMYg9vunn+u/fmpSfEMXtVKhrxg2fv6UZXH4urGP7iH1Sr+frHU6isTMlISOOtZYnUVmUrWb/8ODviSq5755mYo2dYuTWOt746Q7bhq1NdWcXCBWdQtHPXf+90LxfsxfHZrLkZSz47THrJv9+g0ySs/QD6joRnnoQfdhkyJekWcHYTjBwH77wDL0+BMYPgN1EZbkxF52FAL7h/Mjz/MoRnGd6QpCam9JD4Pj0ETz0lfks23tANADUF0Txxx1iOqwK4o28XVs8Yz+d78i+rn6gjl3DvM98Q1GcgPd3yeWr8nRxPrTa828TFinPd+/tgpthvEcWGTOlmptHU8NP8ObTtcTvDhgWy841HmbnsCDfJEd0olJoasbkUVw4gLiRlsKXah7fHubJ+W6qudcXEwhyfZjbiZYWVSomDo7Uu7elsgYmIvOIjUznsGMDbd1qxYmt6nSunkHGxvPtFedv15V1J6pkYPpx7kmmrUqj7VU4MiWGayJ+5LJz4giuckYuL+GJxsG6aL35LodCQXRSfrC9PvLSBsFZe8gX+uzeZBUu1+cGsDddfRdZKiEhgbUQJR45rewDoc+NORek+/+WqBPLrtEcc2R2uy5/zZyKlV+jxoLV7k37e05ZEkVyqPTzL2LIynA0bY/hI5H+7P9sw72I2rI9m7dLTuumXnynR5WqvDC/Yn8DGladEfgTRYsPlRcfrpvloQSghmdoF0nA++Dwrg3OZ94uY18JwzuZVEncmhR3JajaJcs8UlrHjiKEHQHYWH83TL9dPWzO5UpupOiWdGT/pp9kSp49Ic1IzWX4qn/VrRf78EHaeuzwQ3rM5hD9TNZwITqZMHBOlGdnM/lm77CdZG6OfU0leId/sT2btbyeZPj+SjbtiWHcmk+/FNJ8sjyA1KYvpunlHEGU4UApFOZ8t0C/Pf7ZlUV5ayPI1CUSdSWDuxgySYhPYerZY91tdlp3LZwv181wVqT8Ki3JyWXEshz2G/bHiVOEVfterOb7iFJGtOtPV859H4i6KT7p0bO1N1h9buUnp/HdPMj8vEcu5Mp7c9MxL2/rn7Vlcud29hFXrLjB8Qkc6VqUSk1t3KiWurvrvmf5liTkKrOy8GNpTybyj+YbpbnHVDmjWrgR/OaiJdItxbg6LRAU4MxN+f1acdAvgp1WGNxuJWpz/7puC5jMR/Jsa8iSpqakqghdfAdce4mVnyLxxRR/ayAHzMbw2qT/NAzvz3Jge/PqfxdSvFRSz4oPPaD36GTq2a0nQ6OeY3CyBzcfOXFZ/a3JKxf6afRL6emqrStItQqFQ8ubMZXTv0Aofn768MDWQbXuPUd0IPZxvFkqN9hvzFyPtnj4QTadh/tzRwRtVWAh/xPxz28rB/XEMuacV9/T1J/fgKQ6l1oZYpw/EEDRUlBekL2/1FcrLSUzjkc+TGTYhiIlO6ayJFJlif6aGRDHuhwuMujeIMX6VPPP1WdR1ozeNhg0iQE73bMGrEwNQRoWzLqyIIhF8jf84gi53BvHqCCe+nL2P84XV5KVkMOfLYzh0D2RiX0s+mBclytMeODX8ueYsuabVbN0dTUpZNWknz3Lfj5ncc18Qvtnn+OqgCNg1NYSt28cHe6t4anx7vNPjeHR5Boa7IPTENHsWb+HHNFdemBjEKO8yxnwbL6YpZ/X8UyxKVPDC/W3I3niY17cUiDmr+W7OYQ46+/DqPb5s+2o7v0aU6hoAlny9j4MuLcW6tcbhQgp3fRxL/9FBPN5DxbtzTpJVru0SHs8735ygx+AgRreqYvScaDwD3OnqYM6goS3wV1SzckccOaWlfPTZUay7d9CVF3/gNCcbdGkvy83nmU9O0+qO9rx6lytzZ+8mOLOK3LRM3v1oO5qgIJ4YYsf7XwZTUFH/C9enT2tcbW0YO7IVzlUlPDdtP6592vLqaHeWf7qdHfHllOQX8uOne4jybcNLD7SgID6Bt+YkMVhsJ5fzoXSbHsu48e3ooI7j1YWJlFVWMOPbY/QcFiiWuS0Vew+x5CyMGuqBfysvJt7hQtbpGFacLKRCrN9rH+7GpmsbXr3bk9VztrMhpowisU4zZ2wlwT+IVyZ4suyrQyQU1O9dUlNUwuw9JUwY7HKpDqspLyMuqYAY3auQHENrSXZCKqPeD6PrXaK84Y7M+WQ/sfnV5CanM+er47j0DOTJoS58/ulR7Hrqt3XsvtOE5NQ7SnTKIxNYkWNKrwAvHuhhyZzddX++q0lNKaydv64RSa9nZy9++yOWtCu0h91y7n8dRXtvaFoDQkvS/1+zduJk0EL/bwtb/d82zfV/G4t7W3j1cRTWoj7x/+6GJUlGcnINrI+D998FG+M9jvNqJUQE0+KOfjjrUkr82rSlNO0IOXWvnhWlsy28hI7d2xvqNZa0C/Il5nzKX9wu0ERobzlaJYL/UgcY4WXIlG5FZioV9iLuUMgfn6umVCi1wcQVzgDFOSw9UMLjfR1QOtnzQgcTNu9Lqx/gNlSYybozGp7sYYXSsxmP+VSy+0yO/iprca4oT80T/UR5jtryTNm89/LyQvZG4De6PX3tzWk7uAcv9rISUVk1a7YmMeSxrvRsZk777m1onhzPmpT6y60u1RB1NJyUalte+2gEkzvaEnMsGrsB7RnjZ46jfwse6QRLRVCtZe/dkgHtrGndypf+5RdEeSKzMIO9yQoGuVnqptHOe+f+ZDre3YmubuYMf7AbfRzFj0JRIVN/yWXyox3wcbJk7N0BZG0MJrRu3FZTg0WLAGaO8yZ212m+3ZrKhb0XSBRvWdhZ8/TI5ri42PHWgz7s2hBLrohFXZp78trtDji6u/HOaEc2Hc1E17HA3ovJt9vjaKci5EAs7cZ1ZZiXOT7tWjPQKp9fz+u3pFv3QDp6mNPc2wWz/GLyVSZYKBVYWZmhuvi9EGf8vBIlp49FUW5mzyezhtLPrX7UlBYSRUGbloxrYYmjrx/P327OsuAC3XvKju0Z0cqcZs7ueFqUkN7gF8TCwgwTpRIbazPKo2JI8mjJQwHWOHp588ZoO5YdyNJ12cfJnwf72uFoa4ZpBdz+QBva2pnTJ8ib2/p7E2BvRb8uTuTHF1NRWcbwkd3o4axh8cJTHEguJyJJjaWVKaZmpthZmVz62lfERBNu7c+k9jY4enryzlgnftubjrZhsDoggPHtxLFg50GgdzlplfWXPS+/kEQTK7q61p5EakqKORZ6gYO6VybJav1n4k7F4XFnF+72NcepeUseblfN/FD9seXg05L+gdbYW5qQX6Yk9Hg0VSp7Pps1hF7ODSoV1VX8ujGeoNs70dxeQYfuzQkWx0Oy4W2oIjI849L8E+s0Wrg4WmOSksCJNEOGdMXTmSTdEiqy4auVYOsPD/U2ZDYy+f2TmqxC+HQGjJkDdzWNgDI3Kx0n19rHhtrbO1FeEU9x3S626mKiqipwsq/t0eDs6siFzDx9XaypKhQV7k2iRv3QAPC68RtrpH+JOo5vFh1lUL9u3DCP428ClDWV2j4zDVtMNETujWJrRjWzPt7B7U9vYW6yiQhiYsiod9m9rhpCN4axL7OM197eIj6zldU5JqzbGU9RVY2uvC31ytMHRQ3LK8irxMu9Nhi1FMGkRgSY6bkFrPphl/jsn9zxym7Cq6pR1u23rlDwwJR+TLAu4rk319N5/EpWR5aRlpbPgQ0nGCg+p/3sNyfVmNXo11dpJ4Ji8dfEypLxvS1YvCWF7StOUtOzI152hr5E4uxYWlGNj7OFLmnr6MjwTvaUl1aSUa7mi5nadf2TodNOovAQQWi9C8oK0iLCGfnsRt7dDC880Q47C/28VaZK7EXwqmUl1rG4NI8SsT62lqaYife0rC2VpOWo9S20NmZY63IhPSOfncsP6uY78Lmt/CmCYZNKwzqJoPsfe1+aW/KfrwfROT2J8S+tp+cTmziSVv9K+IXUPI7vCmXIFP12+3hfISqFfrkUYh76rfHPasR2UtlYoDRsTlsbFWUXB3UU29/QzKKjXXc9BVbmtQG9lqZGyW/LdjLsxb3k+bTihQH2hncupxHzVFqZY2IY68DG1ozyMsNVc2tTrPT/uqJqEYxX2VvgXGfuJo4uTLg7gMd1r1Z0dtK/VynKdHasPVZtrJW6RigtpZ0K3c+RhRXffXcHHZITGSu2da+nNnPiQv2eLyUFBfweWkzS8VMME9t60jeRqHJi+HHPxdtSzBkyovWl+Xd1r30+t6m1itZmVZRc+b6CW9PlHYsk6RYgavw/ThMV4nR49B3o18g9AC76qyqCJN3oNn4Ge0RFrJ8zBIdDeaWIsFMgPscwwY3H1ExFTm6eIQVFRQWiOizqP3UDIROlqGspKCiq7RaQn5uLyuwfa4s3ttUHoVDsq+aiAnReO1KTqDGl5Ip9Vr8+K928aqoLWfzuG0Q4vMDTYzvLu0CugdJEG2w2/MEuK+W/f6byxBsj2T9/NPt+Ei/xd5RNLksj6kbddRQX8d6aC7z+vmF68drz3XDa5iXye3gxX21Muay8u+3yWNKgPG9/GxITa0eOzysoQSECuRbudgyaeLv+s98M5a5O3vjWNnrqKE1UPPz6nRwQZf/wgBu/bE3C08+ZjgM7s3eefr4fj/GjpVvDJiIl/QaLytKOU7y/RcN9Q9z1wZuWmLejlRnHzusv7eddyGDK0vMiqDWnjaWKx14Zpl+mT/rS0t0Np4tRulZxMd/uq+HDT0aJ9e2JS4GaSsMV58pqjQj69Sep3IJSHKxdsRHRsFoElVWGe1iy8ypo7mGrPXfX4+frRJeRvfTz/fFOptzuQ4s6V6yvhqmpFW/MvFvsj1G81kXJj4cvjpig59XSlQ692rFjrn67fTXen1bu197CauJoSUlm4aV1So7Lw9xe/Ohc2+KiiYnmhFlrNv84ihlj3UjQneyvTCnmWZVbRIVhTIbU83mYioD8apiZmWMhljHmKi5jWTqYEZdQ+4Man1yCk+Plpx9TMyve/Fhs659G8WIHmHu0/rKnhkZT2Kode+ffrd+n4u/qJ7zYujWSwn8I7MsKy4gpt8TJxpAhSdItSJwovn0FXv0RpnwPc56W9+FL0rXKSBD1tlR4/B648yHx41wA++bB59sME9x4vFoGcCE905DSBvbpWFv2wdnRkKHl5EJ/C0vSc2u7qGZeyKJNS+9LF2eapAyxPlnp8PR6+PC0iGUq4cc9UO8WSulmdvSnx/gpxoFFv76Mx789wPlNRlmjvbzcYJtlpeUQUeLCYwOtLrWmKE3MGDfYl4Vrz9HgtmmdxPMZJKia80Cf2lHYze2sebSbI7MXniZE7cKjl5Xnx6I19ctr3z8IzYFjTN+azLblx1gYLZbPxISRd7Yic/1RftydIgL7MA5WWNPHvs6Ca8cAWHqYF1bGse1IGseiy+jYzpHWIoj1jY7Ql3fkDJ9vL+Z2j8sDWXO/VjzQoZhIV0/u8qvTQKAwYcSoAKyPnmb+nhRWrYyieQtnFNZ2fPikN3t+Oc6ag0l8sjScslYetKh7SdvKnPsDTJm3Koqth5P5eXM8xVVVVIr1LSsoYe7Ks2zZFcPk37N56qm2OImNkxuXyafrxDpsDOHZwwoeHeR+WT2uy21tsThwks+2p7Bu7xl+jdFwm8tf9XsxwVME7pERWWRc7O5eXsb06bt4f7N2m6RzJkNBv4D61/SbdQyka34cH25OEtNEMG11Lrd51155vlq2AYEMtchg2sZEtm0PZU6oJc/3d7nW+B+Fnzse6mz+3J/I6jUR/JaioVysj7m5BZriAo5EFnHxMFK1DOQ+t1w+/DOBbTvDmHnMjCmDmukGqfwnjk62dHSq4mT8P19GbtOzHV5nw5khjq2tm8VxUODK80EN+kaUlfL+tJ1M26Lf1hFZSrGt62zHqnJWbkri7sHeWF/6IVbQ8YHu+CamcvYK4wXUlZFViH3XAHq7GTJuZaE7YNteEQuJ4zwzSvz7ALJrhHRLCN0EMxdA6x4wpBnsFQHLzl26TgGNpjADdon5njknzmvivHVqPxyMMbwpSU3A479or85ouwJCeiiIuh73TIfvJxgmuPH4telEWchOzuZXUl2Rz4bVJ2j35IN4iiphYVokO0MSRDXQiSHDfIg4dpSyag3qjN38vsOSIaJ+3JTjf96ZBMef0r+W9ReBhQo+vg/GNrg6KN2Uzu34gQfn5/DBl1/RxlG2eF8rRUrYSo1Xuag41xkIsKxITXyRkrae2k5DtSpKSolKraBlC3usFTXEJedj6eqIh5WC4vwikstVBDarHySWFhRzNrUUlYMNHf6uvDrxqzq3gLMXtBV3FS7OCvGyxdZUzCM7n8hMUbEwMaGVnwOOFvVPXdXl5ZyJL6SyRn8lN6ClHZZiksqiYk4nl+qu6Tp7ONJCHCjlxSXE5isI9LYUIbJeUXYBiVUWdNB2sRYTJ6Xm4+Ruj42Yd2FWPtFZlZhbWBDgb4u5YdYZqbkkFYgfCwtzOot8s4YtUKUlnIjX18KcHK0oUVfRojlMvX8bXV8ZSGdXBXau9rRx1V6hzuDBCSeZMrUH1hYKmvk442ur1D0KLja9lBY+tpfu4y/PLyQsrVy337x8HPG0MaEwu5BULAl0MRNxZQWRYhu29bOhKq+Q8PRqWrS0JS+zBG8vO0xK1JxO0o/gb2ltRVtfa8Rq1lOpLiEsSX8Lgn0zB9o4m1GmLiWmUASoHhbUVItjIK1YV169XVFVRURCMT7+DtiJ72RVaRlhCUW6e/BdvJxobm9Sb/m0zTG5mYWoLWzwsVNSmlfEhRpzmjurqCgs5nyBCW18LMm7kE98rtj/pipauSjJ1U7jYEJsYh5VplZ4W1eQUWNFazcVNWXiWEjQHwtOHk60dDShUuRF5VQT5KW/CSA5JQ8HdwfdsVVLQ+b+YB7YYcuGmW0w065vdg3t/MT20b1fQ2piPibO9riLbV4pli80Rd9jxcvXWewH5WXHVqX4Pp1O1m9rKxsrAnzqbOvqSqLji3H3ccDevP4OSE7M0c2nPKsIR18HHK7QgrHkp71YDurF+NZ1W56atk8Xh/LEtI24uroacq7SOAtYXbdHUUvxC3FE/Lm2cnr37s3Ro0cNqcYVFhZGdHQ048aNM+Q0rlGjRrF+/Xpxiv2rBsV/15gxY3TzN4bVq1cTFBREQECAIafxzZo1i2eeeQYXl2uswK56HcZ/aUgY2DiKIDwX2hjSV2ny5MnMnz8fc/NrbPANWQODx0Jtb2Ro+zZEfmJIXL0BAwawb98+8fN2+TmvsXTr1o1Tp04ZUsZhzHPRRUOGDGHnzp2GlHGMHz+elStXGlK1Jk6cyOLFi1Gprq6H3zXJDIM+g6HTy7Dy/evao+a6HluVag7Nf5GHvwvFWdRDu455mo/fegQ3USnb9+U4no69m+gfJ1GTn8i0Vx9nc1ghVYUOPL/sKx7p0R6L63Sq79PFnyM/DzekjCDqrDh5HYeZo2G4fkjExjTygyQ2bd5iSN1aunbtSnBwsCHVODQ16TzXPYCfU1zp4n9xf3fhxwPf08288RoDpk6dyntTJmBn27S64XYfci+KtIi1Gg+1OGibdDNgU1PAc2N3MHLOGEa2qNsbIYMHHwrhi7nD8BaBv2QsFcz/9gDOA/twX9DfjRhgTBqSz55lztpKZkztjMO/UP8xlv+5AeA6kQ0AsgHAWP7nBoDr6H9uALiOZAOAnmwA0DNKA8C/qHGOrTy+GD8a1ZSlvHSH4Qkh/yKjNwAYmWwAaNwGgBtFU24AUKL9jZexZiOzZfr3Ixjk07CVyoWvvxyAe21fcMkoVDzyVH9u8zdeBfhqOHr48+HrnW6q4F+SJEmSpP+f7AML2Ov+FI8NMNJgoJIk3dCU1WrtPcbazslS41Hi6m6DlVnDqxsmNGtmheEhAJIRqSzMcbU1zlXQq6PAxtEaZ8NTJSRJkiRJkrRcbnuDjd880uAWR0mSJD3Fwl/man74fI4hKUmSZFwl5TVY2jihNNLwxLm5uTg5ORlSjauqqkr3srC42gdtXl/5+fnY29sbreu1dv4ODg6GVOMqKyvD1NRU9zIWtVqNpaWl0Y59rcLCQmxtbY3a/T4vL093HBhzGYx5HrjoRlgG7b5wdKw7pHzj69GjB99//70hVeull17iyJEjRj1O/hc3wn693vJys3G0vXW7I+ara4z222VsN+PxfLWKi4uxsjRvcuegvPwCFMmxZzWedjfylU5Jkm4lCisnFDZyFF9JkiRJkiRJut6UJuYi+Jd3AEiSJEmSJEmSJEnSTU2pfX6+JEmSJEmSJEmSJEk3N0VKXKTG49Ko8zVkxiWi8fCjmfYB+ldQU1VJ1Jlgip3a0tPPHqrKCYs4S26x9rn99XkHdqOVkynV5SWEnTmD0qM9nbzqPyqhtrwAUV4j3T9TU01qWirNPH3QFKQSX+VCG9dru+e2pqyQ6JwaAr2ufZlLs1OIyFXRpY2b7jnx14WmiqSYaLHvAnEqiuV8hSsdmzvVe8BD1vkwiu1b0dzlyo+2q1bnEFNkTqC7DRnnwih3ao2v0//+fPkL8ZFkmHpiX5pMtWtb3CuSOXU+k5o6bU7OPgF08HXgau+eUadFUWjbimYWVYTHpNA6sCWWygaf1mgQxzV55l5YFSehdG9Hcwd5m0tTIW8BkCRJkiRJkqR/R218WBzHq0++xEez5jF9+hu88evJeoHaRYXntvDhW9OZ8OLXJJbq85RKE91zo01iNzL5w7kUV+nTF+Oy5BO/8/H0OUx+ewHZDdoJigzlPfjCN5fK+7eVl5xm2rSFFJWXs3v+f/l8V7rhnasXH7yeNxafNKSuTerhP3jiy12UGNLXRVUJy+dM59eIShQKpdgnl4fUe394k4WHEqgxpOvTcGbnL3ywJkaX0pbx/xrTQlPD1kWzeX1lGEu+msa8U2oSdizgybc3UKQ9VnSvOKZOeo/gLLXhQ/8kl3kvvsnmmGLxbwUmfzVQVk0Va+bO4O0/wpn7+XssDC0zvCFJkiRJkiRJknTrUmqqDVG+wp03P38JRVUcOXaDeH9s90sBfK0y9sxbguc9TzGg8ijHY3PA1JwOQR25rXd3bmvvhaWdE717in+LdAtH7WjKarYt+pO+TzxK26wDRF/QBm8XifJ+WorHmCe5veoox2JEeVdSWU1EyH7Wbd7B9uDz6Be5nMjgEySEH9Plbzh0TuRcrrKkgL27duimWXcghnIRKB/ff5TIuCQ2bdvJjtOJJJw+ztkLhVSXFLJv327dtHujs3Wfr64sJCQ8hrhTe3T5e8LSqS7P5MDB06RGh3IwNFVMc6Xla0AjAuzDYhm27CYsu0Abv+rUlBZz8IC+7N2RmfrMi2oqOXMqmMTian26upzThw8RLz6eHXVEv06ivDMpBfWGcagqK6ZA93hHsYXzM9i6XUy36xR5qtrQvyAhjPVb9NvlUFSWWPd0DhyNJOXsKU7FZlOqLqBUrJe24PKsaDEf/bSRWfqtnJ92jmPnMjm2X+Rv28/57AbNGQoFXl7N6RXoSyu3bnRuIY4FS/GfjRe9tMeK7jWBsb1yWRmSR0lWEtvDYjgo9tXWfacproJzJ3bp13HHES6oK8iIi+BwXB4hh4NJL6+gsEitb8woSL60LgdCUqgWB66fhx892vkS4NKNoBZ/0VAgSZIkSZIkSZJ0C6kdBNDairT9C2k28jVGme3hSEK+foo6NBfO8vGRYgYPv5uXxgfwy9bjVF35cvIlmvhDfBNtwoDed/HYMCfm7TpneEdf3szDRQweMYaXH2gryjt2hfI0RG+bznvLI/DzbcbhRZ/x3sYkkVvIz1On8OHufNq0dGTntDeZvT3R8BkDTQ2/fvwSISXWYhpP4ldM4x3xWQ8fV2ytbGnVwg9Peyvs3DxxsTZj089v89u5Gtp4WTL/9ef5+UQe5eokpj39CEuTXEQZSr574S0OJlbh6eGIlYMb3m42nNs+g/d+CcfX150ji8Xy/ZlYLyDXrsOx71/go9+T8PFxZte+fZRo43OxfDuXvM2SM6W09rZh6Vsv8O3hOo0gimpC/1jA00tCdeWVZ8Ty6uvLCI8/zPhZu3Ft2RzfZtVM+/Q7CspExGwQt/VHpq0IpVKU/91rrxChcsKTKL7eqW98UWfEMWXGr9j6+4l1smPhpx8Qk6/E3dUOGyd33J0s2b9gJmtC0ylMjWLS5A9ItfWnjV0qr700k9TCCuKPbODhJ14gRdUcByJ5+N1fqKzXZURBvwdf4fVBXtz94vOM8RPRf8MGJbF8FZUKzM2UZJ3Zw+NPi2WtdKOFrxvn13zGy78n4yfW0bo4nHs/34KlgxNOKjPcvdwxK87h4/8sJL0kh/+89Q7HK7TrYsvCWR9yIquMIY+9ycu3eTB+6kuM9DbOI9UkSZIkSZIkSZJuJMrq8upLgVn3Oz9j2vjeTJr6JXcGNLy3XUPwwX2Ytn6Ivi1N8B10D6k795Fe/TctADWVbF+3hWbdJhHgrqTd7SM4tHIrWbo3NYQc3C/Km0g/UZ7PoDGk77pCefmxvDj7NBOfeoQuHTryxovDOfDNXOJLodreg3HDu9EuoDv3Da3mXEw6tWGwoI6n2PV2HryjCzlRZyi3rSJ06xmc/Jtha2VHQOuWeDlY4+DuhVvuXmat0/DKvQNp16k//323C+sWrUEtNk+lZ3ceHd5WzGcwgzplEleowcvbCWtHD/ytMnhpVhgTnnqUrh2CxPKNEMs3j7g6tzNU5UUzfXkCD7/6BN06dOLtyQ9iLYJeUnaLQF3Ni+OG0r5jH76a1ocNc3+l4OJKKCy477EhFK9drSsvJSGcypGjCSzL5rHnnyTQqoLQ0ykURMRwuFx/xV/HXP9HHbGATYWteaR3N3oOfog5d/vq8kvzEhgyfhI93Mw5fSqOiqJM9heAl7sDtq5eeDlbozDc+h9/dBVlAx7n2X6tadf/UR5um863hy+gHbzALGgcd/VuRfeOg7AoPE9ag3tGrOxFwG5piq2zA9YmYn3FIuZnh7F0yQrmal/ffMCKwu680MNVFAa2TkO5e0Qn2vjak6x24JUXJuKQH09UUg4pKw+Q6OSCk0qFh58nNtrtJz5DZTln0myxIAXv5r1ZtHoBvd1sxL5xxtHCFDtXR6yvcDuEJEmSJEmSJEnSrUZZ96qsxrx+AFeXprqUjbu2kB67kruG3cfwJ/5DevwOPtuU3OBqd63Kkix+PRhC/MmfGSI+c98bCymOXsl3uzKo0Za3ezNpsav05T3+H9Lid/Jpg/JK8nI5X5jBR88+TE8x3R3PLqLULB21tse5ygx7M20UKNSJfy+x8KIm9nfuvPtBvthUQu+2PrrsKy1vTvx5IhNDeWD8eN18Rr6/n1JNDlXa3vc2VjhcvCG+XguDdvnyOF+UzvTn9Ms3SCxfiVka6jq3tZcXFJFU3pbm3vq0tYs1ShMFuUmJRGmvsE94QPfZYW/toNwkm8o662Ld8jYGNwvnVEw6G5et4OmRPbC2sGDetCcY/NAXKDp0pbl9g0H9DOPd5Z1PoNohAAtDg4CTv5Pur8rKjc0/TOX2+98lxaUtQW72uvx620V794ZQXlCKp4/bpfEAmnk4k1+g3Sji4HFx0Pbq13/wH3qC6IhpbOxbMGzYHYzWvsa/xIZvX8LNRuxDsc4m7o768pQWNFOm8Moj47j7pW349+2GjUq/UvWWUbtMYl2+Xvw6eUtmMfCue7jjkbeJz9cvnyRJkiRJkiRJklRLqTRVXjkibqAyYSMbz7dl7461HN++hpO71rF15t3s+W0paX8xml3WmfVEqkZyfO86/Wf2rOPPN/qweeVKsmM38WdsW/bVKW/bzDHsbVCelYMj/nbezJy3XDfd8d+/4OGx9+Npa5jgIkOQW0/sFr4824JfV/3B+p8mYZZXYHjjcs5+zWnr35mVq1bq5nN00fuMHzYAS0MgfInK8NdAt3y27syYa1i+375g0thxeNkZJhBUlpZ4mUaRkKZPl+SUoKnR4OTjSxvvjvzy2+/6zy75iPEjhmBTd12ULowe3IY96xawPsaL3s2dxLb6Dd+HPyFk/0IeCnSirKjBDjA0Pth7+aEsiKXcMPBifrJ+/RP3L6e49wuc2L2cqcNao9aOSdCQoRFCZWdJRlrOpadFJsWnYWXXYER9bSDeIOuKxDSmZja4ezTDy/BysjJs4LrbuSSbr9ZF8+icpZw59gW9rDS6cRbq0TY4aNdLocTeqRVfrtlF8M7l3Gsfw6wtSbpJJEmSJEmSJEmSpFrKmkoRSdXpBXBFNZVsm7+c5v1H4WVruOKOkg73T6RL4lGOn9d36q+nppwti9czYNRgnLTdtXVM6f7UFDzD9zDvs3n4Nyiv/f0T6Jp4hOPn6pTn0Jp3x9jz6/xfOB0dxXdfzONwpSuOFz920ZVGAHTzpb1JNkeDwwk9sp/Z2+OoEeuiwAIzRSlxibmobCwpykwjy2UgTwRm8M26A0TFBvP2S9+RqnJFdXHRLzIExmZmllQXZ5JU1ox37nEWy7eMULF83/9nHocaLJ+ZWzs+nOzLT7O/JDj8LHNX70JdISJqn0E82yWH71fvJjI2lPde+Zo4MzfMG8wzcPiTnNu6iuq+9+DjYIqHX1sO7DssljOO7Yu/ZldyKVV1e0BY6//Ydn2cu+xD+GLjCaIObuadrRm6fHv/VsSFhRAZc54Dv37H0shSKis1WFhYUpaXTlpuCRrD9mzeeyymexby09FzRB1ZxqKzbjzbo8Ej2rSNA1dz0b1hY0pd2nW+eByqLOjla82fOw7p1vG3pUtJV5dRVW2Cnb0ZF5LTKdaI41bbGKPO4rWnX2LuEbF8sRmozW0IamHYAJIkSZIkSZIkSdIlitTEKI27uYi8/q4RoErNwZ2HcOp6O+3c6l9qjzqwmQKf3vTSdi/PiWHdmULuvK075tX57N51ilZ9BuDrUD9aP71nPWdyFHQdMPzy8kSgWuAlymuu766upampIuTwbiLSS8C5ORMGdsRUWc6JA0fx69JP14U8I2wPseYd6BfgWm9VsmNPsCU0VUThtgzs5EZYqglDewcQfnQX5ws8uKOnFdv3xxDYqw8dnBXs2HOQbHUlSp/OPNTbn6qKfPadiOO23l1QmSiIOrUTU/+++FuWs3X3IVQuQaIMb84c2UW4tuvCpeVrsEHNNJzcup7IXBO83N1Qq9wZ0csPZVkRu/YeIKOoAryCmNS3peEDdVSVsv/AQcxb9aOXj5W2Xz4bxf7IK6nA3CUAf6sCHNp0oiLqBIhpPHNPcLLUl8GdPaksSmXTzhOUVNnTrq0FJg7t6ORhzsEDB0jIVoNdC3p5l6N2CqSDdTEbdp/CvU03mqnDKfPqSQdPO0rTIvjj0DkR52sI6j+CzuLzuUmRHMxz5O5OHlSWFLLnxDn6DeiC9d88OzA/LpQD8ZYMHRxAw2H51BfOsysORoj113WyyE9k+c5QajQa3P0CKc3JpMeg27BIOcbGkFIGDO/C+dAYevTvjumFs5eWz8k9gKH9Ai9vuJGaDIWVEwqbBo1MkiRJkiRJkiT9vymSz53VeNpeTf9tSZKkf59sAJAkSZIkSZKkf4dS131bkiRJkiRJkiRJkqSbmtJEO7q6bASQJEmSJEmSJEmSpJuaIjkpUePt0cyQlCRJMjKliXj93YiRkiRJkiRJkiRdO/g/8LYOblzp6Y0AAAAASUVORK5CYII="/>
        <xdr:cNvSpPr>
          <a:spLocks noChangeAspect="1" noChangeArrowheads="1"/>
        </xdr:cNvSpPr>
      </xdr:nvSpPr>
      <xdr:spPr bwMode="auto">
        <a:xfrm>
          <a:off x="22974300" y="23945850"/>
          <a:ext cx="304800" cy="304801"/>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https://afkl.sharepoint.com/teams/QSE-DEA-NORD/Documents%20partages/DOSSIER%20SST/FICHIERS%20AT/Suivi%20AT%202018/Tableau_Enregistrement_Accidents%202018.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ENU"/>
      <sheetName val="MENU DEPANNAGE"/>
      <sheetName val="MATRICE"/>
      <sheetName val="AGE"/>
      <sheetName val="AT GLOBAL DEA"/>
      <sheetName val="PA-SD-MP"/>
      <sheetName val="REPARTITION AT"/>
      <sheetName val="CHIFFRES HEBDO"/>
      <sheetName val="AT AGE"/>
      <sheetName val="LESIONS"/>
      <sheetName val="RISQUES AYANT GENERE"/>
      <sheetName val="ELEMENTS MATERIELS"/>
      <sheetName val="GRAPHIQUES"/>
      <sheetName val="HOMME PROFIL"/>
      <sheetName val="STATISTIQUES MT-ME"/>
      <sheetName val="STATISTIQUES MT-UD"/>
      <sheetName val="TABLEAU DE BORD"/>
      <sheetName val="CHIFFRE TABLEAU DE BORD"/>
      <sheetName val="INFORMATIONS"/>
      <sheetName val="Donnees_Listes_Deroulantes"/>
      <sheetName val="RECHERCHE"/>
      <sheetName val="Liste"/>
      <sheetName val="IMAGE"/>
    </sheetNames>
    <sheetDataSet>
      <sheetData sheetId="0"/>
      <sheetData sheetId="1"/>
      <sheetData sheetId="2">
        <row r="5">
          <cell r="D5" t="str">
            <v>MT HB PR</v>
          </cell>
          <cell r="F5" t="str">
            <v>30 à 34 ans</v>
          </cell>
          <cell r="G5" t="str">
            <v>S</v>
          </cell>
          <cell r="I5" t="str">
            <v>O</v>
          </cell>
          <cell r="P5" t="str">
            <v>janvier</v>
          </cell>
          <cell r="AF5" t="str">
            <v>Acceptation</v>
          </cell>
          <cell r="AG5" t="str">
            <v>Acceptation</v>
          </cell>
        </row>
        <row r="6">
          <cell r="D6" t="str">
            <v>MT HB QU</v>
          </cell>
          <cell r="F6" t="str">
            <v>40 à 44 ans</v>
          </cell>
          <cell r="G6" t="str">
            <v>S</v>
          </cell>
          <cell r="I6" t="str">
            <v>N</v>
          </cell>
          <cell r="P6" t="str">
            <v>janvier</v>
          </cell>
          <cell r="AF6">
            <v>0</v>
          </cell>
          <cell r="AG6">
            <v>0</v>
          </cell>
        </row>
        <row r="7">
          <cell r="D7" t="str">
            <v>MT QJ</v>
          </cell>
          <cell r="F7" t="str">
            <v>40 à 44 ans</v>
          </cell>
          <cell r="G7" t="str">
            <v>S</v>
          </cell>
          <cell r="I7" t="str">
            <v>O</v>
          </cell>
          <cell r="P7" t="str">
            <v>janvier</v>
          </cell>
          <cell r="AF7">
            <v>0</v>
          </cell>
          <cell r="AG7">
            <v>0</v>
          </cell>
        </row>
        <row r="8">
          <cell r="D8" t="str">
            <v>MT CG PR</v>
          </cell>
          <cell r="F8" t="str">
            <v>45 à 49 ans</v>
          </cell>
          <cell r="G8" t="str">
            <v>S</v>
          </cell>
          <cell r="I8" t="str">
            <v>N</v>
          </cell>
          <cell r="P8" t="str">
            <v>janvier</v>
          </cell>
          <cell r="AF8">
            <v>0</v>
          </cell>
          <cell r="AG8">
            <v>0</v>
          </cell>
        </row>
        <row r="9">
          <cell r="D9" t="str">
            <v>BLDPTDTL</v>
          </cell>
          <cell r="F9" t="str">
            <v>20 à 24 ans</v>
          </cell>
          <cell r="G9" t="str">
            <v>S</v>
          </cell>
          <cell r="I9" t="str">
            <v>O</v>
          </cell>
          <cell r="P9" t="str">
            <v>janvier</v>
          </cell>
          <cell r="AF9" t="str">
            <v>Acceptation</v>
          </cell>
          <cell r="AG9" t="str">
            <v>Acceptation</v>
          </cell>
        </row>
        <row r="10">
          <cell r="D10" t="str">
            <v>MT CG PR</v>
          </cell>
          <cell r="F10" t="str">
            <v>40 à 44 ans</v>
          </cell>
          <cell r="G10" t="str">
            <v>S</v>
          </cell>
          <cell r="I10" t="str">
            <v>N</v>
          </cell>
          <cell r="P10" t="str">
            <v>janvier</v>
          </cell>
          <cell r="AF10" t="str">
            <v>Classement</v>
          </cell>
          <cell r="AG10" t="str">
            <v>Classement</v>
          </cell>
        </row>
        <row r="11">
          <cell r="D11" t="str">
            <v>MT CG PR</v>
          </cell>
          <cell r="F11" t="str">
            <v>40 à 44 ans</v>
          </cell>
          <cell r="G11" t="str">
            <v>S</v>
          </cell>
          <cell r="I11" t="str">
            <v>O</v>
          </cell>
          <cell r="P11" t="str">
            <v>janvier</v>
          </cell>
          <cell r="AF11" t="str">
            <v>Acceptation</v>
          </cell>
          <cell r="AG11" t="str">
            <v>Acceptation</v>
          </cell>
        </row>
        <row r="12">
          <cell r="D12" t="str">
            <v>MT JK PR</v>
          </cell>
          <cell r="F12" t="str">
            <v>35 à 39 ans</v>
          </cell>
          <cell r="G12" t="str">
            <v>S</v>
          </cell>
          <cell r="I12" t="str">
            <v>O</v>
          </cell>
          <cell r="P12" t="str">
            <v>janvier</v>
          </cell>
          <cell r="AF12" t="str">
            <v>Acceptation</v>
          </cell>
          <cell r="AG12" t="str">
            <v>Acceptation</v>
          </cell>
        </row>
        <row r="13">
          <cell r="D13" t="str">
            <v>MT JK PR</v>
          </cell>
          <cell r="F13" t="str">
            <v>35 à 39 ans</v>
          </cell>
          <cell r="G13" t="str">
            <v>S</v>
          </cell>
          <cell r="I13" t="str">
            <v>N</v>
          </cell>
          <cell r="P13" t="str">
            <v>janvier</v>
          </cell>
          <cell r="AF13">
            <v>0</v>
          </cell>
          <cell r="AG13">
            <v>0</v>
          </cell>
        </row>
        <row r="14">
          <cell r="D14" t="str">
            <v>MT JK PR</v>
          </cell>
          <cell r="F14" t="str">
            <v>40 à 44 ans</v>
          </cell>
          <cell r="G14" t="str">
            <v>S</v>
          </cell>
          <cell r="I14" t="str">
            <v>N</v>
          </cell>
          <cell r="P14" t="str">
            <v>janvier</v>
          </cell>
          <cell r="AF14">
            <v>0</v>
          </cell>
          <cell r="AG14">
            <v>0</v>
          </cell>
        </row>
        <row r="15">
          <cell r="D15" t="str">
            <v>MT CA PR</v>
          </cell>
          <cell r="F15" t="str">
            <v>35 à 39 ans</v>
          </cell>
          <cell r="G15" t="str">
            <v>S</v>
          </cell>
          <cell r="I15" t="str">
            <v>O</v>
          </cell>
          <cell r="P15" t="str">
            <v>janvier</v>
          </cell>
          <cell r="AF15" t="str">
            <v>Acceptation</v>
          </cell>
          <cell r="AG15" t="str">
            <v>Acceptation</v>
          </cell>
        </row>
        <row r="16">
          <cell r="D16" t="str">
            <v>MT QJ</v>
          </cell>
          <cell r="F16" t="str">
            <v>35 à 39 ans</v>
          </cell>
          <cell r="G16" t="str">
            <v>S</v>
          </cell>
          <cell r="I16" t="str">
            <v>N</v>
          </cell>
          <cell r="P16" t="str">
            <v>janvier</v>
          </cell>
          <cell r="AF16" t="str">
            <v>Classement</v>
          </cell>
          <cell r="AG16" t="str">
            <v>Classement</v>
          </cell>
        </row>
        <row r="17">
          <cell r="D17" t="str">
            <v>MT HB PR</v>
          </cell>
          <cell r="F17" t="str">
            <v>50 à 54 ans</v>
          </cell>
          <cell r="G17" t="str">
            <v>S</v>
          </cell>
          <cell r="I17" t="str">
            <v>O</v>
          </cell>
          <cell r="P17" t="str">
            <v>janvier</v>
          </cell>
          <cell r="AE17">
            <v>43146</v>
          </cell>
          <cell r="AF17" t="str">
            <v>Acceptation</v>
          </cell>
          <cell r="AG17" t="str">
            <v>Acceptation</v>
          </cell>
        </row>
        <row r="18">
          <cell r="D18" t="str">
            <v>MT QJ</v>
          </cell>
          <cell r="F18" t="str">
            <v>40 à 44 ans</v>
          </cell>
          <cell r="G18" t="str">
            <v>S</v>
          </cell>
          <cell r="I18" t="str">
            <v>N</v>
          </cell>
          <cell r="P18" t="str">
            <v>janvier</v>
          </cell>
          <cell r="AF18">
            <v>0</v>
          </cell>
          <cell r="AG18">
            <v>0</v>
          </cell>
        </row>
        <row r="19">
          <cell r="D19" t="str">
            <v>MT QJ</v>
          </cell>
          <cell r="F19" t="str">
            <v>45 à 49 ans</v>
          </cell>
          <cell r="G19" t="str">
            <v>S</v>
          </cell>
          <cell r="I19" t="str">
            <v>O</v>
          </cell>
          <cell r="P19" t="str">
            <v>janvier</v>
          </cell>
          <cell r="AF19">
            <v>0</v>
          </cell>
          <cell r="AG19">
            <v>0</v>
          </cell>
        </row>
        <row r="20">
          <cell r="D20" t="str">
            <v>MRSKI</v>
          </cell>
          <cell r="F20" t="str">
            <v>55 à 59 ans</v>
          </cell>
          <cell r="G20" t="str">
            <v>S</v>
          </cell>
          <cell r="I20" t="str">
            <v>N</v>
          </cell>
          <cell r="P20" t="str">
            <v>janvier</v>
          </cell>
          <cell r="AE20">
            <v>43144</v>
          </cell>
          <cell r="AF20" t="str">
            <v>Classement</v>
          </cell>
          <cell r="AG20" t="str">
            <v>Classement</v>
          </cell>
        </row>
        <row r="21">
          <cell r="D21" t="str">
            <v>MT QJ</v>
          </cell>
          <cell r="F21" t="str">
            <v>45 à 49 ans</v>
          </cell>
          <cell r="G21" t="str">
            <v>S</v>
          </cell>
          <cell r="I21" t="str">
            <v>N</v>
          </cell>
          <cell r="P21" t="str">
            <v>janvier</v>
          </cell>
          <cell r="AF21">
            <v>0</v>
          </cell>
          <cell r="AG21">
            <v>0</v>
          </cell>
        </row>
        <row r="22">
          <cell r="D22" t="str">
            <v>MT YC PR</v>
          </cell>
          <cell r="F22" t="str">
            <v>35 à 39 ans</v>
          </cell>
          <cell r="G22" t="str">
            <v>T</v>
          </cell>
          <cell r="I22" t="str">
            <v>O</v>
          </cell>
          <cell r="P22" t="str">
            <v>janvier</v>
          </cell>
          <cell r="AF22" t="str">
            <v>Acceptation</v>
          </cell>
          <cell r="AG22" t="str">
            <v>Acceptation</v>
          </cell>
        </row>
        <row r="23">
          <cell r="D23" t="str">
            <v>MT CA PR</v>
          </cell>
          <cell r="F23" t="str">
            <v>30 à 34 ans</v>
          </cell>
          <cell r="G23" t="str">
            <v>S</v>
          </cell>
          <cell r="I23" t="str">
            <v>O</v>
          </cell>
          <cell r="P23" t="str">
            <v>janvier</v>
          </cell>
          <cell r="AF23" t="str">
            <v>Acceptation</v>
          </cell>
          <cell r="AG23" t="str">
            <v>Acceptation</v>
          </cell>
        </row>
        <row r="24">
          <cell r="D24" t="str">
            <v>MT QJ</v>
          </cell>
          <cell r="F24" t="str">
            <v>45 à 49 ans</v>
          </cell>
          <cell r="G24" t="str">
            <v>S</v>
          </cell>
          <cell r="I24" t="str">
            <v>N</v>
          </cell>
          <cell r="P24" t="str">
            <v>janvier</v>
          </cell>
          <cell r="AF24" t="str">
            <v>Classement</v>
          </cell>
          <cell r="AG24" t="str">
            <v>Classement</v>
          </cell>
        </row>
        <row r="25">
          <cell r="D25" t="str">
            <v>MT YC PR</v>
          </cell>
          <cell r="F25" t="str">
            <v>40 à 44 ans</v>
          </cell>
          <cell r="G25" t="str">
            <v>S</v>
          </cell>
          <cell r="I25" t="str">
            <v>N</v>
          </cell>
          <cell r="P25" t="str">
            <v>janvier</v>
          </cell>
          <cell r="AF25">
            <v>0</v>
          </cell>
          <cell r="AG25">
            <v>0</v>
          </cell>
        </row>
        <row r="26">
          <cell r="D26" t="str">
            <v>MT CA PR</v>
          </cell>
          <cell r="F26" t="str">
            <v>40 à 44 ans</v>
          </cell>
          <cell r="G26" t="str">
            <v>S</v>
          </cell>
          <cell r="I26" t="str">
            <v>O</v>
          </cell>
          <cell r="P26" t="str">
            <v>janvier</v>
          </cell>
          <cell r="AF26">
            <v>0</v>
          </cell>
          <cell r="AG26">
            <v>0</v>
          </cell>
        </row>
        <row r="27">
          <cell r="D27" t="str">
            <v>MT UD TO</v>
          </cell>
          <cell r="F27" t="str">
            <v>50 à 54 ans</v>
          </cell>
          <cell r="G27" t="str">
            <v>S</v>
          </cell>
          <cell r="I27" t="str">
            <v>N</v>
          </cell>
          <cell r="P27" t="str">
            <v>janvier</v>
          </cell>
          <cell r="AF27" t="str">
            <v>Acceptation</v>
          </cell>
          <cell r="AG27" t="str">
            <v>Acceptation</v>
          </cell>
        </row>
        <row r="28">
          <cell r="D28" t="str">
            <v>MT QJ</v>
          </cell>
          <cell r="F28" t="str">
            <v>35 à 39 ans</v>
          </cell>
          <cell r="G28" t="str">
            <v>S</v>
          </cell>
          <cell r="I28" t="str">
            <v>O</v>
          </cell>
          <cell r="P28" t="str">
            <v>janvier</v>
          </cell>
          <cell r="AF28" t="str">
            <v>Rejet</v>
          </cell>
          <cell r="AG28" t="str">
            <v>Rejet</v>
          </cell>
        </row>
        <row r="29">
          <cell r="D29" t="str">
            <v>MT CA PR</v>
          </cell>
          <cell r="F29" t="str">
            <v>35 à 39 ans</v>
          </cell>
          <cell r="G29" t="str">
            <v>S</v>
          </cell>
          <cell r="I29" t="str">
            <v>O</v>
          </cell>
          <cell r="P29" t="str">
            <v>janvier</v>
          </cell>
          <cell r="AF29">
            <v>0</v>
          </cell>
          <cell r="AG29">
            <v>0</v>
          </cell>
        </row>
        <row r="30">
          <cell r="D30" t="str">
            <v>MT HB PR</v>
          </cell>
          <cell r="F30" t="str">
            <v>40 à 44 ans</v>
          </cell>
          <cell r="G30" t="str">
            <v>S</v>
          </cell>
          <cell r="I30" t="str">
            <v>N</v>
          </cell>
          <cell r="P30" t="str">
            <v>janvier</v>
          </cell>
          <cell r="AF30">
            <v>0</v>
          </cell>
          <cell r="AG30">
            <v>0</v>
          </cell>
        </row>
        <row r="31">
          <cell r="D31" t="str">
            <v>MT CG PR</v>
          </cell>
          <cell r="F31" t="str">
            <v>30 à 34 ans</v>
          </cell>
          <cell r="G31" t="str">
            <v>S</v>
          </cell>
          <cell r="I31" t="str">
            <v>N</v>
          </cell>
          <cell r="P31" t="str">
            <v>janvier</v>
          </cell>
          <cell r="AF31">
            <v>0</v>
          </cell>
          <cell r="AG31">
            <v>0</v>
          </cell>
        </row>
        <row r="32">
          <cell r="D32" t="str">
            <v>MT HB PR</v>
          </cell>
          <cell r="F32" t="str">
            <v>35 à 39 ans</v>
          </cell>
          <cell r="G32" t="str">
            <v>S</v>
          </cell>
          <cell r="I32" t="str">
            <v>O</v>
          </cell>
          <cell r="P32" t="str">
            <v>janvier</v>
          </cell>
          <cell r="AE32">
            <v>43154</v>
          </cell>
          <cell r="AF32" t="str">
            <v>Acceptation</v>
          </cell>
          <cell r="AG32" t="str">
            <v>Acceptation</v>
          </cell>
        </row>
        <row r="33">
          <cell r="D33" t="str">
            <v>MT CA SU</v>
          </cell>
          <cell r="F33" t="str">
            <v>50 à 54 ans</v>
          </cell>
          <cell r="G33" t="str">
            <v>S</v>
          </cell>
          <cell r="I33" t="str">
            <v>N</v>
          </cell>
          <cell r="P33" t="str">
            <v>janvier</v>
          </cell>
          <cell r="AF33" t="str">
            <v>Classement</v>
          </cell>
          <cell r="AG33" t="str">
            <v>Classement</v>
          </cell>
        </row>
        <row r="34">
          <cell r="D34" t="str">
            <v>PTPKI</v>
          </cell>
          <cell r="F34" t="str">
            <v>55 à 59 ans</v>
          </cell>
          <cell r="G34" t="str">
            <v>S</v>
          </cell>
          <cell r="I34" t="str">
            <v>N</v>
          </cell>
          <cell r="P34" t="str">
            <v>janvier</v>
          </cell>
          <cell r="AF34">
            <v>0</v>
          </cell>
          <cell r="AG34">
            <v>0</v>
          </cell>
        </row>
        <row r="35">
          <cell r="D35" t="str">
            <v>MT CG PR</v>
          </cell>
          <cell r="F35" t="str">
            <v>30 à 34 ans</v>
          </cell>
          <cell r="G35" t="str">
            <v>S</v>
          </cell>
          <cell r="I35" t="str">
            <v>O</v>
          </cell>
          <cell r="P35" t="str">
            <v>janvier</v>
          </cell>
          <cell r="AF35" t="str">
            <v>Acceptation</v>
          </cell>
          <cell r="AG35" t="str">
            <v>Acceptation</v>
          </cell>
        </row>
        <row r="36">
          <cell r="D36" t="str">
            <v>MT HB PR</v>
          </cell>
          <cell r="F36" t="str">
            <v>35 à 39 ans</v>
          </cell>
          <cell r="G36" t="str">
            <v>S</v>
          </cell>
          <cell r="I36" t="str">
            <v>O</v>
          </cell>
          <cell r="P36" t="str">
            <v>janvier</v>
          </cell>
          <cell r="AE36">
            <v>43181</v>
          </cell>
          <cell r="AF36">
            <v>0</v>
          </cell>
          <cell r="AG36">
            <v>0</v>
          </cell>
        </row>
        <row r="37">
          <cell r="D37" t="str">
            <v>MT HB PR</v>
          </cell>
          <cell r="F37" t="str">
            <v>35 à 39 ans</v>
          </cell>
          <cell r="G37" t="str">
            <v>S</v>
          </cell>
          <cell r="I37" t="str">
            <v>O</v>
          </cell>
          <cell r="P37" t="str">
            <v>janvier</v>
          </cell>
          <cell r="AE37">
            <v>43181</v>
          </cell>
          <cell r="AF37">
            <v>0</v>
          </cell>
          <cell r="AG37">
            <v>0</v>
          </cell>
        </row>
        <row r="38">
          <cell r="D38" t="str">
            <v>MT YC PR</v>
          </cell>
          <cell r="F38" t="str">
            <v>50 à 54 ans</v>
          </cell>
          <cell r="G38" t="str">
            <v>S</v>
          </cell>
          <cell r="I38" t="str">
            <v>N</v>
          </cell>
          <cell r="P38" t="str">
            <v>janvier</v>
          </cell>
          <cell r="AF38" t="str">
            <v>Classement</v>
          </cell>
          <cell r="AG38" t="str">
            <v>Classement</v>
          </cell>
        </row>
        <row r="39">
          <cell r="D39" t="str">
            <v>MT HB PR</v>
          </cell>
          <cell r="F39" t="str">
            <v>50 à 54 ans</v>
          </cell>
          <cell r="G39" t="str">
            <v>S</v>
          </cell>
          <cell r="I39" t="str">
            <v>O</v>
          </cell>
          <cell r="P39" t="str">
            <v>janvier</v>
          </cell>
          <cell r="AF39" t="str">
            <v>Acceptation</v>
          </cell>
          <cell r="AG39" t="str">
            <v>Acceptation</v>
          </cell>
        </row>
        <row r="40">
          <cell r="D40" t="str">
            <v>MT UH</v>
          </cell>
          <cell r="F40" t="str">
            <v>55 à 59 ans</v>
          </cell>
          <cell r="G40" t="str">
            <v>T</v>
          </cell>
          <cell r="I40" t="str">
            <v>O</v>
          </cell>
          <cell r="P40" t="str">
            <v>janvier</v>
          </cell>
          <cell r="AF40" t="str">
            <v>Classement</v>
          </cell>
          <cell r="AG40" t="str">
            <v>Classement</v>
          </cell>
        </row>
        <row r="41">
          <cell r="D41" t="str">
            <v>MT YC PR</v>
          </cell>
          <cell r="F41" t="str">
            <v>55 à 59 ans</v>
          </cell>
          <cell r="G41" t="str">
            <v>S</v>
          </cell>
          <cell r="I41" t="str">
            <v>N</v>
          </cell>
          <cell r="P41" t="str">
            <v>janvier</v>
          </cell>
          <cell r="AF41" t="str">
            <v>Classement</v>
          </cell>
          <cell r="AG41" t="str">
            <v>Classement</v>
          </cell>
        </row>
        <row r="42">
          <cell r="D42" t="str">
            <v>MT QJ</v>
          </cell>
          <cell r="F42" t="str">
            <v>40 à 44 ans</v>
          </cell>
          <cell r="G42" t="str">
            <v>S</v>
          </cell>
          <cell r="I42" t="str">
            <v>N</v>
          </cell>
          <cell r="P42" t="str">
            <v>janvier</v>
          </cell>
          <cell r="AF42">
            <v>0</v>
          </cell>
          <cell r="AG42">
            <v>0</v>
          </cell>
        </row>
        <row r="43">
          <cell r="D43" t="str">
            <v>BLDPVDOR</v>
          </cell>
          <cell r="F43" t="str">
            <v>20 à 24 ans</v>
          </cell>
          <cell r="G43" t="str">
            <v>T</v>
          </cell>
          <cell r="I43" t="str">
            <v>O</v>
          </cell>
          <cell r="P43" t="str">
            <v>janvier</v>
          </cell>
          <cell r="AF43" t="str">
            <v>Acceptation</v>
          </cell>
          <cell r="AG43" t="str">
            <v>Acceptation</v>
          </cell>
        </row>
        <row r="44">
          <cell r="D44" t="str">
            <v>MT CC PR</v>
          </cell>
          <cell r="F44" t="str">
            <v>55 à 59 ans</v>
          </cell>
          <cell r="G44" t="str">
            <v>S</v>
          </cell>
          <cell r="I44" t="str">
            <v>O</v>
          </cell>
          <cell r="P44" t="str">
            <v>février</v>
          </cell>
          <cell r="AF44" t="str">
            <v>Acceptation</v>
          </cell>
          <cell r="AG44" t="str">
            <v>Acceptation</v>
          </cell>
        </row>
        <row r="45">
          <cell r="D45" t="str">
            <v>MT HB PR</v>
          </cell>
          <cell r="F45" t="str">
            <v>40 à 44 ans</v>
          </cell>
          <cell r="G45" t="str">
            <v>S</v>
          </cell>
          <cell r="I45" t="str">
            <v>O</v>
          </cell>
          <cell r="P45" t="str">
            <v>février</v>
          </cell>
          <cell r="AF45" t="str">
            <v>Acceptation</v>
          </cell>
          <cell r="AG45" t="str">
            <v>Acceptation</v>
          </cell>
        </row>
        <row r="46">
          <cell r="D46" t="str">
            <v>MT UD TO</v>
          </cell>
          <cell r="F46" t="str">
            <v>30 à 34 ans</v>
          </cell>
          <cell r="G46" t="str">
            <v>T</v>
          </cell>
          <cell r="I46" t="str">
            <v>O</v>
          </cell>
          <cell r="P46" t="str">
            <v>février</v>
          </cell>
          <cell r="AF46" t="str">
            <v>Acceptation</v>
          </cell>
          <cell r="AG46" t="str">
            <v>Acceptation</v>
          </cell>
        </row>
        <row r="47">
          <cell r="D47" t="str">
            <v>MT CG SU</v>
          </cell>
          <cell r="F47" t="str">
            <v>35 à 39 ans</v>
          </cell>
          <cell r="G47" t="str">
            <v>T</v>
          </cell>
          <cell r="I47" t="str">
            <v>N</v>
          </cell>
          <cell r="P47" t="str">
            <v>février</v>
          </cell>
          <cell r="AF47" t="str">
            <v>Acceptation</v>
          </cell>
          <cell r="AG47" t="str">
            <v>Acceptation</v>
          </cell>
        </row>
        <row r="48">
          <cell r="D48" t="str">
            <v>MT CG PR</v>
          </cell>
          <cell r="F48" t="str">
            <v>45 à 49 ans</v>
          </cell>
          <cell r="G48" t="str">
            <v>S</v>
          </cell>
          <cell r="I48" t="str">
            <v>O</v>
          </cell>
          <cell r="P48" t="str">
            <v>février</v>
          </cell>
          <cell r="AF48">
            <v>0</v>
          </cell>
          <cell r="AG48">
            <v>0</v>
          </cell>
        </row>
        <row r="49">
          <cell r="D49" t="str">
            <v>MT CC PR</v>
          </cell>
          <cell r="F49" t="str">
            <v>30 à 34 ans</v>
          </cell>
          <cell r="G49" t="str">
            <v>T</v>
          </cell>
          <cell r="I49" t="str">
            <v>O</v>
          </cell>
          <cell r="P49" t="str">
            <v>février</v>
          </cell>
          <cell r="AF49" t="str">
            <v>Acceptation</v>
          </cell>
          <cell r="AG49" t="str">
            <v>Acceptation</v>
          </cell>
        </row>
        <row r="50">
          <cell r="D50" t="str">
            <v>MT HB PR</v>
          </cell>
          <cell r="F50" t="str">
            <v>50 à 54 ans</v>
          </cell>
          <cell r="G50" t="str">
            <v>S</v>
          </cell>
          <cell r="I50" t="str">
            <v>N</v>
          </cell>
          <cell r="P50" t="str">
            <v>février</v>
          </cell>
          <cell r="AF50">
            <v>0</v>
          </cell>
          <cell r="AG50">
            <v>0</v>
          </cell>
        </row>
        <row r="51">
          <cell r="D51" t="str">
            <v>BLDPMMOR</v>
          </cell>
          <cell r="F51" t="str">
            <v>Moins de 20 ans</v>
          </cell>
          <cell r="G51" t="str">
            <v>T</v>
          </cell>
          <cell r="I51" t="str">
            <v>N</v>
          </cell>
          <cell r="P51" t="str">
            <v>février</v>
          </cell>
          <cell r="AF51">
            <v>0</v>
          </cell>
          <cell r="AG51">
            <v>0</v>
          </cell>
        </row>
        <row r="52">
          <cell r="D52" t="str">
            <v>MT CI</v>
          </cell>
          <cell r="F52" t="str">
            <v>50 à 54 ans</v>
          </cell>
          <cell r="G52" t="str">
            <v>T</v>
          </cell>
          <cell r="I52" t="str">
            <v>N</v>
          </cell>
          <cell r="P52" t="str">
            <v>février</v>
          </cell>
          <cell r="AF52" t="str">
            <v>Classement</v>
          </cell>
          <cell r="AG52" t="str">
            <v>Classement</v>
          </cell>
        </row>
        <row r="53">
          <cell r="D53" t="str">
            <v>MT HB QU</v>
          </cell>
          <cell r="F53" t="str">
            <v>45 à 49 ans</v>
          </cell>
          <cell r="G53" t="str">
            <v>S</v>
          </cell>
          <cell r="I53" t="str">
            <v>O</v>
          </cell>
          <cell r="P53" t="str">
            <v>février</v>
          </cell>
          <cell r="AF53">
            <v>0</v>
          </cell>
          <cell r="AG53">
            <v>0</v>
          </cell>
        </row>
        <row r="54">
          <cell r="D54" t="str">
            <v>MT YH TA</v>
          </cell>
          <cell r="F54" t="str">
            <v>50 à 54 ans</v>
          </cell>
          <cell r="G54" t="str">
            <v>S</v>
          </cell>
          <cell r="I54" t="str">
            <v>N</v>
          </cell>
          <cell r="P54" t="str">
            <v>février</v>
          </cell>
          <cell r="AF54" t="str">
            <v>Classement</v>
          </cell>
          <cell r="AG54" t="str">
            <v>Classement</v>
          </cell>
        </row>
        <row r="55">
          <cell r="D55" t="str">
            <v>MT QS MO</v>
          </cell>
          <cell r="F55" t="str">
            <v>55 à 59 ans</v>
          </cell>
          <cell r="G55" t="str">
            <v>T</v>
          </cell>
          <cell r="I55" t="str">
            <v>N</v>
          </cell>
          <cell r="P55" t="str">
            <v>février</v>
          </cell>
          <cell r="AF55">
            <v>0</v>
          </cell>
          <cell r="AG55">
            <v>0</v>
          </cell>
        </row>
        <row r="56">
          <cell r="D56" t="str">
            <v>MT CG PR</v>
          </cell>
          <cell r="F56" t="str">
            <v>30 à 34 ans</v>
          </cell>
          <cell r="G56" t="str">
            <v>S</v>
          </cell>
          <cell r="I56" t="str">
            <v>N</v>
          </cell>
          <cell r="P56" t="str">
            <v>février</v>
          </cell>
          <cell r="AF56" t="str">
            <v>Classement</v>
          </cell>
          <cell r="AG56" t="str">
            <v>Classement</v>
          </cell>
        </row>
        <row r="57">
          <cell r="D57" t="str">
            <v>MT HB QO</v>
          </cell>
          <cell r="F57" t="str">
            <v>55 à 59 ans</v>
          </cell>
          <cell r="G57" t="str">
            <v>S</v>
          </cell>
          <cell r="I57" t="str">
            <v>N</v>
          </cell>
          <cell r="P57" t="str">
            <v>février</v>
          </cell>
          <cell r="AF57">
            <v>0</v>
          </cell>
          <cell r="AG57">
            <v>0</v>
          </cell>
        </row>
        <row r="58">
          <cell r="D58" t="str">
            <v>BLDPMMOR</v>
          </cell>
          <cell r="F58" t="str">
            <v>20 à 24 ans</v>
          </cell>
          <cell r="G58" t="str">
            <v>T</v>
          </cell>
          <cell r="I58" t="str">
            <v>N</v>
          </cell>
          <cell r="P58" t="str">
            <v>février</v>
          </cell>
          <cell r="AF58" t="str">
            <v>Classement</v>
          </cell>
          <cell r="AG58" t="str">
            <v>Classement</v>
          </cell>
        </row>
        <row r="59">
          <cell r="D59" t="str">
            <v>MT HB PR</v>
          </cell>
          <cell r="F59" t="str">
            <v>50 à 54 ans</v>
          </cell>
          <cell r="G59" t="str">
            <v>S</v>
          </cell>
          <cell r="I59" t="str">
            <v>N</v>
          </cell>
          <cell r="P59" t="str">
            <v>février</v>
          </cell>
          <cell r="AF59">
            <v>0</v>
          </cell>
          <cell r="AG59">
            <v>0</v>
          </cell>
        </row>
        <row r="60">
          <cell r="D60" t="str">
            <v>MT HB PR</v>
          </cell>
          <cell r="F60" t="str">
            <v>35 à 39 ans</v>
          </cell>
          <cell r="G60" t="str">
            <v>S</v>
          </cell>
          <cell r="I60" t="str">
            <v>O</v>
          </cell>
          <cell r="P60" t="str">
            <v>février</v>
          </cell>
          <cell r="AF60" t="str">
            <v>Acceptation</v>
          </cell>
          <cell r="AG60" t="str">
            <v>Acceptation</v>
          </cell>
        </row>
        <row r="61">
          <cell r="D61" t="str">
            <v>MT YC SU</v>
          </cell>
          <cell r="F61" t="str">
            <v>45 à 49 ans</v>
          </cell>
          <cell r="G61" t="str">
            <v>S</v>
          </cell>
          <cell r="I61" t="str">
            <v>N</v>
          </cell>
          <cell r="P61" t="str">
            <v>février</v>
          </cell>
          <cell r="AF61" t="str">
            <v>Classement</v>
          </cell>
          <cell r="AG61" t="str">
            <v>Classement</v>
          </cell>
        </row>
        <row r="62">
          <cell r="D62" t="str">
            <v>MT CG PR</v>
          </cell>
          <cell r="F62" t="str">
            <v>40 à 44 ans</v>
          </cell>
          <cell r="G62" t="str">
            <v>T</v>
          </cell>
          <cell r="I62" t="str">
            <v>O</v>
          </cell>
          <cell r="P62" t="str">
            <v>février</v>
          </cell>
          <cell r="AF62">
            <v>0</v>
          </cell>
          <cell r="AG62">
            <v>0</v>
          </cell>
        </row>
        <row r="63">
          <cell r="D63" t="str">
            <v>MT HB PR</v>
          </cell>
          <cell r="F63" t="str">
            <v>45 à 49 ans</v>
          </cell>
          <cell r="G63" t="str">
            <v>S</v>
          </cell>
          <cell r="I63" t="str">
            <v>O</v>
          </cell>
          <cell r="P63" t="str">
            <v>février</v>
          </cell>
          <cell r="AF63">
            <v>0</v>
          </cell>
          <cell r="AG63">
            <v>0</v>
          </cell>
        </row>
        <row r="64">
          <cell r="D64" t="str">
            <v>MT HB PR</v>
          </cell>
          <cell r="F64" t="str">
            <v>40 à 44 ans</v>
          </cell>
          <cell r="G64" t="str">
            <v>S</v>
          </cell>
          <cell r="I64" t="str">
            <v>N</v>
          </cell>
          <cell r="P64" t="str">
            <v>février</v>
          </cell>
          <cell r="AF64" t="str">
            <v>Classement</v>
          </cell>
          <cell r="AG64" t="str">
            <v>Classement</v>
          </cell>
        </row>
        <row r="65">
          <cell r="D65" t="str">
            <v>MT HB PR</v>
          </cell>
          <cell r="F65" t="str">
            <v>50 à 54 ans</v>
          </cell>
          <cell r="G65" t="str">
            <v>S</v>
          </cell>
          <cell r="I65" t="str">
            <v>N</v>
          </cell>
          <cell r="P65" t="str">
            <v>février</v>
          </cell>
          <cell r="AF65">
            <v>0</v>
          </cell>
          <cell r="AG65">
            <v>0</v>
          </cell>
        </row>
        <row r="66">
          <cell r="D66" t="str">
            <v>MT JK PR</v>
          </cell>
          <cell r="F66" t="str">
            <v>50 à 54 ans</v>
          </cell>
          <cell r="G66" t="str">
            <v>S</v>
          </cell>
          <cell r="I66" t="str">
            <v>O</v>
          </cell>
          <cell r="P66" t="str">
            <v>février</v>
          </cell>
          <cell r="AF66" t="str">
            <v>Acceptation</v>
          </cell>
          <cell r="AG66" t="str">
            <v>Acceptation</v>
          </cell>
        </row>
        <row r="67">
          <cell r="D67" t="str">
            <v>MT LK PR</v>
          </cell>
          <cell r="F67" t="str">
            <v>55 à 59 ans</v>
          </cell>
          <cell r="G67" t="str">
            <v>S</v>
          </cell>
          <cell r="I67" t="str">
            <v>N</v>
          </cell>
          <cell r="P67" t="str">
            <v>février</v>
          </cell>
          <cell r="AF67" t="str">
            <v>Classement</v>
          </cell>
          <cell r="AG67" t="str">
            <v>Classement</v>
          </cell>
        </row>
        <row r="68">
          <cell r="D68" t="str">
            <v>MT CC PR</v>
          </cell>
          <cell r="F68" t="str">
            <v>55 à 59 ans</v>
          </cell>
          <cell r="G68" t="str">
            <v>S</v>
          </cell>
          <cell r="I68" t="str">
            <v>N</v>
          </cell>
          <cell r="P68" t="str">
            <v>février</v>
          </cell>
          <cell r="AF68" t="str">
            <v>Classement</v>
          </cell>
          <cell r="AG68" t="str">
            <v>Classement</v>
          </cell>
        </row>
        <row r="69">
          <cell r="D69" t="str">
            <v>MT CA SU</v>
          </cell>
          <cell r="F69" t="str">
            <v>50 à 54 ans</v>
          </cell>
          <cell r="G69" t="str">
            <v>T</v>
          </cell>
          <cell r="I69" t="str">
            <v>N</v>
          </cell>
          <cell r="P69" t="str">
            <v>février</v>
          </cell>
          <cell r="AF69">
            <v>0</v>
          </cell>
          <cell r="AG69">
            <v>0</v>
          </cell>
        </row>
        <row r="70">
          <cell r="D70" t="str">
            <v>MT QJ</v>
          </cell>
          <cell r="F70" t="str">
            <v>45 à 49 ans</v>
          </cell>
          <cell r="G70" t="str">
            <v>S</v>
          </cell>
          <cell r="I70" t="str">
            <v>N</v>
          </cell>
          <cell r="P70" t="str">
            <v>février</v>
          </cell>
          <cell r="AF70" t="str">
            <v>Classement</v>
          </cell>
          <cell r="AG70" t="str">
            <v>Classement</v>
          </cell>
        </row>
        <row r="71">
          <cell r="D71" t="str">
            <v>MT CG PR</v>
          </cell>
          <cell r="F71" t="str">
            <v>35 à 39 ans</v>
          </cell>
          <cell r="G71" t="str">
            <v>S</v>
          </cell>
          <cell r="I71" t="str">
            <v>N</v>
          </cell>
          <cell r="P71" t="str">
            <v>février</v>
          </cell>
          <cell r="AF71">
            <v>0</v>
          </cell>
          <cell r="AG71">
            <v>0</v>
          </cell>
        </row>
        <row r="72">
          <cell r="D72" t="str">
            <v>MT CA PR</v>
          </cell>
          <cell r="F72" t="str">
            <v>50 à 54 ans</v>
          </cell>
          <cell r="G72" t="str">
            <v>S</v>
          </cell>
          <cell r="I72" t="str">
            <v>O</v>
          </cell>
          <cell r="P72" t="str">
            <v>février</v>
          </cell>
          <cell r="AF72" t="str">
            <v>Acceptation</v>
          </cell>
          <cell r="AG72" t="str">
            <v>Acceptation</v>
          </cell>
        </row>
        <row r="73">
          <cell r="D73" t="str">
            <v>MT HB PR</v>
          </cell>
          <cell r="F73" t="str">
            <v>35 à 39 ans</v>
          </cell>
          <cell r="G73" t="str">
            <v>S</v>
          </cell>
          <cell r="I73" t="str">
            <v>O</v>
          </cell>
          <cell r="P73" t="str">
            <v>février</v>
          </cell>
          <cell r="AF73">
            <v>0</v>
          </cell>
          <cell r="AG73">
            <v>0</v>
          </cell>
        </row>
        <row r="74">
          <cell r="D74" t="str">
            <v>MT YH AR</v>
          </cell>
          <cell r="F74" t="str">
            <v>50 à 54 ans</v>
          </cell>
          <cell r="G74" t="str">
            <v>S</v>
          </cell>
          <cell r="I74" t="str">
            <v>N</v>
          </cell>
          <cell r="P74" t="str">
            <v>février</v>
          </cell>
          <cell r="AF74" t="str">
            <v>Classement</v>
          </cell>
          <cell r="AG74" t="str">
            <v>Classement</v>
          </cell>
        </row>
        <row r="75">
          <cell r="D75" t="str">
            <v>MT YC PR</v>
          </cell>
          <cell r="F75" t="str">
            <v>55 à 59 ans</v>
          </cell>
          <cell r="G75" t="str">
            <v>S</v>
          </cell>
          <cell r="I75" t="str">
            <v>O</v>
          </cell>
          <cell r="P75" t="str">
            <v>février</v>
          </cell>
          <cell r="AF75">
            <v>0</v>
          </cell>
          <cell r="AG75">
            <v>0</v>
          </cell>
        </row>
        <row r="76">
          <cell r="D76" t="str">
            <v>MT YC PR</v>
          </cell>
          <cell r="F76" t="str">
            <v>55 à 59 ans</v>
          </cell>
          <cell r="G76" t="str">
            <v>S</v>
          </cell>
          <cell r="I76" t="str">
            <v>N</v>
          </cell>
          <cell r="P76" t="str">
            <v>février</v>
          </cell>
          <cell r="AF76">
            <v>0</v>
          </cell>
          <cell r="AG76">
            <v>0</v>
          </cell>
        </row>
        <row r="77">
          <cell r="D77" t="str">
            <v>MT YC PR</v>
          </cell>
          <cell r="F77" t="str">
            <v>55 à 59 ans</v>
          </cell>
          <cell r="G77" t="str">
            <v>S</v>
          </cell>
          <cell r="I77" t="str">
            <v>O</v>
          </cell>
          <cell r="P77" t="str">
            <v>février</v>
          </cell>
          <cell r="AF77" t="str">
            <v>Classement</v>
          </cell>
          <cell r="AG77" t="str">
            <v>Classement</v>
          </cell>
        </row>
        <row r="78">
          <cell r="D78" t="str">
            <v>MT YH AR</v>
          </cell>
          <cell r="F78" t="str">
            <v>50 à 54 ans</v>
          </cell>
          <cell r="G78" t="str">
            <v>S</v>
          </cell>
          <cell r="I78" t="str">
            <v>O</v>
          </cell>
          <cell r="P78" t="str">
            <v>février</v>
          </cell>
          <cell r="AF78">
            <v>0</v>
          </cell>
          <cell r="AG78">
            <v>0</v>
          </cell>
        </row>
        <row r="79">
          <cell r="D79" t="str">
            <v>MT HB PR</v>
          </cell>
          <cell r="F79" t="str">
            <v>30 à 34 ans</v>
          </cell>
          <cell r="G79" t="str">
            <v>S</v>
          </cell>
          <cell r="I79" t="str">
            <v>N</v>
          </cell>
          <cell r="P79" t="str">
            <v>février</v>
          </cell>
          <cell r="AF79" t="str">
            <v>Classement</v>
          </cell>
          <cell r="AG79" t="str">
            <v>Classement</v>
          </cell>
        </row>
        <row r="80">
          <cell r="D80" t="str">
            <v>BLDPMSVL</v>
          </cell>
          <cell r="F80" t="str">
            <v>Moins de 20 ans</v>
          </cell>
          <cell r="G80" t="str">
            <v>S</v>
          </cell>
          <cell r="I80" t="str">
            <v>N</v>
          </cell>
          <cell r="P80" t="str">
            <v>mars</v>
          </cell>
          <cell r="AF80">
            <v>0</v>
          </cell>
          <cell r="AG80">
            <v>0</v>
          </cell>
        </row>
        <row r="81">
          <cell r="D81" t="str">
            <v>MT HB PR</v>
          </cell>
          <cell r="F81" t="str">
            <v>35 à 39 ans</v>
          </cell>
          <cell r="G81" t="str">
            <v>S</v>
          </cell>
          <cell r="I81" t="str">
            <v>N</v>
          </cell>
          <cell r="P81" t="str">
            <v>mars</v>
          </cell>
          <cell r="AF81">
            <v>0</v>
          </cell>
          <cell r="AG81">
            <v>0</v>
          </cell>
        </row>
        <row r="82">
          <cell r="D82" t="str">
            <v>MT CC PR</v>
          </cell>
          <cell r="F82" t="str">
            <v>50 à 54 ans</v>
          </cell>
          <cell r="G82" t="str">
            <v>S</v>
          </cell>
          <cell r="I82" t="str">
            <v>O</v>
          </cell>
          <cell r="P82" t="str">
            <v>mars</v>
          </cell>
          <cell r="AF82" t="str">
            <v>Acceptation</v>
          </cell>
          <cell r="AG82" t="str">
            <v>Acceptation</v>
          </cell>
        </row>
        <row r="83">
          <cell r="D83" t="str">
            <v>BLDPMMOR</v>
          </cell>
          <cell r="F83" t="str">
            <v>20 à 24 ans</v>
          </cell>
          <cell r="G83" t="str">
            <v>T</v>
          </cell>
          <cell r="I83" t="str">
            <v>N</v>
          </cell>
          <cell r="P83" t="str">
            <v>mars</v>
          </cell>
          <cell r="AF83" t="str">
            <v>Acceptation</v>
          </cell>
          <cell r="AG83" t="str">
            <v>Acceptation</v>
          </cell>
        </row>
        <row r="84">
          <cell r="D84" t="str">
            <v>MT HB PR</v>
          </cell>
          <cell r="F84" t="str">
            <v>30 à 34 ans</v>
          </cell>
          <cell r="G84" t="str">
            <v>S</v>
          </cell>
          <cell r="I84" t="str">
            <v>N</v>
          </cell>
          <cell r="P84" t="str">
            <v>mars</v>
          </cell>
          <cell r="AF84" t="str">
            <v>Classement</v>
          </cell>
          <cell r="AG84" t="str">
            <v>Classement</v>
          </cell>
        </row>
        <row r="85">
          <cell r="D85" t="str">
            <v>MT CC PR</v>
          </cell>
          <cell r="F85" t="str">
            <v>45 à 49 ans</v>
          </cell>
          <cell r="G85" t="str">
            <v>S</v>
          </cell>
          <cell r="I85" t="str">
            <v>N</v>
          </cell>
          <cell r="P85" t="str">
            <v>mars</v>
          </cell>
          <cell r="AF85">
            <v>0</v>
          </cell>
          <cell r="AG85">
            <v>0</v>
          </cell>
        </row>
        <row r="86">
          <cell r="D86" t="str">
            <v>MT HB PR</v>
          </cell>
          <cell r="F86" t="str">
            <v>30 à 34 ans</v>
          </cell>
          <cell r="G86" t="str">
            <v>S</v>
          </cell>
          <cell r="I86" t="str">
            <v>N</v>
          </cell>
          <cell r="P86" t="str">
            <v>mars</v>
          </cell>
          <cell r="AF86" t="str">
            <v>Classement</v>
          </cell>
          <cell r="AG86" t="str">
            <v>Classement</v>
          </cell>
        </row>
        <row r="87">
          <cell r="D87" t="str">
            <v>MT HB PR</v>
          </cell>
          <cell r="F87" t="str">
            <v>40 à 44 ans</v>
          </cell>
          <cell r="G87" t="str">
            <v>S</v>
          </cell>
          <cell r="I87" t="str">
            <v>O</v>
          </cell>
          <cell r="P87" t="str">
            <v>mars</v>
          </cell>
          <cell r="AF87">
            <v>0</v>
          </cell>
          <cell r="AG87">
            <v>0</v>
          </cell>
        </row>
        <row r="88">
          <cell r="D88" t="str">
            <v>MT CA PR</v>
          </cell>
          <cell r="F88" t="str">
            <v>40 à 44 ans</v>
          </cell>
          <cell r="G88" t="str">
            <v>S</v>
          </cell>
          <cell r="I88" t="str">
            <v>N</v>
          </cell>
          <cell r="P88" t="str">
            <v>mars</v>
          </cell>
          <cell r="AF88">
            <v>0</v>
          </cell>
          <cell r="AG88">
            <v>0</v>
          </cell>
        </row>
        <row r="89">
          <cell r="D89" t="str">
            <v>MT CG PR</v>
          </cell>
          <cell r="F89" t="str">
            <v>50 à 54 ans</v>
          </cell>
          <cell r="G89" t="str">
            <v>S</v>
          </cell>
          <cell r="I89" t="str">
            <v>O</v>
          </cell>
          <cell r="P89" t="str">
            <v>mars</v>
          </cell>
          <cell r="AF89" t="str">
            <v>Acceptation</v>
          </cell>
          <cell r="AG89" t="str">
            <v>Acceptation</v>
          </cell>
        </row>
        <row r="90">
          <cell r="D90" t="str">
            <v>MT HB PR</v>
          </cell>
          <cell r="F90" t="str">
            <v>45 à 49 ans</v>
          </cell>
          <cell r="G90" t="str">
            <v>S</v>
          </cell>
          <cell r="I90" t="str">
            <v>O</v>
          </cell>
          <cell r="P90" t="str">
            <v>mars</v>
          </cell>
          <cell r="AF90" t="str">
            <v>Acceptation</v>
          </cell>
          <cell r="AG90" t="str">
            <v>Acceptation</v>
          </cell>
        </row>
        <row r="91">
          <cell r="D91" t="str">
            <v>BLDPMSLB</v>
          </cell>
          <cell r="F91" t="str">
            <v>25 à 29 ans</v>
          </cell>
          <cell r="G91" t="str">
            <v>T</v>
          </cell>
          <cell r="I91" t="str">
            <v>N</v>
          </cell>
          <cell r="P91" t="str">
            <v>mars</v>
          </cell>
          <cell r="AF91">
            <v>0</v>
          </cell>
          <cell r="AG91">
            <v>0</v>
          </cell>
        </row>
        <row r="92">
          <cell r="D92" t="str">
            <v>MT HB PR</v>
          </cell>
          <cell r="F92" t="str">
            <v>55 à 59 ans</v>
          </cell>
          <cell r="G92" t="str">
            <v>S</v>
          </cell>
          <cell r="I92" t="str">
            <v>O</v>
          </cell>
          <cell r="P92" t="str">
            <v>mars</v>
          </cell>
          <cell r="AF92" t="str">
            <v>Acceptation</v>
          </cell>
          <cell r="AG92" t="str">
            <v>Acceptation</v>
          </cell>
        </row>
        <row r="93">
          <cell r="D93" t="str">
            <v>MT HB PR</v>
          </cell>
          <cell r="F93" t="str">
            <v>35 à 39 ans</v>
          </cell>
          <cell r="G93" t="str">
            <v>S</v>
          </cell>
          <cell r="I93" t="str">
            <v>N</v>
          </cell>
          <cell r="P93" t="str">
            <v>mars</v>
          </cell>
          <cell r="AF93">
            <v>0</v>
          </cell>
          <cell r="AG93">
            <v>0</v>
          </cell>
        </row>
        <row r="94">
          <cell r="D94" t="str">
            <v>NCEKI</v>
          </cell>
          <cell r="F94" t="str">
            <v>45 à 49 ans</v>
          </cell>
          <cell r="G94" t="str">
            <v>S</v>
          </cell>
          <cell r="I94" t="str">
            <v>O</v>
          </cell>
          <cell r="P94" t="str">
            <v>mars</v>
          </cell>
          <cell r="AF94" t="str">
            <v>Acceptation</v>
          </cell>
          <cell r="AG94" t="str">
            <v>Acceptation</v>
          </cell>
        </row>
        <row r="95">
          <cell r="D95" t="str">
            <v>MT HB PR</v>
          </cell>
          <cell r="F95" t="str">
            <v>50 à 54 ans</v>
          </cell>
          <cell r="G95" t="str">
            <v>S</v>
          </cell>
          <cell r="I95" t="str">
            <v>O</v>
          </cell>
          <cell r="P95" t="str">
            <v>mars</v>
          </cell>
          <cell r="AF95" t="str">
            <v>Acceptation</v>
          </cell>
          <cell r="AG95" t="str">
            <v>Acceptation</v>
          </cell>
        </row>
        <row r="96">
          <cell r="D96" t="str">
            <v>MT QJ</v>
          </cell>
          <cell r="F96" t="str">
            <v>40 à 44 ans</v>
          </cell>
          <cell r="G96" t="str">
            <v>S</v>
          </cell>
          <cell r="I96" t="str">
            <v>N</v>
          </cell>
          <cell r="P96" t="str">
            <v>mars</v>
          </cell>
          <cell r="AF96">
            <v>0</v>
          </cell>
          <cell r="AG96">
            <v>0</v>
          </cell>
        </row>
        <row r="97">
          <cell r="D97" t="str">
            <v>MT HB PR</v>
          </cell>
          <cell r="F97" t="str">
            <v>40 à 44 ans</v>
          </cell>
          <cell r="G97" t="str">
            <v>S</v>
          </cell>
          <cell r="I97" t="str">
            <v>O</v>
          </cell>
          <cell r="P97" t="str">
            <v>mars</v>
          </cell>
          <cell r="AF97" t="str">
            <v>Acceptation</v>
          </cell>
          <cell r="AG97" t="str">
            <v>Acceptation</v>
          </cell>
        </row>
        <row r="98">
          <cell r="D98" t="str">
            <v>MT HB PR</v>
          </cell>
          <cell r="F98" t="str">
            <v>40 à 44 ans</v>
          </cell>
          <cell r="G98" t="str">
            <v>S</v>
          </cell>
          <cell r="I98" t="str">
            <v>N</v>
          </cell>
          <cell r="P98" t="str">
            <v>mars</v>
          </cell>
          <cell r="AF98">
            <v>0</v>
          </cell>
          <cell r="AG98">
            <v>0</v>
          </cell>
        </row>
        <row r="99">
          <cell r="D99" t="str">
            <v>MT CG PW</v>
          </cell>
          <cell r="F99" t="str">
            <v>25 à 29 ans</v>
          </cell>
          <cell r="G99" t="str">
            <v>S</v>
          </cell>
          <cell r="I99" t="str">
            <v>N</v>
          </cell>
          <cell r="P99" t="str">
            <v>mars</v>
          </cell>
          <cell r="AF99" t="str">
            <v>Classement</v>
          </cell>
          <cell r="AG99" t="str">
            <v>Classement</v>
          </cell>
        </row>
        <row r="100">
          <cell r="D100" t="str">
            <v>MT CA PR</v>
          </cell>
          <cell r="F100" t="str">
            <v>55 à 59 ans</v>
          </cell>
          <cell r="G100" t="str">
            <v>S</v>
          </cell>
          <cell r="I100" t="str">
            <v>O</v>
          </cell>
          <cell r="P100" t="str">
            <v>avril</v>
          </cell>
          <cell r="AF100" t="str">
            <v>Acceptation</v>
          </cell>
          <cell r="AG100" t="str">
            <v>Acceptation</v>
          </cell>
        </row>
        <row r="101">
          <cell r="D101" t="str">
            <v>NCEKI</v>
          </cell>
          <cell r="F101" t="str">
            <v>50 à 54 ans</v>
          </cell>
          <cell r="G101" t="str">
            <v>T</v>
          </cell>
          <cell r="I101" t="str">
            <v>N</v>
          </cell>
          <cell r="P101" t="str">
            <v>avril</v>
          </cell>
          <cell r="AF101" t="str">
            <v>Classement</v>
          </cell>
          <cell r="AG101" t="str">
            <v>Classement</v>
          </cell>
        </row>
        <row r="102">
          <cell r="D102" t="str">
            <v>MT QP</v>
          </cell>
          <cell r="F102" t="str">
            <v>45 à 49 ans</v>
          </cell>
          <cell r="G102" t="str">
            <v>S</v>
          </cell>
          <cell r="I102" t="str">
            <v>N</v>
          </cell>
          <cell r="P102" t="str">
            <v>avril</v>
          </cell>
          <cell r="AF102">
            <v>0</v>
          </cell>
          <cell r="AG102">
            <v>0</v>
          </cell>
        </row>
        <row r="103">
          <cell r="D103" t="str">
            <v>MT HB PR</v>
          </cell>
          <cell r="F103" t="str">
            <v>50 à 54 ans</v>
          </cell>
          <cell r="G103" t="str">
            <v>S</v>
          </cell>
          <cell r="I103" t="str">
            <v>O</v>
          </cell>
          <cell r="P103" t="str">
            <v>avril</v>
          </cell>
          <cell r="AF103" t="str">
            <v>Acceptation</v>
          </cell>
          <cell r="AG103" t="str">
            <v>Acceptation</v>
          </cell>
        </row>
        <row r="104">
          <cell r="D104" t="str">
            <v>MT CC PR</v>
          </cell>
          <cell r="F104" t="str">
            <v>50 à 54 ans</v>
          </cell>
          <cell r="G104" t="str">
            <v>T</v>
          </cell>
          <cell r="I104" t="str">
            <v>N</v>
          </cell>
          <cell r="P104" t="str">
            <v>avril</v>
          </cell>
          <cell r="AF104" t="str">
            <v>Acceptation</v>
          </cell>
          <cell r="AG104" t="str">
            <v>Acceptation</v>
          </cell>
        </row>
        <row r="105">
          <cell r="D105" t="str">
            <v>MT UH</v>
          </cell>
          <cell r="F105" t="str">
            <v>45 à 49 ans</v>
          </cell>
          <cell r="G105" t="str">
            <v>T</v>
          </cell>
          <cell r="I105" t="str">
            <v>O</v>
          </cell>
          <cell r="P105" t="str">
            <v>avril</v>
          </cell>
          <cell r="AF105">
            <v>0</v>
          </cell>
          <cell r="AG105">
            <v>0</v>
          </cell>
        </row>
        <row r="106">
          <cell r="D106" t="str">
            <v>MT CA PR</v>
          </cell>
          <cell r="F106" t="str">
            <v>30 à 34 ans</v>
          </cell>
          <cell r="G106" t="str">
            <v>S</v>
          </cell>
          <cell r="I106" t="str">
            <v>N</v>
          </cell>
          <cell r="P106" t="str">
            <v>avril</v>
          </cell>
          <cell r="AF106">
            <v>0</v>
          </cell>
          <cell r="AG106">
            <v>0</v>
          </cell>
        </row>
        <row r="107">
          <cell r="D107" t="str">
            <v>MT YC PR</v>
          </cell>
          <cell r="F107" t="str">
            <v>50 à 54 ans</v>
          </cell>
          <cell r="G107" t="str">
            <v>S</v>
          </cell>
          <cell r="I107" t="str">
            <v>O</v>
          </cell>
          <cell r="P107" t="str">
            <v>avril</v>
          </cell>
          <cell r="AF107" t="str">
            <v>Acceptation</v>
          </cell>
          <cell r="AG107" t="str">
            <v>Acceptation</v>
          </cell>
        </row>
        <row r="108">
          <cell r="D108" t="str">
            <v>MT CC PR</v>
          </cell>
          <cell r="F108" t="str">
            <v>20 à 24 ans</v>
          </cell>
          <cell r="G108" t="str">
            <v>S</v>
          </cell>
          <cell r="I108" t="str">
            <v>O</v>
          </cell>
          <cell r="P108" t="str">
            <v>avril</v>
          </cell>
          <cell r="AF108" t="str">
            <v>Acceptation</v>
          </cell>
          <cell r="AG108" t="str">
            <v>Acceptation</v>
          </cell>
        </row>
        <row r="109">
          <cell r="D109" t="str">
            <v>MT CC PR</v>
          </cell>
          <cell r="F109" t="str">
            <v>50 à 54 ans</v>
          </cell>
          <cell r="G109" t="str">
            <v>S</v>
          </cell>
          <cell r="I109" t="str">
            <v>N</v>
          </cell>
          <cell r="P109" t="str">
            <v>avril</v>
          </cell>
          <cell r="AF109">
            <v>0</v>
          </cell>
          <cell r="AG109">
            <v>0</v>
          </cell>
        </row>
        <row r="110">
          <cell r="D110" t="str">
            <v>MT CA PR</v>
          </cell>
          <cell r="F110" t="str">
            <v>30 à 34 ans</v>
          </cell>
          <cell r="G110" t="str">
            <v>S</v>
          </cell>
          <cell r="I110" t="str">
            <v>N</v>
          </cell>
          <cell r="P110" t="str">
            <v>avril</v>
          </cell>
          <cell r="AF110" t="str">
            <v>Classement</v>
          </cell>
          <cell r="AG110" t="str">
            <v>Classement</v>
          </cell>
        </row>
        <row r="111">
          <cell r="D111" t="str">
            <v>BLDPMSCL</v>
          </cell>
          <cell r="F111" t="str">
            <v>20 à 24 ans</v>
          </cell>
          <cell r="G111" t="str">
            <v>T</v>
          </cell>
          <cell r="I111" t="str">
            <v>N</v>
          </cell>
          <cell r="P111" t="str">
            <v>avril</v>
          </cell>
          <cell r="AF111">
            <v>0</v>
          </cell>
          <cell r="AG111">
            <v>0</v>
          </cell>
        </row>
        <row r="112">
          <cell r="D112" t="str">
            <v>MT CA PR</v>
          </cell>
          <cell r="F112" t="str">
            <v>30 à 34 ans</v>
          </cell>
          <cell r="G112" t="str">
            <v>S</v>
          </cell>
          <cell r="I112" t="str">
            <v>N</v>
          </cell>
          <cell r="P112" t="str">
            <v>avril</v>
          </cell>
          <cell r="AF112" t="str">
            <v>Classement</v>
          </cell>
          <cell r="AG112" t="str">
            <v>Classement</v>
          </cell>
        </row>
        <row r="113">
          <cell r="D113" t="str">
            <v>MT HB PR</v>
          </cell>
          <cell r="F113" t="str">
            <v>50 à 54 ans</v>
          </cell>
          <cell r="G113" t="str">
            <v>S</v>
          </cell>
          <cell r="I113" t="str">
            <v>O</v>
          </cell>
          <cell r="P113" t="str">
            <v>avril</v>
          </cell>
          <cell r="AF113">
            <v>0</v>
          </cell>
          <cell r="AG113">
            <v>0</v>
          </cell>
        </row>
        <row r="114">
          <cell r="D114" t="str">
            <v>MT HB PR</v>
          </cell>
          <cell r="F114" t="str">
            <v>55 à 59 ans</v>
          </cell>
          <cell r="G114" t="str">
            <v>S</v>
          </cell>
          <cell r="I114" t="str">
            <v>O</v>
          </cell>
          <cell r="P114" t="str">
            <v>avril</v>
          </cell>
          <cell r="AF114" t="str">
            <v>Acceptation</v>
          </cell>
          <cell r="AG114" t="str">
            <v>Acceptation</v>
          </cell>
        </row>
        <row r="115">
          <cell r="D115" t="str">
            <v>MT QJ</v>
          </cell>
          <cell r="F115" t="str">
            <v>30 à 34 ans</v>
          </cell>
          <cell r="G115" t="str">
            <v>S</v>
          </cell>
          <cell r="I115" t="str">
            <v>N</v>
          </cell>
          <cell r="P115" t="str">
            <v>avril</v>
          </cell>
          <cell r="AF115">
            <v>0</v>
          </cell>
          <cell r="AG115">
            <v>0</v>
          </cell>
        </row>
        <row r="116">
          <cell r="D116" t="str">
            <v>MT CA PR</v>
          </cell>
          <cell r="F116" t="str">
            <v>30 à 34 ans</v>
          </cell>
          <cell r="G116" t="str">
            <v>S</v>
          </cell>
          <cell r="I116" t="str">
            <v>N</v>
          </cell>
          <cell r="P116" t="str">
            <v>avril</v>
          </cell>
          <cell r="AF116">
            <v>0</v>
          </cell>
          <cell r="AG116">
            <v>0</v>
          </cell>
        </row>
        <row r="117">
          <cell r="D117" t="str">
            <v>MT CC PR</v>
          </cell>
          <cell r="F117" t="str">
            <v>50 à 54 ans</v>
          </cell>
          <cell r="G117" t="str">
            <v>S</v>
          </cell>
          <cell r="I117" t="str">
            <v>N</v>
          </cell>
          <cell r="P117" t="str">
            <v>avril</v>
          </cell>
          <cell r="AF117">
            <v>0</v>
          </cell>
          <cell r="AG117">
            <v>0</v>
          </cell>
        </row>
        <row r="118">
          <cell r="D118" t="str">
            <v>MT HB PR</v>
          </cell>
          <cell r="F118" t="str">
            <v>40 à 44 ans</v>
          </cell>
          <cell r="G118" t="str">
            <v>T</v>
          </cell>
          <cell r="I118" t="str">
            <v>O</v>
          </cell>
          <cell r="P118" t="str">
            <v>avril</v>
          </cell>
          <cell r="AF118" t="str">
            <v>Acceptation</v>
          </cell>
          <cell r="AG118" t="str">
            <v>Acceptation</v>
          </cell>
        </row>
        <row r="119">
          <cell r="D119" t="str">
            <v>MT HB PR</v>
          </cell>
          <cell r="F119" t="str">
            <v>40 à 44 ans</v>
          </cell>
          <cell r="G119" t="str">
            <v>S</v>
          </cell>
          <cell r="I119" t="str">
            <v>O</v>
          </cell>
          <cell r="P119" t="str">
            <v>avril</v>
          </cell>
          <cell r="AF119" t="str">
            <v>Acceptation</v>
          </cell>
          <cell r="AG119" t="str">
            <v>Acceptation</v>
          </cell>
        </row>
        <row r="120">
          <cell r="D120" t="str">
            <v>BLDPCORY</v>
          </cell>
          <cell r="F120" t="str">
            <v>20 à 24 ans</v>
          </cell>
          <cell r="G120" t="str">
            <v>T</v>
          </cell>
          <cell r="I120" t="str">
            <v>O</v>
          </cell>
          <cell r="P120" t="str">
            <v>mai</v>
          </cell>
          <cell r="AF120" t="str">
            <v>Acceptation</v>
          </cell>
          <cell r="AG120" t="str">
            <v>Acceptation</v>
          </cell>
        </row>
        <row r="121">
          <cell r="D121" t="str">
            <v>MT CA PR</v>
          </cell>
          <cell r="F121" t="str">
            <v>40 à 44 ans</v>
          </cell>
          <cell r="G121" t="str">
            <v>T</v>
          </cell>
          <cell r="I121" t="str">
            <v>N</v>
          </cell>
          <cell r="P121" t="str">
            <v>mai</v>
          </cell>
          <cell r="AF121" t="str">
            <v>Classement</v>
          </cell>
          <cell r="AG121" t="str">
            <v>Classement</v>
          </cell>
        </row>
        <row r="122">
          <cell r="D122" t="str">
            <v>MT HB QO</v>
          </cell>
          <cell r="F122" t="str">
            <v>55 à 59 ans</v>
          </cell>
          <cell r="G122" t="str">
            <v>S</v>
          </cell>
          <cell r="I122" t="str">
            <v>N</v>
          </cell>
          <cell r="P122" t="str">
            <v>mai</v>
          </cell>
          <cell r="AF122">
            <v>0</v>
          </cell>
          <cell r="AG122">
            <v>0</v>
          </cell>
        </row>
        <row r="123">
          <cell r="D123" t="str">
            <v>MT CA PR</v>
          </cell>
          <cell r="F123" t="str">
            <v>35 à 39 ans</v>
          </cell>
          <cell r="G123" t="str">
            <v>S</v>
          </cell>
          <cell r="I123" t="str">
            <v>N</v>
          </cell>
          <cell r="P123" t="str">
            <v>mai</v>
          </cell>
          <cell r="AE123">
            <v>0</v>
          </cell>
          <cell r="AF123" t="str">
            <v>Classement</v>
          </cell>
          <cell r="AG123" t="str">
            <v>Classement</v>
          </cell>
        </row>
        <row r="124">
          <cell r="D124" t="str">
            <v>MT CC PR</v>
          </cell>
          <cell r="F124" t="str">
            <v>50 à 54 ans</v>
          </cell>
          <cell r="G124" t="str">
            <v>S</v>
          </cell>
          <cell r="I124" t="str">
            <v>O</v>
          </cell>
          <cell r="P124" t="str">
            <v>mai</v>
          </cell>
          <cell r="AF124" t="str">
            <v>Acceptation</v>
          </cell>
          <cell r="AG124" t="str">
            <v>Acceptation</v>
          </cell>
        </row>
        <row r="125">
          <cell r="D125" t="str">
            <v>MT YC PR</v>
          </cell>
          <cell r="F125" t="str">
            <v>55 à 59 ans</v>
          </cell>
          <cell r="G125" t="str">
            <v>S</v>
          </cell>
          <cell r="I125" t="str">
            <v>O</v>
          </cell>
          <cell r="P125" t="str">
            <v>mai</v>
          </cell>
          <cell r="AF125" t="str">
            <v>Acceptation</v>
          </cell>
          <cell r="AG125" t="str">
            <v>Acceptation</v>
          </cell>
        </row>
        <row r="126">
          <cell r="D126" t="str">
            <v>MT CG PW</v>
          </cell>
          <cell r="F126" t="str">
            <v>30 à 34 ans</v>
          </cell>
          <cell r="G126" t="str">
            <v>S</v>
          </cell>
          <cell r="I126" t="str">
            <v>N</v>
          </cell>
          <cell r="P126" t="str">
            <v>mai</v>
          </cell>
          <cell r="AF126" t="str">
            <v>Acceptation</v>
          </cell>
          <cell r="AG126" t="str">
            <v>Acceptation</v>
          </cell>
        </row>
        <row r="127">
          <cell r="D127" t="str">
            <v>MT HB PR</v>
          </cell>
          <cell r="F127" t="str">
            <v>50 à 54 ans</v>
          </cell>
          <cell r="G127" t="str">
            <v>S</v>
          </cell>
          <cell r="I127" t="str">
            <v>N</v>
          </cell>
          <cell r="P127" t="str">
            <v>mai</v>
          </cell>
          <cell r="AF127">
            <v>0</v>
          </cell>
          <cell r="AG127">
            <v>0</v>
          </cell>
        </row>
        <row r="128">
          <cell r="D128" t="str">
            <v>MT QJ</v>
          </cell>
          <cell r="F128" t="str">
            <v>50 à 54 ans</v>
          </cell>
          <cell r="G128" t="str">
            <v>T</v>
          </cell>
          <cell r="I128" t="str">
            <v>N</v>
          </cell>
          <cell r="P128" t="str">
            <v>mai</v>
          </cell>
          <cell r="AF128" t="str">
            <v>Classement</v>
          </cell>
          <cell r="AG128" t="str">
            <v>Classement</v>
          </cell>
        </row>
        <row r="129">
          <cell r="D129" t="str">
            <v>MT CC PR</v>
          </cell>
          <cell r="F129" t="str">
            <v>55 à 59 ans</v>
          </cell>
          <cell r="G129" t="str">
            <v>S</v>
          </cell>
          <cell r="I129" t="str">
            <v>N</v>
          </cell>
          <cell r="P129" t="str">
            <v>mai</v>
          </cell>
          <cell r="AF129" t="str">
            <v>Classement</v>
          </cell>
          <cell r="AG129" t="str">
            <v>Classement</v>
          </cell>
        </row>
        <row r="130">
          <cell r="D130" t="str">
            <v>MT CA PR</v>
          </cell>
          <cell r="F130" t="str">
            <v>30 à 34 ans</v>
          </cell>
          <cell r="G130" t="str">
            <v>S</v>
          </cell>
          <cell r="I130" t="str">
            <v>O</v>
          </cell>
          <cell r="P130" t="str">
            <v>mai</v>
          </cell>
          <cell r="AF130">
            <v>0</v>
          </cell>
          <cell r="AG130">
            <v>0</v>
          </cell>
        </row>
        <row r="131">
          <cell r="D131" t="str">
            <v>BLDPTDTL</v>
          </cell>
          <cell r="F131" t="str">
            <v>20 à 24 ans</v>
          </cell>
          <cell r="G131" t="str">
            <v>S</v>
          </cell>
          <cell r="I131" t="str">
            <v>N</v>
          </cell>
          <cell r="P131" t="str">
            <v>mai</v>
          </cell>
          <cell r="AF131">
            <v>0</v>
          </cell>
          <cell r="AG131">
            <v>0</v>
          </cell>
        </row>
        <row r="132">
          <cell r="D132" t="str">
            <v>MT CA SU</v>
          </cell>
          <cell r="F132" t="str">
            <v>45 à 49 ans</v>
          </cell>
          <cell r="G132" t="str">
            <v>S</v>
          </cell>
          <cell r="I132" t="str">
            <v>N</v>
          </cell>
          <cell r="P132" t="str">
            <v>mai</v>
          </cell>
          <cell r="AF132" t="str">
            <v>Classement</v>
          </cell>
          <cell r="AG132" t="str">
            <v>Classement</v>
          </cell>
        </row>
        <row r="133">
          <cell r="D133" t="str">
            <v>MT CG PR</v>
          </cell>
          <cell r="F133" t="str">
            <v>50 à 54 ans</v>
          </cell>
          <cell r="G133" t="str">
            <v>S</v>
          </cell>
          <cell r="I133" t="str">
            <v>O</v>
          </cell>
          <cell r="P133" t="str">
            <v>mai</v>
          </cell>
          <cell r="AF133" t="str">
            <v>Acceptation</v>
          </cell>
          <cell r="AG133" t="str">
            <v>Acceptation</v>
          </cell>
        </row>
        <row r="134">
          <cell r="D134" t="str">
            <v>MT QS UG</v>
          </cell>
          <cell r="F134" t="str">
            <v>50 à 54 ans</v>
          </cell>
          <cell r="G134" t="str">
            <v>S</v>
          </cell>
          <cell r="I134" t="str">
            <v>O</v>
          </cell>
          <cell r="P134" t="str">
            <v>mai</v>
          </cell>
          <cell r="AF134" t="str">
            <v>Rejet</v>
          </cell>
          <cell r="AG134" t="str">
            <v>Rejet</v>
          </cell>
        </row>
        <row r="135">
          <cell r="D135" t="str">
            <v>MT CA PR</v>
          </cell>
          <cell r="F135" t="str">
            <v>30 à 34 ans</v>
          </cell>
          <cell r="G135" t="str">
            <v>S</v>
          </cell>
          <cell r="I135" t="str">
            <v>N</v>
          </cell>
          <cell r="P135" t="str">
            <v>mai</v>
          </cell>
          <cell r="AF135" t="str">
            <v>Classement</v>
          </cell>
          <cell r="AG135" t="str">
            <v>Classement</v>
          </cell>
        </row>
        <row r="136">
          <cell r="D136" t="str">
            <v>MT YH TA</v>
          </cell>
          <cell r="F136" t="str">
            <v>50 à 54 ans</v>
          </cell>
          <cell r="G136" t="str">
            <v>S</v>
          </cell>
          <cell r="I136" t="str">
            <v>O</v>
          </cell>
          <cell r="P136" t="str">
            <v>mai</v>
          </cell>
          <cell r="AF136" t="str">
            <v>Acceptation</v>
          </cell>
          <cell r="AG136" t="str">
            <v>Acceptation</v>
          </cell>
        </row>
        <row r="137">
          <cell r="D137" t="str">
            <v>BLDPVDOR</v>
          </cell>
          <cell r="F137" t="str">
            <v>Moins de 20 ans</v>
          </cell>
          <cell r="G137" t="str">
            <v>T</v>
          </cell>
          <cell r="I137" t="str">
            <v>O</v>
          </cell>
          <cell r="P137" t="str">
            <v>mai</v>
          </cell>
          <cell r="AF137" t="str">
            <v>Acceptation</v>
          </cell>
          <cell r="AG137" t="str">
            <v>Acceptation</v>
          </cell>
        </row>
        <row r="138">
          <cell r="D138" t="str">
            <v>MT CC PR</v>
          </cell>
          <cell r="F138" t="str">
            <v>45 à 49 ans</v>
          </cell>
          <cell r="G138" t="str">
            <v>S</v>
          </cell>
          <cell r="I138" t="str">
            <v>N</v>
          </cell>
          <cell r="P138" t="str">
            <v>mai</v>
          </cell>
          <cell r="AF138">
            <v>0</v>
          </cell>
          <cell r="AG138">
            <v>0</v>
          </cell>
        </row>
        <row r="139">
          <cell r="D139" t="str">
            <v>MT CC PR</v>
          </cell>
          <cell r="F139" t="str">
            <v>35 à 39 ans</v>
          </cell>
          <cell r="G139" t="str">
            <v>S</v>
          </cell>
          <cell r="I139" t="str">
            <v>N</v>
          </cell>
          <cell r="P139" t="str">
            <v>mai</v>
          </cell>
          <cell r="AF139">
            <v>0</v>
          </cell>
          <cell r="AG139">
            <v>0</v>
          </cell>
        </row>
        <row r="140">
          <cell r="D140" t="str">
            <v>MT HB PR</v>
          </cell>
          <cell r="F140" t="str">
            <v>35 à 39 ans</v>
          </cell>
          <cell r="G140" t="str">
            <v>S</v>
          </cell>
          <cell r="I140" t="str">
            <v>N</v>
          </cell>
          <cell r="P140" t="str">
            <v>juin</v>
          </cell>
          <cell r="AF140" t="str">
            <v>Classement</v>
          </cell>
          <cell r="AG140" t="str">
            <v>Classement</v>
          </cell>
        </row>
        <row r="141">
          <cell r="D141" t="str">
            <v>MT QJ</v>
          </cell>
          <cell r="F141" t="str">
            <v>45 à 49 ans</v>
          </cell>
          <cell r="G141" t="str">
            <v>S</v>
          </cell>
          <cell r="I141" t="str">
            <v>O</v>
          </cell>
          <cell r="P141" t="str">
            <v>juin</v>
          </cell>
          <cell r="AF141" t="str">
            <v>Acceptation</v>
          </cell>
          <cell r="AG141" t="str">
            <v>Acceptation</v>
          </cell>
        </row>
        <row r="142">
          <cell r="D142" t="str">
            <v>MT HB PR</v>
          </cell>
          <cell r="F142" t="str">
            <v>45 à 49 ans</v>
          </cell>
          <cell r="G142" t="str">
            <v>T</v>
          </cell>
          <cell r="I142" t="str">
            <v>O</v>
          </cell>
          <cell r="P142" t="str">
            <v>juin</v>
          </cell>
          <cell r="AF142" t="str">
            <v>Acceptation</v>
          </cell>
          <cell r="AG142" t="str">
            <v>Acceptation</v>
          </cell>
        </row>
        <row r="143">
          <cell r="D143" t="str">
            <v>MT CA PR</v>
          </cell>
          <cell r="F143" t="str">
            <v>35 à 39 ans</v>
          </cell>
          <cell r="G143" t="str">
            <v>S</v>
          </cell>
          <cell r="I143" t="str">
            <v>N</v>
          </cell>
          <cell r="P143" t="str">
            <v>juin</v>
          </cell>
          <cell r="AF143">
            <v>0</v>
          </cell>
          <cell r="AG143">
            <v>0</v>
          </cell>
        </row>
        <row r="144">
          <cell r="D144" t="str">
            <v>MT CG PR</v>
          </cell>
          <cell r="F144" t="str">
            <v>50 à 54 ans</v>
          </cell>
          <cell r="G144" t="str">
            <v>S</v>
          </cell>
          <cell r="I144" t="str">
            <v>O</v>
          </cell>
          <cell r="P144" t="str">
            <v>juin</v>
          </cell>
          <cell r="AF144" t="str">
            <v>Acceptation</v>
          </cell>
          <cell r="AG144" t="str">
            <v>Acceptation</v>
          </cell>
        </row>
        <row r="145">
          <cell r="D145" t="str">
            <v>MT CC PR</v>
          </cell>
          <cell r="F145" t="str">
            <v>55 à 59 ans</v>
          </cell>
          <cell r="G145" t="str">
            <v>S</v>
          </cell>
          <cell r="I145" t="str">
            <v>N</v>
          </cell>
          <cell r="P145" t="str">
            <v>juin</v>
          </cell>
          <cell r="AF145" t="str">
            <v>Classement</v>
          </cell>
          <cell r="AG145" t="str">
            <v>Classement</v>
          </cell>
        </row>
        <row r="146">
          <cell r="D146" t="str">
            <v>MT YC PR</v>
          </cell>
          <cell r="F146" t="str">
            <v>35 à 39 ans</v>
          </cell>
          <cell r="G146" t="str">
            <v>S</v>
          </cell>
          <cell r="I146" t="str">
            <v>N</v>
          </cell>
          <cell r="P146" t="str">
            <v>juin</v>
          </cell>
          <cell r="AF146">
            <v>0</v>
          </cell>
          <cell r="AG146">
            <v>0</v>
          </cell>
        </row>
        <row r="147">
          <cell r="D147" t="str">
            <v>BLDPVDOR</v>
          </cell>
          <cell r="F147" t="str">
            <v>Moins de 20 ans</v>
          </cell>
          <cell r="G147" t="str">
            <v>T</v>
          </cell>
          <cell r="I147" t="str">
            <v>N</v>
          </cell>
          <cell r="P147" t="str">
            <v>juin</v>
          </cell>
          <cell r="AF147" t="str">
            <v>Classement</v>
          </cell>
          <cell r="AG147" t="str">
            <v>Classement</v>
          </cell>
        </row>
        <row r="148">
          <cell r="D148" t="str">
            <v>MT CA PR</v>
          </cell>
          <cell r="F148" t="str">
            <v>30 à 34 ans</v>
          </cell>
          <cell r="G148" t="str">
            <v>S</v>
          </cell>
          <cell r="I148" t="str">
            <v>O</v>
          </cell>
          <cell r="P148" t="str">
            <v>juin</v>
          </cell>
          <cell r="AF148">
            <v>0</v>
          </cell>
          <cell r="AG148">
            <v>0</v>
          </cell>
        </row>
        <row r="149">
          <cell r="D149" t="str">
            <v>MT CG PR</v>
          </cell>
          <cell r="F149" t="str">
            <v>50 à 54 ans</v>
          </cell>
          <cell r="G149" t="str">
            <v>S</v>
          </cell>
          <cell r="I149" t="str">
            <v>N</v>
          </cell>
          <cell r="P149" t="str">
            <v>juin</v>
          </cell>
          <cell r="AF149">
            <v>0</v>
          </cell>
          <cell r="AG149">
            <v>0</v>
          </cell>
        </row>
        <row r="150">
          <cell r="D150" t="str">
            <v>MT HB PR</v>
          </cell>
          <cell r="F150" t="str">
            <v>30 à 34 ans</v>
          </cell>
          <cell r="G150" t="str">
            <v>S</v>
          </cell>
          <cell r="I150" t="str">
            <v>N</v>
          </cell>
          <cell r="P150" t="str">
            <v>juin</v>
          </cell>
          <cell r="AF150" t="str">
            <v>Classement</v>
          </cell>
          <cell r="AG150" t="str">
            <v>Classement</v>
          </cell>
        </row>
        <row r="151">
          <cell r="D151" t="str">
            <v>MT QJ</v>
          </cell>
          <cell r="F151" t="str">
            <v>40 à 44 ans</v>
          </cell>
          <cell r="G151" t="str">
            <v>S</v>
          </cell>
          <cell r="I151" t="str">
            <v>N</v>
          </cell>
          <cell r="P151" t="str">
            <v>juin</v>
          </cell>
          <cell r="AF151" t="str">
            <v>Classement</v>
          </cell>
          <cell r="AG151" t="str">
            <v>Classement</v>
          </cell>
        </row>
        <row r="152">
          <cell r="D152" t="str">
            <v>MT HB QU</v>
          </cell>
          <cell r="F152" t="str">
            <v>35 à 39 ans</v>
          </cell>
          <cell r="G152" t="str">
            <v>S</v>
          </cell>
          <cell r="I152" t="str">
            <v>N</v>
          </cell>
          <cell r="P152" t="str">
            <v>juin</v>
          </cell>
          <cell r="AF152">
            <v>0</v>
          </cell>
          <cell r="AG152">
            <v>0</v>
          </cell>
        </row>
        <row r="153">
          <cell r="D153" t="str">
            <v>MT FB PR</v>
          </cell>
          <cell r="F153" t="str">
            <v>35 à 39 ans</v>
          </cell>
          <cell r="G153" t="str">
            <v>S</v>
          </cell>
          <cell r="I153" t="str">
            <v>N</v>
          </cell>
          <cell r="P153" t="str">
            <v>juin</v>
          </cell>
          <cell r="AF153" t="str">
            <v>Acceptation</v>
          </cell>
          <cell r="AG153" t="str">
            <v>Acceptation</v>
          </cell>
        </row>
        <row r="154">
          <cell r="D154" t="str">
            <v>MT YC PR</v>
          </cell>
          <cell r="F154" t="str">
            <v>55 à 59 ans</v>
          </cell>
          <cell r="G154" t="str">
            <v>S</v>
          </cell>
          <cell r="I154" t="str">
            <v>O</v>
          </cell>
          <cell r="P154" t="str">
            <v>juin</v>
          </cell>
          <cell r="AF154" t="str">
            <v>Acceptation</v>
          </cell>
          <cell r="AG154" t="str">
            <v>Acceptation</v>
          </cell>
        </row>
        <row r="155">
          <cell r="D155" t="str">
            <v>MT HB PR</v>
          </cell>
          <cell r="F155" t="str">
            <v>40 à 44 ans</v>
          </cell>
          <cell r="G155" t="str">
            <v>S</v>
          </cell>
          <cell r="I155" t="str">
            <v>O</v>
          </cell>
          <cell r="P155" t="str">
            <v>juin</v>
          </cell>
          <cell r="AF155" t="str">
            <v>Acceptation</v>
          </cell>
          <cell r="AG155" t="str">
            <v>Acceptation</v>
          </cell>
        </row>
        <row r="156">
          <cell r="D156" t="str">
            <v>MT HB PR</v>
          </cell>
          <cell r="F156" t="str">
            <v>30 à 34 ans</v>
          </cell>
          <cell r="G156" t="str">
            <v>S</v>
          </cell>
          <cell r="I156" t="str">
            <v>N</v>
          </cell>
          <cell r="P156" t="str">
            <v>juin</v>
          </cell>
          <cell r="AF156">
            <v>0</v>
          </cell>
          <cell r="AG156">
            <v>0</v>
          </cell>
        </row>
        <row r="157">
          <cell r="D157" t="str">
            <v>MT YH TA</v>
          </cell>
          <cell r="F157" t="str">
            <v>45 à 49 ans</v>
          </cell>
          <cell r="G157" t="str">
            <v>S</v>
          </cell>
          <cell r="I157" t="str">
            <v>O</v>
          </cell>
          <cell r="P157" t="str">
            <v>juin</v>
          </cell>
          <cell r="AF157" t="str">
            <v>Acceptation</v>
          </cell>
          <cell r="AG157" t="str">
            <v>Acceptation</v>
          </cell>
        </row>
        <row r="158">
          <cell r="D158" t="str">
            <v>MTICSC</v>
          </cell>
          <cell r="F158" t="str">
            <v>50 à 54 ans</v>
          </cell>
          <cell r="G158" t="str">
            <v>S</v>
          </cell>
          <cell r="I158" t="str">
            <v>N</v>
          </cell>
          <cell r="P158" t="str">
            <v>juin</v>
          </cell>
          <cell r="AF158">
            <v>0</v>
          </cell>
          <cell r="AG158">
            <v>0</v>
          </cell>
        </row>
        <row r="159">
          <cell r="D159" t="str">
            <v>MTME</v>
          </cell>
          <cell r="F159" t="str">
            <v>55 à 59 ans</v>
          </cell>
          <cell r="G159" t="str">
            <v>T</v>
          </cell>
          <cell r="I159" t="str">
            <v>N</v>
          </cell>
          <cell r="P159" t="str">
            <v>juin</v>
          </cell>
          <cell r="AF159" t="str">
            <v>Acceptation</v>
          </cell>
          <cell r="AG159" t="str">
            <v>Acceptation</v>
          </cell>
        </row>
        <row r="160">
          <cell r="D160" t="str">
            <v>MT HB PR</v>
          </cell>
          <cell r="F160" t="str">
            <v>55 à 59 ans</v>
          </cell>
          <cell r="G160" t="str">
            <v>S</v>
          </cell>
          <cell r="I160" t="str">
            <v>N</v>
          </cell>
          <cell r="P160" t="str">
            <v>juin</v>
          </cell>
          <cell r="AF160" t="str">
            <v>Classement</v>
          </cell>
          <cell r="AG160" t="str">
            <v>Classement</v>
          </cell>
        </row>
        <row r="161">
          <cell r="D161" t="str">
            <v>MT HB PR</v>
          </cell>
          <cell r="F161" t="str">
            <v>50 à 54 ans</v>
          </cell>
          <cell r="G161" t="str">
            <v>S</v>
          </cell>
          <cell r="I161" t="str">
            <v>N</v>
          </cell>
          <cell r="P161" t="str">
            <v>juin</v>
          </cell>
          <cell r="AF161" t="str">
            <v>Acceptation</v>
          </cell>
          <cell r="AG161" t="str">
            <v>Acceptation</v>
          </cell>
        </row>
        <row r="162">
          <cell r="D162" t="str">
            <v>MT HB PR</v>
          </cell>
          <cell r="F162" t="str">
            <v>30 à 34 ans</v>
          </cell>
          <cell r="G162" t="str">
            <v>S</v>
          </cell>
          <cell r="I162" t="str">
            <v>N</v>
          </cell>
          <cell r="P162" t="str">
            <v>juin</v>
          </cell>
          <cell r="AF162">
            <v>0</v>
          </cell>
          <cell r="AG162">
            <v>0</v>
          </cell>
        </row>
        <row r="163">
          <cell r="D163" t="str">
            <v>MTQXRH</v>
          </cell>
          <cell r="F163" t="str">
            <v>50 à 54 ans</v>
          </cell>
          <cell r="G163" t="str">
            <v>S</v>
          </cell>
          <cell r="I163" t="str">
            <v>O</v>
          </cell>
          <cell r="P163" t="str">
            <v>juin</v>
          </cell>
          <cell r="AF163">
            <v>0</v>
          </cell>
          <cell r="AG163">
            <v>0</v>
          </cell>
        </row>
        <row r="164">
          <cell r="D164" t="str">
            <v>MT CG PR</v>
          </cell>
          <cell r="F164" t="str">
            <v>20 à 24 ans</v>
          </cell>
          <cell r="G164" t="str">
            <v>S</v>
          </cell>
          <cell r="I164" t="str">
            <v>N</v>
          </cell>
          <cell r="P164" t="str">
            <v>juin</v>
          </cell>
          <cell r="AF164" t="str">
            <v>Classement</v>
          </cell>
          <cell r="AG164" t="str">
            <v>Classement</v>
          </cell>
        </row>
        <row r="165">
          <cell r="D165" t="str">
            <v>MT CA PR</v>
          </cell>
          <cell r="F165" t="str">
            <v>35 à 39 ans</v>
          </cell>
          <cell r="G165" t="str">
            <v>S</v>
          </cell>
          <cell r="I165" t="str">
            <v>O</v>
          </cell>
          <cell r="P165" t="str">
            <v>juin</v>
          </cell>
          <cell r="AF165" t="str">
            <v>Acceptation</v>
          </cell>
          <cell r="AG165" t="str">
            <v>Acceptation</v>
          </cell>
        </row>
        <row r="166">
          <cell r="D166" t="str">
            <v>MT HB PR</v>
          </cell>
          <cell r="F166" t="str">
            <v>35 à 39 ans</v>
          </cell>
          <cell r="G166" t="str">
            <v>S</v>
          </cell>
          <cell r="I166" t="str">
            <v>O</v>
          </cell>
          <cell r="P166" t="str">
            <v>juin</v>
          </cell>
          <cell r="AF166" t="str">
            <v>Acceptation</v>
          </cell>
          <cell r="AG166" t="str">
            <v>Acceptation</v>
          </cell>
        </row>
        <row r="167">
          <cell r="D167" t="str">
            <v>MT CG PR</v>
          </cell>
          <cell r="F167" t="str">
            <v>30 à 34 ans</v>
          </cell>
          <cell r="G167" t="str">
            <v>S</v>
          </cell>
          <cell r="I167" t="str">
            <v>N</v>
          </cell>
          <cell r="P167" t="str">
            <v>juin</v>
          </cell>
          <cell r="AF167" t="str">
            <v>Classement</v>
          </cell>
          <cell r="AG167" t="str">
            <v>Classement</v>
          </cell>
        </row>
        <row r="168">
          <cell r="D168" t="str">
            <v>MT HB PR</v>
          </cell>
          <cell r="F168" t="str">
            <v>55 à 59 ans</v>
          </cell>
          <cell r="G168" t="str">
            <v>S</v>
          </cell>
          <cell r="I168" t="str">
            <v>O</v>
          </cell>
          <cell r="P168" t="str">
            <v>juillet</v>
          </cell>
          <cell r="AF168" t="str">
            <v>Acceptation</v>
          </cell>
          <cell r="AG168" t="str">
            <v>Acceptation</v>
          </cell>
        </row>
        <row r="169">
          <cell r="D169" t="str">
            <v>MT CA PR</v>
          </cell>
          <cell r="F169" t="str">
            <v>30 à 34 ans</v>
          </cell>
          <cell r="G169" t="str">
            <v>S</v>
          </cell>
          <cell r="I169" t="str">
            <v>N</v>
          </cell>
          <cell r="P169" t="str">
            <v>juillet</v>
          </cell>
          <cell r="AF169" t="str">
            <v>Acceptation</v>
          </cell>
          <cell r="AG169" t="str">
            <v>Acceptation</v>
          </cell>
        </row>
        <row r="170">
          <cell r="D170" t="str">
            <v>BLDPMSRY</v>
          </cell>
          <cell r="F170" t="str">
            <v>25 à 29 ans</v>
          </cell>
          <cell r="G170" t="str">
            <v>T</v>
          </cell>
          <cell r="I170" t="str">
            <v>N</v>
          </cell>
          <cell r="P170" t="str">
            <v>juillet</v>
          </cell>
          <cell r="AF170">
            <v>0</v>
          </cell>
          <cell r="AG170">
            <v>0</v>
          </cell>
        </row>
        <row r="171">
          <cell r="D171" t="str">
            <v>BLDPUDRY</v>
          </cell>
          <cell r="F171" t="str">
            <v>20 à 24 ans</v>
          </cell>
          <cell r="G171" t="str">
            <v>S</v>
          </cell>
          <cell r="I171" t="str">
            <v>O</v>
          </cell>
          <cell r="P171" t="str">
            <v>juillet</v>
          </cell>
          <cell r="AF171" t="str">
            <v>Acceptation</v>
          </cell>
          <cell r="AG171" t="str">
            <v>Acceptation</v>
          </cell>
        </row>
        <row r="172">
          <cell r="D172" t="str">
            <v>MTUDQH</v>
          </cell>
          <cell r="F172" t="str">
            <v>40 à 44 ans</v>
          </cell>
          <cell r="G172" t="str">
            <v>T</v>
          </cell>
          <cell r="I172" t="str">
            <v>N</v>
          </cell>
          <cell r="P172" t="str">
            <v>juillet</v>
          </cell>
          <cell r="AF172">
            <v>0</v>
          </cell>
          <cell r="AG172">
            <v>0</v>
          </cell>
        </row>
        <row r="173">
          <cell r="D173" t="str">
            <v>BLDPCOOR</v>
          </cell>
          <cell r="F173" t="str">
            <v>Moins de 20 ans</v>
          </cell>
          <cell r="G173" t="str">
            <v>T</v>
          </cell>
          <cell r="I173" t="str">
            <v>N</v>
          </cell>
          <cell r="P173" t="str">
            <v>juillet</v>
          </cell>
          <cell r="AF173">
            <v>0</v>
          </cell>
          <cell r="AG173">
            <v>0</v>
          </cell>
        </row>
        <row r="174">
          <cell r="D174" t="str">
            <v>NCEKI</v>
          </cell>
          <cell r="F174" t="str">
            <v>30 à 34 ans</v>
          </cell>
          <cell r="G174" t="str">
            <v>S</v>
          </cell>
          <cell r="I174" t="str">
            <v>N</v>
          </cell>
          <cell r="P174" t="str">
            <v>juillet</v>
          </cell>
          <cell r="AF174">
            <v>0</v>
          </cell>
          <cell r="AG174">
            <v>0</v>
          </cell>
        </row>
        <row r="175">
          <cell r="D175" t="str">
            <v>MT HB PR</v>
          </cell>
          <cell r="F175" t="str">
            <v>45 à 49 ans</v>
          </cell>
          <cell r="G175" t="str">
            <v>S</v>
          </cell>
          <cell r="I175" t="str">
            <v>O</v>
          </cell>
          <cell r="P175" t="str">
            <v>juillet</v>
          </cell>
          <cell r="AF175">
            <v>0</v>
          </cell>
          <cell r="AG175">
            <v>0</v>
          </cell>
        </row>
        <row r="176">
          <cell r="D176" t="str">
            <v>MTICSC</v>
          </cell>
          <cell r="F176" t="str">
            <v>25 à 29 ans</v>
          </cell>
          <cell r="G176" t="str">
            <v>S</v>
          </cell>
          <cell r="I176" t="str">
            <v>N</v>
          </cell>
          <cell r="P176" t="str">
            <v>juillet</v>
          </cell>
          <cell r="AF176">
            <v>0</v>
          </cell>
          <cell r="AG176">
            <v>0</v>
          </cell>
        </row>
        <row r="177">
          <cell r="D177" t="str">
            <v>BLDPMMOR</v>
          </cell>
          <cell r="F177" t="str">
            <v>20 à 24 ans</v>
          </cell>
          <cell r="G177" t="str">
            <v>S</v>
          </cell>
          <cell r="I177" t="str">
            <v>O</v>
          </cell>
          <cell r="P177" t="str">
            <v>juillet</v>
          </cell>
          <cell r="AF177">
            <v>0</v>
          </cell>
          <cell r="AG177">
            <v>0</v>
          </cell>
        </row>
        <row r="178">
          <cell r="D178" t="str">
            <v>MT CG PR</v>
          </cell>
          <cell r="F178" t="str">
            <v>35 à 39 ans</v>
          </cell>
          <cell r="G178" t="str">
            <v>S</v>
          </cell>
          <cell r="I178" t="str">
            <v>N</v>
          </cell>
          <cell r="P178" t="str">
            <v>juillet</v>
          </cell>
          <cell r="AF178">
            <v>0</v>
          </cell>
          <cell r="AG178">
            <v>0</v>
          </cell>
        </row>
        <row r="179">
          <cell r="D179" t="str">
            <v>MT CG PR</v>
          </cell>
          <cell r="F179" t="str">
            <v>30 à 34 ans</v>
          </cell>
          <cell r="G179" t="str">
            <v>S</v>
          </cell>
          <cell r="I179" t="str">
            <v>N</v>
          </cell>
          <cell r="P179" t="str">
            <v>juillet</v>
          </cell>
          <cell r="AF179">
            <v>0</v>
          </cell>
          <cell r="AG179">
            <v>0</v>
          </cell>
        </row>
        <row r="180">
          <cell r="D180" t="str">
            <v>BLDPMSVL</v>
          </cell>
          <cell r="F180" t="str">
            <v>Moins de 20 ans</v>
          </cell>
          <cell r="G180" t="str">
            <v>S</v>
          </cell>
          <cell r="I180" t="str">
            <v>N</v>
          </cell>
          <cell r="P180" t="str">
            <v>juillet</v>
          </cell>
          <cell r="AF180">
            <v>0</v>
          </cell>
          <cell r="AG180">
            <v>0</v>
          </cell>
        </row>
        <row r="181">
          <cell r="D181" t="str">
            <v>MT HB SA</v>
          </cell>
          <cell r="F181" t="str">
            <v>55 à 59 ans</v>
          </cell>
          <cell r="G181" t="str">
            <v>S</v>
          </cell>
          <cell r="I181" t="str">
            <v>O</v>
          </cell>
          <cell r="P181" t="str">
            <v>juillet</v>
          </cell>
          <cell r="AF181">
            <v>0</v>
          </cell>
          <cell r="AG181">
            <v>0</v>
          </cell>
        </row>
        <row r="182">
          <cell r="D182" t="str">
            <v>BLDPMSVL</v>
          </cell>
          <cell r="F182" t="str">
            <v>Moins de 20 ans</v>
          </cell>
          <cell r="G182" t="str">
            <v>S</v>
          </cell>
          <cell r="I182" t="str">
            <v>N</v>
          </cell>
          <cell r="P182" t="str">
            <v>juillet</v>
          </cell>
          <cell r="AF182">
            <v>0</v>
          </cell>
          <cell r="AG182">
            <v>0</v>
          </cell>
        </row>
        <row r="183">
          <cell r="D183" t="str">
            <v>MT JK PR</v>
          </cell>
          <cell r="F183" t="str">
            <v>55 à 59 ans</v>
          </cell>
          <cell r="G183" t="str">
            <v>S</v>
          </cell>
          <cell r="I183" t="str">
            <v>O</v>
          </cell>
          <cell r="P183" t="str">
            <v>juillet</v>
          </cell>
          <cell r="AF183">
            <v>0</v>
          </cell>
          <cell r="AG183">
            <v>0</v>
          </cell>
        </row>
        <row r="184">
          <cell r="D184" t="str">
            <v>MT HB QO</v>
          </cell>
          <cell r="F184" t="str">
            <v>55 à 59 ans</v>
          </cell>
          <cell r="G184" t="str">
            <v>S</v>
          </cell>
          <cell r="I184" t="str">
            <v>O</v>
          </cell>
          <cell r="P184" t="str">
            <v>juillet</v>
          </cell>
          <cell r="AF184">
            <v>0</v>
          </cell>
          <cell r="AG184">
            <v>0</v>
          </cell>
        </row>
        <row r="185">
          <cell r="D185" t="str">
            <v>MT HB PR</v>
          </cell>
          <cell r="F185" t="str">
            <v>45 à 49 ans</v>
          </cell>
          <cell r="G185" t="str">
            <v>S</v>
          </cell>
          <cell r="I185" t="str">
            <v>O</v>
          </cell>
          <cell r="P185" t="str">
            <v>juillet</v>
          </cell>
          <cell r="AF185" t="str">
            <v>Acceptation</v>
          </cell>
          <cell r="AG185" t="str">
            <v>Acceptation</v>
          </cell>
        </row>
        <row r="186">
          <cell r="D186" t="str">
            <v>MT QJ</v>
          </cell>
          <cell r="F186" t="str">
            <v>30 à 34 ans</v>
          </cell>
          <cell r="G186" t="str">
            <v>S</v>
          </cell>
          <cell r="I186" t="str">
            <v>N</v>
          </cell>
          <cell r="P186" t="str">
            <v>juillet</v>
          </cell>
          <cell r="AF186">
            <v>0</v>
          </cell>
          <cell r="AG186">
            <v>0</v>
          </cell>
        </row>
        <row r="187">
          <cell r="D187" t="str">
            <v>MT YH TA</v>
          </cell>
          <cell r="F187" t="str">
            <v>55 à 59 ans</v>
          </cell>
          <cell r="G187" t="str">
            <v>S</v>
          </cell>
          <cell r="I187" t="str">
            <v>N</v>
          </cell>
          <cell r="P187" t="str">
            <v>août</v>
          </cell>
          <cell r="AF187">
            <v>0</v>
          </cell>
          <cell r="AG187">
            <v>0</v>
          </cell>
        </row>
        <row r="188">
          <cell r="D188" t="str">
            <v>MT YC PR</v>
          </cell>
          <cell r="F188" t="str">
            <v>55 à 59 ans</v>
          </cell>
          <cell r="G188" t="str">
            <v>T</v>
          </cell>
          <cell r="I188" t="str">
            <v>N</v>
          </cell>
          <cell r="P188" t="str">
            <v>août</v>
          </cell>
          <cell r="AF188">
            <v>0</v>
          </cell>
          <cell r="AG188">
            <v>0</v>
          </cell>
        </row>
        <row r="189">
          <cell r="D189" t="str">
            <v>MT CA PR</v>
          </cell>
          <cell r="F189" t="str">
            <v>45 à 49 ans</v>
          </cell>
          <cell r="G189" t="str">
            <v>S</v>
          </cell>
          <cell r="I189" t="str">
            <v>N</v>
          </cell>
          <cell r="P189" t="str">
            <v>août</v>
          </cell>
          <cell r="AF189">
            <v>0</v>
          </cell>
          <cell r="AG189">
            <v>0</v>
          </cell>
        </row>
        <row r="190">
          <cell r="D190" t="str">
            <v>MT HB PR</v>
          </cell>
          <cell r="F190" t="str">
            <v>45 à 49 ans</v>
          </cell>
          <cell r="G190" t="str">
            <v>S</v>
          </cell>
          <cell r="I190" t="str">
            <v>O</v>
          </cell>
          <cell r="P190" t="str">
            <v>août</v>
          </cell>
          <cell r="AF190">
            <v>0</v>
          </cell>
          <cell r="AG190">
            <v>0</v>
          </cell>
        </row>
        <row r="191">
          <cell r="D191" t="str">
            <v>MT YC PR</v>
          </cell>
          <cell r="F191" t="str">
            <v>45 à 49 ans</v>
          </cell>
          <cell r="G191" t="str">
            <v>S</v>
          </cell>
          <cell r="I191" t="str">
            <v>O</v>
          </cell>
          <cell r="P191" t="str">
            <v>août</v>
          </cell>
          <cell r="AF191" t="str">
            <v>Acceptation</v>
          </cell>
          <cell r="AG191" t="str">
            <v>Acceptation</v>
          </cell>
        </row>
        <row r="192">
          <cell r="D192" t="str">
            <v>MT CG PW</v>
          </cell>
          <cell r="F192" t="str">
            <v>30 à 34 ans</v>
          </cell>
          <cell r="G192" t="str">
            <v>S</v>
          </cell>
          <cell r="I192" t="str">
            <v>O</v>
          </cell>
          <cell r="P192" t="str">
            <v>août</v>
          </cell>
          <cell r="AF192" t="str">
            <v>Acceptation</v>
          </cell>
          <cell r="AG192" t="str">
            <v>Acceptation</v>
          </cell>
        </row>
        <row r="193">
          <cell r="D193" t="str">
            <v>MT QJ</v>
          </cell>
          <cell r="F193" t="str">
            <v>50 à 54 ans</v>
          </cell>
          <cell r="G193" t="str">
            <v>S</v>
          </cell>
          <cell r="I193" t="str">
            <v>N</v>
          </cell>
          <cell r="P193" t="str">
            <v>août</v>
          </cell>
          <cell r="AF193" t="str">
            <v>Acceptation</v>
          </cell>
          <cell r="AG193" t="str">
            <v>Acceptation</v>
          </cell>
        </row>
        <row r="194">
          <cell r="D194" t="str">
            <v>MT HB PR</v>
          </cell>
          <cell r="F194" t="str">
            <v>30 à 34 ans</v>
          </cell>
          <cell r="G194" t="str">
            <v>S</v>
          </cell>
          <cell r="I194" t="str">
            <v>N</v>
          </cell>
          <cell r="P194" t="str">
            <v>août</v>
          </cell>
          <cell r="AF194">
            <v>0</v>
          </cell>
          <cell r="AG194">
            <v>0</v>
          </cell>
        </row>
        <row r="195">
          <cell r="D195" t="str">
            <v>MT CG PR</v>
          </cell>
          <cell r="F195" t="str">
            <v>40 à 44 ans</v>
          </cell>
          <cell r="G195" t="str">
            <v>S</v>
          </cell>
          <cell r="I195" t="str">
            <v>N</v>
          </cell>
          <cell r="P195" t="str">
            <v>août</v>
          </cell>
          <cell r="AF195">
            <v>0</v>
          </cell>
          <cell r="AG195">
            <v>0</v>
          </cell>
        </row>
        <row r="196">
          <cell r="D196" t="str">
            <v>MT CC PR</v>
          </cell>
          <cell r="F196" t="str">
            <v>50 à 54 ans</v>
          </cell>
          <cell r="G196" t="str">
            <v>T</v>
          </cell>
          <cell r="I196" t="str">
            <v>O</v>
          </cell>
          <cell r="P196" t="str">
            <v>août</v>
          </cell>
          <cell r="AF196">
            <v>0</v>
          </cell>
          <cell r="AG196">
            <v>0</v>
          </cell>
        </row>
        <row r="197">
          <cell r="D197" t="str">
            <v>MT CC PR</v>
          </cell>
          <cell r="F197" t="str">
            <v>50 à 54 ans</v>
          </cell>
          <cell r="G197" t="str">
            <v>S</v>
          </cell>
          <cell r="I197" t="str">
            <v>O</v>
          </cell>
          <cell r="P197" t="str">
            <v>août</v>
          </cell>
          <cell r="AF197">
            <v>0</v>
          </cell>
          <cell r="AG197">
            <v>0</v>
          </cell>
        </row>
        <row r="198">
          <cell r="D198" t="str">
            <v>MT HB PR</v>
          </cell>
          <cell r="F198" t="str">
            <v>40 à 44 ans</v>
          </cell>
          <cell r="G198" t="str">
            <v>S</v>
          </cell>
          <cell r="I198" t="str">
            <v>O</v>
          </cell>
          <cell r="P198" t="str">
            <v>août</v>
          </cell>
          <cell r="AF198" t="str">
            <v>Acceptation</v>
          </cell>
          <cell r="AG198" t="str">
            <v>Acceptation</v>
          </cell>
        </row>
        <row r="199">
          <cell r="D199" t="str">
            <v>MT HB PR</v>
          </cell>
          <cell r="F199" t="str">
            <v>25 à 29 ans</v>
          </cell>
          <cell r="G199" t="str">
            <v>S</v>
          </cell>
          <cell r="I199" t="str">
            <v>N</v>
          </cell>
          <cell r="P199" t="str">
            <v>août</v>
          </cell>
          <cell r="AF199">
            <v>0</v>
          </cell>
          <cell r="AG199">
            <v>0</v>
          </cell>
        </row>
        <row r="200">
          <cell r="D200" t="str">
            <v>BLDPMSCL</v>
          </cell>
          <cell r="F200" t="str">
            <v>Moins de 20 ans</v>
          </cell>
          <cell r="G200" t="str">
            <v>S</v>
          </cell>
          <cell r="I200" t="str">
            <v>O</v>
          </cell>
          <cell r="P200" t="str">
            <v>août</v>
          </cell>
          <cell r="AF200">
            <v>0</v>
          </cell>
          <cell r="AG200">
            <v>0</v>
          </cell>
        </row>
        <row r="201">
          <cell r="D201" t="str">
            <v>MT CA PR</v>
          </cell>
          <cell r="F201" t="str">
            <v>35 à 39 ans</v>
          </cell>
          <cell r="G201" t="str">
            <v>S</v>
          </cell>
          <cell r="I201" t="str">
            <v>N</v>
          </cell>
          <cell r="P201" t="str">
            <v>août</v>
          </cell>
          <cell r="AF201">
            <v>0</v>
          </cell>
          <cell r="AG201">
            <v>0</v>
          </cell>
        </row>
        <row r="202">
          <cell r="D202" t="str">
            <v>NCEKI</v>
          </cell>
          <cell r="F202" t="str">
            <v>55 à 59 ans</v>
          </cell>
          <cell r="G202" t="str">
            <v>T</v>
          </cell>
          <cell r="I202" t="str">
            <v>O</v>
          </cell>
          <cell r="P202" t="str">
            <v>août</v>
          </cell>
          <cell r="AF202">
            <v>0</v>
          </cell>
          <cell r="AG202">
            <v>0</v>
          </cell>
        </row>
        <row r="203">
          <cell r="D203" t="str">
            <v>MT HB QO</v>
          </cell>
          <cell r="F203" t="str">
            <v>45 à 49 ans</v>
          </cell>
          <cell r="G203" t="str">
            <v>S</v>
          </cell>
          <cell r="I203" t="str">
            <v>O</v>
          </cell>
          <cell r="P203" t="str">
            <v>août</v>
          </cell>
          <cell r="AF203">
            <v>0</v>
          </cell>
          <cell r="AG203">
            <v>0</v>
          </cell>
        </row>
        <row r="204">
          <cell r="D204" t="str">
            <v>MT CG PR</v>
          </cell>
          <cell r="F204" t="str">
            <v>50 à 54 ans</v>
          </cell>
          <cell r="G204" t="str">
            <v>S</v>
          </cell>
          <cell r="I204" t="str">
            <v>N</v>
          </cell>
          <cell r="P204" t="str">
            <v>août</v>
          </cell>
          <cell r="AF204">
            <v>0</v>
          </cell>
          <cell r="AG204">
            <v>0</v>
          </cell>
        </row>
        <row r="205">
          <cell r="D205" t="str">
            <v>MT JK PR</v>
          </cell>
          <cell r="F205" t="str">
            <v>40 à 44 ans</v>
          </cell>
          <cell r="G205" t="str">
            <v>S</v>
          </cell>
          <cell r="I205" t="str">
            <v>N</v>
          </cell>
          <cell r="P205" t="str">
            <v>août</v>
          </cell>
          <cell r="AF205">
            <v>0</v>
          </cell>
          <cell r="AG205">
            <v>0</v>
          </cell>
        </row>
        <row r="206">
          <cell r="D206" t="str">
            <v>MT CC PR</v>
          </cell>
          <cell r="F206" t="str">
            <v>40 à 44 ans</v>
          </cell>
          <cell r="G206" t="str">
            <v>S</v>
          </cell>
          <cell r="I206" t="str">
            <v>O</v>
          </cell>
          <cell r="P206" t="str">
            <v>août</v>
          </cell>
          <cell r="AF206">
            <v>0</v>
          </cell>
          <cell r="AG206">
            <v>0</v>
          </cell>
        </row>
        <row r="207">
          <cell r="D207" t="str">
            <v>BLDPMSOR</v>
          </cell>
          <cell r="F207" t="str">
            <v>Moins de 20 ans</v>
          </cell>
          <cell r="G207" t="str">
            <v>T</v>
          </cell>
          <cell r="I207" t="str">
            <v>O</v>
          </cell>
          <cell r="P207" t="str">
            <v>août</v>
          </cell>
          <cell r="AF207" t="str">
            <v>Acceptation</v>
          </cell>
          <cell r="AG207" t="str">
            <v>Acceptation</v>
          </cell>
        </row>
        <row r="208">
          <cell r="D208" t="str">
            <v>MT HB PR</v>
          </cell>
          <cell r="F208" t="str">
            <v>40 à 44 ans</v>
          </cell>
          <cell r="G208" t="str">
            <v>T</v>
          </cell>
          <cell r="I208" t="str">
            <v>N</v>
          </cell>
          <cell r="P208" t="str">
            <v>août</v>
          </cell>
          <cell r="AF208">
            <v>0</v>
          </cell>
          <cell r="AG208">
            <v>0</v>
          </cell>
        </row>
        <row r="209">
          <cell r="D209" t="str">
            <v>MT CA PR</v>
          </cell>
          <cell r="F209" t="str">
            <v>55 à 59 ans</v>
          </cell>
          <cell r="G209" t="str">
            <v>T</v>
          </cell>
          <cell r="I209" t="str">
            <v>O</v>
          </cell>
          <cell r="P209" t="str">
            <v>août</v>
          </cell>
          <cell r="AF209" t="str">
            <v>Acceptation</v>
          </cell>
          <cell r="AG209" t="str">
            <v>Acceptation</v>
          </cell>
        </row>
        <row r="210">
          <cell r="D210" t="str">
            <v>MT HB PR</v>
          </cell>
          <cell r="F210" t="str">
            <v>45 à 49 ans</v>
          </cell>
          <cell r="G210" t="str">
            <v>S</v>
          </cell>
          <cell r="I210" t="str">
            <v>N</v>
          </cell>
          <cell r="P210" t="str">
            <v>août</v>
          </cell>
          <cell r="AF210">
            <v>0</v>
          </cell>
          <cell r="AG210">
            <v>0</v>
          </cell>
        </row>
        <row r="211">
          <cell r="D211" t="str">
            <v>MT YC PR</v>
          </cell>
          <cell r="F211" t="str">
            <v>55 à 59 ans</v>
          </cell>
          <cell r="G211" t="str">
            <v>T</v>
          </cell>
          <cell r="I211" t="str">
            <v>O</v>
          </cell>
          <cell r="P211" t="str">
            <v>août</v>
          </cell>
          <cell r="AF211" t="str">
            <v>Acceptation</v>
          </cell>
          <cell r="AG211" t="str">
            <v>Acceptation</v>
          </cell>
        </row>
        <row r="212">
          <cell r="D212" t="str">
            <v>MT FB PR</v>
          </cell>
          <cell r="F212" t="str">
            <v>35 à 39 ans</v>
          </cell>
          <cell r="G212" t="str">
            <v>S</v>
          </cell>
          <cell r="I212" t="str">
            <v>N</v>
          </cell>
          <cell r="P212" t="str">
            <v>août</v>
          </cell>
          <cell r="AF212">
            <v>0</v>
          </cell>
          <cell r="AG212">
            <v>0</v>
          </cell>
        </row>
        <row r="213">
          <cell r="D213" t="str">
            <v>MT CG PR</v>
          </cell>
          <cell r="F213" t="str">
            <v>45 à 49 ans</v>
          </cell>
          <cell r="G213" t="str">
            <v>S</v>
          </cell>
          <cell r="I213" t="str">
            <v>N</v>
          </cell>
          <cell r="P213" t="str">
            <v>août</v>
          </cell>
          <cell r="AF213">
            <v>0</v>
          </cell>
          <cell r="AG213">
            <v>0</v>
          </cell>
        </row>
        <row r="214">
          <cell r="D214" t="str">
            <v>MT CA PR</v>
          </cell>
          <cell r="F214" t="str">
            <v>40 à 44 ans</v>
          </cell>
          <cell r="G214" t="str">
            <v>S</v>
          </cell>
          <cell r="I214" t="str">
            <v>N</v>
          </cell>
          <cell r="P214" t="str">
            <v>août</v>
          </cell>
          <cell r="AF214">
            <v>0</v>
          </cell>
          <cell r="AG214">
            <v>0</v>
          </cell>
        </row>
        <row r="215">
          <cell r="D215" t="str">
            <v>NCEKI</v>
          </cell>
          <cell r="F215" t="str">
            <v>55 à 59 ans</v>
          </cell>
          <cell r="G215" t="str">
            <v>S</v>
          </cell>
          <cell r="I215" t="str">
            <v>O</v>
          </cell>
          <cell r="P215" t="str">
            <v>septembre</v>
          </cell>
          <cell r="AF215">
            <v>0</v>
          </cell>
          <cell r="AG215">
            <v>0</v>
          </cell>
        </row>
        <row r="216">
          <cell r="D216" t="str">
            <v>BLDPMSVL</v>
          </cell>
          <cell r="F216" t="str">
            <v>20 à 24 ans</v>
          </cell>
          <cell r="G216" t="str">
            <v>S</v>
          </cell>
          <cell r="I216" t="str">
            <v>N</v>
          </cell>
          <cell r="P216" t="str">
            <v>septembre</v>
          </cell>
          <cell r="AF216">
            <v>0</v>
          </cell>
          <cell r="AG216">
            <v>0</v>
          </cell>
        </row>
        <row r="217">
          <cell r="D217" t="str">
            <v>MT CG PR</v>
          </cell>
          <cell r="F217" t="str">
            <v>55 à 59 ans</v>
          </cell>
          <cell r="G217" t="str">
            <v>S</v>
          </cell>
          <cell r="I217" t="str">
            <v>N</v>
          </cell>
          <cell r="P217" t="str">
            <v>septembre</v>
          </cell>
          <cell r="AF217" t="str">
            <v>Acceptation</v>
          </cell>
          <cell r="AG217" t="str">
            <v>Acceptation</v>
          </cell>
        </row>
        <row r="218">
          <cell r="D218" t="str">
            <v>BLDPMSVL</v>
          </cell>
          <cell r="F218" t="str">
            <v>20 à 24 ans</v>
          </cell>
          <cell r="G218" t="str">
            <v>S</v>
          </cell>
          <cell r="I218" t="str">
            <v>N</v>
          </cell>
          <cell r="P218" t="str">
            <v>septembre</v>
          </cell>
          <cell r="AF218">
            <v>0</v>
          </cell>
          <cell r="AG218">
            <v>0</v>
          </cell>
        </row>
        <row r="219">
          <cell r="D219" t="str">
            <v>MT CG PR</v>
          </cell>
          <cell r="F219" t="str">
            <v>50 à 54 ans</v>
          </cell>
          <cell r="G219" t="str">
            <v>S</v>
          </cell>
          <cell r="I219" t="str">
            <v>N</v>
          </cell>
          <cell r="P219" t="str">
            <v>septembre</v>
          </cell>
          <cell r="AF219" t="str">
            <v>Acceptation</v>
          </cell>
          <cell r="AG219" t="str">
            <v>Acceptation</v>
          </cell>
        </row>
        <row r="220">
          <cell r="D220" t="str">
            <v>MT CG PR</v>
          </cell>
          <cell r="F220" t="str">
            <v>40 à 44 ans</v>
          </cell>
          <cell r="G220" t="str">
            <v>S</v>
          </cell>
          <cell r="I220" t="str">
            <v>N</v>
          </cell>
          <cell r="P220" t="str">
            <v>septembre</v>
          </cell>
          <cell r="AF220">
            <v>0</v>
          </cell>
          <cell r="AG220">
            <v>0</v>
          </cell>
        </row>
        <row r="221">
          <cell r="D221" t="str">
            <v>MT QJ</v>
          </cell>
          <cell r="F221" t="str">
            <v>40 à 44 ans</v>
          </cell>
          <cell r="G221" t="str">
            <v>S</v>
          </cell>
          <cell r="I221" t="str">
            <v>O</v>
          </cell>
          <cell r="P221" t="str">
            <v>septembre</v>
          </cell>
          <cell r="AF221">
            <v>0</v>
          </cell>
          <cell r="AG221">
            <v>0</v>
          </cell>
        </row>
        <row r="222">
          <cell r="D222" t="str">
            <v>MT CC PR</v>
          </cell>
          <cell r="F222" t="str">
            <v>50 à 54 ans</v>
          </cell>
          <cell r="G222" t="str">
            <v>S</v>
          </cell>
          <cell r="I222" t="str">
            <v>O</v>
          </cell>
          <cell r="P222" t="str">
            <v>septembre</v>
          </cell>
          <cell r="AF222">
            <v>0</v>
          </cell>
          <cell r="AG222">
            <v>0</v>
          </cell>
        </row>
        <row r="223">
          <cell r="D223" t="str">
            <v>MT HB PR</v>
          </cell>
          <cell r="F223" t="str">
            <v>25 à 29 ans</v>
          </cell>
          <cell r="G223" t="str">
            <v>S</v>
          </cell>
          <cell r="I223" t="str">
            <v>N</v>
          </cell>
          <cell r="P223" t="str">
            <v>septembre</v>
          </cell>
          <cell r="AF223">
            <v>0</v>
          </cell>
          <cell r="AG223">
            <v>0</v>
          </cell>
        </row>
        <row r="224">
          <cell r="D224" t="str">
            <v>BLDPMSVL</v>
          </cell>
          <cell r="F224" t="str">
            <v>20 à 24 ans</v>
          </cell>
          <cell r="G224" t="str">
            <v>S</v>
          </cell>
          <cell r="I224" t="str">
            <v>N</v>
          </cell>
          <cell r="P224" t="str">
            <v>septembre</v>
          </cell>
          <cell r="AF224">
            <v>0</v>
          </cell>
          <cell r="AG224">
            <v>0</v>
          </cell>
        </row>
        <row r="225">
          <cell r="D225" t="str">
            <v>MTCAEP</v>
          </cell>
          <cell r="F225" t="str">
            <v>50 à 54 ans</v>
          </cell>
          <cell r="G225" t="str">
            <v>S</v>
          </cell>
          <cell r="I225" t="str">
            <v>N</v>
          </cell>
          <cell r="P225" t="str">
            <v>septembre</v>
          </cell>
          <cell r="AF225">
            <v>0</v>
          </cell>
          <cell r="AG225">
            <v>0</v>
          </cell>
        </row>
        <row r="226">
          <cell r="D226" t="str">
            <v>MT CG PR</v>
          </cell>
          <cell r="F226" t="str">
            <v>20 à 24 ans</v>
          </cell>
          <cell r="G226" t="str">
            <v>S</v>
          </cell>
          <cell r="I226" t="str">
            <v>O</v>
          </cell>
          <cell r="P226" t="str">
            <v>septembre</v>
          </cell>
          <cell r="AF226">
            <v>0</v>
          </cell>
          <cell r="AG226">
            <v>0</v>
          </cell>
        </row>
        <row r="227">
          <cell r="D227" t="str">
            <v>MT CA PR</v>
          </cell>
          <cell r="F227" t="str">
            <v>30 à 34 ans</v>
          </cell>
          <cell r="G227" t="str">
            <v>S</v>
          </cell>
          <cell r="I227" t="str">
            <v>N</v>
          </cell>
          <cell r="P227" t="str">
            <v>septembre</v>
          </cell>
          <cell r="AF227">
            <v>0</v>
          </cell>
          <cell r="AG227">
            <v>0</v>
          </cell>
        </row>
        <row r="228">
          <cell r="D228" t="str">
            <v>MT HB TH</v>
          </cell>
          <cell r="F228" t="str">
            <v>40 à 44 ans</v>
          </cell>
          <cell r="G228" t="str">
            <v>S</v>
          </cell>
          <cell r="I228" t="str">
            <v>N</v>
          </cell>
          <cell r="P228" t="str">
            <v>septembre</v>
          </cell>
          <cell r="AF228">
            <v>0</v>
          </cell>
          <cell r="AG228">
            <v>0</v>
          </cell>
        </row>
        <row r="229">
          <cell r="D229" t="str">
            <v>MT CA PR</v>
          </cell>
          <cell r="F229" t="str">
            <v>30 à 34 ans</v>
          </cell>
          <cell r="G229" t="str">
            <v>T</v>
          </cell>
          <cell r="I229" t="str">
            <v>O</v>
          </cell>
          <cell r="P229" t="str">
            <v>septembre</v>
          </cell>
          <cell r="AF229">
            <v>0</v>
          </cell>
          <cell r="AG229">
            <v>0</v>
          </cell>
        </row>
        <row r="230">
          <cell r="D230" t="str">
            <v>MT QJ</v>
          </cell>
          <cell r="F230" t="str">
            <v>45 à 49 ans</v>
          </cell>
          <cell r="G230" t="str">
            <v>S</v>
          </cell>
          <cell r="I230" t="str">
            <v>N</v>
          </cell>
          <cell r="P230" t="str">
            <v>septembre</v>
          </cell>
          <cell r="AF230">
            <v>0</v>
          </cell>
          <cell r="AG230">
            <v>0</v>
          </cell>
        </row>
        <row r="231">
          <cell r="D231" t="str">
            <v>MT CC PR</v>
          </cell>
          <cell r="F231" t="str">
            <v>35 à 39 ans</v>
          </cell>
          <cell r="G231" t="str">
            <v>S</v>
          </cell>
          <cell r="I231" t="str">
            <v>N</v>
          </cell>
          <cell r="P231" t="str">
            <v>septembre</v>
          </cell>
          <cell r="AF231">
            <v>0</v>
          </cell>
          <cell r="AG231">
            <v>0</v>
          </cell>
        </row>
        <row r="232">
          <cell r="D232" t="str">
            <v>MT QS FT</v>
          </cell>
          <cell r="F232" t="str">
            <v>55 à 59 ans</v>
          </cell>
          <cell r="G232" t="str">
            <v>T</v>
          </cell>
          <cell r="I232" t="str">
            <v>O</v>
          </cell>
          <cell r="P232" t="str">
            <v>septembre</v>
          </cell>
          <cell r="AF232">
            <v>0</v>
          </cell>
          <cell r="AG232">
            <v>0</v>
          </cell>
        </row>
        <row r="233">
          <cell r="D233" t="str">
            <v>MT JK PR</v>
          </cell>
          <cell r="F233" t="str">
            <v>40 à 44 ans</v>
          </cell>
          <cell r="G233" t="str">
            <v>S</v>
          </cell>
          <cell r="I233" t="str">
            <v>N</v>
          </cell>
          <cell r="P233" t="str">
            <v>septembre</v>
          </cell>
          <cell r="AF233">
            <v>0</v>
          </cell>
          <cell r="AG233">
            <v>0</v>
          </cell>
        </row>
        <row r="234">
          <cell r="D234" t="str">
            <v>MT CA PR</v>
          </cell>
          <cell r="F234" t="str">
            <v>35 à 39 ans</v>
          </cell>
          <cell r="G234" t="str">
            <v>S</v>
          </cell>
          <cell r="I234" t="str">
            <v>N</v>
          </cell>
          <cell r="P234" t="str">
            <v>septembre</v>
          </cell>
          <cell r="AF234">
            <v>0</v>
          </cell>
          <cell r="AG234">
            <v>0</v>
          </cell>
        </row>
        <row r="235">
          <cell r="D235" t="str">
            <v>MT YC PR</v>
          </cell>
          <cell r="F235" t="str">
            <v>40 à 44 ans</v>
          </cell>
          <cell r="G235" t="str">
            <v>S</v>
          </cell>
          <cell r="I235" t="str">
            <v>N</v>
          </cell>
          <cell r="P235" t="str">
            <v>septembre</v>
          </cell>
          <cell r="AF235">
            <v>0</v>
          </cell>
          <cell r="AG235">
            <v>0</v>
          </cell>
        </row>
        <row r="236">
          <cell r="D236" t="str">
            <v>MT HB PR</v>
          </cell>
          <cell r="F236" t="str">
            <v>50 à 54 ans</v>
          </cell>
          <cell r="G236" t="str">
            <v>S</v>
          </cell>
          <cell r="I236" t="str">
            <v>N</v>
          </cell>
          <cell r="P236" t="str">
            <v>septembre</v>
          </cell>
          <cell r="AF236">
            <v>0</v>
          </cell>
          <cell r="AG236">
            <v>0</v>
          </cell>
        </row>
        <row r="237">
          <cell r="D237" t="str">
            <v>MT HB PR</v>
          </cell>
          <cell r="F237" t="str">
            <v>35 à 39 ans</v>
          </cell>
          <cell r="G237" t="str">
            <v>S</v>
          </cell>
          <cell r="I237" t="str">
            <v>N</v>
          </cell>
          <cell r="P237" t="str">
            <v>septembre</v>
          </cell>
          <cell r="AF237">
            <v>0</v>
          </cell>
          <cell r="AG237">
            <v>0</v>
          </cell>
        </row>
        <row r="238">
          <cell r="D238" t="str">
            <v>BLDPMMOR</v>
          </cell>
          <cell r="F238" t="str">
            <v>Moins de 20 ans</v>
          </cell>
          <cell r="G238" t="str">
            <v>T</v>
          </cell>
          <cell r="I238" t="str">
            <v>N</v>
          </cell>
          <cell r="P238" t="str">
            <v>septembre</v>
          </cell>
          <cell r="AF238">
            <v>0</v>
          </cell>
          <cell r="AG238">
            <v>0</v>
          </cell>
        </row>
        <row r="239">
          <cell r="D239" t="str">
            <v>MT CC PR</v>
          </cell>
          <cell r="F239" t="str">
            <v>45 à 49 ans</v>
          </cell>
          <cell r="G239" t="str">
            <v>S</v>
          </cell>
          <cell r="I239" t="str">
            <v>N</v>
          </cell>
          <cell r="P239" t="str">
            <v>septembre</v>
          </cell>
          <cell r="AF239">
            <v>0</v>
          </cell>
          <cell r="AG239">
            <v>0</v>
          </cell>
        </row>
        <row r="240">
          <cell r="D240">
            <v>0</v>
          </cell>
          <cell r="F240" t="str">
            <v/>
          </cell>
          <cell r="G240">
            <v>0</v>
          </cell>
          <cell r="I240">
            <v>0</v>
          </cell>
          <cell r="P240" t="str">
            <v/>
          </cell>
          <cell r="AF240">
            <v>0</v>
          </cell>
          <cell r="AG240">
            <v>0</v>
          </cell>
        </row>
        <row r="241">
          <cell r="D241">
            <v>0</v>
          </cell>
          <cell r="F241" t="str">
            <v/>
          </cell>
          <cell r="G241">
            <v>0</v>
          </cell>
          <cell r="I241">
            <v>0</v>
          </cell>
          <cell r="P241" t="str">
            <v/>
          </cell>
          <cell r="AF241">
            <v>0</v>
          </cell>
          <cell r="AG241">
            <v>0</v>
          </cell>
        </row>
        <row r="242">
          <cell r="D242">
            <v>0</v>
          </cell>
          <cell r="F242" t="str">
            <v/>
          </cell>
          <cell r="G242">
            <v>0</v>
          </cell>
          <cell r="I242">
            <v>0</v>
          </cell>
          <cell r="P242" t="str">
            <v/>
          </cell>
          <cell r="AF242">
            <v>0</v>
          </cell>
          <cell r="AG242">
            <v>0</v>
          </cell>
        </row>
        <row r="243">
          <cell r="D243">
            <v>0</v>
          </cell>
          <cell r="F243" t="str">
            <v/>
          </cell>
          <cell r="G243">
            <v>0</v>
          </cell>
          <cell r="I243">
            <v>0</v>
          </cell>
          <cell r="P243" t="str">
            <v/>
          </cell>
          <cell r="AF243">
            <v>0</v>
          </cell>
          <cell r="AG243">
            <v>0</v>
          </cell>
        </row>
        <row r="244">
          <cell r="D244">
            <v>0</v>
          </cell>
          <cell r="F244" t="str">
            <v/>
          </cell>
          <cell r="G244">
            <v>0</v>
          </cell>
          <cell r="I244">
            <v>0</v>
          </cell>
          <cell r="P244" t="str">
            <v/>
          </cell>
          <cell r="AF244">
            <v>0</v>
          </cell>
          <cell r="AG244">
            <v>0</v>
          </cell>
        </row>
        <row r="245">
          <cell r="D245">
            <v>0</v>
          </cell>
          <cell r="F245" t="str">
            <v/>
          </cell>
          <cell r="G245">
            <v>0</v>
          </cell>
          <cell r="I245">
            <v>0</v>
          </cell>
          <cell r="P245" t="str">
            <v/>
          </cell>
          <cell r="AF245">
            <v>0</v>
          </cell>
          <cell r="AG245">
            <v>0</v>
          </cell>
        </row>
        <row r="246">
          <cell r="D246">
            <v>0</v>
          </cell>
          <cell r="F246" t="str">
            <v/>
          </cell>
          <cell r="G246">
            <v>0</v>
          </cell>
          <cell r="I246">
            <v>0</v>
          </cell>
          <cell r="P246" t="str">
            <v/>
          </cell>
          <cell r="AF246">
            <v>0</v>
          </cell>
          <cell r="AG246">
            <v>0</v>
          </cell>
        </row>
        <row r="247">
          <cell r="D247">
            <v>0</v>
          </cell>
          <cell r="F247" t="str">
            <v/>
          </cell>
          <cell r="G247">
            <v>0</v>
          </cell>
          <cell r="I247">
            <v>0</v>
          </cell>
          <cell r="P247" t="str">
            <v/>
          </cell>
          <cell r="AF247">
            <v>0</v>
          </cell>
          <cell r="AG247">
            <v>0</v>
          </cell>
        </row>
        <row r="248">
          <cell r="D248">
            <v>0</v>
          </cell>
          <cell r="F248" t="str">
            <v/>
          </cell>
          <cell r="G248">
            <v>0</v>
          </cell>
          <cell r="I248">
            <v>0</v>
          </cell>
          <cell r="P248" t="str">
            <v/>
          </cell>
          <cell r="AF248">
            <v>0</v>
          </cell>
          <cell r="AG248">
            <v>0</v>
          </cell>
        </row>
        <row r="249">
          <cell r="D249">
            <v>0</v>
          </cell>
          <cell r="F249" t="str">
            <v/>
          </cell>
          <cell r="G249">
            <v>0</v>
          </cell>
          <cell r="I249">
            <v>0</v>
          </cell>
          <cell r="P249" t="str">
            <v/>
          </cell>
          <cell r="AF249">
            <v>0</v>
          </cell>
          <cell r="AG249">
            <v>0</v>
          </cell>
        </row>
        <row r="250">
          <cell r="D250">
            <v>0</v>
          </cell>
          <cell r="F250" t="str">
            <v/>
          </cell>
          <cell r="G250">
            <v>0</v>
          </cell>
          <cell r="I250">
            <v>0</v>
          </cell>
          <cell r="P250" t="str">
            <v/>
          </cell>
          <cell r="AF250">
            <v>0</v>
          </cell>
          <cell r="AG250">
            <v>0</v>
          </cell>
        </row>
        <row r="251">
          <cell r="D251">
            <v>0</v>
          </cell>
          <cell r="F251" t="str">
            <v/>
          </cell>
          <cell r="G251">
            <v>0</v>
          </cell>
          <cell r="I251">
            <v>0</v>
          </cell>
          <cell r="P251" t="str">
            <v/>
          </cell>
          <cell r="AF251">
            <v>0</v>
          </cell>
          <cell r="AG251">
            <v>0</v>
          </cell>
        </row>
        <row r="252">
          <cell r="D252">
            <v>0</v>
          </cell>
          <cell r="F252" t="str">
            <v/>
          </cell>
          <cell r="G252">
            <v>0</v>
          </cell>
          <cell r="I252">
            <v>0</v>
          </cell>
          <cell r="P252" t="str">
            <v/>
          </cell>
          <cell r="AF252">
            <v>0</v>
          </cell>
          <cell r="AG252">
            <v>0</v>
          </cell>
        </row>
        <row r="253">
          <cell r="D253">
            <v>0</v>
          </cell>
          <cell r="F253" t="str">
            <v/>
          </cell>
          <cell r="G253">
            <v>0</v>
          </cell>
          <cell r="I253">
            <v>0</v>
          </cell>
          <cell r="P253" t="str">
            <v/>
          </cell>
          <cell r="AF253">
            <v>0</v>
          </cell>
          <cell r="AG253">
            <v>0</v>
          </cell>
        </row>
        <row r="254">
          <cell r="D254">
            <v>0</v>
          </cell>
          <cell r="F254" t="str">
            <v/>
          </cell>
          <cell r="G254">
            <v>0</v>
          </cell>
          <cell r="I254">
            <v>0</v>
          </cell>
          <cell r="P254" t="str">
            <v/>
          </cell>
          <cell r="AF254">
            <v>0</v>
          </cell>
          <cell r="AG254">
            <v>0</v>
          </cell>
        </row>
        <row r="255">
          <cell r="D255">
            <v>0</v>
          </cell>
          <cell r="F255" t="str">
            <v/>
          </cell>
          <cell r="G255">
            <v>0</v>
          </cell>
          <cell r="I255">
            <v>0</v>
          </cell>
          <cell r="P255" t="str">
            <v/>
          </cell>
          <cell r="AF255">
            <v>0</v>
          </cell>
          <cell r="AG255">
            <v>0</v>
          </cell>
        </row>
        <row r="256">
          <cell r="D256">
            <v>0</v>
          </cell>
          <cell r="F256" t="str">
            <v/>
          </cell>
          <cell r="G256">
            <v>0</v>
          </cell>
          <cell r="I256">
            <v>0</v>
          </cell>
          <cell r="P256" t="str">
            <v/>
          </cell>
          <cell r="AF256">
            <v>0</v>
          </cell>
          <cell r="AG256">
            <v>0</v>
          </cell>
        </row>
        <row r="257">
          <cell r="D257">
            <v>0</v>
          </cell>
          <cell r="F257" t="str">
            <v/>
          </cell>
          <cell r="G257">
            <v>0</v>
          </cell>
          <cell r="I257">
            <v>0</v>
          </cell>
          <cell r="P257" t="str">
            <v/>
          </cell>
          <cell r="AF257">
            <v>0</v>
          </cell>
          <cell r="AG257">
            <v>0</v>
          </cell>
        </row>
        <row r="258">
          <cell r="D258">
            <v>0</v>
          </cell>
          <cell r="F258" t="str">
            <v/>
          </cell>
          <cell r="G258">
            <v>0</v>
          </cell>
          <cell r="I258">
            <v>0</v>
          </cell>
          <cell r="P258" t="str">
            <v/>
          </cell>
          <cell r="AF258">
            <v>0</v>
          </cell>
          <cell r="AG258">
            <v>0</v>
          </cell>
        </row>
        <row r="259">
          <cell r="D259">
            <v>0</v>
          </cell>
          <cell r="F259" t="str">
            <v/>
          </cell>
          <cell r="G259">
            <v>0</v>
          </cell>
          <cell r="I259">
            <v>0</v>
          </cell>
          <cell r="P259" t="str">
            <v/>
          </cell>
          <cell r="AF259">
            <v>0</v>
          </cell>
          <cell r="AG259">
            <v>0</v>
          </cell>
        </row>
        <row r="260">
          <cell r="D260">
            <v>0</v>
          </cell>
          <cell r="F260" t="str">
            <v/>
          </cell>
          <cell r="G260">
            <v>0</v>
          </cell>
          <cell r="I260">
            <v>0</v>
          </cell>
          <cell r="P260" t="str">
            <v/>
          </cell>
          <cell r="AF260">
            <v>0</v>
          </cell>
          <cell r="AG260">
            <v>0</v>
          </cell>
        </row>
        <row r="261">
          <cell r="D261">
            <v>0</v>
          </cell>
          <cell r="F261" t="str">
            <v/>
          </cell>
          <cell r="G261">
            <v>0</v>
          </cell>
          <cell r="I261">
            <v>0</v>
          </cell>
          <cell r="P261" t="str">
            <v/>
          </cell>
          <cell r="AF261">
            <v>0</v>
          </cell>
          <cell r="AG261">
            <v>0</v>
          </cell>
        </row>
        <row r="262">
          <cell r="D262">
            <v>0</v>
          </cell>
          <cell r="F262" t="str">
            <v/>
          </cell>
          <cell r="G262">
            <v>0</v>
          </cell>
          <cell r="I262">
            <v>0</v>
          </cell>
          <cell r="P262" t="str">
            <v/>
          </cell>
          <cell r="AF262">
            <v>0</v>
          </cell>
          <cell r="AG262">
            <v>0</v>
          </cell>
        </row>
        <row r="263">
          <cell r="D263">
            <v>0</v>
          </cell>
          <cell r="F263" t="str">
            <v/>
          </cell>
          <cell r="G263">
            <v>0</v>
          </cell>
          <cell r="I263">
            <v>0</v>
          </cell>
          <cell r="P263" t="str">
            <v/>
          </cell>
          <cell r="AF263">
            <v>0</v>
          </cell>
          <cell r="AG263">
            <v>0</v>
          </cell>
        </row>
        <row r="264">
          <cell r="D264">
            <v>0</v>
          </cell>
          <cell r="F264" t="str">
            <v/>
          </cell>
          <cell r="G264">
            <v>0</v>
          </cell>
          <cell r="I264">
            <v>0</v>
          </cell>
          <cell r="P264" t="str">
            <v/>
          </cell>
          <cell r="AF264">
            <v>0</v>
          </cell>
          <cell r="AG264">
            <v>0</v>
          </cell>
        </row>
        <row r="265">
          <cell r="D265">
            <v>0</v>
          </cell>
          <cell r="F265" t="str">
            <v/>
          </cell>
          <cell r="G265">
            <v>0</v>
          </cell>
          <cell r="I265">
            <v>0</v>
          </cell>
          <cell r="P265" t="str">
            <v/>
          </cell>
          <cell r="AF265">
            <v>0</v>
          </cell>
          <cell r="AG265">
            <v>0</v>
          </cell>
        </row>
        <row r="266">
          <cell r="D266">
            <v>0</v>
          </cell>
          <cell r="F266" t="str">
            <v/>
          </cell>
          <cell r="G266">
            <v>0</v>
          </cell>
          <cell r="I266">
            <v>0</v>
          </cell>
          <cell r="P266" t="str">
            <v/>
          </cell>
          <cell r="AF266">
            <v>0</v>
          </cell>
          <cell r="AG266">
            <v>0</v>
          </cell>
        </row>
        <row r="267">
          <cell r="D267">
            <v>0</v>
          </cell>
          <cell r="F267" t="str">
            <v/>
          </cell>
          <cell r="G267">
            <v>0</v>
          </cell>
          <cell r="I267">
            <v>0</v>
          </cell>
          <cell r="P267" t="str">
            <v/>
          </cell>
          <cell r="AF267">
            <v>0</v>
          </cell>
          <cell r="AG267">
            <v>0</v>
          </cell>
        </row>
        <row r="268">
          <cell r="D268">
            <v>0</v>
          </cell>
          <cell r="F268" t="str">
            <v/>
          </cell>
          <cell r="G268">
            <v>0</v>
          </cell>
          <cell r="I268">
            <v>0</v>
          </cell>
          <cell r="P268" t="str">
            <v/>
          </cell>
          <cell r="AF268">
            <v>0</v>
          </cell>
          <cell r="AG268">
            <v>0</v>
          </cell>
        </row>
        <row r="269">
          <cell r="D269">
            <v>0</v>
          </cell>
          <cell r="F269" t="str">
            <v/>
          </cell>
          <cell r="G269">
            <v>0</v>
          </cell>
          <cell r="I269">
            <v>0</v>
          </cell>
          <cell r="P269" t="str">
            <v/>
          </cell>
          <cell r="AF269">
            <v>0</v>
          </cell>
          <cell r="AG269">
            <v>0</v>
          </cell>
        </row>
        <row r="270">
          <cell r="D270">
            <v>0</v>
          </cell>
          <cell r="F270" t="str">
            <v/>
          </cell>
          <cell r="G270">
            <v>0</v>
          </cell>
          <cell r="I270">
            <v>0</v>
          </cell>
          <cell r="P270" t="str">
            <v/>
          </cell>
          <cell r="AF270">
            <v>0</v>
          </cell>
          <cell r="AG270">
            <v>0</v>
          </cell>
        </row>
        <row r="271">
          <cell r="D271">
            <v>0</v>
          </cell>
          <cell r="F271" t="str">
            <v/>
          </cell>
          <cell r="G271">
            <v>0</v>
          </cell>
          <cell r="I271">
            <v>0</v>
          </cell>
          <cell r="P271" t="str">
            <v/>
          </cell>
          <cell r="AF271">
            <v>0</v>
          </cell>
          <cell r="AG271">
            <v>0</v>
          </cell>
        </row>
        <row r="272">
          <cell r="D272">
            <v>0</v>
          </cell>
          <cell r="F272" t="str">
            <v/>
          </cell>
          <cell r="G272">
            <v>0</v>
          </cell>
          <cell r="I272">
            <v>0</v>
          </cell>
          <cell r="P272" t="str">
            <v/>
          </cell>
          <cell r="AF272">
            <v>0</v>
          </cell>
          <cell r="AG272">
            <v>0</v>
          </cell>
        </row>
        <row r="273">
          <cell r="D273">
            <v>0</v>
          </cell>
          <cell r="F273" t="str">
            <v/>
          </cell>
          <cell r="G273">
            <v>0</v>
          </cell>
          <cell r="I273">
            <v>0</v>
          </cell>
          <cell r="P273" t="str">
            <v/>
          </cell>
          <cell r="AF273">
            <v>0</v>
          </cell>
          <cell r="AG273">
            <v>0</v>
          </cell>
        </row>
        <row r="274">
          <cell r="D274">
            <v>0</v>
          </cell>
          <cell r="F274" t="str">
            <v/>
          </cell>
          <cell r="G274">
            <v>0</v>
          </cell>
          <cell r="I274">
            <v>0</v>
          </cell>
          <cell r="P274" t="str">
            <v/>
          </cell>
          <cell r="AF274">
            <v>0</v>
          </cell>
          <cell r="AG274">
            <v>0</v>
          </cell>
        </row>
        <row r="275">
          <cell r="D275">
            <v>0</v>
          </cell>
          <cell r="F275" t="str">
            <v/>
          </cell>
          <cell r="G275">
            <v>0</v>
          </cell>
          <cell r="I275">
            <v>0</v>
          </cell>
          <cell r="P275" t="str">
            <v/>
          </cell>
          <cell r="AF275">
            <v>0</v>
          </cell>
          <cell r="AG275">
            <v>0</v>
          </cell>
        </row>
        <row r="276">
          <cell r="D276">
            <v>0</v>
          </cell>
          <cell r="F276" t="str">
            <v/>
          </cell>
          <cell r="G276">
            <v>0</v>
          </cell>
          <cell r="I276">
            <v>0</v>
          </cell>
          <cell r="P276" t="str">
            <v/>
          </cell>
          <cell r="AF276">
            <v>0</v>
          </cell>
          <cell r="AG276">
            <v>0</v>
          </cell>
        </row>
        <row r="277">
          <cell r="D277">
            <v>0</v>
          </cell>
          <cell r="F277" t="str">
            <v/>
          </cell>
          <cell r="G277">
            <v>0</v>
          </cell>
          <cell r="I277">
            <v>0</v>
          </cell>
          <cell r="P277" t="str">
            <v/>
          </cell>
          <cell r="AF277">
            <v>0</v>
          </cell>
          <cell r="AG277">
            <v>0</v>
          </cell>
        </row>
        <row r="278">
          <cell r="D278">
            <v>0</v>
          </cell>
          <cell r="F278" t="str">
            <v/>
          </cell>
          <cell r="G278">
            <v>0</v>
          </cell>
          <cell r="I278">
            <v>0</v>
          </cell>
          <cell r="P278" t="str">
            <v/>
          </cell>
          <cell r="AF278">
            <v>0</v>
          </cell>
          <cell r="AG278">
            <v>0</v>
          </cell>
        </row>
        <row r="279">
          <cell r="D279">
            <v>0</v>
          </cell>
          <cell r="F279" t="str">
            <v/>
          </cell>
          <cell r="G279">
            <v>0</v>
          </cell>
          <cell r="I279">
            <v>0</v>
          </cell>
          <cell r="P279" t="str">
            <v/>
          </cell>
          <cell r="AF279">
            <v>0</v>
          </cell>
          <cell r="AG279">
            <v>0</v>
          </cell>
        </row>
        <row r="280">
          <cell r="D280">
            <v>0</v>
          </cell>
          <cell r="F280" t="str">
            <v/>
          </cell>
          <cell r="G280">
            <v>0</v>
          </cell>
          <cell r="I280">
            <v>0</v>
          </cell>
          <cell r="P280" t="str">
            <v/>
          </cell>
          <cell r="AF280">
            <v>0</v>
          </cell>
          <cell r="AG280">
            <v>0</v>
          </cell>
        </row>
        <row r="281">
          <cell r="D281">
            <v>0</v>
          </cell>
          <cell r="F281" t="str">
            <v/>
          </cell>
          <cell r="G281">
            <v>0</v>
          </cell>
          <cell r="I281">
            <v>0</v>
          </cell>
          <cell r="P281" t="str">
            <v/>
          </cell>
          <cell r="AF281">
            <v>0</v>
          </cell>
          <cell r="AG281">
            <v>0</v>
          </cell>
        </row>
        <row r="282">
          <cell r="D282">
            <v>0</v>
          </cell>
          <cell r="F282" t="str">
            <v/>
          </cell>
          <cell r="G282">
            <v>0</v>
          </cell>
          <cell r="I282">
            <v>0</v>
          </cell>
          <cell r="P282" t="str">
            <v/>
          </cell>
          <cell r="AF282">
            <v>0</v>
          </cell>
          <cell r="AG282">
            <v>0</v>
          </cell>
        </row>
        <row r="283">
          <cell r="D283">
            <v>0</v>
          </cell>
          <cell r="F283" t="str">
            <v/>
          </cell>
          <cell r="G283">
            <v>0</v>
          </cell>
          <cell r="I283">
            <v>0</v>
          </cell>
          <cell r="P283" t="str">
            <v/>
          </cell>
          <cell r="AF283">
            <v>0</v>
          </cell>
          <cell r="AG283">
            <v>0</v>
          </cell>
        </row>
        <row r="284">
          <cell r="D284">
            <v>0</v>
          </cell>
          <cell r="F284" t="str">
            <v/>
          </cell>
          <cell r="G284">
            <v>0</v>
          </cell>
          <cell r="I284">
            <v>0</v>
          </cell>
          <cell r="P284" t="str">
            <v/>
          </cell>
          <cell r="AF284">
            <v>0</v>
          </cell>
          <cell r="AG284">
            <v>0</v>
          </cell>
        </row>
        <row r="285">
          <cell r="D285">
            <v>0</v>
          </cell>
          <cell r="F285" t="str">
            <v/>
          </cell>
          <cell r="G285">
            <v>0</v>
          </cell>
          <cell r="I285">
            <v>0</v>
          </cell>
          <cell r="P285" t="str">
            <v/>
          </cell>
          <cell r="AF285">
            <v>0</v>
          </cell>
          <cell r="AG285">
            <v>0</v>
          </cell>
        </row>
        <row r="286">
          <cell r="D286">
            <v>0</v>
          </cell>
          <cell r="F286" t="str">
            <v/>
          </cell>
          <cell r="G286">
            <v>0</v>
          </cell>
          <cell r="I286">
            <v>0</v>
          </cell>
          <cell r="P286" t="str">
            <v/>
          </cell>
          <cell r="AF286">
            <v>0</v>
          </cell>
          <cell r="AG286">
            <v>0</v>
          </cell>
        </row>
        <row r="287">
          <cell r="D287">
            <v>0</v>
          </cell>
          <cell r="F287" t="str">
            <v/>
          </cell>
          <cell r="G287">
            <v>0</v>
          </cell>
          <cell r="I287">
            <v>0</v>
          </cell>
          <cell r="P287" t="str">
            <v/>
          </cell>
          <cell r="AF287">
            <v>0</v>
          </cell>
          <cell r="AG287">
            <v>0</v>
          </cell>
        </row>
        <row r="288">
          <cell r="D288">
            <v>0</v>
          </cell>
          <cell r="F288" t="str">
            <v/>
          </cell>
          <cell r="G288">
            <v>0</v>
          </cell>
          <cell r="I288">
            <v>0</v>
          </cell>
          <cell r="P288" t="str">
            <v/>
          </cell>
          <cell r="AF288">
            <v>0</v>
          </cell>
          <cell r="AG288">
            <v>0</v>
          </cell>
        </row>
        <row r="289">
          <cell r="D289">
            <v>0</v>
          </cell>
          <cell r="F289" t="str">
            <v/>
          </cell>
          <cell r="G289">
            <v>0</v>
          </cell>
          <cell r="I289">
            <v>0</v>
          </cell>
          <cell r="P289" t="str">
            <v/>
          </cell>
          <cell r="AF289">
            <v>0</v>
          </cell>
          <cell r="AG289">
            <v>0</v>
          </cell>
        </row>
        <row r="290">
          <cell r="D290">
            <v>0</v>
          </cell>
          <cell r="F290" t="str">
            <v/>
          </cell>
          <cell r="G290">
            <v>0</v>
          </cell>
          <cell r="I290">
            <v>0</v>
          </cell>
          <cell r="P290" t="str">
            <v/>
          </cell>
          <cell r="AF290">
            <v>0</v>
          </cell>
          <cell r="AG290">
            <v>0</v>
          </cell>
        </row>
        <row r="291">
          <cell r="D291">
            <v>0</v>
          </cell>
          <cell r="F291" t="str">
            <v/>
          </cell>
          <cell r="G291">
            <v>0</v>
          </cell>
          <cell r="I291">
            <v>0</v>
          </cell>
          <cell r="P291" t="str">
            <v/>
          </cell>
          <cell r="AF291">
            <v>0</v>
          </cell>
          <cell r="AG291">
            <v>0</v>
          </cell>
        </row>
        <row r="292">
          <cell r="D292">
            <v>0</v>
          </cell>
          <cell r="F292" t="str">
            <v/>
          </cell>
          <cell r="G292">
            <v>0</v>
          </cell>
          <cell r="I292">
            <v>0</v>
          </cell>
          <cell r="P292" t="str">
            <v/>
          </cell>
          <cell r="AF292">
            <v>0</v>
          </cell>
          <cell r="AG292">
            <v>0</v>
          </cell>
        </row>
        <row r="293">
          <cell r="D293">
            <v>0</v>
          </cell>
          <cell r="F293" t="str">
            <v/>
          </cell>
          <cell r="G293">
            <v>0</v>
          </cell>
          <cell r="I293">
            <v>0</v>
          </cell>
          <cell r="P293" t="str">
            <v/>
          </cell>
          <cell r="AF293">
            <v>0</v>
          </cell>
          <cell r="AG293">
            <v>0</v>
          </cell>
        </row>
        <row r="294">
          <cell r="D294">
            <v>0</v>
          </cell>
          <cell r="F294" t="str">
            <v/>
          </cell>
          <cell r="G294">
            <v>0</v>
          </cell>
          <cell r="I294">
            <v>0</v>
          </cell>
          <cell r="P294" t="str">
            <v/>
          </cell>
          <cell r="AF294">
            <v>0</v>
          </cell>
          <cell r="AG294">
            <v>0</v>
          </cell>
        </row>
        <row r="295">
          <cell r="D295">
            <v>0</v>
          </cell>
          <cell r="F295" t="str">
            <v/>
          </cell>
          <cell r="G295">
            <v>0</v>
          </cell>
          <cell r="I295">
            <v>0</v>
          </cell>
          <cell r="P295" t="str">
            <v/>
          </cell>
          <cell r="AF295">
            <v>0</v>
          </cell>
          <cell r="AG295">
            <v>0</v>
          </cell>
        </row>
        <row r="296">
          <cell r="D296">
            <v>0</v>
          </cell>
          <cell r="F296" t="str">
            <v/>
          </cell>
          <cell r="G296">
            <v>0</v>
          </cell>
          <cell r="I296">
            <v>0</v>
          </cell>
          <cell r="P296" t="str">
            <v/>
          </cell>
          <cell r="AF296">
            <v>0</v>
          </cell>
          <cell r="AG296">
            <v>0</v>
          </cell>
        </row>
        <row r="297">
          <cell r="D297">
            <v>0</v>
          </cell>
          <cell r="F297" t="str">
            <v/>
          </cell>
          <cell r="G297">
            <v>0</v>
          </cell>
          <cell r="I297">
            <v>0</v>
          </cell>
          <cell r="P297" t="str">
            <v/>
          </cell>
          <cell r="AF297">
            <v>0</v>
          </cell>
          <cell r="AG297">
            <v>0</v>
          </cell>
        </row>
        <row r="298">
          <cell r="D298">
            <v>0</v>
          </cell>
          <cell r="F298" t="str">
            <v/>
          </cell>
          <cell r="G298">
            <v>0</v>
          </cell>
          <cell r="I298">
            <v>0</v>
          </cell>
          <cell r="P298" t="str">
            <v/>
          </cell>
          <cell r="AF298">
            <v>0</v>
          </cell>
          <cell r="AG298">
            <v>0</v>
          </cell>
        </row>
        <row r="299">
          <cell r="D299">
            <v>0</v>
          </cell>
          <cell r="F299" t="str">
            <v/>
          </cell>
          <cell r="G299">
            <v>0</v>
          </cell>
          <cell r="I299">
            <v>0</v>
          </cell>
          <cell r="P299" t="str">
            <v/>
          </cell>
          <cell r="AF299">
            <v>0</v>
          </cell>
          <cell r="AG299">
            <v>0</v>
          </cell>
        </row>
        <row r="300">
          <cell r="D300">
            <v>0</v>
          </cell>
          <cell r="F300" t="str">
            <v/>
          </cell>
          <cell r="G300">
            <v>0</v>
          </cell>
          <cell r="I300">
            <v>0</v>
          </cell>
          <cell r="P300" t="str">
            <v/>
          </cell>
          <cell r="AF300">
            <v>0</v>
          </cell>
          <cell r="AG300">
            <v>0</v>
          </cell>
        </row>
        <row r="301">
          <cell r="D301">
            <v>0</v>
          </cell>
          <cell r="F301" t="str">
            <v/>
          </cell>
          <cell r="G301">
            <v>0</v>
          </cell>
          <cell r="I301">
            <v>0</v>
          </cell>
          <cell r="P301" t="str">
            <v/>
          </cell>
          <cell r="AF301">
            <v>0</v>
          </cell>
          <cell r="AG301">
            <v>0</v>
          </cell>
        </row>
        <row r="302">
          <cell r="D302">
            <v>0</v>
          </cell>
          <cell r="F302" t="str">
            <v/>
          </cell>
          <cell r="G302">
            <v>0</v>
          </cell>
          <cell r="I302">
            <v>0</v>
          </cell>
          <cell r="P302" t="str">
            <v/>
          </cell>
          <cell r="AF302">
            <v>0</v>
          </cell>
          <cell r="AG302">
            <v>0</v>
          </cell>
        </row>
        <row r="303">
          <cell r="D303">
            <v>0</v>
          </cell>
          <cell r="F303" t="str">
            <v/>
          </cell>
          <cell r="G303">
            <v>0</v>
          </cell>
          <cell r="I303">
            <v>0</v>
          </cell>
          <cell r="P303" t="str">
            <v/>
          </cell>
          <cell r="AF303">
            <v>0</v>
          </cell>
          <cell r="AG303">
            <v>0</v>
          </cell>
        </row>
        <row r="304">
          <cell r="D304">
            <v>0</v>
          </cell>
          <cell r="F304" t="str">
            <v/>
          </cell>
          <cell r="G304">
            <v>0</v>
          </cell>
          <cell r="I304">
            <v>0</v>
          </cell>
          <cell r="P304" t="str">
            <v/>
          </cell>
          <cell r="AF304">
            <v>0</v>
          </cell>
          <cell r="AG304">
            <v>0</v>
          </cell>
        </row>
        <row r="305">
          <cell r="D305">
            <v>0</v>
          </cell>
          <cell r="F305" t="str">
            <v/>
          </cell>
          <cell r="G305">
            <v>0</v>
          </cell>
          <cell r="I305">
            <v>0</v>
          </cell>
          <cell r="P305" t="str">
            <v/>
          </cell>
          <cell r="AF305">
            <v>0</v>
          </cell>
          <cell r="AG305">
            <v>0</v>
          </cell>
        </row>
        <row r="306">
          <cell r="D306">
            <v>0</v>
          </cell>
          <cell r="F306" t="str">
            <v/>
          </cell>
          <cell r="G306">
            <v>0</v>
          </cell>
          <cell r="I306">
            <v>0</v>
          </cell>
          <cell r="P306" t="str">
            <v/>
          </cell>
          <cell r="AF306">
            <v>0</v>
          </cell>
          <cell r="AG306">
            <v>0</v>
          </cell>
        </row>
        <row r="307">
          <cell r="D307">
            <v>0</v>
          </cell>
          <cell r="F307" t="str">
            <v/>
          </cell>
          <cell r="G307">
            <v>0</v>
          </cell>
          <cell r="I307">
            <v>0</v>
          </cell>
          <cell r="P307" t="str">
            <v/>
          </cell>
          <cell r="AF307">
            <v>0</v>
          </cell>
          <cell r="AG307">
            <v>0</v>
          </cell>
        </row>
        <row r="308">
          <cell r="D308">
            <v>0</v>
          </cell>
          <cell r="F308" t="str">
            <v/>
          </cell>
          <cell r="G308">
            <v>0</v>
          </cell>
          <cell r="I308">
            <v>0</v>
          </cell>
          <cell r="P308" t="str">
            <v/>
          </cell>
          <cell r="AF308">
            <v>0</v>
          </cell>
          <cell r="AG308">
            <v>0</v>
          </cell>
        </row>
        <row r="309">
          <cell r="D309">
            <v>0</v>
          </cell>
          <cell r="F309" t="str">
            <v/>
          </cell>
          <cell r="G309">
            <v>0</v>
          </cell>
          <cell r="I309">
            <v>0</v>
          </cell>
          <cell r="P309" t="str">
            <v/>
          </cell>
          <cell r="AF309">
            <v>0</v>
          </cell>
          <cell r="AG309">
            <v>0</v>
          </cell>
        </row>
        <row r="310">
          <cell r="D310">
            <v>0</v>
          </cell>
          <cell r="F310" t="str">
            <v/>
          </cell>
          <cell r="G310">
            <v>0</v>
          </cell>
          <cell r="I310">
            <v>0</v>
          </cell>
          <cell r="P310" t="str">
            <v/>
          </cell>
          <cell r="AF310">
            <v>0</v>
          </cell>
          <cell r="AG310">
            <v>0</v>
          </cell>
        </row>
        <row r="311">
          <cell r="D311">
            <v>0</v>
          </cell>
          <cell r="F311" t="str">
            <v/>
          </cell>
          <cell r="G311">
            <v>0</v>
          </cell>
          <cell r="I311">
            <v>0</v>
          </cell>
          <cell r="P311" t="str">
            <v/>
          </cell>
          <cell r="AF311">
            <v>0</v>
          </cell>
          <cell r="AG311">
            <v>0</v>
          </cell>
        </row>
        <row r="312">
          <cell r="D312">
            <v>0</v>
          </cell>
          <cell r="F312" t="str">
            <v/>
          </cell>
          <cell r="G312">
            <v>0</v>
          </cell>
          <cell r="I312">
            <v>0</v>
          </cell>
          <cell r="P312" t="str">
            <v/>
          </cell>
          <cell r="AF312">
            <v>0</v>
          </cell>
          <cell r="AG312">
            <v>0</v>
          </cell>
        </row>
        <row r="313">
          <cell r="D313">
            <v>0</v>
          </cell>
          <cell r="F313" t="str">
            <v/>
          </cell>
          <cell r="G313">
            <v>0</v>
          </cell>
          <cell r="I313">
            <v>0</v>
          </cell>
          <cell r="P313" t="str">
            <v/>
          </cell>
          <cell r="AF313">
            <v>0</v>
          </cell>
          <cell r="AG313">
            <v>0</v>
          </cell>
        </row>
        <row r="314">
          <cell r="D314">
            <v>0</v>
          </cell>
          <cell r="F314" t="str">
            <v/>
          </cell>
          <cell r="G314">
            <v>0</v>
          </cell>
          <cell r="I314">
            <v>0</v>
          </cell>
          <cell r="P314" t="str">
            <v/>
          </cell>
          <cell r="AF314">
            <v>0</v>
          </cell>
          <cell r="AG314">
            <v>0</v>
          </cell>
        </row>
        <row r="315">
          <cell r="D315">
            <v>0</v>
          </cell>
          <cell r="F315" t="str">
            <v/>
          </cell>
          <cell r="G315">
            <v>0</v>
          </cell>
          <cell r="I315">
            <v>0</v>
          </cell>
          <cell r="P315" t="str">
            <v/>
          </cell>
          <cell r="AF315">
            <v>0</v>
          </cell>
          <cell r="AG315">
            <v>0</v>
          </cell>
        </row>
        <row r="316">
          <cell r="D316">
            <v>0</v>
          </cell>
          <cell r="F316" t="str">
            <v/>
          </cell>
          <cell r="G316">
            <v>0</v>
          </cell>
          <cell r="I316">
            <v>0</v>
          </cell>
          <cell r="P316" t="str">
            <v/>
          </cell>
          <cell r="AF316">
            <v>0</v>
          </cell>
          <cell r="AG316">
            <v>0</v>
          </cell>
        </row>
        <row r="317">
          <cell r="D317">
            <v>0</v>
          </cell>
          <cell r="F317" t="str">
            <v/>
          </cell>
          <cell r="G317">
            <v>0</v>
          </cell>
          <cell r="I317">
            <v>0</v>
          </cell>
          <cell r="P317" t="str">
            <v/>
          </cell>
          <cell r="AF317">
            <v>0</v>
          </cell>
          <cell r="AG317">
            <v>0</v>
          </cell>
        </row>
        <row r="318">
          <cell r="D318">
            <v>0</v>
          </cell>
          <cell r="F318" t="str">
            <v/>
          </cell>
          <cell r="G318">
            <v>0</v>
          </cell>
          <cell r="I318">
            <v>0</v>
          </cell>
          <cell r="P318" t="str">
            <v/>
          </cell>
          <cell r="AF318">
            <v>0</v>
          </cell>
          <cell r="AG318">
            <v>0</v>
          </cell>
        </row>
        <row r="319">
          <cell r="D319">
            <v>0</v>
          </cell>
          <cell r="F319" t="str">
            <v/>
          </cell>
          <cell r="G319">
            <v>0</v>
          </cell>
          <cell r="I319">
            <v>0</v>
          </cell>
          <cell r="P319" t="str">
            <v/>
          </cell>
          <cell r="AF319">
            <v>0</v>
          </cell>
          <cell r="AG319">
            <v>0</v>
          </cell>
        </row>
        <row r="320">
          <cell r="D320">
            <v>0</v>
          </cell>
          <cell r="F320" t="str">
            <v/>
          </cell>
          <cell r="G320">
            <v>0</v>
          </cell>
          <cell r="I320">
            <v>0</v>
          </cell>
          <cell r="P320" t="str">
            <v/>
          </cell>
          <cell r="AF320">
            <v>0</v>
          </cell>
          <cell r="AG320">
            <v>0</v>
          </cell>
        </row>
        <row r="321">
          <cell r="D321">
            <v>0</v>
          </cell>
          <cell r="F321" t="str">
            <v/>
          </cell>
          <cell r="G321">
            <v>0</v>
          </cell>
          <cell r="I321">
            <v>0</v>
          </cell>
          <cell r="P321" t="str">
            <v/>
          </cell>
          <cell r="AF321">
            <v>0</v>
          </cell>
          <cell r="AG321">
            <v>0</v>
          </cell>
        </row>
        <row r="322">
          <cell r="D322">
            <v>0</v>
          </cell>
          <cell r="F322" t="str">
            <v/>
          </cell>
          <cell r="G322">
            <v>0</v>
          </cell>
          <cell r="I322">
            <v>0</v>
          </cell>
          <cell r="P322" t="str">
            <v/>
          </cell>
          <cell r="AF322">
            <v>0</v>
          </cell>
          <cell r="AG322">
            <v>0</v>
          </cell>
        </row>
        <row r="323">
          <cell r="D323">
            <v>0</v>
          </cell>
          <cell r="F323" t="str">
            <v/>
          </cell>
          <cell r="G323">
            <v>0</v>
          </cell>
          <cell r="I323">
            <v>0</v>
          </cell>
          <cell r="P323" t="str">
            <v/>
          </cell>
          <cell r="AF323">
            <v>0</v>
          </cell>
          <cell r="AG323">
            <v>0</v>
          </cell>
        </row>
        <row r="324">
          <cell r="D324">
            <v>0</v>
          </cell>
          <cell r="F324" t="str">
            <v/>
          </cell>
          <cell r="G324">
            <v>0</v>
          </cell>
          <cell r="I324">
            <v>0</v>
          </cell>
          <cell r="P324" t="str">
            <v/>
          </cell>
          <cell r="AF324">
            <v>0</v>
          </cell>
          <cell r="AG324">
            <v>0</v>
          </cell>
        </row>
        <row r="325">
          <cell r="D325">
            <v>0</v>
          </cell>
          <cell r="F325" t="str">
            <v/>
          </cell>
          <cell r="G325">
            <v>0</v>
          </cell>
          <cell r="I325">
            <v>0</v>
          </cell>
          <cell r="P325" t="str">
            <v/>
          </cell>
          <cell r="AF325">
            <v>0</v>
          </cell>
          <cell r="AG325">
            <v>0</v>
          </cell>
        </row>
        <row r="326">
          <cell r="D326">
            <v>0</v>
          </cell>
          <cell r="F326" t="str">
            <v/>
          </cell>
          <cell r="G326">
            <v>0</v>
          </cell>
          <cell r="I326">
            <v>0</v>
          </cell>
          <cell r="P326" t="str">
            <v/>
          </cell>
          <cell r="AF326">
            <v>0</v>
          </cell>
          <cell r="AG326">
            <v>0</v>
          </cell>
        </row>
        <row r="327">
          <cell r="D327">
            <v>0</v>
          </cell>
          <cell r="F327" t="str">
            <v/>
          </cell>
          <cell r="G327">
            <v>0</v>
          </cell>
          <cell r="I327">
            <v>0</v>
          </cell>
          <cell r="P327" t="str">
            <v/>
          </cell>
          <cell r="AF327">
            <v>0</v>
          </cell>
          <cell r="AG327">
            <v>0</v>
          </cell>
        </row>
        <row r="328">
          <cell r="D328">
            <v>0</v>
          </cell>
          <cell r="F328" t="str">
            <v/>
          </cell>
          <cell r="G328">
            <v>0</v>
          </cell>
          <cell r="I328">
            <v>0</v>
          </cell>
          <cell r="P328" t="str">
            <v/>
          </cell>
          <cell r="AF328">
            <v>0</v>
          </cell>
          <cell r="AG328">
            <v>0</v>
          </cell>
        </row>
        <row r="329">
          <cell r="D329">
            <v>0</v>
          </cell>
          <cell r="F329" t="str">
            <v/>
          </cell>
          <cell r="G329">
            <v>0</v>
          </cell>
          <cell r="I329">
            <v>0</v>
          </cell>
          <cell r="P329" t="str">
            <v/>
          </cell>
          <cell r="AF329">
            <v>0</v>
          </cell>
          <cell r="AG329">
            <v>0</v>
          </cell>
        </row>
        <row r="330">
          <cell r="D330">
            <v>0</v>
          </cell>
          <cell r="F330" t="str">
            <v/>
          </cell>
          <cell r="G330">
            <v>0</v>
          </cell>
          <cell r="I330">
            <v>0</v>
          </cell>
          <cell r="P330" t="str">
            <v/>
          </cell>
          <cell r="AF330">
            <v>0</v>
          </cell>
          <cell r="AG330">
            <v>0</v>
          </cell>
        </row>
        <row r="331">
          <cell r="D331">
            <v>0</v>
          </cell>
          <cell r="F331" t="str">
            <v/>
          </cell>
          <cell r="G331">
            <v>0</v>
          </cell>
          <cell r="I331">
            <v>0</v>
          </cell>
          <cell r="P331" t="str">
            <v/>
          </cell>
          <cell r="AF331">
            <v>0</v>
          </cell>
          <cell r="AG331">
            <v>0</v>
          </cell>
        </row>
        <row r="332">
          <cell r="D332">
            <v>0</v>
          </cell>
          <cell r="F332" t="str">
            <v/>
          </cell>
          <cell r="G332">
            <v>0</v>
          </cell>
          <cell r="I332">
            <v>0</v>
          </cell>
          <cell r="P332" t="str">
            <v/>
          </cell>
          <cell r="AF332">
            <v>0</v>
          </cell>
          <cell r="AG332">
            <v>0</v>
          </cell>
        </row>
        <row r="333">
          <cell r="D333">
            <v>0</v>
          </cell>
          <cell r="F333" t="str">
            <v/>
          </cell>
          <cell r="G333">
            <v>0</v>
          </cell>
          <cell r="I333">
            <v>0</v>
          </cell>
          <cell r="P333" t="str">
            <v/>
          </cell>
          <cell r="AF333">
            <v>0</v>
          </cell>
          <cell r="AG333">
            <v>0</v>
          </cell>
        </row>
        <row r="334">
          <cell r="D334">
            <v>0</v>
          </cell>
          <cell r="F334" t="str">
            <v/>
          </cell>
          <cell r="G334">
            <v>0</v>
          </cell>
          <cell r="I334">
            <v>0</v>
          </cell>
          <cell r="P334" t="str">
            <v/>
          </cell>
          <cell r="AF334">
            <v>0</v>
          </cell>
          <cell r="AG334">
            <v>0</v>
          </cell>
        </row>
        <row r="335">
          <cell r="D335">
            <v>0</v>
          </cell>
          <cell r="F335" t="str">
            <v/>
          </cell>
          <cell r="G335">
            <v>0</v>
          </cell>
          <cell r="I335">
            <v>0</v>
          </cell>
          <cell r="P335" t="str">
            <v/>
          </cell>
          <cell r="AF335">
            <v>0</v>
          </cell>
          <cell r="AG335">
            <v>0</v>
          </cell>
        </row>
        <row r="336">
          <cell r="D336">
            <v>0</v>
          </cell>
          <cell r="F336" t="str">
            <v/>
          </cell>
          <cell r="G336">
            <v>0</v>
          </cell>
          <cell r="I336">
            <v>0</v>
          </cell>
          <cell r="P336" t="str">
            <v/>
          </cell>
          <cell r="AF336">
            <v>0</v>
          </cell>
          <cell r="AG336">
            <v>0</v>
          </cell>
        </row>
        <row r="337">
          <cell r="D337">
            <v>0</v>
          </cell>
          <cell r="F337" t="str">
            <v/>
          </cell>
          <cell r="G337">
            <v>0</v>
          </cell>
          <cell r="I337">
            <v>0</v>
          </cell>
          <cell r="P337" t="str">
            <v/>
          </cell>
          <cell r="AF337">
            <v>0</v>
          </cell>
          <cell r="AG337">
            <v>0</v>
          </cell>
        </row>
        <row r="338">
          <cell r="D338">
            <v>0</v>
          </cell>
          <cell r="F338" t="str">
            <v/>
          </cell>
          <cell r="G338">
            <v>0</v>
          </cell>
          <cell r="I338">
            <v>0</v>
          </cell>
          <cell r="P338" t="str">
            <v/>
          </cell>
          <cell r="AF338">
            <v>0</v>
          </cell>
          <cell r="AG338">
            <v>0</v>
          </cell>
        </row>
        <row r="339">
          <cell r="D339">
            <v>0</v>
          </cell>
          <cell r="F339" t="str">
            <v/>
          </cell>
          <cell r="G339">
            <v>0</v>
          </cell>
          <cell r="I339">
            <v>0</v>
          </cell>
          <cell r="P339" t="str">
            <v/>
          </cell>
          <cell r="AF339">
            <v>0</v>
          </cell>
          <cell r="AG339">
            <v>0</v>
          </cell>
        </row>
        <row r="340">
          <cell r="D340">
            <v>0</v>
          </cell>
          <cell r="F340" t="str">
            <v/>
          </cell>
          <cell r="G340">
            <v>0</v>
          </cell>
          <cell r="I340">
            <v>0</v>
          </cell>
          <cell r="P340" t="str">
            <v/>
          </cell>
          <cell r="AF340">
            <v>0</v>
          </cell>
          <cell r="AG340">
            <v>0</v>
          </cell>
        </row>
        <row r="341">
          <cell r="D341">
            <v>0</v>
          </cell>
          <cell r="F341" t="str">
            <v/>
          </cell>
          <cell r="G341">
            <v>0</v>
          </cell>
          <cell r="I341">
            <v>0</v>
          </cell>
          <cell r="P341" t="str">
            <v/>
          </cell>
          <cell r="AF341">
            <v>0</v>
          </cell>
          <cell r="AG341">
            <v>0</v>
          </cell>
        </row>
        <row r="342">
          <cell r="D342">
            <v>0</v>
          </cell>
          <cell r="F342" t="str">
            <v/>
          </cell>
          <cell r="G342">
            <v>0</v>
          </cell>
          <cell r="I342">
            <v>0</v>
          </cell>
          <cell r="P342" t="str">
            <v/>
          </cell>
          <cell r="AF342">
            <v>0</v>
          </cell>
          <cell r="AG342">
            <v>0</v>
          </cell>
        </row>
        <row r="343">
          <cell r="D343">
            <v>0</v>
          </cell>
          <cell r="F343" t="str">
            <v/>
          </cell>
          <cell r="G343">
            <v>0</v>
          </cell>
          <cell r="I343">
            <v>0</v>
          </cell>
          <cell r="P343" t="str">
            <v/>
          </cell>
          <cell r="AF343">
            <v>0</v>
          </cell>
          <cell r="AG343">
            <v>0</v>
          </cell>
        </row>
        <row r="344">
          <cell r="D344">
            <v>0</v>
          </cell>
          <cell r="F344" t="str">
            <v/>
          </cell>
          <cell r="G344">
            <v>0</v>
          </cell>
          <cell r="I344">
            <v>0</v>
          </cell>
          <cell r="P344" t="str">
            <v/>
          </cell>
          <cell r="AF344">
            <v>0</v>
          </cell>
          <cell r="AG344">
            <v>0</v>
          </cell>
        </row>
        <row r="345">
          <cell r="D345">
            <v>0</v>
          </cell>
          <cell r="F345" t="str">
            <v/>
          </cell>
          <cell r="G345">
            <v>0</v>
          </cell>
          <cell r="I345">
            <v>0</v>
          </cell>
          <cell r="P345" t="str">
            <v/>
          </cell>
          <cell r="AF345">
            <v>0</v>
          </cell>
          <cell r="AG345">
            <v>0</v>
          </cell>
        </row>
        <row r="346">
          <cell r="D346">
            <v>0</v>
          </cell>
          <cell r="F346" t="str">
            <v/>
          </cell>
          <cell r="G346">
            <v>0</v>
          </cell>
          <cell r="I346">
            <v>0</v>
          </cell>
          <cell r="P346" t="str">
            <v/>
          </cell>
          <cell r="AF346">
            <v>0</v>
          </cell>
          <cell r="AG346">
            <v>0</v>
          </cell>
        </row>
        <row r="347">
          <cell r="D347">
            <v>0</v>
          </cell>
          <cell r="F347" t="str">
            <v/>
          </cell>
          <cell r="G347">
            <v>0</v>
          </cell>
          <cell r="I347">
            <v>0</v>
          </cell>
          <cell r="P347" t="str">
            <v/>
          </cell>
          <cell r="AF347">
            <v>0</v>
          </cell>
          <cell r="AG347">
            <v>0</v>
          </cell>
        </row>
        <row r="348">
          <cell r="D348">
            <v>0</v>
          </cell>
          <cell r="F348" t="str">
            <v/>
          </cell>
          <cell r="G348">
            <v>0</v>
          </cell>
          <cell r="I348">
            <v>0</v>
          </cell>
          <cell r="P348" t="str">
            <v/>
          </cell>
          <cell r="AF348">
            <v>0</v>
          </cell>
          <cell r="AG348">
            <v>0</v>
          </cell>
        </row>
        <row r="349">
          <cell r="D349">
            <v>0</v>
          </cell>
          <cell r="F349" t="str">
            <v/>
          </cell>
          <cell r="G349">
            <v>0</v>
          </cell>
          <cell r="I349">
            <v>0</v>
          </cell>
          <cell r="P349" t="str">
            <v/>
          </cell>
          <cell r="AF349">
            <v>0</v>
          </cell>
          <cell r="AG349">
            <v>0</v>
          </cell>
        </row>
        <row r="350">
          <cell r="D350">
            <v>0</v>
          </cell>
          <cell r="F350" t="str">
            <v/>
          </cell>
          <cell r="G350">
            <v>0</v>
          </cell>
          <cell r="I350">
            <v>0</v>
          </cell>
          <cell r="P350" t="str">
            <v/>
          </cell>
          <cell r="AF350">
            <v>0</v>
          </cell>
          <cell r="AG350">
            <v>0</v>
          </cell>
        </row>
        <row r="351">
          <cell r="D351">
            <v>0</v>
          </cell>
          <cell r="F351" t="str">
            <v/>
          </cell>
          <cell r="G351">
            <v>0</v>
          </cell>
          <cell r="I351">
            <v>0</v>
          </cell>
          <cell r="P351" t="str">
            <v/>
          </cell>
          <cell r="AF351">
            <v>0</v>
          </cell>
          <cell r="AG351">
            <v>0</v>
          </cell>
        </row>
        <row r="352">
          <cell r="D352">
            <v>0</v>
          </cell>
          <cell r="F352" t="str">
            <v/>
          </cell>
          <cell r="G352">
            <v>0</v>
          </cell>
          <cell r="I352">
            <v>0</v>
          </cell>
          <cell r="P352" t="str">
            <v/>
          </cell>
          <cell r="AF352">
            <v>0</v>
          </cell>
          <cell r="AG352">
            <v>0</v>
          </cell>
        </row>
        <row r="353">
          <cell r="D353">
            <v>0</v>
          </cell>
          <cell r="F353" t="str">
            <v/>
          </cell>
          <cell r="G353">
            <v>0</v>
          </cell>
          <cell r="I353">
            <v>0</v>
          </cell>
          <cell r="P353" t="str">
            <v/>
          </cell>
          <cell r="AF353">
            <v>0</v>
          </cell>
          <cell r="AG353">
            <v>0</v>
          </cell>
        </row>
        <row r="354">
          <cell r="D354">
            <v>0</v>
          </cell>
          <cell r="F354" t="str">
            <v/>
          </cell>
          <cell r="G354">
            <v>0</v>
          </cell>
          <cell r="I354">
            <v>0</v>
          </cell>
          <cell r="P354" t="str">
            <v/>
          </cell>
          <cell r="AF354">
            <v>0</v>
          </cell>
          <cell r="AG354">
            <v>0</v>
          </cell>
        </row>
        <row r="355">
          <cell r="D355">
            <v>0</v>
          </cell>
          <cell r="F355" t="str">
            <v/>
          </cell>
          <cell r="G355">
            <v>0</v>
          </cell>
          <cell r="I355">
            <v>0</v>
          </cell>
          <cell r="P355" t="str">
            <v/>
          </cell>
          <cell r="AF355">
            <v>0</v>
          </cell>
          <cell r="AG355">
            <v>0</v>
          </cell>
        </row>
        <row r="356">
          <cell r="D356">
            <v>0</v>
          </cell>
          <cell r="F356" t="str">
            <v/>
          </cell>
          <cell r="G356">
            <v>0</v>
          </cell>
          <cell r="I356">
            <v>0</v>
          </cell>
          <cell r="P356" t="str">
            <v/>
          </cell>
          <cell r="AF356">
            <v>0</v>
          </cell>
          <cell r="AG356">
            <v>0</v>
          </cell>
        </row>
        <row r="357">
          <cell r="D357">
            <v>0</v>
          </cell>
          <cell r="F357" t="str">
            <v/>
          </cell>
          <cell r="G357">
            <v>0</v>
          </cell>
          <cell r="I357">
            <v>0</v>
          </cell>
          <cell r="P357" t="str">
            <v/>
          </cell>
          <cell r="AF357">
            <v>0</v>
          </cell>
          <cell r="AG357">
            <v>0</v>
          </cell>
        </row>
        <row r="358">
          <cell r="D358">
            <v>0</v>
          </cell>
          <cell r="F358" t="str">
            <v/>
          </cell>
          <cell r="G358">
            <v>0</v>
          </cell>
          <cell r="I358">
            <v>0</v>
          </cell>
          <cell r="P358" t="str">
            <v/>
          </cell>
          <cell r="AF358">
            <v>0</v>
          </cell>
          <cell r="AG358">
            <v>0</v>
          </cell>
        </row>
        <row r="359">
          <cell r="D359">
            <v>0</v>
          </cell>
          <cell r="F359" t="str">
            <v/>
          </cell>
          <cell r="G359">
            <v>0</v>
          </cell>
          <cell r="I359">
            <v>0</v>
          </cell>
          <cell r="P359" t="str">
            <v/>
          </cell>
          <cell r="AF359">
            <v>0</v>
          </cell>
          <cell r="AG359">
            <v>0</v>
          </cell>
        </row>
        <row r="360">
          <cell r="D360">
            <v>0</v>
          </cell>
          <cell r="F360" t="str">
            <v/>
          </cell>
          <cell r="G360">
            <v>0</v>
          </cell>
          <cell r="I360">
            <v>0</v>
          </cell>
          <cell r="P360" t="str">
            <v/>
          </cell>
          <cell r="AF360">
            <v>0</v>
          </cell>
          <cell r="AG360">
            <v>0</v>
          </cell>
        </row>
        <row r="361">
          <cell r="D361">
            <v>0</v>
          </cell>
          <cell r="F361" t="str">
            <v/>
          </cell>
          <cell r="G361">
            <v>0</v>
          </cell>
          <cell r="I361">
            <v>0</v>
          </cell>
          <cell r="P361" t="str">
            <v/>
          </cell>
          <cell r="AF361">
            <v>0</v>
          </cell>
          <cell r="AG361">
            <v>0</v>
          </cell>
        </row>
        <row r="362">
          <cell r="D362">
            <v>0</v>
          </cell>
          <cell r="F362" t="str">
            <v/>
          </cell>
          <cell r="G362">
            <v>0</v>
          </cell>
          <cell r="I362">
            <v>0</v>
          </cell>
          <cell r="P362" t="str">
            <v/>
          </cell>
          <cell r="AF362">
            <v>0</v>
          </cell>
          <cell r="AG362">
            <v>0</v>
          </cell>
        </row>
        <row r="363">
          <cell r="D363">
            <v>0</v>
          </cell>
          <cell r="F363" t="str">
            <v/>
          </cell>
          <cell r="G363">
            <v>0</v>
          </cell>
          <cell r="I363">
            <v>0</v>
          </cell>
          <cell r="P363" t="str">
            <v/>
          </cell>
          <cell r="AF363">
            <v>0</v>
          </cell>
          <cell r="AG363">
            <v>0</v>
          </cell>
        </row>
        <row r="364">
          <cell r="D364">
            <v>0</v>
          </cell>
          <cell r="F364" t="str">
            <v/>
          </cell>
          <cell r="G364">
            <v>0</v>
          </cell>
          <cell r="I364">
            <v>0</v>
          </cell>
          <cell r="P364" t="str">
            <v/>
          </cell>
          <cell r="AF364">
            <v>0</v>
          </cell>
          <cell r="AG364">
            <v>0</v>
          </cell>
        </row>
        <row r="365">
          <cell r="D365">
            <v>0</v>
          </cell>
          <cell r="F365" t="str">
            <v/>
          </cell>
          <cell r="G365">
            <v>0</v>
          </cell>
          <cell r="I365">
            <v>0</v>
          </cell>
          <cell r="P365" t="str">
            <v/>
          </cell>
          <cell r="AF365">
            <v>0</v>
          </cell>
          <cell r="AG365">
            <v>0</v>
          </cell>
        </row>
        <row r="366">
          <cell r="D366">
            <v>0</v>
          </cell>
          <cell r="F366" t="str">
            <v/>
          </cell>
          <cell r="G366">
            <v>0</v>
          </cell>
          <cell r="I366">
            <v>0</v>
          </cell>
          <cell r="P366" t="str">
            <v/>
          </cell>
          <cell r="AF366">
            <v>0</v>
          </cell>
          <cell r="AG366">
            <v>0</v>
          </cell>
        </row>
        <row r="367">
          <cell r="D367">
            <v>0</v>
          </cell>
          <cell r="F367" t="str">
            <v/>
          </cell>
          <cell r="G367">
            <v>0</v>
          </cell>
          <cell r="I367">
            <v>0</v>
          </cell>
          <cell r="P367" t="str">
            <v/>
          </cell>
          <cell r="AF367">
            <v>0</v>
          </cell>
          <cell r="AG367">
            <v>0</v>
          </cell>
        </row>
        <row r="368">
          <cell r="D368">
            <v>0</v>
          </cell>
          <cell r="F368" t="str">
            <v/>
          </cell>
          <cell r="G368">
            <v>0</v>
          </cell>
          <cell r="I368">
            <v>0</v>
          </cell>
          <cell r="P368" t="str">
            <v/>
          </cell>
          <cell r="AF368">
            <v>0</v>
          </cell>
          <cell r="AG368">
            <v>0</v>
          </cell>
        </row>
        <row r="369">
          <cell r="D369">
            <v>0</v>
          </cell>
          <cell r="F369" t="str">
            <v/>
          </cell>
          <cell r="G369">
            <v>0</v>
          </cell>
          <cell r="I369">
            <v>0</v>
          </cell>
          <cell r="P369" t="str">
            <v/>
          </cell>
          <cell r="AF369">
            <v>0</v>
          </cell>
          <cell r="AG369">
            <v>0</v>
          </cell>
        </row>
        <row r="370">
          <cell r="D370">
            <v>0</v>
          </cell>
          <cell r="F370" t="str">
            <v/>
          </cell>
          <cell r="G370">
            <v>0</v>
          </cell>
          <cell r="I370">
            <v>0</v>
          </cell>
          <cell r="P370" t="str">
            <v/>
          </cell>
          <cell r="AF370">
            <v>0</v>
          </cell>
          <cell r="AG370">
            <v>0</v>
          </cell>
        </row>
        <row r="371">
          <cell r="D371">
            <v>0</v>
          </cell>
          <cell r="F371" t="str">
            <v/>
          </cell>
          <cell r="G371">
            <v>0</v>
          </cell>
          <cell r="I371">
            <v>0</v>
          </cell>
          <cell r="P371" t="str">
            <v/>
          </cell>
          <cell r="AF371">
            <v>0</v>
          </cell>
          <cell r="AG371">
            <v>0</v>
          </cell>
        </row>
        <row r="372">
          <cell r="D372">
            <v>0</v>
          </cell>
          <cell r="F372" t="str">
            <v/>
          </cell>
          <cell r="G372">
            <v>0</v>
          </cell>
          <cell r="I372">
            <v>0</v>
          </cell>
          <cell r="P372" t="str">
            <v/>
          </cell>
          <cell r="AF372">
            <v>0</v>
          </cell>
          <cell r="AG372">
            <v>0</v>
          </cell>
        </row>
        <row r="373">
          <cell r="D373">
            <v>0</v>
          </cell>
          <cell r="F373" t="str">
            <v/>
          </cell>
          <cell r="G373">
            <v>0</v>
          </cell>
          <cell r="I373">
            <v>0</v>
          </cell>
          <cell r="P373" t="str">
            <v/>
          </cell>
          <cell r="AF373">
            <v>0</v>
          </cell>
          <cell r="AG373">
            <v>0</v>
          </cell>
        </row>
        <row r="374">
          <cell r="D374">
            <v>0</v>
          </cell>
          <cell r="F374" t="str">
            <v/>
          </cell>
          <cell r="G374">
            <v>0</v>
          </cell>
          <cell r="I374">
            <v>0</v>
          </cell>
          <cell r="P374" t="str">
            <v/>
          </cell>
          <cell r="AF374">
            <v>0</v>
          </cell>
          <cell r="AG374">
            <v>0</v>
          </cell>
        </row>
        <row r="375">
          <cell r="D375">
            <v>0</v>
          </cell>
          <cell r="F375" t="str">
            <v/>
          </cell>
          <cell r="G375">
            <v>0</v>
          </cell>
          <cell r="I375">
            <v>0</v>
          </cell>
          <cell r="P375" t="str">
            <v/>
          </cell>
          <cell r="AF375">
            <v>0</v>
          </cell>
          <cell r="AG375">
            <v>0</v>
          </cell>
        </row>
        <row r="376">
          <cell r="D376">
            <v>0</v>
          </cell>
          <cell r="F376" t="str">
            <v/>
          </cell>
          <cell r="G376">
            <v>0</v>
          </cell>
          <cell r="I376">
            <v>0</v>
          </cell>
          <cell r="P376" t="str">
            <v/>
          </cell>
          <cell r="AF376">
            <v>0</v>
          </cell>
          <cell r="AG376">
            <v>0</v>
          </cell>
        </row>
        <row r="377">
          <cell r="D377">
            <v>0</v>
          </cell>
          <cell r="F377" t="str">
            <v/>
          </cell>
          <cell r="G377">
            <v>0</v>
          </cell>
          <cell r="I377">
            <v>0</v>
          </cell>
          <cell r="P377" t="str">
            <v/>
          </cell>
          <cell r="AF377">
            <v>0</v>
          </cell>
          <cell r="AG377">
            <v>0</v>
          </cell>
        </row>
        <row r="378">
          <cell r="D378">
            <v>0</v>
          </cell>
          <cell r="F378" t="str">
            <v/>
          </cell>
          <cell r="G378">
            <v>0</v>
          </cell>
          <cell r="I378">
            <v>0</v>
          </cell>
          <cell r="P378" t="str">
            <v/>
          </cell>
          <cell r="AF378">
            <v>0</v>
          </cell>
          <cell r="AG378">
            <v>0</v>
          </cell>
        </row>
        <row r="379">
          <cell r="D379">
            <v>0</v>
          </cell>
          <cell r="F379" t="str">
            <v/>
          </cell>
          <cell r="G379">
            <v>0</v>
          </cell>
          <cell r="I379">
            <v>0</v>
          </cell>
          <cell r="P379" t="str">
            <v/>
          </cell>
          <cell r="AF379">
            <v>0</v>
          </cell>
          <cell r="AG379">
            <v>0</v>
          </cell>
        </row>
        <row r="380">
          <cell r="D380">
            <v>0</v>
          </cell>
          <cell r="F380" t="str">
            <v/>
          </cell>
          <cell r="G380">
            <v>0</v>
          </cell>
          <cell r="I380">
            <v>0</v>
          </cell>
          <cell r="P380" t="str">
            <v/>
          </cell>
          <cell r="AF380">
            <v>0</v>
          </cell>
          <cell r="AG380">
            <v>0</v>
          </cell>
        </row>
        <row r="381">
          <cell r="D381">
            <v>0</v>
          </cell>
          <cell r="F381" t="str">
            <v/>
          </cell>
          <cell r="G381">
            <v>0</v>
          </cell>
          <cell r="I381">
            <v>0</v>
          </cell>
          <cell r="P381" t="str">
            <v/>
          </cell>
          <cell r="AF381">
            <v>0</v>
          </cell>
          <cell r="AG381">
            <v>0</v>
          </cell>
        </row>
        <row r="382">
          <cell r="D382">
            <v>0</v>
          </cell>
          <cell r="F382" t="str">
            <v/>
          </cell>
          <cell r="G382">
            <v>0</v>
          </cell>
          <cell r="I382">
            <v>0</v>
          </cell>
          <cell r="P382" t="str">
            <v/>
          </cell>
          <cell r="AF382">
            <v>0</v>
          </cell>
          <cell r="AG382">
            <v>0</v>
          </cell>
        </row>
        <row r="383">
          <cell r="D383">
            <v>0</v>
          </cell>
          <cell r="F383" t="str">
            <v/>
          </cell>
          <cell r="G383">
            <v>0</v>
          </cell>
          <cell r="I383">
            <v>0</v>
          </cell>
          <cell r="P383" t="str">
            <v/>
          </cell>
          <cell r="AF383">
            <v>0</v>
          </cell>
          <cell r="AG383">
            <v>0</v>
          </cell>
        </row>
        <row r="384">
          <cell r="D384">
            <v>0</v>
          </cell>
          <cell r="F384" t="str">
            <v/>
          </cell>
          <cell r="G384">
            <v>0</v>
          </cell>
          <cell r="I384">
            <v>0</v>
          </cell>
          <cell r="P384" t="str">
            <v/>
          </cell>
          <cell r="AF384">
            <v>0</v>
          </cell>
          <cell r="AG384">
            <v>0</v>
          </cell>
        </row>
        <row r="385">
          <cell r="D385">
            <v>0</v>
          </cell>
          <cell r="F385" t="str">
            <v/>
          </cell>
          <cell r="G385">
            <v>0</v>
          </cell>
          <cell r="I385">
            <v>0</v>
          </cell>
          <cell r="P385" t="str">
            <v/>
          </cell>
          <cell r="AF385">
            <v>0</v>
          </cell>
          <cell r="AG385">
            <v>0</v>
          </cell>
        </row>
        <row r="386">
          <cell r="D386">
            <v>0</v>
          </cell>
          <cell r="F386" t="str">
            <v/>
          </cell>
          <cell r="G386">
            <v>0</v>
          </cell>
          <cell r="I386">
            <v>0</v>
          </cell>
          <cell r="P386" t="str">
            <v/>
          </cell>
          <cell r="AF386">
            <v>0</v>
          </cell>
          <cell r="AG386">
            <v>0</v>
          </cell>
        </row>
        <row r="387">
          <cell r="D387">
            <v>0</v>
          </cell>
          <cell r="F387" t="str">
            <v/>
          </cell>
          <cell r="G387">
            <v>0</v>
          </cell>
          <cell r="I387">
            <v>0</v>
          </cell>
          <cell r="P387" t="str">
            <v/>
          </cell>
          <cell r="AF387">
            <v>0</v>
          </cell>
          <cell r="AG387">
            <v>0</v>
          </cell>
        </row>
        <row r="388">
          <cell r="D388">
            <v>0</v>
          </cell>
          <cell r="F388" t="str">
            <v/>
          </cell>
          <cell r="G388">
            <v>0</v>
          </cell>
          <cell r="I388">
            <v>0</v>
          </cell>
          <cell r="P388" t="str">
            <v/>
          </cell>
          <cell r="AF388">
            <v>0</v>
          </cell>
          <cell r="AG388">
            <v>0</v>
          </cell>
        </row>
        <row r="389">
          <cell r="D389">
            <v>0</v>
          </cell>
          <cell r="F389" t="str">
            <v/>
          </cell>
          <cell r="G389">
            <v>0</v>
          </cell>
          <cell r="I389">
            <v>0</v>
          </cell>
          <cell r="P389" t="str">
            <v/>
          </cell>
          <cell r="AF389">
            <v>0</v>
          </cell>
          <cell r="AG389">
            <v>0</v>
          </cell>
        </row>
        <row r="390">
          <cell r="D390">
            <v>0</v>
          </cell>
          <cell r="F390" t="str">
            <v/>
          </cell>
          <cell r="G390">
            <v>0</v>
          </cell>
          <cell r="I390">
            <v>0</v>
          </cell>
          <cell r="P390" t="str">
            <v/>
          </cell>
          <cell r="AF390">
            <v>0</v>
          </cell>
          <cell r="AG390">
            <v>0</v>
          </cell>
        </row>
        <row r="391">
          <cell r="D391">
            <v>0</v>
          </cell>
          <cell r="F391" t="str">
            <v/>
          </cell>
          <cell r="G391">
            <v>0</v>
          </cell>
          <cell r="I391">
            <v>0</v>
          </cell>
          <cell r="P391" t="str">
            <v/>
          </cell>
          <cell r="AF391">
            <v>0</v>
          </cell>
          <cell r="AG391">
            <v>0</v>
          </cell>
        </row>
        <row r="392">
          <cell r="D392">
            <v>0</v>
          </cell>
          <cell r="F392" t="str">
            <v/>
          </cell>
          <cell r="G392">
            <v>0</v>
          </cell>
          <cell r="I392">
            <v>0</v>
          </cell>
          <cell r="P392" t="str">
            <v/>
          </cell>
          <cell r="AF392">
            <v>0</v>
          </cell>
          <cell r="AG392">
            <v>0</v>
          </cell>
        </row>
        <row r="393">
          <cell r="D393">
            <v>0</v>
          </cell>
          <cell r="F393" t="str">
            <v/>
          </cell>
          <cell r="G393">
            <v>0</v>
          </cell>
          <cell r="I393">
            <v>0</v>
          </cell>
          <cell r="P393" t="str">
            <v/>
          </cell>
          <cell r="AF393">
            <v>0</v>
          </cell>
          <cell r="AG393">
            <v>0</v>
          </cell>
        </row>
        <row r="394">
          <cell r="D394">
            <v>0</v>
          </cell>
          <cell r="F394" t="str">
            <v/>
          </cell>
          <cell r="G394">
            <v>0</v>
          </cell>
          <cell r="I394">
            <v>0</v>
          </cell>
          <cell r="P394" t="str">
            <v/>
          </cell>
          <cell r="AF394">
            <v>0</v>
          </cell>
          <cell r="AG394">
            <v>0</v>
          </cell>
        </row>
        <row r="395">
          <cell r="D395">
            <v>0</v>
          </cell>
          <cell r="F395" t="str">
            <v/>
          </cell>
          <cell r="G395">
            <v>0</v>
          </cell>
          <cell r="I395">
            <v>0</v>
          </cell>
          <cell r="P395" t="str">
            <v/>
          </cell>
          <cell r="AF395">
            <v>0</v>
          </cell>
          <cell r="AG395">
            <v>0</v>
          </cell>
        </row>
        <row r="396">
          <cell r="D396">
            <v>0</v>
          </cell>
          <cell r="F396" t="str">
            <v/>
          </cell>
          <cell r="G396">
            <v>0</v>
          </cell>
          <cell r="I396">
            <v>0</v>
          </cell>
          <cell r="P396" t="str">
            <v/>
          </cell>
          <cell r="AF396">
            <v>0</v>
          </cell>
          <cell r="AG396">
            <v>0</v>
          </cell>
        </row>
        <row r="397">
          <cell r="D397">
            <v>0</v>
          </cell>
          <cell r="F397" t="str">
            <v/>
          </cell>
          <cell r="G397">
            <v>0</v>
          </cell>
          <cell r="I397">
            <v>0</v>
          </cell>
          <cell r="P397" t="str">
            <v/>
          </cell>
          <cell r="AF397">
            <v>0</v>
          </cell>
          <cell r="AG397">
            <v>0</v>
          </cell>
        </row>
        <row r="398">
          <cell r="D398">
            <v>0</v>
          </cell>
          <cell r="F398" t="str">
            <v/>
          </cell>
          <cell r="G398">
            <v>0</v>
          </cell>
          <cell r="I398">
            <v>0</v>
          </cell>
          <cell r="P398" t="str">
            <v/>
          </cell>
          <cell r="AF398">
            <v>0</v>
          </cell>
          <cell r="AG398">
            <v>0</v>
          </cell>
        </row>
        <row r="399">
          <cell r="D399">
            <v>0</v>
          </cell>
          <cell r="F399" t="str">
            <v/>
          </cell>
          <cell r="G399">
            <v>0</v>
          </cell>
          <cell r="I399">
            <v>0</v>
          </cell>
          <cell r="P399" t="str">
            <v/>
          </cell>
          <cell r="AF399">
            <v>0</v>
          </cell>
          <cell r="AG399">
            <v>0</v>
          </cell>
        </row>
        <row r="400">
          <cell r="D400">
            <v>0</v>
          </cell>
          <cell r="F400" t="str">
            <v/>
          </cell>
          <cell r="G400">
            <v>0</v>
          </cell>
          <cell r="I400">
            <v>0</v>
          </cell>
          <cell r="P400" t="str">
            <v/>
          </cell>
          <cell r="AF400">
            <v>0</v>
          </cell>
          <cell r="AG400">
            <v>0</v>
          </cell>
        </row>
        <row r="401">
          <cell r="D401">
            <v>0</v>
          </cell>
          <cell r="F401" t="str">
            <v/>
          </cell>
          <cell r="G401">
            <v>0</v>
          </cell>
          <cell r="I401">
            <v>0</v>
          </cell>
          <cell r="P401" t="str">
            <v/>
          </cell>
          <cell r="AF401">
            <v>0</v>
          </cell>
          <cell r="AG401">
            <v>0</v>
          </cell>
        </row>
        <row r="402">
          <cell r="D402">
            <v>0</v>
          </cell>
          <cell r="F402" t="str">
            <v/>
          </cell>
          <cell r="G402">
            <v>0</v>
          </cell>
          <cell r="I402">
            <v>0</v>
          </cell>
          <cell r="P402" t="str">
            <v/>
          </cell>
          <cell r="AF402">
            <v>0</v>
          </cell>
          <cell r="AG402">
            <v>0</v>
          </cell>
        </row>
        <row r="403">
          <cell r="D403">
            <v>0</v>
          </cell>
          <cell r="F403" t="str">
            <v/>
          </cell>
          <cell r="G403">
            <v>0</v>
          </cell>
          <cell r="I403">
            <v>0</v>
          </cell>
          <cell r="P403" t="str">
            <v/>
          </cell>
          <cell r="AF403">
            <v>0</v>
          </cell>
          <cell r="AG403">
            <v>0</v>
          </cell>
        </row>
        <row r="404">
          <cell r="D404">
            <v>0</v>
          </cell>
          <cell r="F404" t="str">
            <v/>
          </cell>
          <cell r="G404">
            <v>0</v>
          </cell>
          <cell r="I404">
            <v>0</v>
          </cell>
          <cell r="P404" t="str">
            <v/>
          </cell>
          <cell r="AF404">
            <v>0</v>
          </cell>
          <cell r="AG404">
            <v>0</v>
          </cell>
        </row>
        <row r="405">
          <cell r="D405">
            <v>0</v>
          </cell>
          <cell r="F405" t="str">
            <v/>
          </cell>
          <cell r="G405">
            <v>0</v>
          </cell>
          <cell r="I405">
            <v>0</v>
          </cell>
          <cell r="P405" t="str">
            <v/>
          </cell>
          <cell r="AF405">
            <v>0</v>
          </cell>
          <cell r="AG405">
            <v>0</v>
          </cell>
        </row>
        <row r="406">
          <cell r="D406">
            <v>0</v>
          </cell>
          <cell r="F406" t="str">
            <v/>
          </cell>
          <cell r="G406">
            <v>0</v>
          </cell>
          <cell r="I406">
            <v>0</v>
          </cell>
          <cell r="P406" t="str">
            <v/>
          </cell>
          <cell r="AF406">
            <v>0</v>
          </cell>
          <cell r="AG406">
            <v>0</v>
          </cell>
        </row>
        <row r="407">
          <cell r="D407">
            <v>0</v>
          </cell>
          <cell r="F407" t="str">
            <v/>
          </cell>
          <cell r="G407">
            <v>0</v>
          </cell>
          <cell r="I407">
            <v>0</v>
          </cell>
          <cell r="P407" t="str">
            <v/>
          </cell>
          <cell r="AF407">
            <v>0</v>
          </cell>
          <cell r="AG407">
            <v>0</v>
          </cell>
        </row>
        <row r="408">
          <cell r="D408">
            <v>0</v>
          </cell>
          <cell r="F408" t="str">
            <v/>
          </cell>
          <cell r="G408">
            <v>0</v>
          </cell>
          <cell r="I408">
            <v>0</v>
          </cell>
          <cell r="P408" t="str">
            <v/>
          </cell>
          <cell r="AF408">
            <v>0</v>
          </cell>
          <cell r="AG408">
            <v>0</v>
          </cell>
        </row>
        <row r="409">
          <cell r="D409">
            <v>0</v>
          </cell>
          <cell r="F409" t="str">
            <v/>
          </cell>
          <cell r="G409">
            <v>0</v>
          </cell>
          <cell r="I409">
            <v>0</v>
          </cell>
          <cell r="P409" t="str">
            <v/>
          </cell>
          <cell r="AF409">
            <v>0</v>
          </cell>
          <cell r="AG409">
            <v>0</v>
          </cell>
        </row>
        <row r="410">
          <cell r="D410">
            <v>0</v>
          </cell>
          <cell r="F410" t="str">
            <v/>
          </cell>
          <cell r="G410">
            <v>0</v>
          </cell>
          <cell r="I410">
            <v>0</v>
          </cell>
          <cell r="P410" t="str">
            <v/>
          </cell>
          <cell r="AF410">
            <v>0</v>
          </cell>
          <cell r="AG410">
            <v>0</v>
          </cell>
        </row>
        <row r="411">
          <cell r="D411">
            <v>0</v>
          </cell>
          <cell r="F411" t="str">
            <v/>
          </cell>
          <cell r="G411">
            <v>0</v>
          </cell>
          <cell r="I411">
            <v>0</v>
          </cell>
          <cell r="P411" t="str">
            <v/>
          </cell>
          <cell r="AF411">
            <v>0</v>
          </cell>
          <cell r="AG411">
            <v>0</v>
          </cell>
        </row>
        <row r="412">
          <cell r="D412">
            <v>0</v>
          </cell>
          <cell r="F412" t="str">
            <v/>
          </cell>
          <cell r="G412">
            <v>0</v>
          </cell>
          <cell r="I412">
            <v>0</v>
          </cell>
          <cell r="P412" t="str">
            <v/>
          </cell>
          <cell r="AF412">
            <v>0</v>
          </cell>
          <cell r="AG412">
            <v>0</v>
          </cell>
        </row>
        <row r="413">
          <cell r="D413">
            <v>0</v>
          </cell>
          <cell r="F413" t="str">
            <v/>
          </cell>
          <cell r="G413">
            <v>0</v>
          </cell>
          <cell r="I413">
            <v>0</v>
          </cell>
          <cell r="P413" t="str">
            <v/>
          </cell>
          <cell r="AF413">
            <v>0</v>
          </cell>
          <cell r="AG413">
            <v>0</v>
          </cell>
        </row>
        <row r="414">
          <cell r="D414">
            <v>0</v>
          </cell>
          <cell r="F414" t="str">
            <v/>
          </cell>
          <cell r="G414">
            <v>0</v>
          </cell>
          <cell r="I414">
            <v>0</v>
          </cell>
          <cell r="P414" t="str">
            <v/>
          </cell>
          <cell r="AF414">
            <v>0</v>
          </cell>
          <cell r="AG414">
            <v>0</v>
          </cell>
        </row>
        <row r="415">
          <cell r="D415">
            <v>0</v>
          </cell>
          <cell r="F415" t="str">
            <v/>
          </cell>
          <cell r="G415">
            <v>0</v>
          </cell>
          <cell r="I415">
            <v>0</v>
          </cell>
          <cell r="P415" t="str">
            <v/>
          </cell>
          <cell r="AF415">
            <v>0</v>
          </cell>
          <cell r="AG415">
            <v>0</v>
          </cell>
        </row>
        <row r="416">
          <cell r="D416">
            <v>0</v>
          </cell>
          <cell r="F416" t="str">
            <v/>
          </cell>
          <cell r="G416">
            <v>0</v>
          </cell>
          <cell r="I416">
            <v>0</v>
          </cell>
          <cell r="P416" t="str">
            <v/>
          </cell>
          <cell r="AF416">
            <v>0</v>
          </cell>
          <cell r="AG416">
            <v>0</v>
          </cell>
        </row>
        <row r="417">
          <cell r="D417">
            <v>0</v>
          </cell>
          <cell r="F417" t="str">
            <v/>
          </cell>
          <cell r="G417">
            <v>0</v>
          </cell>
          <cell r="I417">
            <v>0</v>
          </cell>
          <cell r="P417" t="str">
            <v/>
          </cell>
          <cell r="AF417">
            <v>0</v>
          </cell>
          <cell r="AG417">
            <v>0</v>
          </cell>
        </row>
        <row r="418">
          <cell r="D418">
            <v>0</v>
          </cell>
          <cell r="F418" t="str">
            <v/>
          </cell>
          <cell r="G418">
            <v>0</v>
          </cell>
          <cell r="I418">
            <v>0</v>
          </cell>
          <cell r="P418" t="str">
            <v/>
          </cell>
          <cell r="AF418">
            <v>0</v>
          </cell>
          <cell r="AG418">
            <v>0</v>
          </cell>
        </row>
        <row r="419">
          <cell r="D419">
            <v>0</v>
          </cell>
          <cell r="F419" t="str">
            <v/>
          </cell>
          <cell r="G419">
            <v>0</v>
          </cell>
          <cell r="I419">
            <v>0</v>
          </cell>
          <cell r="P419" t="str">
            <v/>
          </cell>
          <cell r="AF419">
            <v>0</v>
          </cell>
          <cell r="AG419">
            <v>0</v>
          </cell>
        </row>
        <row r="420">
          <cell r="D420">
            <v>0</v>
          </cell>
          <cell r="F420" t="str">
            <v/>
          </cell>
          <cell r="G420">
            <v>0</v>
          </cell>
          <cell r="I420">
            <v>0</v>
          </cell>
          <cell r="P420" t="str">
            <v/>
          </cell>
          <cell r="AF420">
            <v>0</v>
          </cell>
          <cell r="AG420">
            <v>0</v>
          </cell>
        </row>
        <row r="421">
          <cell r="D421">
            <v>0</v>
          </cell>
          <cell r="F421" t="str">
            <v/>
          </cell>
          <cell r="G421">
            <v>0</v>
          </cell>
          <cell r="I421">
            <v>0</v>
          </cell>
          <cell r="P421" t="str">
            <v/>
          </cell>
          <cell r="AF421">
            <v>0</v>
          </cell>
          <cell r="AG421">
            <v>0</v>
          </cell>
        </row>
        <row r="422">
          <cell r="D422">
            <v>0</v>
          </cell>
          <cell r="F422" t="str">
            <v/>
          </cell>
          <cell r="G422">
            <v>0</v>
          </cell>
          <cell r="I422">
            <v>0</v>
          </cell>
          <cell r="P422" t="str">
            <v/>
          </cell>
          <cell r="AF422">
            <v>0</v>
          </cell>
          <cell r="AG422">
            <v>0</v>
          </cell>
        </row>
        <row r="423">
          <cell r="D423">
            <v>0</v>
          </cell>
          <cell r="F423" t="str">
            <v/>
          </cell>
          <cell r="G423">
            <v>0</v>
          </cell>
          <cell r="I423">
            <v>0</v>
          </cell>
          <cell r="P423" t="str">
            <v/>
          </cell>
          <cell r="AF423">
            <v>0</v>
          </cell>
          <cell r="AG423">
            <v>0</v>
          </cell>
        </row>
        <row r="424">
          <cell r="D424">
            <v>0</v>
          </cell>
          <cell r="F424" t="str">
            <v/>
          </cell>
          <cell r="G424">
            <v>0</v>
          </cell>
          <cell r="I424">
            <v>0</v>
          </cell>
          <cell r="P424" t="str">
            <v/>
          </cell>
          <cell r="AF424">
            <v>0</v>
          </cell>
          <cell r="AG424">
            <v>0</v>
          </cell>
        </row>
        <row r="425">
          <cell r="D425">
            <v>0</v>
          </cell>
          <cell r="F425" t="str">
            <v/>
          </cell>
          <cell r="G425">
            <v>0</v>
          </cell>
          <cell r="I425">
            <v>0</v>
          </cell>
          <cell r="P425" t="str">
            <v/>
          </cell>
          <cell r="AF425">
            <v>0</v>
          </cell>
          <cell r="AG425">
            <v>0</v>
          </cell>
        </row>
        <row r="426">
          <cell r="D426">
            <v>0</v>
          </cell>
          <cell r="F426" t="str">
            <v/>
          </cell>
          <cell r="G426">
            <v>0</v>
          </cell>
          <cell r="I426">
            <v>0</v>
          </cell>
          <cell r="P426" t="str">
            <v/>
          </cell>
          <cell r="AF426">
            <v>0</v>
          </cell>
          <cell r="AG426">
            <v>0</v>
          </cell>
        </row>
        <row r="427">
          <cell r="D427">
            <v>0</v>
          </cell>
          <cell r="F427" t="str">
            <v/>
          </cell>
          <cell r="G427">
            <v>0</v>
          </cell>
          <cell r="I427">
            <v>0</v>
          </cell>
          <cell r="P427" t="str">
            <v/>
          </cell>
          <cell r="AF427">
            <v>0</v>
          </cell>
          <cell r="AG427">
            <v>0</v>
          </cell>
        </row>
        <row r="428">
          <cell r="D428">
            <v>0</v>
          </cell>
          <cell r="F428" t="str">
            <v/>
          </cell>
          <cell r="G428">
            <v>0</v>
          </cell>
          <cell r="I428">
            <v>0</v>
          </cell>
          <cell r="P428" t="str">
            <v/>
          </cell>
          <cell r="AF428">
            <v>0</v>
          </cell>
          <cell r="AG428">
            <v>0</v>
          </cell>
        </row>
        <row r="429">
          <cell r="D429">
            <v>0</v>
          </cell>
          <cell r="F429" t="str">
            <v/>
          </cell>
          <cell r="G429">
            <v>0</v>
          </cell>
          <cell r="I429">
            <v>0</v>
          </cell>
          <cell r="P429" t="str">
            <v/>
          </cell>
          <cell r="AF429">
            <v>0</v>
          </cell>
          <cell r="AG429">
            <v>0</v>
          </cell>
        </row>
        <row r="430">
          <cell r="D430">
            <v>0</v>
          </cell>
          <cell r="F430" t="str">
            <v/>
          </cell>
          <cell r="G430">
            <v>0</v>
          </cell>
          <cell r="I430">
            <v>0</v>
          </cell>
          <cell r="P430" t="str">
            <v/>
          </cell>
          <cell r="AF430">
            <v>0</v>
          </cell>
          <cell r="AG430">
            <v>0</v>
          </cell>
        </row>
        <row r="431">
          <cell r="D431">
            <v>0</v>
          </cell>
          <cell r="F431" t="str">
            <v/>
          </cell>
          <cell r="G431">
            <v>0</v>
          </cell>
          <cell r="I431">
            <v>0</v>
          </cell>
          <cell r="P431" t="str">
            <v/>
          </cell>
          <cell r="AF431">
            <v>0</v>
          </cell>
          <cell r="AG431">
            <v>0</v>
          </cell>
        </row>
        <row r="432">
          <cell r="D432">
            <v>0</v>
          </cell>
          <cell r="F432" t="str">
            <v/>
          </cell>
          <cell r="G432">
            <v>0</v>
          </cell>
          <cell r="I432">
            <v>0</v>
          </cell>
          <cell r="P432" t="str">
            <v/>
          </cell>
          <cell r="AF432">
            <v>0</v>
          </cell>
          <cell r="AG432">
            <v>0</v>
          </cell>
        </row>
        <row r="433">
          <cell r="D433">
            <v>0</v>
          </cell>
          <cell r="F433" t="str">
            <v/>
          </cell>
          <cell r="G433">
            <v>0</v>
          </cell>
          <cell r="I433">
            <v>0</v>
          </cell>
          <cell r="P433" t="str">
            <v/>
          </cell>
          <cell r="AF433">
            <v>0</v>
          </cell>
          <cell r="AG433">
            <v>0</v>
          </cell>
        </row>
        <row r="434">
          <cell r="D434">
            <v>0</v>
          </cell>
          <cell r="F434" t="str">
            <v/>
          </cell>
          <cell r="G434">
            <v>0</v>
          </cell>
          <cell r="I434">
            <v>0</v>
          </cell>
          <cell r="P434" t="str">
            <v/>
          </cell>
          <cell r="AF434">
            <v>0</v>
          </cell>
          <cell r="AG434">
            <v>0</v>
          </cell>
        </row>
        <row r="435">
          <cell r="D435">
            <v>0</v>
          </cell>
          <cell r="F435" t="str">
            <v/>
          </cell>
          <cell r="G435">
            <v>0</v>
          </cell>
          <cell r="I435">
            <v>0</v>
          </cell>
          <cell r="P435" t="str">
            <v/>
          </cell>
          <cell r="AF435">
            <v>0</v>
          </cell>
          <cell r="AG435">
            <v>0</v>
          </cell>
        </row>
        <row r="436">
          <cell r="D436">
            <v>0</v>
          </cell>
          <cell r="F436" t="str">
            <v/>
          </cell>
          <cell r="G436">
            <v>0</v>
          </cell>
          <cell r="I436">
            <v>0</v>
          </cell>
          <cell r="P436" t="str">
            <v/>
          </cell>
          <cell r="AF436">
            <v>0</v>
          </cell>
          <cell r="AG436">
            <v>0</v>
          </cell>
        </row>
        <row r="437">
          <cell r="D437">
            <v>0</v>
          </cell>
          <cell r="F437" t="str">
            <v/>
          </cell>
          <cell r="G437">
            <v>0</v>
          </cell>
          <cell r="I437">
            <v>0</v>
          </cell>
          <cell r="P437" t="str">
            <v/>
          </cell>
          <cell r="AF437">
            <v>0</v>
          </cell>
          <cell r="AG437">
            <v>0</v>
          </cell>
        </row>
        <row r="438">
          <cell r="D438">
            <v>0</v>
          </cell>
          <cell r="F438" t="str">
            <v/>
          </cell>
          <cell r="G438">
            <v>0</v>
          </cell>
          <cell r="I438">
            <v>0</v>
          </cell>
          <cell r="P438" t="str">
            <v/>
          </cell>
          <cell r="AF438">
            <v>0</v>
          </cell>
          <cell r="AG438">
            <v>0</v>
          </cell>
        </row>
        <row r="439">
          <cell r="D439">
            <v>0</v>
          </cell>
          <cell r="F439" t="str">
            <v/>
          </cell>
          <cell r="G439">
            <v>0</v>
          </cell>
          <cell r="I439">
            <v>0</v>
          </cell>
          <cell r="P439" t="str">
            <v/>
          </cell>
          <cell r="AF439">
            <v>0</v>
          </cell>
          <cell r="AG439">
            <v>0</v>
          </cell>
        </row>
        <row r="440">
          <cell r="D440">
            <v>0</v>
          </cell>
          <cell r="F440" t="str">
            <v/>
          </cell>
          <cell r="G440">
            <v>0</v>
          </cell>
          <cell r="I440">
            <v>0</v>
          </cell>
          <cell r="P440" t="str">
            <v/>
          </cell>
          <cell r="AF440">
            <v>0</v>
          </cell>
          <cell r="AG440">
            <v>0</v>
          </cell>
        </row>
        <row r="441">
          <cell r="D441">
            <v>0</v>
          </cell>
          <cell r="F441" t="str">
            <v/>
          </cell>
          <cell r="G441">
            <v>0</v>
          </cell>
          <cell r="I441">
            <v>0</v>
          </cell>
          <cell r="P441" t="str">
            <v/>
          </cell>
          <cell r="AF441">
            <v>0</v>
          </cell>
          <cell r="AG441">
            <v>0</v>
          </cell>
        </row>
        <row r="442">
          <cell r="D442">
            <v>0</v>
          </cell>
          <cell r="F442" t="str">
            <v/>
          </cell>
          <cell r="G442">
            <v>0</v>
          </cell>
          <cell r="I442">
            <v>0</v>
          </cell>
          <cell r="P442" t="str">
            <v/>
          </cell>
          <cell r="AF442">
            <v>0</v>
          </cell>
          <cell r="AG442">
            <v>0</v>
          </cell>
        </row>
        <row r="443">
          <cell r="D443">
            <v>0</v>
          </cell>
          <cell r="F443" t="str">
            <v/>
          </cell>
          <cell r="G443">
            <v>0</v>
          </cell>
          <cell r="I443">
            <v>0</v>
          </cell>
          <cell r="P443" t="str">
            <v/>
          </cell>
          <cell r="AF443">
            <v>0</v>
          </cell>
          <cell r="AG443">
            <v>0</v>
          </cell>
        </row>
        <row r="444">
          <cell r="D444">
            <v>0</v>
          </cell>
          <cell r="F444" t="str">
            <v/>
          </cell>
          <cell r="G444">
            <v>0</v>
          </cell>
          <cell r="I444">
            <v>0</v>
          </cell>
          <cell r="P444" t="str">
            <v/>
          </cell>
          <cell r="AF444">
            <v>0</v>
          </cell>
          <cell r="AG444">
            <v>0</v>
          </cell>
        </row>
        <row r="445">
          <cell r="D445">
            <v>0</v>
          </cell>
          <cell r="F445" t="str">
            <v/>
          </cell>
          <cell r="G445">
            <v>0</v>
          </cell>
          <cell r="I445">
            <v>0</v>
          </cell>
          <cell r="P445" t="str">
            <v/>
          </cell>
          <cell r="AF445">
            <v>0</v>
          </cell>
          <cell r="AG445">
            <v>0</v>
          </cell>
        </row>
        <row r="446">
          <cell r="D446">
            <v>0</v>
          </cell>
          <cell r="F446" t="str">
            <v/>
          </cell>
          <cell r="G446">
            <v>0</v>
          </cell>
          <cell r="I446">
            <v>0</v>
          </cell>
          <cell r="P446" t="str">
            <v/>
          </cell>
          <cell r="AF446">
            <v>0</v>
          </cell>
          <cell r="AG446">
            <v>0</v>
          </cell>
        </row>
        <row r="447">
          <cell r="D447">
            <v>0</v>
          </cell>
          <cell r="F447" t="str">
            <v/>
          </cell>
          <cell r="G447">
            <v>0</v>
          </cell>
          <cell r="I447">
            <v>0</v>
          </cell>
          <cell r="P447" t="str">
            <v/>
          </cell>
          <cell r="AF447">
            <v>0</v>
          </cell>
          <cell r="AG447">
            <v>0</v>
          </cell>
        </row>
        <row r="448">
          <cell r="D448">
            <v>0</v>
          </cell>
          <cell r="F448" t="str">
            <v/>
          </cell>
          <cell r="G448">
            <v>0</v>
          </cell>
          <cell r="I448">
            <v>0</v>
          </cell>
          <cell r="P448" t="str">
            <v/>
          </cell>
          <cell r="AF448">
            <v>0</v>
          </cell>
          <cell r="AG448">
            <v>0</v>
          </cell>
        </row>
        <row r="449">
          <cell r="D449">
            <v>0</v>
          </cell>
          <cell r="F449" t="str">
            <v/>
          </cell>
          <cell r="G449">
            <v>0</v>
          </cell>
          <cell r="I449">
            <v>0</v>
          </cell>
          <cell r="P449" t="str">
            <v/>
          </cell>
          <cell r="AF449">
            <v>0</v>
          </cell>
          <cell r="AG449">
            <v>0</v>
          </cell>
        </row>
        <row r="450">
          <cell r="D450">
            <v>0</v>
          </cell>
          <cell r="F450" t="str">
            <v/>
          </cell>
          <cell r="G450">
            <v>0</v>
          </cell>
          <cell r="I450">
            <v>0</v>
          </cell>
          <cell r="P450" t="str">
            <v/>
          </cell>
          <cell r="AF450">
            <v>0</v>
          </cell>
          <cell r="AG450">
            <v>0</v>
          </cell>
        </row>
        <row r="451">
          <cell r="D451">
            <v>0</v>
          </cell>
          <cell r="F451" t="str">
            <v/>
          </cell>
          <cell r="G451">
            <v>0</v>
          </cell>
          <cell r="I451">
            <v>0</v>
          </cell>
          <cell r="P451" t="str">
            <v/>
          </cell>
          <cell r="AF451">
            <v>0</v>
          </cell>
          <cell r="AG451">
            <v>0</v>
          </cell>
        </row>
        <row r="452">
          <cell r="D452">
            <v>0</v>
          </cell>
          <cell r="F452" t="str">
            <v/>
          </cell>
          <cell r="G452">
            <v>0</v>
          </cell>
          <cell r="I452">
            <v>0</v>
          </cell>
          <cell r="P452" t="str">
            <v/>
          </cell>
          <cell r="AF452">
            <v>0</v>
          </cell>
          <cell r="AG452">
            <v>0</v>
          </cell>
        </row>
        <row r="453">
          <cell r="D453">
            <v>0</v>
          </cell>
          <cell r="F453" t="str">
            <v/>
          </cell>
          <cell r="G453">
            <v>0</v>
          </cell>
          <cell r="I453">
            <v>0</v>
          </cell>
          <cell r="P453" t="str">
            <v/>
          </cell>
          <cell r="AF453">
            <v>0</v>
          </cell>
          <cell r="AG453">
            <v>0</v>
          </cell>
        </row>
        <row r="454">
          <cell r="D454">
            <v>0</v>
          </cell>
          <cell r="F454" t="str">
            <v/>
          </cell>
          <cell r="G454">
            <v>0</v>
          </cell>
          <cell r="I454">
            <v>0</v>
          </cell>
          <cell r="P454" t="str">
            <v/>
          </cell>
          <cell r="AF454">
            <v>0</v>
          </cell>
          <cell r="AG454">
            <v>0</v>
          </cell>
        </row>
        <row r="455">
          <cell r="D455">
            <v>0</v>
          </cell>
          <cell r="F455" t="str">
            <v/>
          </cell>
          <cell r="G455">
            <v>0</v>
          </cell>
          <cell r="I455">
            <v>0</v>
          </cell>
          <cell r="P455" t="str">
            <v/>
          </cell>
          <cell r="AF455">
            <v>0</v>
          </cell>
          <cell r="AG455">
            <v>0</v>
          </cell>
        </row>
        <row r="456">
          <cell r="D456">
            <v>0</v>
          </cell>
          <cell r="F456" t="str">
            <v/>
          </cell>
          <cell r="G456">
            <v>0</v>
          </cell>
          <cell r="I456">
            <v>0</v>
          </cell>
          <cell r="P456" t="str">
            <v/>
          </cell>
          <cell r="AF456">
            <v>0</v>
          </cell>
          <cell r="AG456">
            <v>0</v>
          </cell>
        </row>
        <row r="457">
          <cell r="D457">
            <v>0</v>
          </cell>
          <cell r="F457" t="str">
            <v/>
          </cell>
          <cell r="G457">
            <v>0</v>
          </cell>
          <cell r="I457">
            <v>0</v>
          </cell>
          <cell r="P457" t="str">
            <v/>
          </cell>
          <cell r="AF457">
            <v>0</v>
          </cell>
          <cell r="AG457">
            <v>0</v>
          </cell>
        </row>
        <row r="458">
          <cell r="D458">
            <v>0</v>
          </cell>
          <cell r="F458" t="str">
            <v/>
          </cell>
          <cell r="G458">
            <v>0</v>
          </cell>
          <cell r="I458">
            <v>0</v>
          </cell>
          <cell r="P458" t="str">
            <v/>
          </cell>
          <cell r="AF458">
            <v>0</v>
          </cell>
          <cell r="AG458">
            <v>0</v>
          </cell>
        </row>
        <row r="459">
          <cell r="D459">
            <v>0</v>
          </cell>
          <cell r="F459" t="str">
            <v/>
          </cell>
          <cell r="G459">
            <v>0</v>
          </cell>
          <cell r="I459">
            <v>0</v>
          </cell>
          <cell r="P459" t="str">
            <v/>
          </cell>
          <cell r="AF459">
            <v>0</v>
          </cell>
          <cell r="AG459">
            <v>0</v>
          </cell>
        </row>
        <row r="460">
          <cell r="D460">
            <v>0</v>
          </cell>
          <cell r="F460" t="str">
            <v/>
          </cell>
          <cell r="G460">
            <v>0</v>
          </cell>
          <cell r="I460">
            <v>0</v>
          </cell>
          <cell r="P460" t="str">
            <v/>
          </cell>
          <cell r="AF460">
            <v>0</v>
          </cell>
          <cell r="AG460">
            <v>0</v>
          </cell>
        </row>
        <row r="461">
          <cell r="D461">
            <v>0</v>
          </cell>
          <cell r="F461" t="str">
            <v/>
          </cell>
          <cell r="G461">
            <v>0</v>
          </cell>
          <cell r="I461">
            <v>0</v>
          </cell>
          <cell r="P461" t="str">
            <v/>
          </cell>
          <cell r="AF461">
            <v>0</v>
          </cell>
          <cell r="AG461">
            <v>0</v>
          </cell>
        </row>
        <row r="462">
          <cell r="D462">
            <v>0</v>
          </cell>
          <cell r="F462" t="str">
            <v/>
          </cell>
          <cell r="G462">
            <v>0</v>
          </cell>
          <cell r="I462">
            <v>0</v>
          </cell>
          <cell r="P462" t="str">
            <v/>
          </cell>
          <cell r="AF462">
            <v>0</v>
          </cell>
          <cell r="AG462">
            <v>0</v>
          </cell>
        </row>
        <row r="463">
          <cell r="D463">
            <v>0</v>
          </cell>
          <cell r="F463" t="str">
            <v/>
          </cell>
          <cell r="G463">
            <v>0</v>
          </cell>
          <cell r="I463">
            <v>0</v>
          </cell>
          <cell r="P463" t="str">
            <v/>
          </cell>
          <cell r="AF463">
            <v>0</v>
          </cell>
          <cell r="AG463">
            <v>0</v>
          </cell>
        </row>
        <row r="464">
          <cell r="D464">
            <v>0</v>
          </cell>
          <cell r="F464" t="str">
            <v/>
          </cell>
          <cell r="G464">
            <v>0</v>
          </cell>
          <cell r="I464">
            <v>0</v>
          </cell>
          <cell r="P464" t="str">
            <v/>
          </cell>
          <cell r="AF464">
            <v>0</v>
          </cell>
          <cell r="AG464">
            <v>0</v>
          </cell>
        </row>
        <row r="465">
          <cell r="D465">
            <v>0</v>
          </cell>
          <cell r="F465" t="str">
            <v/>
          </cell>
          <cell r="G465">
            <v>0</v>
          </cell>
          <cell r="I465">
            <v>0</v>
          </cell>
          <cell r="P465" t="str">
            <v/>
          </cell>
          <cell r="AF465">
            <v>0</v>
          </cell>
          <cell r="AG465">
            <v>0</v>
          </cell>
        </row>
        <row r="466">
          <cell r="D466">
            <v>0</v>
          </cell>
          <cell r="F466" t="str">
            <v/>
          </cell>
          <cell r="G466">
            <v>0</v>
          </cell>
          <cell r="I466">
            <v>0</v>
          </cell>
          <cell r="P466" t="str">
            <v/>
          </cell>
          <cell r="AF466">
            <v>0</v>
          </cell>
          <cell r="AG466">
            <v>0</v>
          </cell>
        </row>
        <row r="467">
          <cell r="D467">
            <v>0</v>
          </cell>
          <cell r="F467" t="str">
            <v/>
          </cell>
          <cell r="G467">
            <v>0</v>
          </cell>
          <cell r="I467">
            <v>0</v>
          </cell>
          <cell r="P467" t="str">
            <v/>
          </cell>
          <cell r="AF467">
            <v>0</v>
          </cell>
          <cell r="AG467">
            <v>0</v>
          </cell>
        </row>
        <row r="468">
          <cell r="D468">
            <v>0</v>
          </cell>
          <cell r="F468" t="str">
            <v/>
          </cell>
          <cell r="G468">
            <v>0</v>
          </cell>
          <cell r="I468">
            <v>0</v>
          </cell>
          <cell r="P468" t="str">
            <v/>
          </cell>
          <cell r="AF468">
            <v>0</v>
          </cell>
          <cell r="AG468">
            <v>0</v>
          </cell>
        </row>
        <row r="469">
          <cell r="D469">
            <v>0</v>
          </cell>
          <cell r="F469" t="str">
            <v/>
          </cell>
          <cell r="G469">
            <v>0</v>
          </cell>
          <cell r="I469">
            <v>0</v>
          </cell>
          <cell r="P469" t="str">
            <v/>
          </cell>
          <cell r="AF469">
            <v>0</v>
          </cell>
          <cell r="AG469">
            <v>0</v>
          </cell>
        </row>
        <row r="470">
          <cell r="D470">
            <v>0</v>
          </cell>
          <cell r="F470" t="str">
            <v/>
          </cell>
          <cell r="G470">
            <v>0</v>
          </cell>
          <cell r="I470">
            <v>0</v>
          </cell>
          <cell r="P470" t="str">
            <v/>
          </cell>
          <cell r="AF470">
            <v>0</v>
          </cell>
          <cell r="AG470">
            <v>0</v>
          </cell>
        </row>
        <row r="471">
          <cell r="D471">
            <v>0</v>
          </cell>
          <cell r="F471" t="str">
            <v/>
          </cell>
          <cell r="G471">
            <v>0</v>
          </cell>
          <cell r="I471">
            <v>0</v>
          </cell>
          <cell r="P471" t="str">
            <v/>
          </cell>
          <cell r="AF471">
            <v>0</v>
          </cell>
          <cell r="AG471">
            <v>0</v>
          </cell>
        </row>
        <row r="472">
          <cell r="D472">
            <v>0</v>
          </cell>
          <cell r="F472" t="str">
            <v/>
          </cell>
          <cell r="G472">
            <v>0</v>
          </cell>
          <cell r="I472">
            <v>0</v>
          </cell>
          <cell r="P472" t="str">
            <v/>
          </cell>
          <cell r="AF472">
            <v>0</v>
          </cell>
          <cell r="AG472">
            <v>0</v>
          </cell>
        </row>
        <row r="473">
          <cell r="D473">
            <v>0</v>
          </cell>
          <cell r="F473" t="str">
            <v/>
          </cell>
          <cell r="G473">
            <v>0</v>
          </cell>
          <cell r="I473">
            <v>0</v>
          </cell>
          <cell r="P473" t="str">
            <v/>
          </cell>
          <cell r="AF473">
            <v>0</v>
          </cell>
          <cell r="AG473">
            <v>0</v>
          </cell>
        </row>
        <row r="474">
          <cell r="D474">
            <v>0</v>
          </cell>
          <cell r="F474" t="str">
            <v/>
          </cell>
          <cell r="G474">
            <v>0</v>
          </cell>
          <cell r="I474">
            <v>0</v>
          </cell>
          <cell r="P474" t="str">
            <v/>
          </cell>
          <cell r="AF474">
            <v>0</v>
          </cell>
          <cell r="AG474">
            <v>0</v>
          </cell>
        </row>
        <row r="475">
          <cell r="D475">
            <v>0</v>
          </cell>
          <cell r="F475" t="str">
            <v/>
          </cell>
          <cell r="G475">
            <v>0</v>
          </cell>
          <cell r="I475">
            <v>0</v>
          </cell>
          <cell r="P475" t="str">
            <v/>
          </cell>
          <cell r="AF475">
            <v>0</v>
          </cell>
          <cell r="AG475">
            <v>0</v>
          </cell>
        </row>
        <row r="476">
          <cell r="D476">
            <v>0</v>
          </cell>
          <cell r="F476" t="str">
            <v/>
          </cell>
          <cell r="G476">
            <v>0</v>
          </cell>
          <cell r="I476">
            <v>0</v>
          </cell>
          <cell r="P476" t="str">
            <v/>
          </cell>
          <cell r="AF476">
            <v>0</v>
          </cell>
          <cell r="AG476">
            <v>0</v>
          </cell>
        </row>
        <row r="477">
          <cell r="D477">
            <v>0</v>
          </cell>
          <cell r="F477" t="str">
            <v/>
          </cell>
          <cell r="G477">
            <v>0</v>
          </cell>
          <cell r="I477">
            <v>0</v>
          </cell>
          <cell r="P477" t="str">
            <v/>
          </cell>
          <cell r="AF477">
            <v>0</v>
          </cell>
          <cell r="AG477">
            <v>0</v>
          </cell>
        </row>
        <row r="478">
          <cell r="D478">
            <v>0</v>
          </cell>
          <cell r="F478" t="str">
            <v/>
          </cell>
          <cell r="G478">
            <v>0</v>
          </cell>
          <cell r="I478">
            <v>0</v>
          </cell>
          <cell r="P478" t="str">
            <v/>
          </cell>
          <cell r="AF478">
            <v>0</v>
          </cell>
          <cell r="AG478">
            <v>0</v>
          </cell>
        </row>
        <row r="479">
          <cell r="D479">
            <v>0</v>
          </cell>
          <cell r="F479" t="str">
            <v/>
          </cell>
          <cell r="G479">
            <v>0</v>
          </cell>
          <cell r="I479">
            <v>0</v>
          </cell>
          <cell r="P479" t="str">
            <v/>
          </cell>
          <cell r="AF479">
            <v>0</v>
          </cell>
          <cell r="AG479">
            <v>0</v>
          </cell>
        </row>
        <row r="480">
          <cell r="D480">
            <v>0</v>
          </cell>
          <cell r="F480" t="str">
            <v/>
          </cell>
          <cell r="G480">
            <v>0</v>
          </cell>
          <cell r="I480">
            <v>0</v>
          </cell>
          <cell r="P480" t="str">
            <v/>
          </cell>
          <cell r="AF480">
            <v>0</v>
          </cell>
          <cell r="AG480">
            <v>0</v>
          </cell>
        </row>
        <row r="481">
          <cell r="D481">
            <v>0</v>
          </cell>
          <cell r="F481" t="str">
            <v/>
          </cell>
          <cell r="G481">
            <v>0</v>
          </cell>
          <cell r="I481">
            <v>0</v>
          </cell>
          <cell r="P481" t="str">
            <v/>
          </cell>
          <cell r="AF481">
            <v>0</v>
          </cell>
          <cell r="AG481">
            <v>0</v>
          </cell>
        </row>
        <row r="482">
          <cell r="D482">
            <v>0</v>
          </cell>
          <cell r="F482" t="str">
            <v/>
          </cell>
          <cell r="G482">
            <v>0</v>
          </cell>
          <cell r="I482">
            <v>0</v>
          </cell>
          <cell r="P482" t="str">
            <v/>
          </cell>
          <cell r="AF482">
            <v>0</v>
          </cell>
          <cell r="AG482">
            <v>0</v>
          </cell>
        </row>
        <row r="483">
          <cell r="D483">
            <v>0</v>
          </cell>
          <cell r="F483" t="str">
            <v/>
          </cell>
          <cell r="G483">
            <v>0</v>
          </cell>
          <cell r="I483">
            <v>0</v>
          </cell>
          <cell r="P483" t="str">
            <v/>
          </cell>
          <cell r="AF483">
            <v>0</v>
          </cell>
          <cell r="AG483">
            <v>0</v>
          </cell>
        </row>
        <row r="484">
          <cell r="D484">
            <v>0</v>
          </cell>
          <cell r="F484" t="str">
            <v/>
          </cell>
          <cell r="G484">
            <v>0</v>
          </cell>
          <cell r="I484">
            <v>0</v>
          </cell>
          <cell r="P484" t="str">
            <v/>
          </cell>
          <cell r="AF484">
            <v>0</v>
          </cell>
          <cell r="AG484">
            <v>0</v>
          </cell>
        </row>
        <row r="485">
          <cell r="D485">
            <v>0</v>
          </cell>
          <cell r="F485" t="str">
            <v/>
          </cell>
          <cell r="G485">
            <v>0</v>
          </cell>
          <cell r="I485">
            <v>0</v>
          </cell>
          <cell r="P485" t="str">
            <v/>
          </cell>
          <cell r="AF485">
            <v>0</v>
          </cell>
          <cell r="AG485">
            <v>0</v>
          </cell>
        </row>
        <row r="486">
          <cell r="D486">
            <v>0</v>
          </cell>
          <cell r="F486" t="str">
            <v/>
          </cell>
          <cell r="G486">
            <v>0</v>
          </cell>
          <cell r="I486">
            <v>0</v>
          </cell>
          <cell r="P486" t="str">
            <v/>
          </cell>
          <cell r="AF486">
            <v>0</v>
          </cell>
          <cell r="AG486">
            <v>0</v>
          </cell>
        </row>
        <row r="487">
          <cell r="D487">
            <v>0</v>
          </cell>
          <cell r="F487" t="str">
            <v/>
          </cell>
          <cell r="G487">
            <v>0</v>
          </cell>
          <cell r="I487">
            <v>0</v>
          </cell>
          <cell r="P487" t="str">
            <v/>
          </cell>
          <cell r="AF487">
            <v>0</v>
          </cell>
          <cell r="AG487">
            <v>0</v>
          </cell>
        </row>
        <row r="488">
          <cell r="D488">
            <v>0</v>
          </cell>
          <cell r="F488" t="str">
            <v/>
          </cell>
          <cell r="G488">
            <v>0</v>
          </cell>
          <cell r="I488">
            <v>0</v>
          </cell>
          <cell r="P488" t="str">
            <v/>
          </cell>
          <cell r="AF488">
            <v>0</v>
          </cell>
          <cell r="AG488">
            <v>0</v>
          </cell>
        </row>
        <row r="489">
          <cell r="D489">
            <v>0</v>
          </cell>
          <cell r="F489" t="str">
            <v/>
          </cell>
          <cell r="G489">
            <v>0</v>
          </cell>
          <cell r="I489">
            <v>0</v>
          </cell>
          <cell r="P489" t="str">
            <v/>
          </cell>
          <cell r="AF489">
            <v>0</v>
          </cell>
          <cell r="AG489">
            <v>0</v>
          </cell>
        </row>
        <row r="490">
          <cell r="D490">
            <v>0</v>
          </cell>
          <cell r="F490" t="str">
            <v/>
          </cell>
          <cell r="G490">
            <v>0</v>
          </cell>
          <cell r="I490">
            <v>0</v>
          </cell>
          <cell r="P490" t="str">
            <v/>
          </cell>
          <cell r="AF490">
            <v>0</v>
          </cell>
          <cell r="AG490">
            <v>0</v>
          </cell>
        </row>
      </sheetData>
      <sheetData sheetId="3"/>
      <sheetData sheetId="4">
        <row r="3">
          <cell r="I3" t="str">
            <v>MT HB PR</v>
          </cell>
          <cell r="K3" t="str">
            <v>S</v>
          </cell>
          <cell r="L3" t="str">
            <v>O</v>
          </cell>
          <cell r="M3" t="str">
            <v>N</v>
          </cell>
          <cell r="N3">
            <v>15</v>
          </cell>
        </row>
        <row r="4">
          <cell r="I4" t="str">
            <v>MT HB QU</v>
          </cell>
          <cell r="K4" t="str">
            <v>S</v>
          </cell>
          <cell r="L4" t="str">
            <v>N</v>
          </cell>
          <cell r="M4" t="str">
            <v>O</v>
          </cell>
        </row>
        <row r="5">
          <cell r="I5" t="str">
            <v>MT QJ</v>
          </cell>
          <cell r="K5" t="str">
            <v>S</v>
          </cell>
          <cell r="L5" t="str">
            <v>O</v>
          </cell>
          <cell r="M5" t="str">
            <v>N</v>
          </cell>
          <cell r="N5">
            <v>7</v>
          </cell>
        </row>
        <row r="6">
          <cell r="I6" t="str">
            <v>MT CG PR</v>
          </cell>
          <cell r="K6" t="str">
            <v>S</v>
          </cell>
          <cell r="L6" t="str">
            <v>N</v>
          </cell>
          <cell r="M6" t="str">
            <v>O</v>
          </cell>
        </row>
        <row r="7">
          <cell r="I7" t="str">
            <v>BLDPTDTL</v>
          </cell>
          <cell r="K7" t="str">
            <v>S</v>
          </cell>
          <cell r="L7" t="str">
            <v>O</v>
          </cell>
          <cell r="M7" t="str">
            <v>N</v>
          </cell>
          <cell r="N7">
            <v>25</v>
          </cell>
        </row>
        <row r="8">
          <cell r="I8" t="str">
            <v>MT CG PR</v>
          </cell>
          <cell r="K8" t="str">
            <v>S</v>
          </cell>
          <cell r="L8" t="str">
            <v>N</v>
          </cell>
          <cell r="M8" t="str">
            <v>N</v>
          </cell>
        </row>
        <row r="9">
          <cell r="I9" t="str">
            <v>MT CG PR</v>
          </cell>
          <cell r="K9" t="str">
            <v>S</v>
          </cell>
          <cell r="L9" t="str">
            <v>O</v>
          </cell>
          <cell r="M9" t="str">
            <v>N</v>
          </cell>
          <cell r="N9">
            <v>36</v>
          </cell>
        </row>
        <row r="10">
          <cell r="I10" t="str">
            <v>MT JK PR</v>
          </cell>
          <cell r="K10" t="str">
            <v>S</v>
          </cell>
          <cell r="L10" t="str">
            <v>O</v>
          </cell>
          <cell r="M10" t="str">
            <v>N</v>
          </cell>
          <cell r="N10">
            <v>3</v>
          </cell>
        </row>
        <row r="11">
          <cell r="I11" t="str">
            <v>MT JK PR</v>
          </cell>
          <cell r="K11" t="str">
            <v>S</v>
          </cell>
          <cell r="L11" t="str">
            <v>N</v>
          </cell>
          <cell r="M11" t="str">
            <v>N</v>
          </cell>
        </row>
        <row r="12">
          <cell r="I12" t="str">
            <v>MT JK PR</v>
          </cell>
          <cell r="K12" t="str">
            <v>S</v>
          </cell>
          <cell r="L12" t="str">
            <v>N</v>
          </cell>
          <cell r="M12" t="str">
            <v>N</v>
          </cell>
        </row>
        <row r="13">
          <cell r="I13" t="str">
            <v>MT CA PR</v>
          </cell>
          <cell r="K13" t="str">
            <v>S</v>
          </cell>
          <cell r="L13" t="str">
            <v>O</v>
          </cell>
          <cell r="M13" t="str">
            <v>N</v>
          </cell>
          <cell r="N13">
            <v>262</v>
          </cell>
        </row>
        <row r="14">
          <cell r="I14" t="str">
            <v>MT QJ</v>
          </cell>
          <cell r="K14" t="str">
            <v>S</v>
          </cell>
          <cell r="L14" t="str">
            <v>N</v>
          </cell>
          <cell r="M14" t="str">
            <v>N</v>
          </cell>
        </row>
        <row r="15">
          <cell r="I15" t="str">
            <v>MT HB PR</v>
          </cell>
          <cell r="K15" t="str">
            <v>S</v>
          </cell>
          <cell r="L15" t="str">
            <v>O</v>
          </cell>
          <cell r="M15" t="str">
            <v>N</v>
          </cell>
          <cell r="N15">
            <v>10</v>
          </cell>
        </row>
        <row r="16">
          <cell r="I16" t="str">
            <v>MT QJ</v>
          </cell>
          <cell r="K16" t="str">
            <v>S</v>
          </cell>
          <cell r="L16" t="str">
            <v>N</v>
          </cell>
          <cell r="M16" t="str">
            <v>O</v>
          </cell>
        </row>
        <row r="17">
          <cell r="I17" t="str">
            <v>MT QJ</v>
          </cell>
          <cell r="K17" t="str">
            <v>S</v>
          </cell>
          <cell r="L17" t="str">
            <v>O</v>
          </cell>
          <cell r="M17" t="str">
            <v>N</v>
          </cell>
          <cell r="N17">
            <v>3</v>
          </cell>
        </row>
        <row r="18">
          <cell r="I18" t="str">
            <v>MRSKI</v>
          </cell>
          <cell r="K18" t="str">
            <v>S</v>
          </cell>
          <cell r="L18" t="str">
            <v>N</v>
          </cell>
          <cell r="M18" t="str">
            <v>N</v>
          </cell>
        </row>
        <row r="19">
          <cell r="I19" t="str">
            <v>MT QJ</v>
          </cell>
          <cell r="K19" t="str">
            <v>S</v>
          </cell>
          <cell r="L19" t="str">
            <v>N</v>
          </cell>
          <cell r="M19" t="str">
            <v>O</v>
          </cell>
        </row>
        <row r="20">
          <cell r="I20" t="str">
            <v>MT YC PR</v>
          </cell>
          <cell r="K20" t="str">
            <v>T</v>
          </cell>
          <cell r="L20" t="str">
            <v>O</v>
          </cell>
          <cell r="M20" t="str">
            <v>N</v>
          </cell>
          <cell r="N20">
            <v>2</v>
          </cell>
        </row>
        <row r="21">
          <cell r="I21" t="str">
            <v>MT CA PR</v>
          </cell>
          <cell r="K21" t="str">
            <v>S</v>
          </cell>
          <cell r="L21" t="str">
            <v>O</v>
          </cell>
          <cell r="M21" t="str">
            <v>N</v>
          </cell>
          <cell r="N21">
            <v>7</v>
          </cell>
        </row>
        <row r="22">
          <cell r="I22" t="str">
            <v>MT QJ</v>
          </cell>
          <cell r="K22" t="str">
            <v>S</v>
          </cell>
          <cell r="L22" t="str">
            <v>N</v>
          </cell>
          <cell r="M22" t="str">
            <v>N</v>
          </cell>
        </row>
        <row r="23">
          <cell r="I23" t="str">
            <v>MT YC PR</v>
          </cell>
          <cell r="K23" t="str">
            <v>S</v>
          </cell>
          <cell r="L23" t="str">
            <v>N</v>
          </cell>
          <cell r="M23" t="str">
            <v>O</v>
          </cell>
        </row>
        <row r="24">
          <cell r="I24" t="str">
            <v>MT CA PR</v>
          </cell>
          <cell r="K24" t="str">
            <v>S</v>
          </cell>
          <cell r="L24" t="str">
            <v>O</v>
          </cell>
          <cell r="M24" t="str">
            <v>N</v>
          </cell>
          <cell r="N24">
            <v>72</v>
          </cell>
        </row>
        <row r="25">
          <cell r="I25" t="str">
            <v>MT UD TO</v>
          </cell>
          <cell r="K25" t="str">
            <v>S</v>
          </cell>
          <cell r="L25" t="str">
            <v>N</v>
          </cell>
          <cell r="M25" t="str">
            <v>N</v>
          </cell>
        </row>
        <row r="26">
          <cell r="I26" t="str">
            <v>MT QJ</v>
          </cell>
          <cell r="K26" t="str">
            <v>S</v>
          </cell>
          <cell r="L26" t="str">
            <v>O</v>
          </cell>
          <cell r="M26" t="str">
            <v>N</v>
          </cell>
          <cell r="N26">
            <v>0</v>
          </cell>
        </row>
        <row r="27">
          <cell r="I27" t="str">
            <v>MT CA PR</v>
          </cell>
          <cell r="K27" t="str">
            <v>S</v>
          </cell>
          <cell r="L27" t="str">
            <v>O</v>
          </cell>
          <cell r="M27" t="str">
            <v>N</v>
          </cell>
          <cell r="N27">
            <v>4</v>
          </cell>
        </row>
        <row r="28">
          <cell r="I28" t="str">
            <v>MT HB PR</v>
          </cell>
          <cell r="K28" t="str">
            <v>S</v>
          </cell>
          <cell r="L28" t="str">
            <v>N</v>
          </cell>
          <cell r="M28" t="str">
            <v>O</v>
          </cell>
        </row>
        <row r="29">
          <cell r="I29" t="str">
            <v>MT CG PR</v>
          </cell>
          <cell r="K29" t="str">
            <v>S</v>
          </cell>
          <cell r="L29" t="str">
            <v>N</v>
          </cell>
          <cell r="M29" t="str">
            <v>O</v>
          </cell>
        </row>
        <row r="30">
          <cell r="I30" t="str">
            <v>MT HB PR</v>
          </cell>
          <cell r="K30" t="str">
            <v>S</v>
          </cell>
          <cell r="L30" t="str">
            <v>O</v>
          </cell>
          <cell r="M30" t="str">
            <v>N</v>
          </cell>
          <cell r="N30">
            <v>2</v>
          </cell>
        </row>
        <row r="31">
          <cell r="I31" t="str">
            <v>MT CA SU</v>
          </cell>
          <cell r="K31" t="str">
            <v>S</v>
          </cell>
          <cell r="L31" t="str">
            <v>N</v>
          </cell>
          <cell r="M31" t="str">
            <v>N</v>
          </cell>
        </row>
        <row r="32">
          <cell r="I32" t="str">
            <v>PTPKI</v>
          </cell>
          <cell r="K32" t="str">
            <v>S</v>
          </cell>
          <cell r="L32" t="str">
            <v>N</v>
          </cell>
          <cell r="M32" t="str">
            <v>N</v>
          </cell>
        </row>
        <row r="33">
          <cell r="I33" t="str">
            <v>MT CG PR</v>
          </cell>
          <cell r="K33" t="str">
            <v>S</v>
          </cell>
          <cell r="L33" t="str">
            <v>O</v>
          </cell>
          <cell r="M33" t="str">
            <v>N</v>
          </cell>
          <cell r="N33">
            <v>16</v>
          </cell>
        </row>
        <row r="34">
          <cell r="I34" t="str">
            <v>MT HB PR</v>
          </cell>
          <cell r="K34" t="str">
            <v>S</v>
          </cell>
          <cell r="L34" t="str">
            <v>O</v>
          </cell>
          <cell r="M34" t="str">
            <v>N</v>
          </cell>
          <cell r="N34">
            <v>21</v>
          </cell>
        </row>
        <row r="35">
          <cell r="I35" t="str">
            <v>MT HB PR</v>
          </cell>
          <cell r="K35" t="str">
            <v>S</v>
          </cell>
          <cell r="L35" t="str">
            <v>O</v>
          </cell>
          <cell r="M35" t="str">
            <v>N</v>
          </cell>
          <cell r="N35">
            <v>18</v>
          </cell>
        </row>
        <row r="36">
          <cell r="I36" t="str">
            <v>MT YC PR</v>
          </cell>
          <cell r="K36" t="str">
            <v>S</v>
          </cell>
          <cell r="L36" t="str">
            <v>N</v>
          </cell>
          <cell r="M36" t="str">
            <v>N</v>
          </cell>
        </row>
        <row r="37">
          <cell r="I37" t="str">
            <v>MT HB PR</v>
          </cell>
          <cell r="K37" t="str">
            <v>S</v>
          </cell>
          <cell r="L37" t="str">
            <v>O</v>
          </cell>
          <cell r="M37" t="str">
            <v>N</v>
          </cell>
          <cell r="N37">
            <v>3</v>
          </cell>
        </row>
        <row r="38">
          <cell r="I38" t="str">
            <v>MT UH</v>
          </cell>
          <cell r="K38" t="str">
            <v>T</v>
          </cell>
          <cell r="L38" t="str">
            <v>O</v>
          </cell>
          <cell r="M38" t="str">
            <v>N</v>
          </cell>
          <cell r="N38">
            <v>1</v>
          </cell>
        </row>
        <row r="39">
          <cell r="I39" t="str">
            <v>MT YC PR</v>
          </cell>
          <cell r="K39" t="str">
            <v>S</v>
          </cell>
          <cell r="L39" t="str">
            <v>N</v>
          </cell>
          <cell r="M39" t="str">
            <v>N</v>
          </cell>
        </row>
        <row r="40">
          <cell r="I40" t="str">
            <v>MT QJ</v>
          </cell>
          <cell r="K40" t="str">
            <v>S</v>
          </cell>
          <cell r="L40" t="str">
            <v>N</v>
          </cell>
          <cell r="M40" t="str">
            <v>N</v>
          </cell>
        </row>
        <row r="41">
          <cell r="I41" t="str">
            <v>BLDPVDOR</v>
          </cell>
          <cell r="K41" t="str">
            <v>T</v>
          </cell>
          <cell r="L41" t="str">
            <v>O</v>
          </cell>
          <cell r="M41" t="str">
            <v>N</v>
          </cell>
          <cell r="N41">
            <v>8</v>
          </cell>
        </row>
        <row r="42">
          <cell r="I42" t="str">
            <v>MT CC PR</v>
          </cell>
          <cell r="K42" t="str">
            <v>S</v>
          </cell>
          <cell r="L42" t="str">
            <v>O</v>
          </cell>
          <cell r="M42" t="str">
            <v>N</v>
          </cell>
          <cell r="N42">
            <v>242</v>
          </cell>
        </row>
        <row r="43">
          <cell r="I43" t="str">
            <v>MT HB PR</v>
          </cell>
          <cell r="K43" t="str">
            <v>S</v>
          </cell>
          <cell r="L43" t="str">
            <v>O</v>
          </cell>
          <cell r="M43" t="str">
            <v>N</v>
          </cell>
          <cell r="N43">
            <v>12</v>
          </cell>
        </row>
        <row r="44">
          <cell r="I44" t="str">
            <v>MT UD TO</v>
          </cell>
          <cell r="K44" t="str">
            <v>T</v>
          </cell>
          <cell r="L44" t="str">
            <v>O</v>
          </cell>
          <cell r="M44" t="str">
            <v>N</v>
          </cell>
          <cell r="N44">
            <v>88</v>
          </cell>
        </row>
        <row r="45">
          <cell r="I45" t="str">
            <v>MT CG SU</v>
          </cell>
          <cell r="K45" t="str">
            <v>T</v>
          </cell>
          <cell r="L45" t="str">
            <v>N</v>
          </cell>
          <cell r="M45" t="str">
            <v>N</v>
          </cell>
        </row>
        <row r="46">
          <cell r="I46" t="str">
            <v>MT CG PR</v>
          </cell>
          <cell r="K46" t="str">
            <v>S</v>
          </cell>
          <cell r="L46" t="str">
            <v>O</v>
          </cell>
          <cell r="M46" t="str">
            <v>N</v>
          </cell>
          <cell r="N46">
            <v>11</v>
          </cell>
        </row>
        <row r="47">
          <cell r="I47" t="str">
            <v>MT CC PR</v>
          </cell>
          <cell r="K47" t="str">
            <v>T</v>
          </cell>
          <cell r="L47" t="str">
            <v>O</v>
          </cell>
          <cell r="M47" t="str">
            <v>N</v>
          </cell>
          <cell r="N47">
            <v>11</v>
          </cell>
        </row>
        <row r="48">
          <cell r="I48" t="str">
            <v>MT HB PR</v>
          </cell>
          <cell r="K48" t="str">
            <v>S</v>
          </cell>
          <cell r="L48" t="str">
            <v>N</v>
          </cell>
          <cell r="M48" t="str">
            <v>N</v>
          </cell>
        </row>
        <row r="49">
          <cell r="I49" t="str">
            <v>BLDPMMOR</v>
          </cell>
          <cell r="K49" t="str">
            <v>T</v>
          </cell>
          <cell r="L49" t="str">
            <v>N</v>
          </cell>
          <cell r="M49" t="str">
            <v>O</v>
          </cell>
        </row>
        <row r="50">
          <cell r="I50" t="str">
            <v>MT CI</v>
          </cell>
          <cell r="K50" t="str">
            <v>T</v>
          </cell>
          <cell r="L50" t="str">
            <v>N</v>
          </cell>
          <cell r="M50" t="str">
            <v>N</v>
          </cell>
        </row>
        <row r="51">
          <cell r="I51" t="str">
            <v>MT HB QU</v>
          </cell>
          <cell r="K51" t="str">
            <v>S</v>
          </cell>
          <cell r="L51" t="str">
            <v>O</v>
          </cell>
          <cell r="M51" t="str">
            <v>N</v>
          </cell>
          <cell r="N51">
            <v>10</v>
          </cell>
        </row>
        <row r="52">
          <cell r="I52" t="str">
            <v>MT YH TA</v>
          </cell>
          <cell r="K52" t="str">
            <v>S</v>
          </cell>
          <cell r="L52" t="str">
            <v>N</v>
          </cell>
          <cell r="M52" t="str">
            <v>N</v>
          </cell>
        </row>
        <row r="53">
          <cell r="I53" t="str">
            <v>MT QS MO</v>
          </cell>
          <cell r="K53" t="str">
            <v>T</v>
          </cell>
          <cell r="L53" t="str">
            <v>N</v>
          </cell>
          <cell r="M53" t="str">
            <v>O</v>
          </cell>
        </row>
        <row r="54">
          <cell r="I54" t="str">
            <v>MT CG PR</v>
          </cell>
          <cell r="K54" t="str">
            <v>S</v>
          </cell>
          <cell r="L54" t="str">
            <v>N</v>
          </cell>
          <cell r="M54" t="str">
            <v>N</v>
          </cell>
        </row>
        <row r="55">
          <cell r="I55" t="str">
            <v>MT HB QO</v>
          </cell>
          <cell r="K55" t="str">
            <v>S</v>
          </cell>
          <cell r="L55" t="str">
            <v>N</v>
          </cell>
          <cell r="M55" t="str">
            <v>N</v>
          </cell>
        </row>
        <row r="56">
          <cell r="I56" t="str">
            <v>BLDPMMOR</v>
          </cell>
          <cell r="K56" t="str">
            <v>T</v>
          </cell>
          <cell r="L56" t="str">
            <v>N</v>
          </cell>
          <cell r="M56" t="str">
            <v>N</v>
          </cell>
        </row>
        <row r="57">
          <cell r="I57" t="str">
            <v>MT HB PR</v>
          </cell>
          <cell r="K57" t="str">
            <v>S</v>
          </cell>
          <cell r="L57" t="str">
            <v>N</v>
          </cell>
          <cell r="M57" t="str">
            <v>N</v>
          </cell>
        </row>
        <row r="58">
          <cell r="I58" t="str">
            <v>MT HB PR</v>
          </cell>
          <cell r="K58" t="str">
            <v>S</v>
          </cell>
          <cell r="L58" t="str">
            <v>O</v>
          </cell>
          <cell r="M58" t="str">
            <v>N</v>
          </cell>
          <cell r="N58">
            <v>28</v>
          </cell>
        </row>
        <row r="59">
          <cell r="I59" t="str">
            <v>MT YC SU</v>
          </cell>
          <cell r="K59" t="str">
            <v>S</v>
          </cell>
          <cell r="L59" t="str">
            <v>N</v>
          </cell>
          <cell r="M59" t="str">
            <v>N</v>
          </cell>
        </row>
        <row r="60">
          <cell r="I60" t="str">
            <v>MT CG PR</v>
          </cell>
          <cell r="K60" t="str">
            <v>T</v>
          </cell>
          <cell r="L60" t="str">
            <v>O</v>
          </cell>
          <cell r="M60" t="str">
            <v>N</v>
          </cell>
          <cell r="N60">
            <v>16</v>
          </cell>
        </row>
        <row r="61">
          <cell r="I61" t="str">
            <v>MT HB PR</v>
          </cell>
          <cell r="K61" t="str">
            <v>S</v>
          </cell>
          <cell r="L61" t="str">
            <v>O</v>
          </cell>
          <cell r="M61" t="str">
            <v>N</v>
          </cell>
          <cell r="N61">
            <v>4</v>
          </cell>
        </row>
        <row r="62">
          <cell r="I62" t="str">
            <v>MT HB PR</v>
          </cell>
          <cell r="K62" t="str">
            <v>S</v>
          </cell>
          <cell r="L62" t="str">
            <v>N</v>
          </cell>
          <cell r="M62" t="str">
            <v>N</v>
          </cell>
        </row>
        <row r="63">
          <cell r="I63" t="str">
            <v>MT HB PR</v>
          </cell>
          <cell r="K63" t="str">
            <v>S</v>
          </cell>
          <cell r="L63" t="str">
            <v>N</v>
          </cell>
          <cell r="M63" t="str">
            <v>N</v>
          </cell>
        </row>
        <row r="64">
          <cell r="I64" t="str">
            <v>MT JK PR</v>
          </cell>
          <cell r="K64" t="str">
            <v>S</v>
          </cell>
          <cell r="L64" t="str">
            <v>O</v>
          </cell>
          <cell r="M64" t="str">
            <v>N</v>
          </cell>
          <cell r="N64">
            <v>8</v>
          </cell>
        </row>
        <row r="65">
          <cell r="I65" t="str">
            <v>MT LK PR</v>
          </cell>
          <cell r="K65" t="str">
            <v>S</v>
          </cell>
          <cell r="L65" t="str">
            <v>N</v>
          </cell>
          <cell r="M65" t="str">
            <v>N</v>
          </cell>
        </row>
        <row r="66">
          <cell r="I66" t="str">
            <v>MT CC PR</v>
          </cell>
          <cell r="K66" t="str">
            <v>S</v>
          </cell>
          <cell r="L66" t="str">
            <v>N</v>
          </cell>
          <cell r="M66" t="str">
            <v>N</v>
          </cell>
        </row>
        <row r="67">
          <cell r="I67" t="str">
            <v>MT CA SU</v>
          </cell>
          <cell r="K67" t="str">
            <v>T</v>
          </cell>
          <cell r="L67" t="str">
            <v>N</v>
          </cell>
          <cell r="M67" t="str">
            <v>O</v>
          </cell>
        </row>
        <row r="68">
          <cell r="I68" t="str">
            <v>MT QJ</v>
          </cell>
          <cell r="K68" t="str">
            <v>S</v>
          </cell>
          <cell r="L68" t="str">
            <v>N</v>
          </cell>
          <cell r="M68" t="str">
            <v>N</v>
          </cell>
        </row>
        <row r="69">
          <cell r="I69" t="str">
            <v>MT CG PR</v>
          </cell>
          <cell r="K69" t="str">
            <v>S</v>
          </cell>
          <cell r="L69" t="str">
            <v>N</v>
          </cell>
          <cell r="M69" t="str">
            <v>O</v>
          </cell>
        </row>
        <row r="70">
          <cell r="I70" t="str">
            <v>MT CA PR</v>
          </cell>
          <cell r="K70" t="str">
            <v>S</v>
          </cell>
          <cell r="L70" t="str">
            <v>O</v>
          </cell>
          <cell r="M70" t="str">
            <v>N</v>
          </cell>
          <cell r="N70">
            <v>8</v>
          </cell>
        </row>
        <row r="71">
          <cell r="I71" t="str">
            <v>MT HB PR</v>
          </cell>
          <cell r="K71" t="str">
            <v>S</v>
          </cell>
          <cell r="L71" t="str">
            <v>O</v>
          </cell>
          <cell r="M71" t="str">
            <v>N</v>
          </cell>
          <cell r="N71">
            <v>11</v>
          </cell>
        </row>
        <row r="72">
          <cell r="I72" t="str">
            <v>MT YH AR</v>
          </cell>
          <cell r="K72" t="str">
            <v>S</v>
          </cell>
          <cell r="L72" t="str">
            <v>N</v>
          </cell>
          <cell r="M72" t="str">
            <v>N</v>
          </cell>
        </row>
        <row r="73">
          <cell r="I73" t="str">
            <v>MT YC PR</v>
          </cell>
          <cell r="K73" t="str">
            <v>S</v>
          </cell>
          <cell r="L73" t="str">
            <v>O</v>
          </cell>
          <cell r="M73" t="str">
            <v>N</v>
          </cell>
          <cell r="N73">
            <v>64</v>
          </cell>
        </row>
        <row r="74">
          <cell r="I74" t="str">
            <v>MT YC PR</v>
          </cell>
          <cell r="K74" t="str">
            <v>S</v>
          </cell>
          <cell r="L74" t="str">
            <v>N</v>
          </cell>
          <cell r="M74" t="str">
            <v>N</v>
          </cell>
        </row>
        <row r="75">
          <cell r="I75" t="str">
            <v>MT YC PR</v>
          </cell>
          <cell r="K75" t="str">
            <v>S</v>
          </cell>
          <cell r="L75" t="str">
            <v>O</v>
          </cell>
          <cell r="M75" t="str">
            <v>N</v>
          </cell>
          <cell r="N75">
            <v>14</v>
          </cell>
        </row>
        <row r="76">
          <cell r="I76" t="str">
            <v>MT YH AR</v>
          </cell>
          <cell r="K76" t="str">
            <v>S</v>
          </cell>
          <cell r="L76" t="str">
            <v>O</v>
          </cell>
          <cell r="M76" t="str">
            <v>N</v>
          </cell>
          <cell r="N76">
            <v>8</v>
          </cell>
        </row>
        <row r="77">
          <cell r="I77" t="str">
            <v>MT HB PR</v>
          </cell>
          <cell r="K77" t="str">
            <v>S</v>
          </cell>
          <cell r="L77" t="str">
            <v>N</v>
          </cell>
          <cell r="M77" t="str">
            <v>N</v>
          </cell>
        </row>
        <row r="78">
          <cell r="I78" t="str">
            <v>BLDPMSVL</v>
          </cell>
          <cell r="K78" t="str">
            <v>S</v>
          </cell>
          <cell r="L78" t="str">
            <v>N</v>
          </cell>
          <cell r="M78" t="str">
            <v>O</v>
          </cell>
        </row>
        <row r="79">
          <cell r="I79" t="str">
            <v>MT HB PR</v>
          </cell>
          <cell r="K79" t="str">
            <v>S</v>
          </cell>
          <cell r="L79" t="str">
            <v>N</v>
          </cell>
          <cell r="M79" t="str">
            <v>N</v>
          </cell>
        </row>
        <row r="80">
          <cell r="I80" t="str">
            <v>MT CC PR</v>
          </cell>
          <cell r="K80" t="str">
            <v>S</v>
          </cell>
          <cell r="L80" t="str">
            <v>O</v>
          </cell>
          <cell r="M80" t="str">
            <v>N</v>
          </cell>
          <cell r="N80">
            <v>13</v>
          </cell>
        </row>
        <row r="81">
          <cell r="I81" t="str">
            <v>BLDPMMOR</v>
          </cell>
          <cell r="K81" t="str">
            <v>T</v>
          </cell>
          <cell r="L81" t="str">
            <v>N</v>
          </cell>
          <cell r="M81" t="str">
            <v>N</v>
          </cell>
        </row>
        <row r="82">
          <cell r="I82" t="str">
            <v>MT HB PR</v>
          </cell>
          <cell r="K82" t="str">
            <v>S</v>
          </cell>
          <cell r="L82" t="str">
            <v>N</v>
          </cell>
          <cell r="M82" t="str">
            <v>N</v>
          </cell>
        </row>
        <row r="83">
          <cell r="I83" t="str">
            <v>MT CC PR</v>
          </cell>
          <cell r="K83" t="str">
            <v>S</v>
          </cell>
          <cell r="L83" t="str">
            <v>N</v>
          </cell>
          <cell r="M83" t="str">
            <v>O</v>
          </cell>
        </row>
        <row r="84">
          <cell r="I84" t="str">
            <v>MT HB PR</v>
          </cell>
          <cell r="K84" t="str">
            <v>S</v>
          </cell>
          <cell r="L84" t="str">
            <v>N</v>
          </cell>
          <cell r="M84" t="str">
            <v>N</v>
          </cell>
        </row>
        <row r="85">
          <cell r="I85" t="str">
            <v>MT HB PR</v>
          </cell>
          <cell r="K85" t="str">
            <v>S</v>
          </cell>
          <cell r="L85" t="str">
            <v>O</v>
          </cell>
          <cell r="M85" t="str">
            <v>N</v>
          </cell>
          <cell r="N85">
            <v>4</v>
          </cell>
        </row>
        <row r="86">
          <cell r="I86" t="str">
            <v>MT CA PR</v>
          </cell>
          <cell r="K86" t="str">
            <v>S</v>
          </cell>
          <cell r="L86" t="str">
            <v>N</v>
          </cell>
          <cell r="M86" t="str">
            <v>N</v>
          </cell>
        </row>
        <row r="87">
          <cell r="I87" t="str">
            <v>MT CG PR</v>
          </cell>
          <cell r="K87" t="str">
            <v>S</v>
          </cell>
          <cell r="L87" t="str">
            <v>O</v>
          </cell>
          <cell r="M87" t="str">
            <v>N</v>
          </cell>
          <cell r="N87">
            <v>2</v>
          </cell>
        </row>
        <row r="88">
          <cell r="I88" t="str">
            <v>MT HB PR</v>
          </cell>
          <cell r="K88" t="str">
            <v>S</v>
          </cell>
          <cell r="L88" t="str">
            <v>O</v>
          </cell>
          <cell r="M88" t="str">
            <v>N</v>
          </cell>
          <cell r="N88">
            <v>27</v>
          </cell>
        </row>
        <row r="89">
          <cell r="I89" t="str">
            <v>BLDPMSLB</v>
          </cell>
          <cell r="K89" t="str">
            <v>T</v>
          </cell>
          <cell r="L89" t="str">
            <v>N</v>
          </cell>
          <cell r="M89" t="str">
            <v>O</v>
          </cell>
        </row>
        <row r="90">
          <cell r="I90" t="str">
            <v>MT HB PR</v>
          </cell>
          <cell r="K90" t="str">
            <v>S</v>
          </cell>
          <cell r="L90" t="str">
            <v>O</v>
          </cell>
          <cell r="M90" t="str">
            <v>N</v>
          </cell>
          <cell r="N90">
            <v>39</v>
          </cell>
        </row>
        <row r="91">
          <cell r="I91" t="str">
            <v>MT HB PR</v>
          </cell>
          <cell r="K91" t="str">
            <v>S</v>
          </cell>
          <cell r="L91" t="str">
            <v>N</v>
          </cell>
          <cell r="M91" t="str">
            <v>N</v>
          </cell>
        </row>
        <row r="92">
          <cell r="I92" t="str">
            <v>NCEKI</v>
          </cell>
          <cell r="K92" t="str">
            <v>S</v>
          </cell>
          <cell r="L92" t="str">
            <v>O</v>
          </cell>
          <cell r="M92" t="str">
            <v>N</v>
          </cell>
          <cell r="N92">
            <v>147</v>
          </cell>
        </row>
        <row r="93">
          <cell r="I93" t="str">
            <v>MT HB PR</v>
          </cell>
          <cell r="K93" t="str">
            <v>S</v>
          </cell>
          <cell r="L93" t="str">
            <v>O</v>
          </cell>
          <cell r="M93" t="str">
            <v>N</v>
          </cell>
          <cell r="N93">
            <v>40</v>
          </cell>
        </row>
        <row r="94">
          <cell r="I94" t="str">
            <v>MT QJ</v>
          </cell>
          <cell r="K94" t="str">
            <v>S</v>
          </cell>
          <cell r="L94" t="str">
            <v>N</v>
          </cell>
          <cell r="M94" t="str">
            <v>O</v>
          </cell>
        </row>
        <row r="95">
          <cell r="I95" t="str">
            <v>MT HB PR</v>
          </cell>
          <cell r="K95" t="str">
            <v>S</v>
          </cell>
          <cell r="L95" t="str">
            <v>O</v>
          </cell>
          <cell r="M95" t="str">
            <v>N</v>
          </cell>
          <cell r="N95">
            <v>12</v>
          </cell>
        </row>
        <row r="96">
          <cell r="I96" t="str">
            <v>MT HB PR</v>
          </cell>
          <cell r="K96" t="str">
            <v>S</v>
          </cell>
          <cell r="L96" t="str">
            <v>N</v>
          </cell>
          <cell r="M96" t="str">
            <v>N</v>
          </cell>
        </row>
        <row r="97">
          <cell r="I97" t="str">
            <v>MT CG PW</v>
          </cell>
          <cell r="K97" t="str">
            <v>S</v>
          </cell>
          <cell r="L97" t="str">
            <v>N</v>
          </cell>
          <cell r="M97" t="str">
            <v>N</v>
          </cell>
        </row>
        <row r="98">
          <cell r="I98" t="str">
            <v>MT CA PR</v>
          </cell>
          <cell r="K98" t="str">
            <v>S</v>
          </cell>
          <cell r="L98" t="str">
            <v>O</v>
          </cell>
          <cell r="M98" t="str">
            <v>N</v>
          </cell>
          <cell r="N98">
            <v>13</v>
          </cell>
        </row>
        <row r="99">
          <cell r="I99" t="str">
            <v>NCEKI</v>
          </cell>
          <cell r="K99" t="str">
            <v>T</v>
          </cell>
          <cell r="L99" t="str">
            <v>N</v>
          </cell>
          <cell r="M99" t="str">
            <v>N</v>
          </cell>
        </row>
        <row r="100">
          <cell r="I100" t="str">
            <v>MT QP</v>
          </cell>
          <cell r="K100" t="str">
            <v>S</v>
          </cell>
          <cell r="L100" t="str">
            <v>N</v>
          </cell>
          <cell r="M100" t="str">
            <v>N</v>
          </cell>
        </row>
        <row r="101">
          <cell r="I101" t="str">
            <v>MT HB PR</v>
          </cell>
          <cell r="K101" t="str">
            <v>S</v>
          </cell>
          <cell r="L101" t="str">
            <v>O</v>
          </cell>
          <cell r="M101" t="str">
            <v>N</v>
          </cell>
          <cell r="N101">
            <v>4</v>
          </cell>
        </row>
        <row r="102">
          <cell r="I102" t="str">
            <v>MT CC PR</v>
          </cell>
          <cell r="K102" t="str">
            <v>T</v>
          </cell>
          <cell r="L102" t="str">
            <v>N</v>
          </cell>
          <cell r="M102" t="str">
            <v>N</v>
          </cell>
        </row>
        <row r="103">
          <cell r="I103" t="str">
            <v>MT UH</v>
          </cell>
          <cell r="K103" t="str">
            <v>T</v>
          </cell>
          <cell r="L103" t="str">
            <v>O</v>
          </cell>
          <cell r="M103" t="str">
            <v>N</v>
          </cell>
          <cell r="N103">
            <v>5</v>
          </cell>
        </row>
        <row r="104">
          <cell r="I104" t="str">
            <v>MT CA PR</v>
          </cell>
          <cell r="K104" t="str">
            <v>S</v>
          </cell>
          <cell r="L104" t="str">
            <v>N</v>
          </cell>
          <cell r="M104" t="str">
            <v>N</v>
          </cell>
        </row>
        <row r="105">
          <cell r="I105" t="str">
            <v>MT YC PR</v>
          </cell>
          <cell r="K105" t="str">
            <v>S</v>
          </cell>
          <cell r="L105" t="str">
            <v>O</v>
          </cell>
          <cell r="M105" t="str">
            <v>N</v>
          </cell>
          <cell r="N105">
            <v>1</v>
          </cell>
        </row>
        <row r="106">
          <cell r="I106" t="str">
            <v>MT CC PR</v>
          </cell>
          <cell r="K106" t="str">
            <v>S</v>
          </cell>
          <cell r="L106" t="str">
            <v>O</v>
          </cell>
          <cell r="M106" t="str">
            <v>N</v>
          </cell>
          <cell r="N106">
            <v>9</v>
          </cell>
        </row>
        <row r="107">
          <cell r="I107" t="str">
            <v>MT CC PR</v>
          </cell>
          <cell r="K107" t="str">
            <v>S</v>
          </cell>
          <cell r="L107" t="str">
            <v>N</v>
          </cell>
          <cell r="M107" t="str">
            <v>O</v>
          </cell>
        </row>
        <row r="108">
          <cell r="I108" t="str">
            <v>MT CA PR</v>
          </cell>
          <cell r="K108" t="str">
            <v>S</v>
          </cell>
          <cell r="L108" t="str">
            <v>N</v>
          </cell>
          <cell r="M108" t="str">
            <v>N</v>
          </cell>
        </row>
        <row r="109">
          <cell r="I109" t="str">
            <v>BLDPMSCL</v>
          </cell>
          <cell r="K109" t="str">
            <v>T</v>
          </cell>
          <cell r="L109" t="str">
            <v>N</v>
          </cell>
          <cell r="M109" t="str">
            <v>O</v>
          </cell>
        </row>
        <row r="110">
          <cell r="I110" t="str">
            <v>MT CA PR</v>
          </cell>
          <cell r="K110" t="str">
            <v>S</v>
          </cell>
          <cell r="L110" t="str">
            <v>N</v>
          </cell>
          <cell r="M110" t="str">
            <v>N</v>
          </cell>
        </row>
        <row r="111">
          <cell r="I111" t="str">
            <v>MT HB PR</v>
          </cell>
          <cell r="K111" t="str">
            <v>S</v>
          </cell>
          <cell r="L111" t="str">
            <v>O</v>
          </cell>
          <cell r="M111" t="str">
            <v>N</v>
          </cell>
          <cell r="N111">
            <v>19</v>
          </cell>
        </row>
        <row r="112">
          <cell r="I112" t="str">
            <v>MT HB PR</v>
          </cell>
          <cell r="K112" t="str">
            <v>S</v>
          </cell>
          <cell r="L112" t="str">
            <v>O</v>
          </cell>
          <cell r="M112" t="str">
            <v>N</v>
          </cell>
          <cell r="N112">
            <v>8</v>
          </cell>
        </row>
        <row r="113">
          <cell r="I113" t="str">
            <v>MT QJ</v>
          </cell>
          <cell r="K113" t="str">
            <v>S</v>
          </cell>
          <cell r="L113" t="str">
            <v>N</v>
          </cell>
          <cell r="M113" t="str">
            <v>N</v>
          </cell>
        </row>
        <row r="114">
          <cell r="I114" t="str">
            <v>MT CA PR</v>
          </cell>
          <cell r="K114" t="str">
            <v>S</v>
          </cell>
          <cell r="L114" t="str">
            <v>N</v>
          </cell>
          <cell r="M114" t="str">
            <v>N</v>
          </cell>
        </row>
        <row r="115">
          <cell r="I115" t="str">
            <v>MT CC PR</v>
          </cell>
          <cell r="K115" t="str">
            <v>S</v>
          </cell>
          <cell r="L115" t="str">
            <v>N</v>
          </cell>
          <cell r="M115" t="str">
            <v>N</v>
          </cell>
        </row>
        <row r="116">
          <cell r="I116" t="str">
            <v>MT HB PR</v>
          </cell>
          <cell r="K116" t="str">
            <v>T</v>
          </cell>
          <cell r="L116" t="str">
            <v>O</v>
          </cell>
          <cell r="M116" t="str">
            <v>N</v>
          </cell>
          <cell r="N116">
            <v>7</v>
          </cell>
        </row>
        <row r="117">
          <cell r="I117" t="str">
            <v>MT HB PR</v>
          </cell>
          <cell r="K117" t="str">
            <v>S</v>
          </cell>
          <cell r="L117" t="str">
            <v>O</v>
          </cell>
          <cell r="M117" t="str">
            <v>N</v>
          </cell>
          <cell r="N117">
            <v>31</v>
          </cell>
        </row>
        <row r="118">
          <cell r="I118" t="str">
            <v>BLDPCORY</v>
          </cell>
          <cell r="K118" t="str">
            <v>T</v>
          </cell>
          <cell r="L118" t="str">
            <v>O</v>
          </cell>
          <cell r="M118" t="str">
            <v>N</v>
          </cell>
          <cell r="N118">
            <v>5</v>
          </cell>
        </row>
        <row r="119">
          <cell r="I119" t="str">
            <v>MT CA PR</v>
          </cell>
          <cell r="K119" t="str">
            <v>T</v>
          </cell>
          <cell r="L119" t="str">
            <v>N</v>
          </cell>
          <cell r="M119" t="str">
            <v>N</v>
          </cell>
        </row>
        <row r="120">
          <cell r="I120" t="str">
            <v>MT HB QO</v>
          </cell>
          <cell r="K120" t="str">
            <v>S</v>
          </cell>
          <cell r="L120" t="str">
            <v>N</v>
          </cell>
          <cell r="M120" t="str">
            <v>N</v>
          </cell>
        </row>
        <row r="121">
          <cell r="I121" t="str">
            <v>MT CA PR</v>
          </cell>
          <cell r="K121" t="str">
            <v>S</v>
          </cell>
          <cell r="L121" t="str">
            <v>N</v>
          </cell>
          <cell r="M121" t="str">
            <v>N</v>
          </cell>
        </row>
        <row r="122">
          <cell r="I122" t="str">
            <v>MT CC PR</v>
          </cell>
          <cell r="K122" t="str">
            <v>S</v>
          </cell>
          <cell r="L122" t="str">
            <v>O</v>
          </cell>
          <cell r="M122" t="str">
            <v>N</v>
          </cell>
          <cell r="N122">
            <v>9</v>
          </cell>
        </row>
        <row r="123">
          <cell r="I123" t="str">
            <v>MT YC PR</v>
          </cell>
          <cell r="K123" t="str">
            <v>S</v>
          </cell>
          <cell r="L123" t="str">
            <v>O</v>
          </cell>
          <cell r="M123" t="str">
            <v>N</v>
          </cell>
          <cell r="N123">
            <v>20</v>
          </cell>
        </row>
        <row r="124">
          <cell r="I124" t="str">
            <v>MT CG PW</v>
          </cell>
          <cell r="K124" t="str">
            <v>S</v>
          </cell>
          <cell r="L124" t="str">
            <v>N</v>
          </cell>
          <cell r="M124" t="str">
            <v>N</v>
          </cell>
        </row>
        <row r="125">
          <cell r="I125" t="str">
            <v>MT HB PR</v>
          </cell>
          <cell r="K125" t="str">
            <v>S</v>
          </cell>
          <cell r="L125" t="str">
            <v>N</v>
          </cell>
          <cell r="M125" t="str">
            <v>N</v>
          </cell>
        </row>
        <row r="126">
          <cell r="I126" t="str">
            <v>MT QJ</v>
          </cell>
          <cell r="K126" t="str">
            <v>T</v>
          </cell>
          <cell r="L126" t="str">
            <v>N</v>
          </cell>
          <cell r="M126" t="str">
            <v>N</v>
          </cell>
        </row>
        <row r="127">
          <cell r="I127" t="str">
            <v>MT CC PR</v>
          </cell>
          <cell r="K127" t="str">
            <v>S</v>
          </cell>
          <cell r="L127" t="str">
            <v>N</v>
          </cell>
          <cell r="M127" t="str">
            <v>N</v>
          </cell>
        </row>
        <row r="128">
          <cell r="I128" t="str">
            <v>MT CA PR</v>
          </cell>
          <cell r="K128" t="str">
            <v>S</v>
          </cell>
          <cell r="L128" t="str">
            <v>O</v>
          </cell>
          <cell r="M128" t="str">
            <v>N</v>
          </cell>
          <cell r="N128">
            <v>15</v>
          </cell>
        </row>
        <row r="129">
          <cell r="I129" t="str">
            <v>BLDPTDTL</v>
          </cell>
          <cell r="K129" t="str">
            <v>S</v>
          </cell>
          <cell r="L129" t="str">
            <v>N</v>
          </cell>
          <cell r="M129" t="str">
            <v>O</v>
          </cell>
        </row>
        <row r="130">
          <cell r="I130" t="str">
            <v>MT CA SU</v>
          </cell>
          <cell r="K130" t="str">
            <v>S</v>
          </cell>
          <cell r="L130" t="str">
            <v>N</v>
          </cell>
          <cell r="M130" t="str">
            <v>N</v>
          </cell>
        </row>
        <row r="131">
          <cell r="I131" t="str">
            <v>MT CG PR</v>
          </cell>
          <cell r="K131" t="str">
            <v>S</v>
          </cell>
          <cell r="L131" t="str">
            <v>O</v>
          </cell>
          <cell r="M131" t="str">
            <v>N</v>
          </cell>
          <cell r="N131">
            <v>6</v>
          </cell>
        </row>
        <row r="132">
          <cell r="I132" t="str">
            <v>MT QS UG</v>
          </cell>
          <cell r="K132" t="str">
            <v>S</v>
          </cell>
          <cell r="L132" t="str">
            <v>O</v>
          </cell>
          <cell r="M132" t="str">
            <v>N</v>
          </cell>
          <cell r="N132">
            <v>0</v>
          </cell>
        </row>
        <row r="133">
          <cell r="I133" t="str">
            <v>MT CA PR</v>
          </cell>
          <cell r="K133" t="str">
            <v>S</v>
          </cell>
          <cell r="L133" t="str">
            <v>N</v>
          </cell>
          <cell r="M133" t="str">
            <v>N</v>
          </cell>
        </row>
        <row r="134">
          <cell r="I134" t="str">
            <v>MT YH TA</v>
          </cell>
          <cell r="K134" t="str">
            <v>S</v>
          </cell>
          <cell r="L134" t="str">
            <v>O</v>
          </cell>
          <cell r="M134" t="str">
            <v>N</v>
          </cell>
          <cell r="N134">
            <v>124</v>
          </cell>
        </row>
        <row r="135">
          <cell r="I135" t="str">
            <v>BLDPVDOR</v>
          </cell>
          <cell r="K135" t="str">
            <v>T</v>
          </cell>
          <cell r="L135" t="str">
            <v>O</v>
          </cell>
          <cell r="M135" t="str">
            <v>N</v>
          </cell>
          <cell r="N135">
            <v>5</v>
          </cell>
        </row>
        <row r="136">
          <cell r="I136" t="str">
            <v>MT CC PR</v>
          </cell>
          <cell r="K136" t="str">
            <v>S</v>
          </cell>
          <cell r="L136" t="str">
            <v>N</v>
          </cell>
          <cell r="M136" t="str">
            <v>N</v>
          </cell>
        </row>
        <row r="137">
          <cell r="I137" t="str">
            <v>MT CC PR</v>
          </cell>
          <cell r="K137" t="str">
            <v>S</v>
          </cell>
          <cell r="L137" t="str">
            <v>N</v>
          </cell>
          <cell r="M137" t="str">
            <v>N</v>
          </cell>
        </row>
        <row r="138">
          <cell r="I138" t="str">
            <v>MT HB PR</v>
          </cell>
          <cell r="K138" t="str">
            <v>S</v>
          </cell>
          <cell r="L138" t="str">
            <v>N</v>
          </cell>
          <cell r="M138" t="str">
            <v>N</v>
          </cell>
        </row>
        <row r="139">
          <cell r="I139" t="str">
            <v>MT QJ</v>
          </cell>
          <cell r="K139" t="str">
            <v>S</v>
          </cell>
          <cell r="L139" t="str">
            <v>O</v>
          </cell>
          <cell r="M139" t="str">
            <v>N</v>
          </cell>
          <cell r="N139">
            <v>9</v>
          </cell>
        </row>
        <row r="140">
          <cell r="I140" t="str">
            <v>MT HB PR</v>
          </cell>
          <cell r="K140" t="str">
            <v>T</v>
          </cell>
          <cell r="L140" t="str">
            <v>O</v>
          </cell>
          <cell r="M140" t="str">
            <v>N</v>
          </cell>
          <cell r="N140">
            <v>5</v>
          </cell>
        </row>
        <row r="141">
          <cell r="I141" t="str">
            <v>MT CA PR</v>
          </cell>
          <cell r="K141" t="str">
            <v>S</v>
          </cell>
          <cell r="L141" t="str">
            <v>N</v>
          </cell>
          <cell r="M141" t="str">
            <v>N</v>
          </cell>
        </row>
        <row r="142">
          <cell r="I142" t="str">
            <v>MT CG PR</v>
          </cell>
          <cell r="K142" t="str">
            <v>S</v>
          </cell>
          <cell r="L142" t="str">
            <v>O</v>
          </cell>
          <cell r="M142" t="str">
            <v>N</v>
          </cell>
          <cell r="N142">
            <v>13</v>
          </cell>
        </row>
        <row r="143">
          <cell r="I143" t="str">
            <v>MT CC PR</v>
          </cell>
          <cell r="K143" t="str">
            <v>S</v>
          </cell>
          <cell r="L143" t="str">
            <v>N</v>
          </cell>
          <cell r="M143" t="str">
            <v>N</v>
          </cell>
        </row>
        <row r="144">
          <cell r="I144" t="str">
            <v>MT YC PR</v>
          </cell>
          <cell r="K144" t="str">
            <v>S</v>
          </cell>
          <cell r="L144" t="str">
            <v>N</v>
          </cell>
          <cell r="M144" t="str">
            <v>N</v>
          </cell>
        </row>
        <row r="145">
          <cell r="I145" t="str">
            <v>BLDPVDOR</v>
          </cell>
          <cell r="K145" t="str">
            <v>T</v>
          </cell>
          <cell r="L145" t="str">
            <v>N</v>
          </cell>
          <cell r="M145" t="str">
            <v>N</v>
          </cell>
        </row>
        <row r="146">
          <cell r="I146" t="str">
            <v>MT CA PR</v>
          </cell>
          <cell r="K146" t="str">
            <v>S</v>
          </cell>
          <cell r="L146" t="str">
            <v>O</v>
          </cell>
          <cell r="M146" t="str">
            <v>N</v>
          </cell>
          <cell r="N146">
            <v>14</v>
          </cell>
        </row>
        <row r="147">
          <cell r="I147" t="str">
            <v>MT CG PR</v>
          </cell>
          <cell r="K147" t="str">
            <v>S</v>
          </cell>
          <cell r="L147" t="str">
            <v>N</v>
          </cell>
          <cell r="M147" t="str">
            <v>N</v>
          </cell>
        </row>
        <row r="148">
          <cell r="I148" t="str">
            <v>MT HB PR</v>
          </cell>
          <cell r="K148" t="str">
            <v>S</v>
          </cell>
          <cell r="L148" t="str">
            <v>N</v>
          </cell>
          <cell r="M148" t="str">
            <v>N</v>
          </cell>
        </row>
        <row r="149">
          <cell r="I149" t="str">
            <v>MT QJ</v>
          </cell>
          <cell r="K149" t="str">
            <v>S</v>
          </cell>
          <cell r="L149" t="str">
            <v>N</v>
          </cell>
          <cell r="M149" t="str">
            <v>N</v>
          </cell>
        </row>
        <row r="150">
          <cell r="I150" t="str">
            <v>MT HB QU</v>
          </cell>
          <cell r="K150" t="str">
            <v>S</v>
          </cell>
          <cell r="L150" t="str">
            <v>N</v>
          </cell>
          <cell r="M150" t="str">
            <v>N</v>
          </cell>
        </row>
        <row r="151">
          <cell r="I151" t="str">
            <v>MT FB PR</v>
          </cell>
          <cell r="K151" t="str">
            <v>S</v>
          </cell>
          <cell r="L151" t="str">
            <v>N</v>
          </cell>
          <cell r="M151" t="str">
            <v>N</v>
          </cell>
          <cell r="N151">
            <v>0</v>
          </cell>
        </row>
        <row r="152">
          <cell r="I152" t="str">
            <v>MT YC PR</v>
          </cell>
          <cell r="K152" t="str">
            <v>S</v>
          </cell>
          <cell r="L152" t="str">
            <v>O</v>
          </cell>
          <cell r="M152" t="str">
            <v>N</v>
          </cell>
          <cell r="N152">
            <v>9</v>
          </cell>
        </row>
        <row r="153">
          <cell r="I153" t="str">
            <v>MT HB PR</v>
          </cell>
          <cell r="K153" t="str">
            <v>S</v>
          </cell>
          <cell r="L153" t="str">
            <v>O</v>
          </cell>
          <cell r="M153" t="str">
            <v>N</v>
          </cell>
          <cell r="N153">
            <v>5</v>
          </cell>
        </row>
        <row r="154">
          <cell r="I154" t="str">
            <v>MT HB PR</v>
          </cell>
          <cell r="K154" t="str">
            <v>S</v>
          </cell>
          <cell r="L154" t="str">
            <v>N</v>
          </cell>
          <cell r="M154" t="str">
            <v>N</v>
          </cell>
        </row>
        <row r="155">
          <cell r="I155" t="str">
            <v>MT YH TA</v>
          </cell>
          <cell r="K155" t="str">
            <v>S</v>
          </cell>
          <cell r="L155" t="str">
            <v>O</v>
          </cell>
          <cell r="M155" t="str">
            <v>N</v>
          </cell>
          <cell r="N155">
            <v>1</v>
          </cell>
        </row>
        <row r="156">
          <cell r="I156" t="str">
            <v>MTICSC</v>
          </cell>
          <cell r="K156" t="str">
            <v>S</v>
          </cell>
          <cell r="L156" t="str">
            <v>N</v>
          </cell>
          <cell r="M156" t="str">
            <v>N</v>
          </cell>
        </row>
        <row r="157">
          <cell r="I157" t="str">
            <v>MTME</v>
          </cell>
          <cell r="K157" t="str">
            <v>T</v>
          </cell>
          <cell r="L157" t="str">
            <v>N</v>
          </cell>
          <cell r="M157" t="str">
            <v>N</v>
          </cell>
        </row>
        <row r="158">
          <cell r="I158" t="str">
            <v>MT HB PR</v>
          </cell>
          <cell r="K158" t="str">
            <v>S</v>
          </cell>
          <cell r="L158" t="str">
            <v>N</v>
          </cell>
          <cell r="M158" t="str">
            <v>N</v>
          </cell>
        </row>
        <row r="159">
          <cell r="I159" t="str">
            <v>MT HB PR</v>
          </cell>
          <cell r="K159" t="str">
            <v>S</v>
          </cell>
          <cell r="L159" t="str">
            <v>N</v>
          </cell>
          <cell r="M159" t="str">
            <v>N</v>
          </cell>
        </row>
        <row r="160">
          <cell r="I160" t="str">
            <v>MT HB PR</v>
          </cell>
          <cell r="K160" t="str">
            <v>S</v>
          </cell>
          <cell r="L160" t="str">
            <v>N</v>
          </cell>
          <cell r="M160" t="str">
            <v>N</v>
          </cell>
        </row>
        <row r="161">
          <cell r="I161" t="str">
            <v>MTQXRH</v>
          </cell>
          <cell r="K161" t="str">
            <v>S</v>
          </cell>
          <cell r="L161" t="str">
            <v>O</v>
          </cell>
          <cell r="M161" t="str">
            <v>N</v>
          </cell>
          <cell r="N161">
            <v>25</v>
          </cell>
        </row>
        <row r="162">
          <cell r="I162" t="str">
            <v>MT CG PR</v>
          </cell>
          <cell r="K162" t="str">
            <v>S</v>
          </cell>
          <cell r="L162" t="str">
            <v>N</v>
          </cell>
          <cell r="M162" t="str">
            <v>N</v>
          </cell>
        </row>
        <row r="163">
          <cell r="I163" t="str">
            <v>MT CA PR</v>
          </cell>
          <cell r="K163" t="str">
            <v>S</v>
          </cell>
          <cell r="L163" t="str">
            <v>O</v>
          </cell>
          <cell r="M163" t="str">
            <v>N</v>
          </cell>
          <cell r="N163">
            <v>14</v>
          </cell>
        </row>
        <row r="164">
          <cell r="I164" t="str">
            <v>MT HB PR</v>
          </cell>
          <cell r="K164" t="str">
            <v>S</v>
          </cell>
          <cell r="L164" t="str">
            <v>O</v>
          </cell>
          <cell r="M164" t="str">
            <v>N</v>
          </cell>
          <cell r="N164">
            <v>24</v>
          </cell>
        </row>
        <row r="165">
          <cell r="I165" t="str">
            <v>MT CG PR</v>
          </cell>
          <cell r="K165" t="str">
            <v>S</v>
          </cell>
          <cell r="L165" t="str">
            <v>N</v>
          </cell>
          <cell r="M165" t="str">
            <v>N</v>
          </cell>
        </row>
        <row r="166">
          <cell r="I166" t="str">
            <v>MT HB PR</v>
          </cell>
          <cell r="K166" t="str">
            <v>S</v>
          </cell>
          <cell r="L166" t="str">
            <v>O</v>
          </cell>
          <cell r="M166" t="str">
            <v>N</v>
          </cell>
          <cell r="N166">
            <v>7</v>
          </cell>
        </row>
        <row r="167">
          <cell r="I167" t="str">
            <v>MT CA PR</v>
          </cell>
          <cell r="K167" t="str">
            <v>S</v>
          </cell>
          <cell r="L167" t="str">
            <v>N</v>
          </cell>
          <cell r="M167" t="str">
            <v>N</v>
          </cell>
        </row>
        <row r="168">
          <cell r="I168" t="str">
            <v>BLDPMSRY</v>
          </cell>
          <cell r="K168" t="str">
            <v>T</v>
          </cell>
          <cell r="L168" t="str">
            <v>N</v>
          </cell>
          <cell r="M168" t="str">
            <v>N</v>
          </cell>
        </row>
        <row r="169">
          <cell r="I169" t="str">
            <v>BLDPUDRY</v>
          </cell>
          <cell r="K169" t="str">
            <v>S</v>
          </cell>
          <cell r="L169" t="str">
            <v>O</v>
          </cell>
          <cell r="M169" t="str">
            <v>N</v>
          </cell>
          <cell r="N169">
            <v>8</v>
          </cell>
        </row>
        <row r="170">
          <cell r="I170" t="str">
            <v>MTUDQH</v>
          </cell>
          <cell r="K170" t="str">
            <v>T</v>
          </cell>
          <cell r="L170" t="str">
            <v>N</v>
          </cell>
          <cell r="M170" t="str">
            <v>N</v>
          </cell>
        </row>
        <row r="171">
          <cell r="I171" t="str">
            <v>BLDPCOOR</v>
          </cell>
          <cell r="K171" t="str">
            <v>T</v>
          </cell>
          <cell r="L171" t="str">
            <v>N</v>
          </cell>
          <cell r="M171" t="str">
            <v>O</v>
          </cell>
        </row>
        <row r="172">
          <cell r="I172" t="str">
            <v>NCEKI</v>
          </cell>
          <cell r="K172" t="str">
            <v>S</v>
          </cell>
          <cell r="L172" t="str">
            <v>N</v>
          </cell>
          <cell r="M172" t="str">
            <v>N</v>
          </cell>
        </row>
        <row r="173">
          <cell r="I173" t="str">
            <v>MT HB PR</v>
          </cell>
          <cell r="K173" t="str">
            <v>S</v>
          </cell>
          <cell r="L173" t="str">
            <v>O</v>
          </cell>
          <cell r="M173" t="str">
            <v>N</v>
          </cell>
          <cell r="N173">
            <v>29</v>
          </cell>
        </row>
        <row r="174">
          <cell r="I174" t="str">
            <v>MTICSC</v>
          </cell>
          <cell r="K174" t="str">
            <v>S</v>
          </cell>
          <cell r="L174" t="str">
            <v>N</v>
          </cell>
          <cell r="M174" t="str">
            <v>N</v>
          </cell>
        </row>
        <row r="175">
          <cell r="I175" t="str">
            <v>BLDPMMOR</v>
          </cell>
          <cell r="K175" t="str">
            <v>S</v>
          </cell>
          <cell r="L175" t="str">
            <v>O</v>
          </cell>
          <cell r="M175" t="str">
            <v>N</v>
          </cell>
          <cell r="N175">
            <v>9</v>
          </cell>
        </row>
        <row r="176">
          <cell r="I176" t="str">
            <v>MT CG PR</v>
          </cell>
          <cell r="K176" t="str">
            <v>S</v>
          </cell>
          <cell r="L176" t="str">
            <v>N</v>
          </cell>
          <cell r="M176" t="str">
            <v>N</v>
          </cell>
        </row>
        <row r="177">
          <cell r="I177" t="str">
            <v>MT CG PR</v>
          </cell>
          <cell r="K177" t="str">
            <v>S</v>
          </cell>
          <cell r="L177" t="str">
            <v>N</v>
          </cell>
          <cell r="M177" t="str">
            <v>N</v>
          </cell>
        </row>
        <row r="178">
          <cell r="I178" t="str">
            <v>BLDPMSVL</v>
          </cell>
          <cell r="K178" t="str">
            <v>S</v>
          </cell>
          <cell r="L178" t="str">
            <v>N</v>
          </cell>
          <cell r="M178" t="str">
            <v>N</v>
          </cell>
        </row>
        <row r="179">
          <cell r="I179" t="str">
            <v>MT HB SA</v>
          </cell>
          <cell r="K179" t="str">
            <v>S</v>
          </cell>
          <cell r="L179" t="str">
            <v>O</v>
          </cell>
          <cell r="M179" t="str">
            <v>N</v>
          </cell>
          <cell r="N179">
            <v>37</v>
          </cell>
        </row>
        <row r="180">
          <cell r="I180" t="str">
            <v>BLDPMSVL</v>
          </cell>
          <cell r="K180" t="str">
            <v>S</v>
          </cell>
          <cell r="L180" t="str">
            <v>N</v>
          </cell>
          <cell r="M180" t="str">
            <v>N</v>
          </cell>
        </row>
        <row r="181">
          <cell r="I181" t="str">
            <v>MT JK PR</v>
          </cell>
          <cell r="K181" t="str">
            <v>S</v>
          </cell>
          <cell r="L181" t="str">
            <v>O</v>
          </cell>
          <cell r="M181" t="str">
            <v>N</v>
          </cell>
          <cell r="N181">
            <v>8</v>
          </cell>
        </row>
        <row r="182">
          <cell r="I182" t="str">
            <v>MT HB QO</v>
          </cell>
          <cell r="K182" t="str">
            <v>S</v>
          </cell>
          <cell r="L182" t="str">
            <v>O</v>
          </cell>
          <cell r="M182" t="str">
            <v>N</v>
          </cell>
          <cell r="N182">
            <v>11</v>
          </cell>
        </row>
        <row r="183">
          <cell r="I183" t="str">
            <v>MT HB PR</v>
          </cell>
          <cell r="K183" t="str">
            <v>S</v>
          </cell>
          <cell r="L183" t="str">
            <v>O</v>
          </cell>
          <cell r="M183" t="str">
            <v>N</v>
          </cell>
          <cell r="N183">
            <v>64</v>
          </cell>
        </row>
        <row r="184">
          <cell r="I184" t="str">
            <v>MT QJ</v>
          </cell>
          <cell r="K184" t="str">
            <v>S</v>
          </cell>
          <cell r="L184" t="str">
            <v>N</v>
          </cell>
          <cell r="M184" t="str">
            <v>N</v>
          </cell>
        </row>
        <row r="185">
          <cell r="I185" t="str">
            <v>MT YH TA</v>
          </cell>
          <cell r="K185" t="str">
            <v>S</v>
          </cell>
          <cell r="L185" t="str">
            <v>N</v>
          </cell>
          <cell r="M185" t="str">
            <v>N</v>
          </cell>
        </row>
        <row r="186">
          <cell r="I186" t="str">
            <v>MT YC PR</v>
          </cell>
          <cell r="K186" t="str">
            <v>T</v>
          </cell>
          <cell r="L186" t="str">
            <v>N</v>
          </cell>
          <cell r="M186" t="str">
            <v>N</v>
          </cell>
        </row>
        <row r="187">
          <cell r="I187" t="str">
            <v>MT CA PR</v>
          </cell>
          <cell r="K187" t="str">
            <v>S</v>
          </cell>
          <cell r="L187" t="str">
            <v>N</v>
          </cell>
          <cell r="M187" t="str">
            <v>N</v>
          </cell>
        </row>
        <row r="188">
          <cell r="I188" t="str">
            <v>MT HB PR</v>
          </cell>
          <cell r="K188" t="str">
            <v>S</v>
          </cell>
          <cell r="L188" t="str">
            <v>O</v>
          </cell>
          <cell r="M188" t="str">
            <v>N</v>
          </cell>
          <cell r="N188">
            <v>6</v>
          </cell>
        </row>
        <row r="189">
          <cell r="I189" t="str">
            <v>MT YC PR</v>
          </cell>
          <cell r="K189" t="str">
            <v>S</v>
          </cell>
          <cell r="L189" t="str">
            <v>O</v>
          </cell>
          <cell r="M189" t="str">
            <v>N</v>
          </cell>
          <cell r="N189">
            <v>46</v>
          </cell>
        </row>
        <row r="190">
          <cell r="I190" t="str">
            <v>MT CG PW</v>
          </cell>
          <cell r="K190" t="str">
            <v>S</v>
          </cell>
          <cell r="L190" t="str">
            <v>O</v>
          </cell>
          <cell r="M190" t="str">
            <v>N</v>
          </cell>
          <cell r="N190">
            <v>7</v>
          </cell>
        </row>
        <row r="191">
          <cell r="I191" t="str">
            <v>MT QJ</v>
          </cell>
          <cell r="K191" t="str">
            <v>S</v>
          </cell>
          <cell r="L191" t="str">
            <v>N</v>
          </cell>
          <cell r="M191" t="str">
            <v>N</v>
          </cell>
        </row>
        <row r="192">
          <cell r="I192" t="str">
            <v>MT HB PR</v>
          </cell>
          <cell r="K192" t="str">
            <v>S</v>
          </cell>
          <cell r="L192" t="str">
            <v>N</v>
          </cell>
          <cell r="M192" t="str">
            <v>N</v>
          </cell>
        </row>
        <row r="193">
          <cell r="I193" t="str">
            <v>MT CG PR</v>
          </cell>
          <cell r="K193" t="str">
            <v>S</v>
          </cell>
          <cell r="L193" t="str">
            <v>N</v>
          </cell>
          <cell r="M193" t="str">
            <v>N</v>
          </cell>
        </row>
        <row r="194">
          <cell r="I194" t="str">
            <v>MT CC PR</v>
          </cell>
          <cell r="K194" t="str">
            <v>T</v>
          </cell>
          <cell r="L194" t="str">
            <v>O</v>
          </cell>
          <cell r="M194" t="str">
            <v>N</v>
          </cell>
          <cell r="N194">
            <v>48</v>
          </cell>
        </row>
        <row r="195">
          <cell r="I195" t="str">
            <v>MT CC PR</v>
          </cell>
          <cell r="K195" t="str">
            <v>S</v>
          </cell>
          <cell r="L195" t="str">
            <v>O</v>
          </cell>
          <cell r="M195" t="str">
            <v>N</v>
          </cell>
          <cell r="N195">
            <v>12</v>
          </cell>
        </row>
        <row r="196">
          <cell r="I196" t="str">
            <v>MT HB PR</v>
          </cell>
          <cell r="K196" t="str">
            <v>S</v>
          </cell>
          <cell r="L196" t="str">
            <v>O</v>
          </cell>
          <cell r="M196" t="str">
            <v>N</v>
          </cell>
          <cell r="N196">
            <v>21</v>
          </cell>
        </row>
        <row r="197">
          <cell r="I197" t="str">
            <v>MT HB PR</v>
          </cell>
          <cell r="K197" t="str">
            <v>S</v>
          </cell>
          <cell r="L197" t="str">
            <v>N</v>
          </cell>
          <cell r="M197" t="str">
            <v>N</v>
          </cell>
        </row>
        <row r="198">
          <cell r="I198" t="str">
            <v>BLDPMSCL</v>
          </cell>
          <cell r="K198" t="str">
            <v>S</v>
          </cell>
          <cell r="L198" t="str">
            <v>O</v>
          </cell>
          <cell r="M198" t="str">
            <v>N</v>
          </cell>
          <cell r="N198">
            <v>1</v>
          </cell>
        </row>
        <row r="199">
          <cell r="I199" t="str">
            <v>MT CA PR</v>
          </cell>
          <cell r="K199" t="str">
            <v>S</v>
          </cell>
          <cell r="L199" t="str">
            <v>N</v>
          </cell>
          <cell r="M199" t="str">
            <v>N</v>
          </cell>
        </row>
        <row r="200">
          <cell r="I200" t="str">
            <v>NCEKI</v>
          </cell>
          <cell r="K200" t="str">
            <v>T</v>
          </cell>
          <cell r="L200" t="str">
            <v>O</v>
          </cell>
          <cell r="M200" t="str">
            <v>N</v>
          </cell>
          <cell r="N200">
            <v>38</v>
          </cell>
        </row>
        <row r="201">
          <cell r="I201" t="str">
            <v>MT HB QO</v>
          </cell>
          <cell r="K201" t="str">
            <v>S</v>
          </cell>
          <cell r="L201" t="str">
            <v>O</v>
          </cell>
          <cell r="M201" t="str">
            <v>N</v>
          </cell>
          <cell r="N201">
            <v>22</v>
          </cell>
        </row>
        <row r="202">
          <cell r="I202" t="str">
            <v>MT CG PR</v>
          </cell>
          <cell r="K202" t="str">
            <v>S</v>
          </cell>
          <cell r="L202" t="str">
            <v>N</v>
          </cell>
          <cell r="M202" t="str">
            <v>N</v>
          </cell>
        </row>
        <row r="203">
          <cell r="I203" t="str">
            <v>MT JK PR</v>
          </cell>
          <cell r="K203" t="str">
            <v>S</v>
          </cell>
          <cell r="L203" t="str">
            <v>N</v>
          </cell>
          <cell r="M203" t="str">
            <v>N</v>
          </cell>
        </row>
        <row r="204">
          <cell r="I204" t="str">
            <v>MT CC PR</v>
          </cell>
          <cell r="K204" t="str">
            <v>S</v>
          </cell>
          <cell r="L204" t="str">
            <v>O</v>
          </cell>
          <cell r="M204" t="str">
            <v>N</v>
          </cell>
          <cell r="N204">
            <v>23</v>
          </cell>
        </row>
        <row r="205">
          <cell r="I205" t="str">
            <v>BLDPMSOR</v>
          </cell>
          <cell r="K205" t="str">
            <v>T</v>
          </cell>
          <cell r="L205" t="str">
            <v>O</v>
          </cell>
          <cell r="M205" t="str">
            <v>N</v>
          </cell>
          <cell r="N205">
            <v>7</v>
          </cell>
        </row>
        <row r="206">
          <cell r="I206" t="str">
            <v>MT HB PR</v>
          </cell>
          <cell r="K206" t="str">
            <v>T</v>
          </cell>
          <cell r="L206" t="str">
            <v>N</v>
          </cell>
          <cell r="M206" t="str">
            <v>N</v>
          </cell>
        </row>
        <row r="207">
          <cell r="I207" t="str">
            <v>MT CA PR</v>
          </cell>
          <cell r="K207" t="str">
            <v>T</v>
          </cell>
          <cell r="L207" t="str">
            <v>O</v>
          </cell>
          <cell r="M207" t="str">
            <v>N</v>
          </cell>
          <cell r="N207">
            <v>19</v>
          </cell>
        </row>
        <row r="208">
          <cell r="I208" t="str">
            <v>MT HB PR</v>
          </cell>
          <cell r="K208" t="str">
            <v>S</v>
          </cell>
          <cell r="L208" t="str">
            <v>N</v>
          </cell>
          <cell r="M208" t="str">
            <v>N</v>
          </cell>
        </row>
        <row r="209">
          <cell r="I209" t="str">
            <v>MT YC PR</v>
          </cell>
          <cell r="K209" t="str">
            <v>T</v>
          </cell>
          <cell r="L209" t="str">
            <v>O</v>
          </cell>
          <cell r="M209" t="str">
            <v>N</v>
          </cell>
          <cell r="N209">
            <v>19</v>
          </cell>
        </row>
        <row r="210">
          <cell r="I210" t="str">
            <v>MT FB PR</v>
          </cell>
          <cell r="K210" t="str">
            <v>S</v>
          </cell>
          <cell r="L210" t="str">
            <v>N</v>
          </cell>
          <cell r="M210" t="str">
            <v>N</v>
          </cell>
        </row>
        <row r="211">
          <cell r="I211" t="str">
            <v>MT CG PR</v>
          </cell>
          <cell r="K211" t="str">
            <v>S</v>
          </cell>
          <cell r="L211" t="str">
            <v>N</v>
          </cell>
          <cell r="M211" t="str">
            <v>N</v>
          </cell>
        </row>
        <row r="212">
          <cell r="I212" t="str">
            <v>MT CA PR</v>
          </cell>
          <cell r="K212" t="str">
            <v>S</v>
          </cell>
          <cell r="L212" t="str">
            <v>N</v>
          </cell>
          <cell r="M212" t="str">
            <v>N</v>
          </cell>
        </row>
        <row r="213">
          <cell r="I213" t="str">
            <v>NCEKI</v>
          </cell>
          <cell r="K213" t="str">
            <v>S</v>
          </cell>
          <cell r="L213" t="str">
            <v>O</v>
          </cell>
          <cell r="M213" t="str">
            <v>N</v>
          </cell>
          <cell r="N213">
            <v>28</v>
          </cell>
        </row>
        <row r="214">
          <cell r="I214" t="str">
            <v>BLDPMSVL</v>
          </cell>
          <cell r="K214" t="str">
            <v>S</v>
          </cell>
          <cell r="L214" t="str">
            <v>N</v>
          </cell>
          <cell r="M214" t="str">
            <v>N</v>
          </cell>
        </row>
        <row r="215">
          <cell r="I215" t="str">
            <v>MT CG PR</v>
          </cell>
          <cell r="K215" t="str">
            <v>S</v>
          </cell>
          <cell r="L215" t="str">
            <v>N</v>
          </cell>
          <cell r="M215" t="str">
            <v>N</v>
          </cell>
        </row>
        <row r="216">
          <cell r="I216" t="str">
            <v>BLDPMSVL</v>
          </cell>
          <cell r="K216" t="str">
            <v>S</v>
          </cell>
          <cell r="L216" t="str">
            <v>N</v>
          </cell>
          <cell r="M216" t="str">
            <v>N</v>
          </cell>
        </row>
        <row r="217">
          <cell r="I217" t="str">
            <v>MT CG PR</v>
          </cell>
          <cell r="K217" t="str">
            <v>S</v>
          </cell>
          <cell r="L217" t="str">
            <v>N</v>
          </cell>
          <cell r="M217" t="str">
            <v>N</v>
          </cell>
        </row>
        <row r="218">
          <cell r="I218" t="str">
            <v>MT CG PR</v>
          </cell>
          <cell r="K218" t="str">
            <v>S</v>
          </cell>
          <cell r="L218" t="str">
            <v>N</v>
          </cell>
          <cell r="M218" t="str">
            <v>N</v>
          </cell>
        </row>
        <row r="219">
          <cell r="I219" t="str">
            <v>MT QJ</v>
          </cell>
          <cell r="K219" t="str">
            <v>S</v>
          </cell>
          <cell r="L219" t="str">
            <v>O</v>
          </cell>
          <cell r="M219" t="str">
            <v>N</v>
          </cell>
          <cell r="N219">
            <v>9</v>
          </cell>
        </row>
        <row r="220">
          <cell r="I220" t="str">
            <v>MT CC PR</v>
          </cell>
          <cell r="K220" t="str">
            <v>S</v>
          </cell>
          <cell r="L220" t="str">
            <v>O</v>
          </cell>
          <cell r="M220" t="str">
            <v>N</v>
          </cell>
          <cell r="N220">
            <v>9</v>
          </cell>
        </row>
        <row r="221">
          <cell r="I221" t="str">
            <v>MT HB PR</v>
          </cell>
          <cell r="K221" t="str">
            <v>S</v>
          </cell>
          <cell r="L221" t="str">
            <v>N</v>
          </cell>
          <cell r="M221" t="str">
            <v>N</v>
          </cell>
        </row>
        <row r="222">
          <cell r="I222" t="str">
            <v>BLDPMSVL</v>
          </cell>
          <cell r="K222" t="str">
            <v>S</v>
          </cell>
          <cell r="L222" t="str">
            <v>N</v>
          </cell>
          <cell r="M222" t="str">
            <v>N</v>
          </cell>
        </row>
        <row r="223">
          <cell r="I223" t="str">
            <v>MTCAEP</v>
          </cell>
          <cell r="K223" t="str">
            <v>S</v>
          </cell>
          <cell r="L223" t="str">
            <v>N</v>
          </cell>
          <cell r="M223" t="str">
            <v>N</v>
          </cell>
        </row>
        <row r="224">
          <cell r="I224" t="str">
            <v>MT CG PR</v>
          </cell>
          <cell r="K224" t="str">
            <v>S</v>
          </cell>
          <cell r="L224" t="str">
            <v>O</v>
          </cell>
          <cell r="M224" t="str">
            <v>N</v>
          </cell>
          <cell r="N224">
            <v>9</v>
          </cell>
        </row>
        <row r="225">
          <cell r="I225" t="str">
            <v>MT CA PR</v>
          </cell>
          <cell r="K225" t="str">
            <v>S</v>
          </cell>
          <cell r="L225" t="str">
            <v>N</v>
          </cell>
          <cell r="M225" t="str">
            <v>N</v>
          </cell>
        </row>
        <row r="226">
          <cell r="I226" t="str">
            <v>MT HB TH</v>
          </cell>
          <cell r="K226" t="str">
            <v>S</v>
          </cell>
          <cell r="L226" t="str">
            <v>N</v>
          </cell>
          <cell r="M226" t="str">
            <v>N</v>
          </cell>
        </row>
        <row r="227">
          <cell r="I227" t="str">
            <v>MT CA PR</v>
          </cell>
          <cell r="K227" t="str">
            <v>T</v>
          </cell>
          <cell r="L227" t="str">
            <v>O</v>
          </cell>
          <cell r="M227" t="str">
            <v>N</v>
          </cell>
          <cell r="N227">
            <v>14</v>
          </cell>
        </row>
        <row r="228">
          <cell r="I228" t="str">
            <v>MT QJ</v>
          </cell>
          <cell r="K228" t="str">
            <v>S</v>
          </cell>
          <cell r="L228" t="str">
            <v>N</v>
          </cell>
          <cell r="M228" t="str">
            <v>N</v>
          </cell>
        </row>
        <row r="229">
          <cell r="I229" t="str">
            <v>MT CC PR</v>
          </cell>
          <cell r="K229" t="str">
            <v>S</v>
          </cell>
          <cell r="L229" t="str">
            <v>N</v>
          </cell>
          <cell r="M229" t="str">
            <v>N</v>
          </cell>
        </row>
        <row r="230">
          <cell r="I230" t="str">
            <v>MT QS FT</v>
          </cell>
          <cell r="K230" t="str">
            <v>T</v>
          </cell>
          <cell r="L230" t="str">
            <v>O</v>
          </cell>
          <cell r="M230" t="str">
            <v>N</v>
          </cell>
          <cell r="N230">
            <v>8</v>
          </cell>
        </row>
        <row r="231">
          <cell r="I231" t="str">
            <v>MT JK PR</v>
          </cell>
          <cell r="K231" t="str">
            <v>S</v>
          </cell>
          <cell r="L231" t="str">
            <v>N</v>
          </cell>
          <cell r="M231" t="str">
            <v>N</v>
          </cell>
        </row>
        <row r="232">
          <cell r="I232" t="str">
            <v>MT CA PR</v>
          </cell>
          <cell r="K232" t="str">
            <v>S</v>
          </cell>
          <cell r="L232" t="str">
            <v>N</v>
          </cell>
          <cell r="M232" t="str">
            <v>N</v>
          </cell>
        </row>
        <row r="233">
          <cell r="I233" t="str">
            <v>MT YC PR</v>
          </cell>
          <cell r="K233" t="str">
            <v>S</v>
          </cell>
          <cell r="L233" t="str">
            <v>N</v>
          </cell>
          <cell r="M233" t="str">
            <v>N</v>
          </cell>
        </row>
        <row r="234">
          <cell r="I234" t="str">
            <v>MT HB PR</v>
          </cell>
          <cell r="K234" t="str">
            <v>S</v>
          </cell>
          <cell r="L234" t="str">
            <v>N</v>
          </cell>
          <cell r="M234" t="str">
            <v>N</v>
          </cell>
        </row>
        <row r="235">
          <cell r="I235" t="str">
            <v>MT HB PR</v>
          </cell>
          <cell r="K235" t="str">
            <v>S</v>
          </cell>
          <cell r="L235" t="str">
            <v>N</v>
          </cell>
          <cell r="M235" t="str">
            <v>N</v>
          </cell>
        </row>
        <row r="236">
          <cell r="I236" t="str">
            <v>BLDPMMOR</v>
          </cell>
          <cell r="K236" t="str">
            <v>T</v>
          </cell>
          <cell r="L236" t="str">
            <v>N</v>
          </cell>
          <cell r="M236" t="str">
            <v>N</v>
          </cell>
        </row>
        <row r="237">
          <cell r="I237" t="str">
            <v>MT CC PR</v>
          </cell>
          <cell r="K237" t="str">
            <v>S</v>
          </cell>
          <cell r="L237" t="str">
            <v>N</v>
          </cell>
          <cell r="M237" t="str">
            <v>O</v>
          </cell>
        </row>
      </sheetData>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image" Target="../media/image1.emf"/><Relationship Id="rId4" Type="http://schemas.openxmlformats.org/officeDocument/2006/relationships/control" Target="../activeX/activeX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1" filterMode="1">
    <tabColor rgb="FFFF0000"/>
    <pageSetUpPr fitToPage="1"/>
  </sheetPr>
  <dimension ref="A1:AB992"/>
  <sheetViews>
    <sheetView showGridLines="0" topLeftCell="B1" zoomScale="90" zoomScaleNormal="90" workbookViewId="0">
      <pane ySplit="2" topLeftCell="A3" activePane="bottomLeft" state="frozen"/>
      <selection pane="bottomLeft" activeCell="L1" sqref="L1"/>
    </sheetView>
  </sheetViews>
  <sheetFormatPr baseColWidth="10" defaultColWidth="11.42578125" defaultRowHeight="12.75" x14ac:dyDescent="0.2"/>
  <cols>
    <col min="1" max="1" width="3.5703125" style="51" hidden="1" customWidth="1"/>
    <col min="2" max="2" width="10.7109375" style="51" customWidth="1"/>
    <col min="3" max="3" width="8.28515625" style="51" customWidth="1"/>
    <col min="4" max="4" width="10.140625" style="51" customWidth="1"/>
    <col min="5" max="5" width="15.7109375" style="51" customWidth="1"/>
    <col min="6" max="6" width="17.28515625" style="51" customWidth="1"/>
    <col min="7" max="7" width="7.42578125" style="51" customWidth="1"/>
    <col min="8" max="8" width="12.5703125" style="51" customWidth="1"/>
    <col min="9" max="9" width="10.5703125" style="51" customWidth="1"/>
    <col min="10" max="10" width="7.7109375" style="51" customWidth="1"/>
    <col min="11" max="11" width="6.140625" style="51" customWidth="1"/>
    <col min="12" max="12" width="9" style="51" customWidth="1"/>
    <col min="13" max="13" width="8.140625" style="51" customWidth="1"/>
    <col min="14" max="14" width="7.42578125" style="51" customWidth="1"/>
    <col min="15" max="15" width="20.140625" style="51" customWidth="1"/>
    <col min="16" max="16" width="13.85546875" style="51" customWidth="1"/>
    <col min="17" max="17" width="10.7109375" style="51" customWidth="1"/>
    <col min="18" max="18" width="12.5703125" style="51" customWidth="1"/>
    <col min="19" max="19" width="34.7109375" style="51" customWidth="1"/>
    <col min="20" max="20" width="31.5703125" style="52" customWidth="1"/>
    <col min="21" max="21" width="9.7109375" style="51" customWidth="1"/>
    <col min="22" max="22" width="10.7109375" style="53" customWidth="1"/>
    <col min="23" max="23" width="13" style="51" customWidth="1"/>
    <col min="24" max="24" width="10.7109375" style="51" customWidth="1"/>
    <col min="25" max="25" width="16.7109375" style="51" customWidth="1"/>
    <col min="26" max="16384" width="11.42578125" style="51"/>
  </cols>
  <sheetData>
    <row r="1" spans="1:28" s="1" customFormat="1" ht="72.75" customHeight="1" x14ac:dyDescent="0.2">
      <c r="E1" s="2"/>
      <c r="F1" s="2"/>
      <c r="G1" s="2"/>
      <c r="H1" s="2"/>
      <c r="I1" s="2"/>
      <c r="J1" s="2"/>
      <c r="K1" s="2"/>
      <c r="L1" s="2"/>
      <c r="M1" s="2"/>
      <c r="N1" s="2"/>
      <c r="O1" s="2"/>
      <c r="T1" s="3"/>
      <c r="V1" s="4"/>
    </row>
    <row r="2" spans="1:28" s="1" customFormat="1" ht="51" x14ac:dyDescent="0.2">
      <c r="A2" s="5"/>
      <c r="B2" s="6" t="s">
        <v>0</v>
      </c>
      <c r="C2" s="6" t="s">
        <v>1</v>
      </c>
      <c r="D2" s="6" t="s">
        <v>2</v>
      </c>
      <c r="E2" s="6" t="s">
        <v>3</v>
      </c>
      <c r="F2" s="6" t="s">
        <v>4</v>
      </c>
      <c r="G2" s="6" t="s">
        <v>5</v>
      </c>
      <c r="H2" s="6" t="s">
        <v>6</v>
      </c>
      <c r="I2" s="6" t="s">
        <v>7</v>
      </c>
      <c r="J2" s="6" t="s">
        <v>8</v>
      </c>
      <c r="K2" s="6" t="s">
        <v>9</v>
      </c>
      <c r="L2" s="6" t="s">
        <v>10</v>
      </c>
      <c r="M2" s="6" t="s">
        <v>11</v>
      </c>
      <c r="N2" s="7" t="s">
        <v>12</v>
      </c>
      <c r="O2" s="6" t="s">
        <v>13</v>
      </c>
      <c r="P2" s="6" t="s">
        <v>14</v>
      </c>
      <c r="Q2" s="6" t="s">
        <v>15</v>
      </c>
      <c r="R2" s="6" t="s">
        <v>16</v>
      </c>
      <c r="S2" s="6" t="s">
        <v>17</v>
      </c>
      <c r="T2" s="8" t="s">
        <v>18</v>
      </c>
      <c r="U2" s="6" t="s">
        <v>19</v>
      </c>
      <c r="V2" s="6" t="s">
        <v>20</v>
      </c>
      <c r="W2" s="6" t="s">
        <v>21</v>
      </c>
      <c r="X2" s="6" t="s">
        <v>22</v>
      </c>
      <c r="Y2" s="9" t="s">
        <v>23</v>
      </c>
      <c r="Z2" s="9" t="s">
        <v>24</v>
      </c>
    </row>
    <row r="3" spans="1:28" s="10" customFormat="1" ht="108" hidden="1" x14ac:dyDescent="0.2">
      <c r="B3" s="11">
        <v>43102</v>
      </c>
      <c r="C3" s="12">
        <v>25569.729166666701</v>
      </c>
      <c r="D3" s="13" t="s">
        <v>25</v>
      </c>
      <c r="E3" s="14"/>
      <c r="F3" s="14"/>
      <c r="G3" s="15">
        <v>30</v>
      </c>
      <c r="H3" s="13"/>
      <c r="I3" s="13" t="s">
        <v>26</v>
      </c>
      <c r="J3" s="13" t="s">
        <v>27</v>
      </c>
      <c r="K3" s="13" t="s">
        <v>28</v>
      </c>
      <c r="L3" s="13" t="s">
        <v>29</v>
      </c>
      <c r="M3" s="13" t="s">
        <v>30</v>
      </c>
      <c r="N3" s="15">
        <v>15</v>
      </c>
      <c r="O3" s="14" t="s">
        <v>31</v>
      </c>
      <c r="P3" s="14" t="s">
        <v>32</v>
      </c>
      <c r="Q3" s="14" t="s">
        <v>33</v>
      </c>
      <c r="R3" s="14" t="s">
        <v>34</v>
      </c>
      <c r="S3" s="16" t="s">
        <v>35</v>
      </c>
      <c r="T3" s="13" t="s">
        <v>36</v>
      </c>
      <c r="U3" s="12">
        <v>25569.659722222201</v>
      </c>
      <c r="V3" s="12">
        <v>25569.020833333299</v>
      </c>
      <c r="W3" s="14"/>
      <c r="X3" s="17"/>
      <c r="Y3" s="18" t="s">
        <v>37</v>
      </c>
      <c r="Z3" s="18" t="s">
        <v>38</v>
      </c>
      <c r="AA3" s="19"/>
      <c r="AB3" s="20"/>
    </row>
    <row r="4" spans="1:28" s="10" customFormat="1" ht="72" hidden="1" x14ac:dyDescent="0.2">
      <c r="B4" s="21">
        <v>43104</v>
      </c>
      <c r="C4" s="22">
        <v>25569.416666666701</v>
      </c>
      <c r="D4" s="23" t="s">
        <v>39</v>
      </c>
      <c r="E4" s="24"/>
      <c r="F4" s="24"/>
      <c r="G4" s="25">
        <v>43</v>
      </c>
      <c r="H4" s="23"/>
      <c r="I4" s="23" t="s">
        <v>40</v>
      </c>
      <c r="J4" s="23" t="s">
        <v>27</v>
      </c>
      <c r="K4" s="23" t="s">
        <v>28</v>
      </c>
      <c r="L4" s="23" t="s">
        <v>30</v>
      </c>
      <c r="M4" s="23" t="s">
        <v>29</v>
      </c>
      <c r="N4" s="25"/>
      <c r="O4" s="24" t="s">
        <v>41</v>
      </c>
      <c r="P4" s="24" t="s">
        <v>42</v>
      </c>
      <c r="Q4" s="24" t="s">
        <v>43</v>
      </c>
      <c r="R4" s="24" t="s">
        <v>44</v>
      </c>
      <c r="S4" s="24" t="s">
        <v>45</v>
      </c>
      <c r="T4" s="23" t="s">
        <v>46</v>
      </c>
      <c r="U4" s="22">
        <v>25569.25</v>
      </c>
      <c r="V4" s="22">
        <v>25569.601388888899</v>
      </c>
      <c r="W4" s="24"/>
      <c r="X4" s="26"/>
      <c r="Y4" s="27"/>
      <c r="Z4" s="27" t="s">
        <v>47</v>
      </c>
      <c r="AA4" s="19"/>
      <c r="AB4" s="20"/>
    </row>
    <row r="5" spans="1:28" s="10" customFormat="1" ht="24" x14ac:dyDescent="0.2">
      <c r="B5" s="11">
        <v>43105</v>
      </c>
      <c r="C5" s="12">
        <v>25569.375</v>
      </c>
      <c r="D5" s="13" t="s">
        <v>48</v>
      </c>
      <c r="E5" s="14"/>
      <c r="F5" s="14"/>
      <c r="G5" s="15">
        <v>43</v>
      </c>
      <c r="H5" s="13"/>
      <c r="I5" s="13" t="s">
        <v>49</v>
      </c>
      <c r="J5" s="13" t="s">
        <v>27</v>
      </c>
      <c r="K5" s="13" t="s">
        <v>28</v>
      </c>
      <c r="L5" s="13" t="s">
        <v>29</v>
      </c>
      <c r="M5" s="13" t="s">
        <v>30</v>
      </c>
      <c r="N5" s="15">
        <v>7</v>
      </c>
      <c r="O5" s="14" t="s">
        <v>50</v>
      </c>
      <c r="P5" s="14" t="s">
        <v>51</v>
      </c>
      <c r="Q5" s="14" t="s">
        <v>43</v>
      </c>
      <c r="R5" s="14" t="s">
        <v>44</v>
      </c>
      <c r="S5" s="14" t="s">
        <v>45</v>
      </c>
      <c r="T5" s="13" t="s">
        <v>52</v>
      </c>
      <c r="U5" s="12">
        <v>25569.21875</v>
      </c>
      <c r="V5" s="12">
        <v>25569.570138888899</v>
      </c>
      <c r="W5" s="14"/>
      <c r="X5" s="17"/>
      <c r="Y5" s="18"/>
      <c r="Z5" s="18" t="s">
        <v>53</v>
      </c>
      <c r="AA5" s="19"/>
      <c r="AB5" s="20"/>
    </row>
    <row r="6" spans="1:28" s="10" customFormat="1" ht="24" hidden="1" x14ac:dyDescent="0.2">
      <c r="B6" s="21">
        <v>43105</v>
      </c>
      <c r="C6" s="22">
        <v>25569.888888888901</v>
      </c>
      <c r="D6" s="23" t="s">
        <v>54</v>
      </c>
      <c r="E6" s="24"/>
      <c r="F6" s="24"/>
      <c r="G6" s="25">
        <v>48</v>
      </c>
      <c r="H6" s="23"/>
      <c r="I6" s="23" t="s">
        <v>55</v>
      </c>
      <c r="J6" s="23" t="s">
        <v>27</v>
      </c>
      <c r="K6" s="23" t="s">
        <v>28</v>
      </c>
      <c r="L6" s="23" t="s">
        <v>30</v>
      </c>
      <c r="M6" s="23" t="s">
        <v>29</v>
      </c>
      <c r="N6" s="25"/>
      <c r="O6" s="24" t="s">
        <v>50</v>
      </c>
      <c r="P6" s="24" t="s">
        <v>56</v>
      </c>
      <c r="Q6" s="24" t="s">
        <v>57</v>
      </c>
      <c r="R6" s="24" t="s">
        <v>58</v>
      </c>
      <c r="S6" s="24" t="s">
        <v>59</v>
      </c>
      <c r="T6" s="23" t="s">
        <v>59</v>
      </c>
      <c r="U6" s="22">
        <v>25569.590277777799</v>
      </c>
      <c r="V6" s="22">
        <v>25569.940972222201</v>
      </c>
      <c r="W6" s="24" t="s">
        <v>60</v>
      </c>
      <c r="X6" s="26"/>
      <c r="Y6" s="27"/>
      <c r="Z6" s="27"/>
      <c r="AA6" s="19"/>
      <c r="AB6" s="20"/>
    </row>
    <row r="7" spans="1:28" s="10" customFormat="1" ht="48" hidden="1" x14ac:dyDescent="0.2">
      <c r="B7" s="11">
        <v>43108</v>
      </c>
      <c r="C7" s="12">
        <v>25569.625</v>
      </c>
      <c r="D7" s="13" t="s">
        <v>61</v>
      </c>
      <c r="E7" s="14"/>
      <c r="F7" s="14"/>
      <c r="G7" s="15">
        <v>21</v>
      </c>
      <c r="H7" s="13"/>
      <c r="I7" s="13" t="s">
        <v>62</v>
      </c>
      <c r="J7" s="13" t="s">
        <v>27</v>
      </c>
      <c r="K7" s="13" t="s">
        <v>28</v>
      </c>
      <c r="L7" s="13" t="s">
        <v>29</v>
      </c>
      <c r="M7" s="13" t="s">
        <v>30</v>
      </c>
      <c r="N7" s="15">
        <v>25</v>
      </c>
      <c r="O7" s="14" t="s">
        <v>41</v>
      </c>
      <c r="P7" s="14" t="s">
        <v>63</v>
      </c>
      <c r="Q7" s="14" t="s">
        <v>43</v>
      </c>
      <c r="R7" s="14" t="s">
        <v>64</v>
      </c>
      <c r="S7" s="14" t="s">
        <v>65</v>
      </c>
      <c r="T7" s="13" t="s">
        <v>66</v>
      </c>
      <c r="U7" s="12">
        <v>25569.333333333299</v>
      </c>
      <c r="V7" s="12">
        <v>25569.666666666701</v>
      </c>
      <c r="W7" s="14"/>
      <c r="X7" s="17"/>
      <c r="Y7" s="18" t="s">
        <v>37</v>
      </c>
      <c r="Z7" s="18"/>
      <c r="AA7" s="19"/>
      <c r="AB7" s="20"/>
    </row>
    <row r="8" spans="1:28" s="10" customFormat="1" ht="48" hidden="1" x14ac:dyDescent="0.2">
      <c r="B8" s="21">
        <v>43109</v>
      </c>
      <c r="C8" s="22">
        <v>25569.083333333299</v>
      </c>
      <c r="D8" s="23" t="s">
        <v>67</v>
      </c>
      <c r="E8" s="24"/>
      <c r="F8" s="24"/>
      <c r="G8" s="25">
        <v>41</v>
      </c>
      <c r="H8" s="23"/>
      <c r="I8" s="23" t="s">
        <v>55</v>
      </c>
      <c r="J8" s="23" t="s">
        <v>27</v>
      </c>
      <c r="K8" s="23" t="s">
        <v>28</v>
      </c>
      <c r="L8" s="23" t="s">
        <v>30</v>
      </c>
      <c r="M8" s="23" t="s">
        <v>30</v>
      </c>
      <c r="N8" s="25"/>
      <c r="O8" s="24" t="s">
        <v>68</v>
      </c>
      <c r="P8" s="24" t="s">
        <v>69</v>
      </c>
      <c r="Q8" s="24" t="s">
        <v>33</v>
      </c>
      <c r="R8" s="24" t="s">
        <v>70</v>
      </c>
      <c r="S8" s="24" t="s">
        <v>71</v>
      </c>
      <c r="T8" s="23" t="s">
        <v>72</v>
      </c>
      <c r="U8" s="22">
        <v>25569.916666666701</v>
      </c>
      <c r="V8" s="22">
        <v>25569.28125</v>
      </c>
      <c r="W8" s="24"/>
      <c r="X8" s="26"/>
      <c r="Y8" s="27" t="s">
        <v>73</v>
      </c>
      <c r="Z8" s="27"/>
      <c r="AA8" s="19"/>
      <c r="AB8" s="20"/>
    </row>
    <row r="9" spans="1:28" s="10" customFormat="1" ht="84" hidden="1" x14ac:dyDescent="0.2">
      <c r="B9" s="21">
        <v>43109</v>
      </c>
      <c r="C9" s="22">
        <v>25569.333333333299</v>
      </c>
      <c r="D9" s="23" t="s">
        <v>74</v>
      </c>
      <c r="E9" s="24"/>
      <c r="F9" s="24"/>
      <c r="G9" s="25">
        <v>41</v>
      </c>
      <c r="H9" s="23"/>
      <c r="I9" s="23" t="s">
        <v>55</v>
      </c>
      <c r="J9" s="23" t="s">
        <v>27</v>
      </c>
      <c r="K9" s="23" t="s">
        <v>28</v>
      </c>
      <c r="L9" s="23" t="s">
        <v>29</v>
      </c>
      <c r="M9" s="23" t="s">
        <v>30</v>
      </c>
      <c r="N9" s="25">
        <v>36</v>
      </c>
      <c r="O9" s="24" t="s">
        <v>31</v>
      </c>
      <c r="P9" s="24" t="s">
        <v>32</v>
      </c>
      <c r="Q9" s="24" t="s">
        <v>75</v>
      </c>
      <c r="R9" s="24" t="s">
        <v>76</v>
      </c>
      <c r="S9" s="24" t="s">
        <v>45</v>
      </c>
      <c r="T9" s="23" t="s">
        <v>77</v>
      </c>
      <c r="U9" s="22">
        <v>25569.25</v>
      </c>
      <c r="V9" s="22">
        <v>25569.604166666701</v>
      </c>
      <c r="W9" s="24"/>
      <c r="X9" s="26"/>
      <c r="Y9" s="27" t="s">
        <v>37</v>
      </c>
      <c r="Z9" s="27"/>
      <c r="AA9" s="19"/>
      <c r="AB9" s="20"/>
    </row>
    <row r="10" spans="1:28" s="10" customFormat="1" ht="72" hidden="1" x14ac:dyDescent="0.2">
      <c r="B10" s="11">
        <v>43109</v>
      </c>
      <c r="C10" s="12">
        <v>25569.5625</v>
      </c>
      <c r="D10" s="13" t="s">
        <v>78</v>
      </c>
      <c r="E10" s="14"/>
      <c r="F10" s="14"/>
      <c r="G10" s="15">
        <v>36</v>
      </c>
      <c r="H10" s="13"/>
      <c r="I10" s="13" t="s">
        <v>79</v>
      </c>
      <c r="J10" s="13" t="s">
        <v>27</v>
      </c>
      <c r="K10" s="13" t="s">
        <v>28</v>
      </c>
      <c r="L10" s="13" t="s">
        <v>29</v>
      </c>
      <c r="M10" s="13" t="s">
        <v>30</v>
      </c>
      <c r="N10" s="15">
        <v>3</v>
      </c>
      <c r="O10" s="14" t="s">
        <v>31</v>
      </c>
      <c r="P10" s="14" t="s">
        <v>32</v>
      </c>
      <c r="Q10" s="14" t="s">
        <v>43</v>
      </c>
      <c r="R10" s="14" t="s">
        <v>44</v>
      </c>
      <c r="S10" s="14" t="s">
        <v>80</v>
      </c>
      <c r="T10" s="13" t="s">
        <v>81</v>
      </c>
      <c r="U10" s="12">
        <v>25569.25</v>
      </c>
      <c r="V10" s="12">
        <v>25569.604166666701</v>
      </c>
      <c r="W10" s="14"/>
      <c r="X10" s="17"/>
      <c r="Y10" s="18" t="s">
        <v>37</v>
      </c>
      <c r="Z10" s="18" t="s">
        <v>82</v>
      </c>
      <c r="AA10" s="19"/>
      <c r="AB10" s="20"/>
    </row>
    <row r="11" spans="1:28" s="10" customFormat="1" ht="60" hidden="1" x14ac:dyDescent="0.2">
      <c r="B11" s="11">
        <v>43109</v>
      </c>
      <c r="C11" s="12">
        <v>25569.708333333299</v>
      </c>
      <c r="D11" s="13" t="s">
        <v>83</v>
      </c>
      <c r="E11" s="14"/>
      <c r="F11" s="14"/>
      <c r="G11" s="15">
        <v>37</v>
      </c>
      <c r="H11" s="13"/>
      <c r="I11" s="13" t="s">
        <v>79</v>
      </c>
      <c r="J11" s="13" t="s">
        <v>27</v>
      </c>
      <c r="K11" s="13" t="s">
        <v>28</v>
      </c>
      <c r="L11" s="13" t="s">
        <v>30</v>
      </c>
      <c r="M11" s="13" t="s">
        <v>30</v>
      </c>
      <c r="N11" s="15"/>
      <c r="O11" s="14" t="s">
        <v>31</v>
      </c>
      <c r="P11" s="14" t="s">
        <v>32</v>
      </c>
      <c r="Q11" s="14" t="s">
        <v>75</v>
      </c>
      <c r="R11" s="14" t="s">
        <v>76</v>
      </c>
      <c r="S11" s="14" t="s">
        <v>84</v>
      </c>
      <c r="T11" s="13" t="s">
        <v>85</v>
      </c>
      <c r="U11" s="12">
        <v>25569.590277777799</v>
      </c>
      <c r="V11" s="12">
        <v>25569.9375</v>
      </c>
      <c r="W11" s="14"/>
      <c r="X11" s="17"/>
      <c r="Y11" s="18"/>
      <c r="Z11" s="18" t="s">
        <v>86</v>
      </c>
      <c r="AA11" s="19"/>
      <c r="AB11" s="20"/>
    </row>
    <row r="12" spans="1:28" s="10" customFormat="1" ht="120" hidden="1" x14ac:dyDescent="0.2">
      <c r="B12" s="21">
        <v>43109</v>
      </c>
      <c r="C12" s="22">
        <v>25569.708333333299</v>
      </c>
      <c r="D12" s="23" t="s">
        <v>87</v>
      </c>
      <c r="E12" s="24"/>
      <c r="F12" s="24"/>
      <c r="G12" s="25">
        <v>40</v>
      </c>
      <c r="H12" s="23"/>
      <c r="I12" s="23" t="s">
        <v>79</v>
      </c>
      <c r="J12" s="23" t="s">
        <v>27</v>
      </c>
      <c r="K12" s="23" t="s">
        <v>28</v>
      </c>
      <c r="L12" s="23" t="s">
        <v>30</v>
      </c>
      <c r="M12" s="23" t="s">
        <v>30</v>
      </c>
      <c r="N12" s="25"/>
      <c r="O12" s="24" t="s">
        <v>31</v>
      </c>
      <c r="P12" s="24" t="s">
        <v>32</v>
      </c>
      <c r="Q12" s="24" t="s">
        <v>88</v>
      </c>
      <c r="R12" s="24" t="s">
        <v>89</v>
      </c>
      <c r="S12" s="28" t="s">
        <v>90</v>
      </c>
      <c r="T12" s="23" t="s">
        <v>91</v>
      </c>
      <c r="U12" s="22">
        <v>25569.590277777799</v>
      </c>
      <c r="V12" s="22">
        <v>25569.9375</v>
      </c>
      <c r="W12" s="24"/>
      <c r="X12" s="26"/>
      <c r="Y12" s="27"/>
      <c r="Z12" s="27" t="s">
        <v>86</v>
      </c>
      <c r="AA12" s="19"/>
      <c r="AB12" s="20"/>
    </row>
    <row r="13" spans="1:28" s="10" customFormat="1" ht="60" hidden="1" x14ac:dyDescent="0.2">
      <c r="B13" s="11">
        <v>43110</v>
      </c>
      <c r="C13" s="12">
        <v>25569.84375</v>
      </c>
      <c r="D13" s="13" t="s">
        <v>92</v>
      </c>
      <c r="E13" s="14"/>
      <c r="F13" s="14"/>
      <c r="G13" s="15">
        <v>37</v>
      </c>
      <c r="H13" s="13"/>
      <c r="I13" s="13" t="s">
        <v>93</v>
      </c>
      <c r="J13" s="13" t="s">
        <v>27</v>
      </c>
      <c r="K13" s="13" t="s">
        <v>28</v>
      </c>
      <c r="L13" s="13" t="s">
        <v>29</v>
      </c>
      <c r="M13" s="13" t="s">
        <v>30</v>
      </c>
      <c r="N13" s="15">
        <v>262</v>
      </c>
      <c r="O13" s="14" t="s">
        <v>41</v>
      </c>
      <c r="P13" s="14" t="s">
        <v>32</v>
      </c>
      <c r="Q13" s="14" t="s">
        <v>88</v>
      </c>
      <c r="R13" s="14" t="s">
        <v>94</v>
      </c>
      <c r="S13" s="14" t="s">
        <v>45</v>
      </c>
      <c r="T13" s="13" t="s">
        <v>95</v>
      </c>
      <c r="U13" s="12">
        <v>25569.597916666698</v>
      </c>
      <c r="V13" s="12">
        <v>25569.927083333299</v>
      </c>
      <c r="W13" s="14"/>
      <c r="X13" s="17"/>
      <c r="Y13" s="18" t="s">
        <v>37</v>
      </c>
      <c r="Z13" s="18" t="s">
        <v>96</v>
      </c>
      <c r="AA13" s="19"/>
      <c r="AB13" s="20"/>
    </row>
    <row r="14" spans="1:28" s="10" customFormat="1" ht="84" hidden="1" x14ac:dyDescent="0.2">
      <c r="B14" s="11">
        <v>43111</v>
      </c>
      <c r="C14" s="12">
        <v>25569.569444444402</v>
      </c>
      <c r="D14" s="13" t="s">
        <v>97</v>
      </c>
      <c r="E14" s="14"/>
      <c r="F14" s="14"/>
      <c r="G14" s="15">
        <v>37</v>
      </c>
      <c r="H14" s="13"/>
      <c r="I14" s="13" t="s">
        <v>49</v>
      </c>
      <c r="J14" s="13" t="s">
        <v>27</v>
      </c>
      <c r="K14" s="13" t="s">
        <v>28</v>
      </c>
      <c r="L14" s="13" t="s">
        <v>30</v>
      </c>
      <c r="M14" s="13" t="s">
        <v>30</v>
      </c>
      <c r="N14" s="15"/>
      <c r="O14" s="14" t="s">
        <v>98</v>
      </c>
      <c r="P14" s="14" t="s">
        <v>99</v>
      </c>
      <c r="Q14" s="14" t="s">
        <v>57</v>
      </c>
      <c r="R14" s="14"/>
      <c r="S14" s="14" t="s">
        <v>100</v>
      </c>
      <c r="T14" s="29" t="s">
        <v>101</v>
      </c>
      <c r="U14" s="12">
        <v>25569.570138888899</v>
      </c>
      <c r="V14" s="12">
        <v>25569.921527777798</v>
      </c>
      <c r="W14" s="14"/>
      <c r="X14" s="17"/>
      <c r="Y14" s="18" t="s">
        <v>73</v>
      </c>
      <c r="Z14" s="18" t="s">
        <v>53</v>
      </c>
      <c r="AA14" s="19"/>
      <c r="AB14" s="20"/>
    </row>
    <row r="15" spans="1:28" s="10" customFormat="1" ht="48" hidden="1" x14ac:dyDescent="0.2">
      <c r="B15" s="21">
        <v>43112</v>
      </c>
      <c r="C15" s="22">
        <v>25569.041666666701</v>
      </c>
      <c r="D15" s="23" t="s">
        <v>102</v>
      </c>
      <c r="E15" s="24"/>
      <c r="F15" s="24"/>
      <c r="G15" s="25">
        <v>54</v>
      </c>
      <c r="H15" s="23"/>
      <c r="I15" s="23" t="s">
        <v>26</v>
      </c>
      <c r="J15" s="23" t="s">
        <v>27</v>
      </c>
      <c r="K15" s="23" t="s">
        <v>28</v>
      </c>
      <c r="L15" s="23" t="s">
        <v>29</v>
      </c>
      <c r="M15" s="23" t="s">
        <v>30</v>
      </c>
      <c r="N15" s="25">
        <v>10</v>
      </c>
      <c r="O15" s="24" t="s">
        <v>31</v>
      </c>
      <c r="P15" s="24" t="s">
        <v>32</v>
      </c>
      <c r="Q15" s="24" t="s">
        <v>75</v>
      </c>
      <c r="R15" s="24" t="s">
        <v>76</v>
      </c>
      <c r="S15" s="24" t="s">
        <v>45</v>
      </c>
      <c r="T15" s="23" t="s">
        <v>103</v>
      </c>
      <c r="U15" s="22">
        <v>25569.916666666701</v>
      </c>
      <c r="V15" s="22">
        <v>25569.261805555601</v>
      </c>
      <c r="W15" s="24"/>
      <c r="X15" s="26">
        <v>43146</v>
      </c>
      <c r="Y15" s="27" t="s">
        <v>37</v>
      </c>
      <c r="Z15" s="27" t="s">
        <v>104</v>
      </c>
      <c r="AA15" s="19"/>
      <c r="AB15" s="20"/>
    </row>
    <row r="16" spans="1:28" s="10" customFormat="1" ht="60" hidden="1" x14ac:dyDescent="0.2">
      <c r="B16" s="11">
        <v>43112</v>
      </c>
      <c r="C16" s="12">
        <v>25569.416666666701</v>
      </c>
      <c r="D16" s="13" t="s">
        <v>105</v>
      </c>
      <c r="E16" s="14"/>
      <c r="F16" s="14"/>
      <c r="G16" s="15">
        <v>41</v>
      </c>
      <c r="H16" s="13"/>
      <c r="I16" s="13" t="s">
        <v>49</v>
      </c>
      <c r="J16" s="13" t="s">
        <v>27</v>
      </c>
      <c r="K16" s="13" t="s">
        <v>28</v>
      </c>
      <c r="L16" s="13" t="s">
        <v>30</v>
      </c>
      <c r="M16" s="13" t="s">
        <v>29</v>
      </c>
      <c r="N16" s="15"/>
      <c r="O16" s="14" t="s">
        <v>98</v>
      </c>
      <c r="P16" s="14" t="s">
        <v>99</v>
      </c>
      <c r="Q16" s="14" t="s">
        <v>57</v>
      </c>
      <c r="R16" s="14"/>
      <c r="S16" s="14" t="s">
        <v>45</v>
      </c>
      <c r="T16" s="13" t="s">
        <v>106</v>
      </c>
      <c r="U16" s="12">
        <v>25569.21875</v>
      </c>
      <c r="V16" s="12">
        <v>25569.570138888899</v>
      </c>
      <c r="W16" s="14"/>
      <c r="X16" s="17"/>
      <c r="Y16" s="18"/>
      <c r="Z16" s="18" t="s">
        <v>53</v>
      </c>
      <c r="AA16" s="19"/>
      <c r="AB16" s="20"/>
    </row>
    <row r="17" spans="2:28" s="10" customFormat="1" ht="72" x14ac:dyDescent="0.2">
      <c r="B17" s="21">
        <v>43112</v>
      </c>
      <c r="C17" s="22">
        <v>25569.416666666701</v>
      </c>
      <c r="D17" s="23" t="s">
        <v>107</v>
      </c>
      <c r="E17" s="24"/>
      <c r="F17" s="24"/>
      <c r="G17" s="25">
        <v>47</v>
      </c>
      <c r="H17" s="23"/>
      <c r="I17" s="23" t="s">
        <v>49</v>
      </c>
      <c r="J17" s="23" t="s">
        <v>27</v>
      </c>
      <c r="K17" s="23" t="s">
        <v>28</v>
      </c>
      <c r="L17" s="23" t="s">
        <v>29</v>
      </c>
      <c r="M17" s="23" t="s">
        <v>30</v>
      </c>
      <c r="N17" s="25">
        <v>3</v>
      </c>
      <c r="O17" s="24" t="s">
        <v>98</v>
      </c>
      <c r="P17" s="24" t="s">
        <v>99</v>
      </c>
      <c r="Q17" s="24" t="s">
        <v>57</v>
      </c>
      <c r="R17" s="24"/>
      <c r="S17" s="24" t="s">
        <v>45</v>
      </c>
      <c r="T17" s="23" t="s">
        <v>108</v>
      </c>
      <c r="U17" s="22">
        <v>25569.21875</v>
      </c>
      <c r="V17" s="22">
        <v>25569.570138888899</v>
      </c>
      <c r="W17" s="24"/>
      <c r="X17" s="26"/>
      <c r="Y17" s="27"/>
      <c r="Z17" s="27"/>
      <c r="AA17" s="19"/>
      <c r="AB17" s="20"/>
    </row>
    <row r="18" spans="2:28" s="10" customFormat="1" ht="72" hidden="1" x14ac:dyDescent="0.2">
      <c r="B18" s="11">
        <v>43112</v>
      </c>
      <c r="C18" s="12">
        <v>25569.4375</v>
      </c>
      <c r="D18" s="13" t="s">
        <v>109</v>
      </c>
      <c r="E18" s="14"/>
      <c r="F18" s="14"/>
      <c r="G18" s="15">
        <v>56</v>
      </c>
      <c r="H18" s="13"/>
      <c r="I18" s="13" t="s">
        <v>110</v>
      </c>
      <c r="J18" s="13" t="s">
        <v>27</v>
      </c>
      <c r="K18" s="13" t="s">
        <v>28</v>
      </c>
      <c r="L18" s="13" t="s">
        <v>30</v>
      </c>
      <c r="M18" s="13" t="s">
        <v>30</v>
      </c>
      <c r="N18" s="15"/>
      <c r="O18" s="14" t="s">
        <v>68</v>
      </c>
      <c r="P18" s="14" t="s">
        <v>32</v>
      </c>
      <c r="Q18" s="14" t="s">
        <v>88</v>
      </c>
      <c r="R18" s="14" t="s">
        <v>94</v>
      </c>
      <c r="S18" s="14" t="s">
        <v>111</v>
      </c>
      <c r="T18" s="13" t="s">
        <v>112</v>
      </c>
      <c r="U18" s="12">
        <v>25569.291666666701</v>
      </c>
      <c r="V18" s="12">
        <v>25569.642361111099</v>
      </c>
      <c r="W18" s="14"/>
      <c r="X18" s="17">
        <v>43144</v>
      </c>
      <c r="Y18" s="18" t="s">
        <v>73</v>
      </c>
      <c r="Z18" s="18" t="s">
        <v>113</v>
      </c>
      <c r="AA18" s="19"/>
      <c r="AB18" s="20"/>
    </row>
    <row r="19" spans="2:28" s="10" customFormat="1" ht="60" hidden="1" x14ac:dyDescent="0.2">
      <c r="B19" s="21">
        <v>43112</v>
      </c>
      <c r="C19" s="22">
        <v>25569.552083333299</v>
      </c>
      <c r="D19" s="23" t="s">
        <v>114</v>
      </c>
      <c r="E19" s="24"/>
      <c r="F19" s="24"/>
      <c r="G19" s="25">
        <v>47</v>
      </c>
      <c r="H19" s="23"/>
      <c r="I19" s="23" t="s">
        <v>49</v>
      </c>
      <c r="J19" s="23" t="s">
        <v>27</v>
      </c>
      <c r="K19" s="23" t="s">
        <v>28</v>
      </c>
      <c r="L19" s="23" t="s">
        <v>30</v>
      </c>
      <c r="M19" s="23" t="s">
        <v>29</v>
      </c>
      <c r="N19" s="25"/>
      <c r="O19" s="24" t="s">
        <v>98</v>
      </c>
      <c r="P19" s="24" t="s">
        <v>115</v>
      </c>
      <c r="Q19" s="24" t="s">
        <v>116</v>
      </c>
      <c r="R19" s="24" t="s">
        <v>117</v>
      </c>
      <c r="S19" s="24" t="s">
        <v>45</v>
      </c>
      <c r="T19" s="23" t="s">
        <v>118</v>
      </c>
      <c r="U19" s="22">
        <v>25569.21875</v>
      </c>
      <c r="V19" s="22">
        <v>25569.570138888899</v>
      </c>
      <c r="W19" s="24"/>
      <c r="X19" s="26"/>
      <c r="Y19" s="27"/>
      <c r="Z19" s="27"/>
      <c r="AA19" s="19"/>
      <c r="AB19" s="20"/>
    </row>
    <row r="20" spans="2:28" s="10" customFormat="1" ht="60" hidden="1" x14ac:dyDescent="0.2">
      <c r="B20" s="11">
        <v>43114</v>
      </c>
      <c r="C20" s="12">
        <v>25569.25</v>
      </c>
      <c r="D20" s="13" t="s">
        <v>119</v>
      </c>
      <c r="E20" s="14"/>
      <c r="F20" s="14"/>
      <c r="G20" s="15">
        <v>39</v>
      </c>
      <c r="H20" s="13"/>
      <c r="I20" s="13" t="s">
        <v>120</v>
      </c>
      <c r="J20" s="13" t="s">
        <v>27</v>
      </c>
      <c r="K20" s="13" t="s">
        <v>121</v>
      </c>
      <c r="L20" s="13" t="s">
        <v>29</v>
      </c>
      <c r="M20" s="13" t="s">
        <v>30</v>
      </c>
      <c r="N20" s="15">
        <v>2</v>
      </c>
      <c r="O20" s="14" t="s">
        <v>50</v>
      </c>
      <c r="P20" s="14" t="s">
        <v>32</v>
      </c>
      <c r="Q20" s="14" t="s">
        <v>75</v>
      </c>
      <c r="R20" s="14" t="s">
        <v>76</v>
      </c>
      <c r="S20" s="14" t="s">
        <v>122</v>
      </c>
      <c r="T20" s="13" t="s">
        <v>123</v>
      </c>
      <c r="U20" s="12">
        <v>25569.25</v>
      </c>
      <c r="V20" s="12">
        <v>25569.604166666701</v>
      </c>
      <c r="W20" s="14"/>
      <c r="X20" s="17"/>
      <c r="Y20" s="18" t="s">
        <v>37</v>
      </c>
      <c r="Z20" s="18"/>
      <c r="AA20" s="19"/>
      <c r="AB20" s="20"/>
    </row>
    <row r="21" spans="2:28" s="10" customFormat="1" ht="48" hidden="1" x14ac:dyDescent="0.2">
      <c r="B21" s="21">
        <v>43115</v>
      </c>
      <c r="C21" s="22">
        <v>25569.517361111099</v>
      </c>
      <c r="D21" s="23" t="s">
        <v>124</v>
      </c>
      <c r="E21" s="24"/>
      <c r="F21" s="24"/>
      <c r="G21" s="25">
        <v>30</v>
      </c>
      <c r="H21" s="23"/>
      <c r="I21" s="23" t="s">
        <v>93</v>
      </c>
      <c r="J21" s="23" t="s">
        <v>27</v>
      </c>
      <c r="K21" s="23" t="s">
        <v>28</v>
      </c>
      <c r="L21" s="23" t="s">
        <v>29</v>
      </c>
      <c r="M21" s="23" t="s">
        <v>30</v>
      </c>
      <c r="N21" s="25">
        <v>7</v>
      </c>
      <c r="O21" s="24" t="s">
        <v>41</v>
      </c>
      <c r="P21" s="24" t="s">
        <v>125</v>
      </c>
      <c r="Q21" s="24" t="s">
        <v>88</v>
      </c>
      <c r="R21" s="24" t="s">
        <v>126</v>
      </c>
      <c r="S21" s="24" t="s">
        <v>45</v>
      </c>
      <c r="T21" s="23" t="s">
        <v>127</v>
      </c>
      <c r="U21" s="22">
        <v>25569.270833333299</v>
      </c>
      <c r="V21" s="22">
        <v>25569.597222222201</v>
      </c>
      <c r="W21" s="24"/>
      <c r="X21" s="26"/>
      <c r="Y21" s="27" t="s">
        <v>37</v>
      </c>
      <c r="Z21" s="27"/>
      <c r="AA21" s="19"/>
      <c r="AB21" s="20"/>
    </row>
    <row r="22" spans="2:28" s="10" customFormat="1" ht="60" hidden="1" x14ac:dyDescent="0.2">
      <c r="B22" s="11">
        <v>43117</v>
      </c>
      <c r="C22" s="12">
        <v>25569.375</v>
      </c>
      <c r="D22" s="13" t="s">
        <v>128</v>
      </c>
      <c r="E22" s="14"/>
      <c r="F22" s="14"/>
      <c r="G22" s="15">
        <v>47</v>
      </c>
      <c r="H22" s="13"/>
      <c r="I22" s="13" t="s">
        <v>49</v>
      </c>
      <c r="J22" s="13" t="s">
        <v>27</v>
      </c>
      <c r="K22" s="13" t="s">
        <v>28</v>
      </c>
      <c r="L22" s="13" t="s">
        <v>30</v>
      </c>
      <c r="M22" s="13" t="s">
        <v>30</v>
      </c>
      <c r="N22" s="15"/>
      <c r="O22" s="14" t="s">
        <v>98</v>
      </c>
      <c r="P22" s="14" t="s">
        <v>115</v>
      </c>
      <c r="Q22" s="14" t="s">
        <v>116</v>
      </c>
      <c r="R22" s="14" t="s">
        <v>117</v>
      </c>
      <c r="S22" s="14" t="s">
        <v>45</v>
      </c>
      <c r="T22" s="13" t="s">
        <v>129</v>
      </c>
      <c r="U22" s="12">
        <v>25569.263888888901</v>
      </c>
      <c r="V22" s="12">
        <v>25569.615277777801</v>
      </c>
      <c r="W22" s="14" t="s">
        <v>130</v>
      </c>
      <c r="X22" s="17"/>
      <c r="Y22" s="18" t="s">
        <v>73</v>
      </c>
      <c r="Z22" s="18"/>
      <c r="AA22" s="19"/>
      <c r="AB22" s="20"/>
    </row>
    <row r="23" spans="2:28" s="10" customFormat="1" ht="48" hidden="1" x14ac:dyDescent="0.2">
      <c r="B23" s="21">
        <v>43117</v>
      </c>
      <c r="C23" s="22">
        <v>25569.375</v>
      </c>
      <c r="D23" s="23" t="s">
        <v>131</v>
      </c>
      <c r="E23" s="24"/>
      <c r="F23" s="24"/>
      <c r="G23" s="25">
        <v>44</v>
      </c>
      <c r="H23" s="23"/>
      <c r="I23" s="23" t="s">
        <v>120</v>
      </c>
      <c r="J23" s="23" t="s">
        <v>27</v>
      </c>
      <c r="K23" s="23" t="s">
        <v>28</v>
      </c>
      <c r="L23" s="23" t="s">
        <v>30</v>
      </c>
      <c r="M23" s="23" t="s">
        <v>29</v>
      </c>
      <c r="N23" s="25"/>
      <c r="O23" s="24" t="s">
        <v>31</v>
      </c>
      <c r="P23" s="24" t="s">
        <v>51</v>
      </c>
      <c r="Q23" s="24" t="s">
        <v>88</v>
      </c>
      <c r="R23" s="24"/>
      <c r="S23" s="24" t="s">
        <v>45</v>
      </c>
      <c r="T23" s="23" t="s">
        <v>132</v>
      </c>
      <c r="U23" s="22">
        <v>25569.2680555556</v>
      </c>
      <c r="V23" s="22">
        <v>25569.604166666701</v>
      </c>
      <c r="W23" s="24"/>
      <c r="X23" s="26"/>
      <c r="Y23" s="27"/>
      <c r="Z23" s="27"/>
      <c r="AA23" s="19"/>
      <c r="AB23" s="20"/>
    </row>
    <row r="24" spans="2:28" s="10" customFormat="1" ht="48" hidden="1" x14ac:dyDescent="0.2">
      <c r="B24" s="21">
        <v>43117</v>
      </c>
      <c r="C24" s="22">
        <v>25569.729166666701</v>
      </c>
      <c r="D24" s="23" t="s">
        <v>133</v>
      </c>
      <c r="E24" s="24"/>
      <c r="F24" s="24"/>
      <c r="G24" s="25">
        <v>40</v>
      </c>
      <c r="H24" s="23"/>
      <c r="I24" s="23" t="s">
        <v>93</v>
      </c>
      <c r="J24" s="23" t="s">
        <v>27</v>
      </c>
      <c r="K24" s="23" t="s">
        <v>28</v>
      </c>
      <c r="L24" s="23" t="s">
        <v>29</v>
      </c>
      <c r="M24" s="23" t="s">
        <v>30</v>
      </c>
      <c r="N24" s="25">
        <v>72</v>
      </c>
      <c r="O24" s="24" t="s">
        <v>68</v>
      </c>
      <c r="P24" s="24" t="s">
        <v>32</v>
      </c>
      <c r="Q24" s="24" t="s">
        <v>88</v>
      </c>
      <c r="R24" s="24" t="s">
        <v>134</v>
      </c>
      <c r="S24" s="24" t="s">
        <v>135</v>
      </c>
      <c r="T24" s="23" t="s">
        <v>136</v>
      </c>
      <c r="U24" s="22">
        <v>25569.583333333299</v>
      </c>
      <c r="V24" s="22">
        <v>25569.9375</v>
      </c>
      <c r="W24" s="24"/>
      <c r="X24" s="26"/>
      <c r="Y24" s="27"/>
      <c r="Z24" s="27" t="s">
        <v>137</v>
      </c>
      <c r="AA24" s="19"/>
      <c r="AB24" s="20"/>
    </row>
    <row r="25" spans="2:28" s="10" customFormat="1" ht="120" hidden="1" x14ac:dyDescent="0.2">
      <c r="B25" s="11">
        <v>43118</v>
      </c>
      <c r="C25" s="12">
        <v>25569.40625</v>
      </c>
      <c r="D25" s="13" t="s">
        <v>138</v>
      </c>
      <c r="E25" s="14"/>
      <c r="F25" s="14"/>
      <c r="G25" s="15">
        <v>54</v>
      </c>
      <c r="H25" s="13"/>
      <c r="I25" s="13" t="s">
        <v>139</v>
      </c>
      <c r="J25" s="13" t="s">
        <v>27</v>
      </c>
      <c r="K25" s="13" t="s">
        <v>28</v>
      </c>
      <c r="L25" s="13" t="s">
        <v>30</v>
      </c>
      <c r="M25" s="13" t="s">
        <v>30</v>
      </c>
      <c r="N25" s="15"/>
      <c r="O25" s="14" t="s">
        <v>41</v>
      </c>
      <c r="P25" s="14" t="s">
        <v>32</v>
      </c>
      <c r="Q25" s="14" t="s">
        <v>43</v>
      </c>
      <c r="R25" s="14" t="s">
        <v>44</v>
      </c>
      <c r="S25" s="14" t="s">
        <v>140</v>
      </c>
      <c r="T25" s="29" t="s">
        <v>141</v>
      </c>
      <c r="U25" s="12">
        <v>25569.260416666701</v>
      </c>
      <c r="V25" s="12">
        <v>25569.611111111099</v>
      </c>
      <c r="W25" s="14"/>
      <c r="X25" s="17"/>
      <c r="Y25" s="18" t="s">
        <v>37</v>
      </c>
      <c r="Z25" s="18"/>
      <c r="AA25" s="19"/>
      <c r="AB25" s="20"/>
    </row>
    <row r="26" spans="2:28" s="10" customFormat="1" ht="60" x14ac:dyDescent="0.2">
      <c r="B26" s="21">
        <v>43118</v>
      </c>
      <c r="C26" s="22">
        <v>25569.520833333299</v>
      </c>
      <c r="D26" s="23" t="s">
        <v>142</v>
      </c>
      <c r="E26" s="24"/>
      <c r="F26" s="24"/>
      <c r="G26" s="25">
        <v>37</v>
      </c>
      <c r="H26" s="23"/>
      <c r="I26" s="23" t="s">
        <v>49</v>
      </c>
      <c r="J26" s="23" t="s">
        <v>27</v>
      </c>
      <c r="K26" s="23" t="s">
        <v>28</v>
      </c>
      <c r="L26" s="23" t="s">
        <v>29</v>
      </c>
      <c r="M26" s="23" t="s">
        <v>30</v>
      </c>
      <c r="N26" s="25">
        <v>0</v>
      </c>
      <c r="O26" s="24" t="s">
        <v>50</v>
      </c>
      <c r="P26" s="24" t="s">
        <v>32</v>
      </c>
      <c r="Q26" s="24" t="s">
        <v>116</v>
      </c>
      <c r="R26" s="24" t="s">
        <v>117</v>
      </c>
      <c r="S26" s="24" t="s">
        <v>143</v>
      </c>
      <c r="T26" s="23" t="s">
        <v>144</v>
      </c>
      <c r="U26" s="22">
        <v>25569.21875</v>
      </c>
      <c r="V26" s="22">
        <v>25569.570138888899</v>
      </c>
      <c r="W26" s="24" t="s">
        <v>145</v>
      </c>
      <c r="X26" s="26"/>
      <c r="Y26" s="27" t="s">
        <v>146</v>
      </c>
      <c r="Z26" s="27"/>
      <c r="AA26" s="19"/>
      <c r="AB26" s="20"/>
    </row>
    <row r="27" spans="2:28" s="10" customFormat="1" ht="60" hidden="1" x14ac:dyDescent="0.2">
      <c r="B27" s="11">
        <v>43120</v>
      </c>
      <c r="C27" s="12">
        <v>25569.322916666701</v>
      </c>
      <c r="D27" s="13" t="s">
        <v>147</v>
      </c>
      <c r="E27" s="14"/>
      <c r="F27" s="14"/>
      <c r="G27" s="15">
        <v>36</v>
      </c>
      <c r="H27" s="13"/>
      <c r="I27" s="13" t="s">
        <v>93</v>
      </c>
      <c r="J27" s="13" t="s">
        <v>27</v>
      </c>
      <c r="K27" s="13" t="s">
        <v>28</v>
      </c>
      <c r="L27" s="13" t="s">
        <v>29</v>
      </c>
      <c r="M27" s="13" t="s">
        <v>30</v>
      </c>
      <c r="N27" s="15">
        <v>4</v>
      </c>
      <c r="O27" s="14" t="s">
        <v>98</v>
      </c>
      <c r="P27" s="14" t="s">
        <v>148</v>
      </c>
      <c r="Q27" s="14" t="s">
        <v>149</v>
      </c>
      <c r="R27" s="14" t="s">
        <v>150</v>
      </c>
      <c r="S27" s="14" t="s">
        <v>45</v>
      </c>
      <c r="T27" s="13" t="s">
        <v>151</v>
      </c>
      <c r="U27" s="12">
        <v>25569.25</v>
      </c>
      <c r="V27" s="12">
        <v>25569.598611111101</v>
      </c>
      <c r="W27" s="14"/>
      <c r="X27" s="17"/>
      <c r="Y27" s="18"/>
      <c r="Z27" s="18" t="s">
        <v>38</v>
      </c>
      <c r="AA27" s="19"/>
      <c r="AB27" s="20"/>
    </row>
    <row r="28" spans="2:28" s="10" customFormat="1" ht="72" hidden="1" x14ac:dyDescent="0.2">
      <c r="B28" s="11">
        <v>43122</v>
      </c>
      <c r="C28" s="12">
        <v>25569.5625</v>
      </c>
      <c r="D28" s="13" t="s">
        <v>152</v>
      </c>
      <c r="E28" s="14"/>
      <c r="F28" s="14"/>
      <c r="G28" s="15">
        <v>40</v>
      </c>
      <c r="H28" s="13"/>
      <c r="I28" s="13" t="s">
        <v>26</v>
      </c>
      <c r="J28" s="13" t="s">
        <v>27</v>
      </c>
      <c r="K28" s="13" t="s">
        <v>28</v>
      </c>
      <c r="L28" s="13" t="s">
        <v>30</v>
      </c>
      <c r="M28" s="13" t="s">
        <v>29</v>
      </c>
      <c r="N28" s="15"/>
      <c r="O28" s="14" t="s">
        <v>31</v>
      </c>
      <c r="P28" s="14" t="s">
        <v>42</v>
      </c>
      <c r="Q28" s="14" t="s">
        <v>43</v>
      </c>
      <c r="R28" s="14" t="s">
        <v>153</v>
      </c>
      <c r="S28" s="14" t="s">
        <v>154</v>
      </c>
      <c r="T28" s="13" t="s">
        <v>155</v>
      </c>
      <c r="U28" s="12">
        <v>25569.25</v>
      </c>
      <c r="V28" s="12">
        <v>25569.617361111101</v>
      </c>
      <c r="W28" s="14"/>
      <c r="X28" s="17"/>
      <c r="Y28" s="18"/>
      <c r="Z28" s="18"/>
      <c r="AA28" s="19"/>
      <c r="AB28" s="20"/>
    </row>
    <row r="29" spans="2:28" s="10" customFormat="1" ht="60" hidden="1" x14ac:dyDescent="0.2">
      <c r="B29" s="21">
        <v>43125</v>
      </c>
      <c r="C29" s="22">
        <v>25569.416666666701</v>
      </c>
      <c r="D29" s="23" t="s">
        <v>156</v>
      </c>
      <c r="E29" s="24"/>
      <c r="F29" s="24"/>
      <c r="G29" s="25">
        <v>31</v>
      </c>
      <c r="H29" s="23"/>
      <c r="I29" s="23" t="s">
        <v>55</v>
      </c>
      <c r="J29" s="23" t="s">
        <v>27</v>
      </c>
      <c r="K29" s="23" t="s">
        <v>28</v>
      </c>
      <c r="L29" s="23" t="s">
        <v>30</v>
      </c>
      <c r="M29" s="23" t="s">
        <v>29</v>
      </c>
      <c r="N29" s="25"/>
      <c r="O29" s="24" t="s">
        <v>98</v>
      </c>
      <c r="P29" s="24" t="s">
        <v>148</v>
      </c>
      <c r="Q29" s="24" t="s">
        <v>149</v>
      </c>
      <c r="R29" s="24" t="s">
        <v>150</v>
      </c>
      <c r="S29" s="24" t="s">
        <v>45</v>
      </c>
      <c r="T29" s="23" t="s">
        <v>157</v>
      </c>
      <c r="U29" s="22">
        <v>25569.253472222201</v>
      </c>
      <c r="V29" s="22">
        <v>25569.604166666701</v>
      </c>
      <c r="W29" s="24"/>
      <c r="X29" s="26"/>
      <c r="Y29" s="27"/>
      <c r="Z29" s="27"/>
      <c r="AA29" s="19"/>
      <c r="AB29" s="20"/>
    </row>
    <row r="30" spans="2:28" s="10" customFormat="1" ht="60" hidden="1" x14ac:dyDescent="0.2">
      <c r="B30" s="11">
        <v>43126</v>
      </c>
      <c r="C30" s="12">
        <v>25569.375</v>
      </c>
      <c r="D30" s="13" t="s">
        <v>158</v>
      </c>
      <c r="E30" s="14"/>
      <c r="F30" s="14"/>
      <c r="G30" s="15">
        <v>39</v>
      </c>
      <c r="H30" s="13"/>
      <c r="I30" s="13" t="s">
        <v>26</v>
      </c>
      <c r="J30" s="13" t="s">
        <v>27</v>
      </c>
      <c r="K30" s="13" t="s">
        <v>28</v>
      </c>
      <c r="L30" s="13" t="s">
        <v>29</v>
      </c>
      <c r="M30" s="13" t="s">
        <v>30</v>
      </c>
      <c r="N30" s="15">
        <v>2</v>
      </c>
      <c r="O30" s="14" t="s">
        <v>31</v>
      </c>
      <c r="P30" s="14" t="s">
        <v>42</v>
      </c>
      <c r="Q30" s="14" t="s">
        <v>43</v>
      </c>
      <c r="R30" s="14" t="s">
        <v>153</v>
      </c>
      <c r="S30" s="14" t="s">
        <v>159</v>
      </c>
      <c r="T30" s="13" t="s">
        <v>160</v>
      </c>
      <c r="U30" s="12">
        <v>25569.28125</v>
      </c>
      <c r="V30" s="12">
        <v>25569.649305555598</v>
      </c>
      <c r="W30" s="14"/>
      <c r="X30" s="17">
        <v>43154</v>
      </c>
      <c r="Y30" s="18" t="s">
        <v>37</v>
      </c>
      <c r="Z30" s="18"/>
      <c r="AA30" s="19"/>
      <c r="AB30" s="20"/>
    </row>
    <row r="31" spans="2:28" s="10" customFormat="1" ht="72" hidden="1" x14ac:dyDescent="0.2">
      <c r="B31" s="21">
        <v>43126</v>
      </c>
      <c r="C31" s="22">
        <v>25569.416666666701</v>
      </c>
      <c r="D31" s="23" t="s">
        <v>161</v>
      </c>
      <c r="E31" s="24"/>
      <c r="F31" s="24"/>
      <c r="G31" s="25">
        <v>54</v>
      </c>
      <c r="H31" s="23"/>
      <c r="I31" s="23" t="s">
        <v>162</v>
      </c>
      <c r="J31" s="23" t="s">
        <v>27</v>
      </c>
      <c r="K31" s="23" t="s">
        <v>28</v>
      </c>
      <c r="L31" s="23" t="s">
        <v>30</v>
      </c>
      <c r="M31" s="23" t="s">
        <v>30</v>
      </c>
      <c r="N31" s="25"/>
      <c r="O31" s="24" t="s">
        <v>163</v>
      </c>
      <c r="P31" s="24" t="s">
        <v>42</v>
      </c>
      <c r="Q31" s="24" t="s">
        <v>57</v>
      </c>
      <c r="R31" s="24" t="s">
        <v>164</v>
      </c>
      <c r="S31" s="28" t="s">
        <v>165</v>
      </c>
      <c r="T31" s="23" t="s">
        <v>166</v>
      </c>
      <c r="U31" s="22">
        <v>25569.302083333299</v>
      </c>
      <c r="V31" s="22">
        <v>25569.645833333299</v>
      </c>
      <c r="W31" s="24"/>
      <c r="X31" s="26"/>
      <c r="Y31" s="27" t="s">
        <v>73</v>
      </c>
      <c r="Z31" s="27"/>
      <c r="AA31" s="19"/>
      <c r="AB31" s="20"/>
    </row>
    <row r="32" spans="2:28" s="10" customFormat="1" ht="60" hidden="1" x14ac:dyDescent="0.2">
      <c r="B32" s="11">
        <v>43127</v>
      </c>
      <c r="C32" s="12">
        <v>25569.958333333299</v>
      </c>
      <c r="D32" s="13" t="s">
        <v>167</v>
      </c>
      <c r="E32" s="14"/>
      <c r="F32" s="14"/>
      <c r="G32" s="15">
        <v>57</v>
      </c>
      <c r="H32" s="13"/>
      <c r="I32" s="13" t="s">
        <v>168</v>
      </c>
      <c r="J32" s="13" t="s">
        <v>27</v>
      </c>
      <c r="K32" s="13" t="s">
        <v>28</v>
      </c>
      <c r="L32" s="13" t="s">
        <v>30</v>
      </c>
      <c r="M32" s="13" t="s">
        <v>30</v>
      </c>
      <c r="N32" s="15"/>
      <c r="O32" s="14" t="s">
        <v>31</v>
      </c>
      <c r="P32" s="14" t="s">
        <v>169</v>
      </c>
      <c r="Q32" s="14" t="s">
        <v>43</v>
      </c>
      <c r="R32" s="14" t="s">
        <v>64</v>
      </c>
      <c r="S32" s="14" t="s">
        <v>170</v>
      </c>
      <c r="T32" s="13" t="s">
        <v>171</v>
      </c>
      <c r="U32" s="12">
        <v>25569.583333333299</v>
      </c>
      <c r="V32" s="12">
        <v>25569</v>
      </c>
      <c r="W32" s="14"/>
      <c r="X32" s="17"/>
      <c r="Y32" s="18"/>
      <c r="Z32" s="18" t="s">
        <v>86</v>
      </c>
      <c r="AA32" s="19"/>
      <c r="AB32" s="20"/>
    </row>
    <row r="33" spans="2:28" s="10" customFormat="1" ht="84" hidden="1" x14ac:dyDescent="0.2">
      <c r="B33" s="21">
        <v>43129</v>
      </c>
      <c r="C33" s="22">
        <v>25569.177083333299</v>
      </c>
      <c r="D33" s="23" t="s">
        <v>172</v>
      </c>
      <c r="E33" s="24"/>
      <c r="F33" s="24"/>
      <c r="G33" s="25">
        <v>33</v>
      </c>
      <c r="H33" s="23"/>
      <c r="I33" s="23" t="s">
        <v>55</v>
      </c>
      <c r="J33" s="23" t="s">
        <v>27</v>
      </c>
      <c r="K33" s="23" t="s">
        <v>28</v>
      </c>
      <c r="L33" s="23" t="s">
        <v>29</v>
      </c>
      <c r="M33" s="23" t="s">
        <v>30</v>
      </c>
      <c r="N33" s="25">
        <v>16</v>
      </c>
      <c r="O33" s="24" t="s">
        <v>41</v>
      </c>
      <c r="P33" s="24" t="s">
        <v>32</v>
      </c>
      <c r="Q33" s="24" t="s">
        <v>116</v>
      </c>
      <c r="R33" s="24"/>
      <c r="S33" s="24" t="s">
        <v>173</v>
      </c>
      <c r="T33" s="23" t="s">
        <v>174</v>
      </c>
      <c r="U33" s="22">
        <v>25569.916666666701</v>
      </c>
      <c r="V33" s="22">
        <v>25569.260416666701</v>
      </c>
      <c r="W33" s="24"/>
      <c r="X33" s="26"/>
      <c r="Y33" s="27" t="s">
        <v>37</v>
      </c>
      <c r="Z33" s="27"/>
      <c r="AA33" s="19"/>
      <c r="AB33" s="20"/>
    </row>
    <row r="34" spans="2:28" s="10" customFormat="1" ht="48" hidden="1" x14ac:dyDescent="0.2">
      <c r="B34" s="11">
        <v>43129</v>
      </c>
      <c r="C34" s="12">
        <v>25569.708333333299</v>
      </c>
      <c r="D34" s="13" t="s">
        <v>175</v>
      </c>
      <c r="E34" s="14"/>
      <c r="F34" s="14"/>
      <c r="G34" s="15">
        <v>35</v>
      </c>
      <c r="H34" s="13"/>
      <c r="I34" s="13" t="s">
        <v>26</v>
      </c>
      <c r="J34" s="13" t="s">
        <v>27</v>
      </c>
      <c r="K34" s="13" t="s">
        <v>28</v>
      </c>
      <c r="L34" s="13" t="s">
        <v>29</v>
      </c>
      <c r="M34" s="13" t="s">
        <v>30</v>
      </c>
      <c r="N34" s="15">
        <v>21</v>
      </c>
      <c r="O34" s="14" t="s">
        <v>31</v>
      </c>
      <c r="P34" s="14" t="s">
        <v>125</v>
      </c>
      <c r="Q34" s="14" t="s">
        <v>75</v>
      </c>
      <c r="R34" s="14"/>
      <c r="S34" s="14" t="s">
        <v>176</v>
      </c>
      <c r="T34" s="13" t="s">
        <v>177</v>
      </c>
      <c r="U34" s="12">
        <v>25569.603472222199</v>
      </c>
      <c r="V34" s="12">
        <v>25569.972222222201</v>
      </c>
      <c r="W34" s="14"/>
      <c r="X34" s="17">
        <v>43181</v>
      </c>
      <c r="Y34" s="18"/>
      <c r="Z34" s="18" t="s">
        <v>38</v>
      </c>
      <c r="AA34" s="19"/>
      <c r="AB34" s="20"/>
    </row>
    <row r="35" spans="2:28" s="10" customFormat="1" ht="48" hidden="1" x14ac:dyDescent="0.2">
      <c r="B35" s="21">
        <v>43129</v>
      </c>
      <c r="C35" s="22">
        <v>25569.75</v>
      </c>
      <c r="D35" s="23" t="s">
        <v>178</v>
      </c>
      <c r="E35" s="24"/>
      <c r="F35" s="24"/>
      <c r="G35" s="25">
        <v>39</v>
      </c>
      <c r="H35" s="23"/>
      <c r="I35" s="23" t="s">
        <v>26</v>
      </c>
      <c r="J35" s="23" t="s">
        <v>27</v>
      </c>
      <c r="K35" s="23" t="s">
        <v>28</v>
      </c>
      <c r="L35" s="23" t="s">
        <v>29</v>
      </c>
      <c r="M35" s="23" t="s">
        <v>30</v>
      </c>
      <c r="N35" s="25">
        <v>18</v>
      </c>
      <c r="O35" s="24" t="s">
        <v>31</v>
      </c>
      <c r="P35" s="24" t="s">
        <v>32</v>
      </c>
      <c r="Q35" s="24" t="s">
        <v>75</v>
      </c>
      <c r="R35" s="24" t="s">
        <v>76</v>
      </c>
      <c r="S35" s="24" t="s">
        <v>45</v>
      </c>
      <c r="T35" s="23" t="s">
        <v>179</v>
      </c>
      <c r="U35" s="22">
        <v>25569.604166666701</v>
      </c>
      <c r="V35" s="22">
        <v>25569.972222222201</v>
      </c>
      <c r="W35" s="24"/>
      <c r="X35" s="26">
        <v>43181</v>
      </c>
      <c r="Y35" s="27"/>
      <c r="Z35" s="27" t="s">
        <v>38</v>
      </c>
      <c r="AA35" s="19"/>
      <c r="AB35" s="20"/>
    </row>
    <row r="36" spans="2:28" s="10" customFormat="1" ht="48" hidden="1" x14ac:dyDescent="0.2">
      <c r="B36" s="11">
        <v>43130</v>
      </c>
      <c r="C36" s="12">
        <v>25569.659722222201</v>
      </c>
      <c r="D36" s="13" t="s">
        <v>180</v>
      </c>
      <c r="E36" s="14"/>
      <c r="F36" s="14"/>
      <c r="G36" s="15">
        <v>51</v>
      </c>
      <c r="H36" s="13"/>
      <c r="I36" s="13" t="s">
        <v>120</v>
      </c>
      <c r="J36" s="13" t="s">
        <v>27</v>
      </c>
      <c r="K36" s="13" t="s">
        <v>28</v>
      </c>
      <c r="L36" s="13" t="s">
        <v>30</v>
      </c>
      <c r="M36" s="13" t="s">
        <v>30</v>
      </c>
      <c r="N36" s="15"/>
      <c r="O36" s="14" t="s">
        <v>31</v>
      </c>
      <c r="P36" s="14" t="s">
        <v>32</v>
      </c>
      <c r="Q36" s="14" t="s">
        <v>33</v>
      </c>
      <c r="R36" s="14" t="s">
        <v>181</v>
      </c>
      <c r="S36" s="14" t="s">
        <v>45</v>
      </c>
      <c r="T36" s="13" t="s">
        <v>182</v>
      </c>
      <c r="U36" s="12">
        <v>25569.583333333299</v>
      </c>
      <c r="V36" s="12">
        <v>25569.947916666701</v>
      </c>
      <c r="W36" s="14"/>
      <c r="X36" s="17"/>
      <c r="Y36" s="18" t="s">
        <v>73</v>
      </c>
      <c r="Z36" s="18" t="s">
        <v>82</v>
      </c>
      <c r="AA36" s="19"/>
      <c r="AB36" s="20"/>
    </row>
    <row r="37" spans="2:28" s="10" customFormat="1" ht="48" hidden="1" x14ac:dyDescent="0.2">
      <c r="B37" s="21">
        <v>43130</v>
      </c>
      <c r="C37" s="22">
        <v>25569.729166666701</v>
      </c>
      <c r="D37" s="23" t="s">
        <v>183</v>
      </c>
      <c r="E37" s="24"/>
      <c r="F37" s="24"/>
      <c r="G37" s="25">
        <v>52</v>
      </c>
      <c r="H37" s="23"/>
      <c r="I37" s="23" t="s">
        <v>26</v>
      </c>
      <c r="J37" s="23" t="s">
        <v>27</v>
      </c>
      <c r="K37" s="23" t="s">
        <v>28</v>
      </c>
      <c r="L37" s="23" t="s">
        <v>29</v>
      </c>
      <c r="M37" s="23" t="s">
        <v>30</v>
      </c>
      <c r="N37" s="25">
        <v>3</v>
      </c>
      <c r="O37" s="24" t="s">
        <v>31</v>
      </c>
      <c r="P37" s="24" t="s">
        <v>32</v>
      </c>
      <c r="Q37" s="24" t="s">
        <v>75</v>
      </c>
      <c r="R37" s="24" t="s">
        <v>76</v>
      </c>
      <c r="S37" s="24" t="s">
        <v>184</v>
      </c>
      <c r="T37" s="23" t="s">
        <v>185</v>
      </c>
      <c r="U37" s="22">
        <v>25569.708333333299</v>
      </c>
      <c r="V37" s="22">
        <v>25569.930555555598</v>
      </c>
      <c r="W37" s="24"/>
      <c r="X37" s="26"/>
      <c r="Y37" s="27" t="s">
        <v>37</v>
      </c>
      <c r="Z37" s="27" t="s">
        <v>186</v>
      </c>
      <c r="AA37" s="19"/>
      <c r="AB37" s="20"/>
    </row>
    <row r="38" spans="2:28" s="10" customFormat="1" ht="84" hidden="1" x14ac:dyDescent="0.2">
      <c r="B38" s="11">
        <v>43130</v>
      </c>
      <c r="C38" s="12">
        <v>25569.833333333299</v>
      </c>
      <c r="D38" s="13" t="s">
        <v>187</v>
      </c>
      <c r="E38" s="14"/>
      <c r="F38" s="14"/>
      <c r="G38" s="15">
        <v>57</v>
      </c>
      <c r="H38" s="13"/>
      <c r="I38" s="13" t="s">
        <v>188</v>
      </c>
      <c r="J38" s="13" t="s">
        <v>27</v>
      </c>
      <c r="K38" s="13" t="s">
        <v>121</v>
      </c>
      <c r="L38" s="13" t="s">
        <v>29</v>
      </c>
      <c r="M38" s="13" t="s">
        <v>30</v>
      </c>
      <c r="N38" s="15">
        <v>1</v>
      </c>
      <c r="O38" s="14" t="s">
        <v>68</v>
      </c>
      <c r="P38" s="14" t="s">
        <v>189</v>
      </c>
      <c r="Q38" s="14" t="s">
        <v>43</v>
      </c>
      <c r="R38" s="14" t="s">
        <v>190</v>
      </c>
      <c r="S38" s="14" t="s">
        <v>191</v>
      </c>
      <c r="T38" s="29" t="s">
        <v>192</v>
      </c>
      <c r="U38" s="12">
        <v>25569.375</v>
      </c>
      <c r="V38" s="12">
        <v>25569.75</v>
      </c>
      <c r="W38" s="14"/>
      <c r="X38" s="17"/>
      <c r="Y38" s="18" t="s">
        <v>73</v>
      </c>
      <c r="Z38" s="18"/>
      <c r="AA38" s="19"/>
      <c r="AB38" s="20"/>
    </row>
    <row r="39" spans="2:28" s="10" customFormat="1" ht="48" hidden="1" x14ac:dyDescent="0.2">
      <c r="B39" s="21">
        <v>43130</v>
      </c>
      <c r="C39" s="22">
        <v>25569.854166666701</v>
      </c>
      <c r="D39" s="23" t="s">
        <v>193</v>
      </c>
      <c r="E39" s="24"/>
      <c r="F39" s="24"/>
      <c r="G39" s="25">
        <v>56</v>
      </c>
      <c r="H39" s="23"/>
      <c r="I39" s="23" t="s">
        <v>120</v>
      </c>
      <c r="J39" s="23" t="s">
        <v>27</v>
      </c>
      <c r="K39" s="23" t="s">
        <v>28</v>
      </c>
      <c r="L39" s="23" t="s">
        <v>30</v>
      </c>
      <c r="M39" s="23" t="s">
        <v>30</v>
      </c>
      <c r="N39" s="25"/>
      <c r="O39" s="24" t="s">
        <v>31</v>
      </c>
      <c r="P39" s="24" t="s">
        <v>32</v>
      </c>
      <c r="Q39" s="24" t="s">
        <v>43</v>
      </c>
      <c r="R39" s="24" t="s">
        <v>44</v>
      </c>
      <c r="S39" s="24" t="s">
        <v>45</v>
      </c>
      <c r="T39" s="23" t="s">
        <v>194</v>
      </c>
      <c r="U39" s="22">
        <v>25569.583333333299</v>
      </c>
      <c r="V39" s="22">
        <v>25569.947916666701</v>
      </c>
      <c r="W39" s="24"/>
      <c r="X39" s="26"/>
      <c r="Y39" s="27" t="s">
        <v>73</v>
      </c>
      <c r="Z39" s="27" t="s">
        <v>82</v>
      </c>
      <c r="AA39" s="19"/>
      <c r="AB39" s="20"/>
    </row>
    <row r="40" spans="2:28" s="10" customFormat="1" ht="48" hidden="1" x14ac:dyDescent="0.2">
      <c r="B40" s="11">
        <v>43131</v>
      </c>
      <c r="C40" s="12">
        <v>25569.190972222201</v>
      </c>
      <c r="D40" s="13" t="s">
        <v>195</v>
      </c>
      <c r="E40" s="14"/>
      <c r="F40" s="14"/>
      <c r="G40" s="15">
        <v>44</v>
      </c>
      <c r="H40" s="13"/>
      <c r="I40" s="13" t="s">
        <v>49</v>
      </c>
      <c r="J40" s="13" t="s">
        <v>27</v>
      </c>
      <c r="K40" s="13" t="s">
        <v>28</v>
      </c>
      <c r="L40" s="13" t="s">
        <v>30</v>
      </c>
      <c r="M40" s="13" t="s">
        <v>30</v>
      </c>
      <c r="N40" s="15"/>
      <c r="O40" s="14" t="s">
        <v>31</v>
      </c>
      <c r="P40" s="14" t="s">
        <v>32</v>
      </c>
      <c r="Q40" s="14" t="s">
        <v>196</v>
      </c>
      <c r="R40" s="14" t="s">
        <v>197</v>
      </c>
      <c r="S40" s="14" t="s">
        <v>198</v>
      </c>
      <c r="T40" s="13" t="s">
        <v>199</v>
      </c>
      <c r="U40" s="12">
        <v>25569.903472222199</v>
      </c>
      <c r="V40" s="12">
        <v>25569.253472222201</v>
      </c>
      <c r="W40" s="14"/>
      <c r="X40" s="17"/>
      <c r="Y40" s="18"/>
      <c r="Z40" s="18"/>
      <c r="AA40" s="19"/>
      <c r="AB40" s="20"/>
    </row>
    <row r="41" spans="2:28" s="10" customFormat="1" ht="36" hidden="1" x14ac:dyDescent="0.2">
      <c r="B41" s="21">
        <v>43131</v>
      </c>
      <c r="C41" s="22">
        <v>25569.944444444402</v>
      </c>
      <c r="D41" s="23" t="s">
        <v>200</v>
      </c>
      <c r="E41" s="24"/>
      <c r="F41" s="24"/>
      <c r="G41" s="25">
        <v>21</v>
      </c>
      <c r="H41" s="23"/>
      <c r="I41" s="23" t="s">
        <v>201</v>
      </c>
      <c r="J41" s="23" t="s">
        <v>27</v>
      </c>
      <c r="K41" s="23" t="s">
        <v>121</v>
      </c>
      <c r="L41" s="23" t="s">
        <v>29</v>
      </c>
      <c r="M41" s="23" t="s">
        <v>30</v>
      </c>
      <c r="N41" s="25">
        <v>8</v>
      </c>
      <c r="O41" s="24" t="s">
        <v>50</v>
      </c>
      <c r="P41" s="24"/>
      <c r="Q41" s="24" t="s">
        <v>88</v>
      </c>
      <c r="R41" s="24" t="s">
        <v>134</v>
      </c>
      <c r="S41" s="24" t="s">
        <v>202</v>
      </c>
      <c r="T41" s="23" t="s">
        <v>203</v>
      </c>
      <c r="U41" s="22">
        <v>25569.605555555601</v>
      </c>
      <c r="V41" s="22">
        <v>25569.929861111101</v>
      </c>
      <c r="W41" s="24"/>
      <c r="X41" s="26"/>
      <c r="Y41" s="27" t="s">
        <v>37</v>
      </c>
      <c r="Z41" s="27"/>
      <c r="AA41" s="19"/>
      <c r="AB41" s="20"/>
    </row>
    <row r="42" spans="2:28" s="10" customFormat="1" ht="48" hidden="1" x14ac:dyDescent="0.2">
      <c r="B42" s="11">
        <v>43132</v>
      </c>
      <c r="C42" s="12">
        <v>25569.302083333299</v>
      </c>
      <c r="D42" s="13" t="s">
        <v>204</v>
      </c>
      <c r="E42" s="14"/>
      <c r="F42" s="14"/>
      <c r="G42" s="15">
        <v>63</v>
      </c>
      <c r="H42" s="13"/>
      <c r="I42" s="13" t="s">
        <v>205</v>
      </c>
      <c r="J42" s="13" t="s">
        <v>27</v>
      </c>
      <c r="K42" s="13" t="s">
        <v>28</v>
      </c>
      <c r="L42" s="13" t="s">
        <v>29</v>
      </c>
      <c r="M42" s="13" t="s">
        <v>30</v>
      </c>
      <c r="N42" s="15">
        <v>242</v>
      </c>
      <c r="O42" s="14" t="s">
        <v>41</v>
      </c>
      <c r="P42" s="14" t="s">
        <v>206</v>
      </c>
      <c r="Q42" s="14" t="s">
        <v>33</v>
      </c>
      <c r="R42" s="14" t="s">
        <v>181</v>
      </c>
      <c r="S42" s="14" t="s">
        <v>45</v>
      </c>
      <c r="T42" s="13" t="s">
        <v>207</v>
      </c>
      <c r="U42" s="12">
        <v>25569.3125</v>
      </c>
      <c r="V42" s="12">
        <v>25569.645833333299</v>
      </c>
      <c r="W42" s="14"/>
      <c r="X42" s="17"/>
      <c r="Y42" s="18" t="s">
        <v>37</v>
      </c>
      <c r="Z42" s="18"/>
      <c r="AA42" s="19"/>
      <c r="AB42" s="20"/>
    </row>
    <row r="43" spans="2:28" s="10" customFormat="1" ht="48" hidden="1" x14ac:dyDescent="0.2">
      <c r="B43" s="11">
        <v>43134</v>
      </c>
      <c r="C43" s="12">
        <v>25569.770833333299</v>
      </c>
      <c r="D43" s="13" t="s">
        <v>208</v>
      </c>
      <c r="E43" s="14"/>
      <c r="F43" s="14"/>
      <c r="G43" s="15">
        <v>41</v>
      </c>
      <c r="H43" s="13"/>
      <c r="I43" s="13" t="s">
        <v>26</v>
      </c>
      <c r="J43" s="13" t="s">
        <v>27</v>
      </c>
      <c r="K43" s="13" t="s">
        <v>28</v>
      </c>
      <c r="L43" s="13" t="s">
        <v>29</v>
      </c>
      <c r="M43" s="13" t="s">
        <v>30</v>
      </c>
      <c r="N43" s="15">
        <v>12</v>
      </c>
      <c r="O43" s="14" t="s">
        <v>31</v>
      </c>
      <c r="P43" s="14" t="s">
        <v>32</v>
      </c>
      <c r="Q43" s="14" t="s">
        <v>33</v>
      </c>
      <c r="R43" s="14" t="s">
        <v>70</v>
      </c>
      <c r="S43" s="14" t="s">
        <v>45</v>
      </c>
      <c r="T43" s="13" t="s">
        <v>209</v>
      </c>
      <c r="U43" s="12">
        <v>25569.659722222201</v>
      </c>
      <c r="V43" s="12">
        <v>25569.020833333299</v>
      </c>
      <c r="W43" s="14"/>
      <c r="X43" s="17"/>
      <c r="Y43" s="18" t="s">
        <v>37</v>
      </c>
      <c r="Z43" s="18" t="s">
        <v>82</v>
      </c>
      <c r="AA43" s="19"/>
      <c r="AB43" s="20"/>
    </row>
    <row r="44" spans="2:28" s="10" customFormat="1" ht="48" hidden="1" x14ac:dyDescent="0.2">
      <c r="B44" s="21">
        <v>43136</v>
      </c>
      <c r="C44" s="22">
        <v>25569.229166666701</v>
      </c>
      <c r="D44" s="23" t="s">
        <v>210</v>
      </c>
      <c r="E44" s="24"/>
      <c r="F44" s="24"/>
      <c r="G44" s="25">
        <v>32</v>
      </c>
      <c r="H44" s="23"/>
      <c r="I44" s="23" t="s">
        <v>139</v>
      </c>
      <c r="J44" s="23" t="s">
        <v>27</v>
      </c>
      <c r="K44" s="23" t="s">
        <v>121</v>
      </c>
      <c r="L44" s="23" t="s">
        <v>29</v>
      </c>
      <c r="M44" s="23" t="s">
        <v>30</v>
      </c>
      <c r="N44" s="25">
        <v>88</v>
      </c>
      <c r="O44" s="24" t="s">
        <v>41</v>
      </c>
      <c r="P44" s="24" t="s">
        <v>32</v>
      </c>
      <c r="Q44" s="24" t="s">
        <v>33</v>
      </c>
      <c r="R44" s="24"/>
      <c r="S44" s="24" t="s">
        <v>211</v>
      </c>
      <c r="T44" s="23" t="s">
        <v>212</v>
      </c>
      <c r="U44" s="22">
        <v>25569.260416666701</v>
      </c>
      <c r="V44" s="22">
        <v>25569.611111111099</v>
      </c>
      <c r="W44" s="24"/>
      <c r="X44" s="26"/>
      <c r="Y44" s="27" t="s">
        <v>37</v>
      </c>
      <c r="Z44" s="27"/>
      <c r="AA44" s="19"/>
      <c r="AB44" s="20"/>
    </row>
    <row r="45" spans="2:28" s="10" customFormat="1" ht="72" hidden="1" x14ac:dyDescent="0.2">
      <c r="B45" s="21">
        <v>43136</v>
      </c>
      <c r="C45" s="22">
        <v>25569.340277777799</v>
      </c>
      <c r="D45" s="23" t="s">
        <v>213</v>
      </c>
      <c r="E45" s="24"/>
      <c r="F45" s="24"/>
      <c r="G45" s="25">
        <v>38</v>
      </c>
      <c r="H45" s="23"/>
      <c r="I45" s="23" t="s">
        <v>214</v>
      </c>
      <c r="J45" s="23" t="s">
        <v>27</v>
      </c>
      <c r="K45" s="23" t="s">
        <v>121</v>
      </c>
      <c r="L45" s="23" t="s">
        <v>30</v>
      </c>
      <c r="M45" s="23" t="s">
        <v>30</v>
      </c>
      <c r="N45" s="25"/>
      <c r="O45" s="24" t="s">
        <v>215</v>
      </c>
      <c r="P45" s="24" t="s">
        <v>169</v>
      </c>
      <c r="Q45" s="24" t="s">
        <v>33</v>
      </c>
      <c r="R45" s="24" t="s">
        <v>216</v>
      </c>
      <c r="S45" s="24" t="s">
        <v>45</v>
      </c>
      <c r="T45" s="23" t="s">
        <v>217</v>
      </c>
      <c r="U45" s="22">
        <v>25569.354166666701</v>
      </c>
      <c r="V45" s="22">
        <v>25569.666666666701</v>
      </c>
      <c r="W45" s="24"/>
      <c r="X45" s="26"/>
      <c r="Y45" s="27" t="s">
        <v>37</v>
      </c>
      <c r="Z45" s="27"/>
      <c r="AA45" s="19"/>
      <c r="AB45" s="20"/>
    </row>
    <row r="46" spans="2:28" s="10" customFormat="1" ht="72" hidden="1" x14ac:dyDescent="0.2">
      <c r="B46" s="21">
        <v>43136</v>
      </c>
      <c r="C46" s="22">
        <v>25569.822916666701</v>
      </c>
      <c r="D46" s="23" t="s">
        <v>218</v>
      </c>
      <c r="E46" s="24"/>
      <c r="F46" s="24"/>
      <c r="G46" s="25">
        <v>47</v>
      </c>
      <c r="H46" s="23"/>
      <c r="I46" s="23" t="s">
        <v>55</v>
      </c>
      <c r="J46" s="23" t="s">
        <v>27</v>
      </c>
      <c r="K46" s="23" t="s">
        <v>28</v>
      </c>
      <c r="L46" s="23" t="s">
        <v>29</v>
      </c>
      <c r="M46" s="23" t="s">
        <v>30</v>
      </c>
      <c r="N46" s="25">
        <v>11</v>
      </c>
      <c r="O46" s="24" t="s">
        <v>68</v>
      </c>
      <c r="P46" s="24" t="s">
        <v>63</v>
      </c>
      <c r="Q46" s="24" t="s">
        <v>88</v>
      </c>
      <c r="R46" s="24" t="s">
        <v>126</v>
      </c>
      <c r="S46" s="24" t="s">
        <v>45</v>
      </c>
      <c r="T46" s="23" t="s">
        <v>219</v>
      </c>
      <c r="U46" s="22">
        <v>25569.590277777799</v>
      </c>
      <c r="V46" s="22">
        <v>25569.940972222201</v>
      </c>
      <c r="W46" s="24"/>
      <c r="X46" s="26"/>
      <c r="Y46" s="27"/>
      <c r="Z46" s="27"/>
      <c r="AA46" s="19"/>
      <c r="AB46" s="20"/>
    </row>
    <row r="47" spans="2:28" s="10" customFormat="1" ht="72" hidden="1" x14ac:dyDescent="0.2">
      <c r="B47" s="11">
        <v>43138</v>
      </c>
      <c r="C47" s="12">
        <v>25569.21875</v>
      </c>
      <c r="D47" s="13" t="s">
        <v>220</v>
      </c>
      <c r="E47" s="14"/>
      <c r="F47" s="14"/>
      <c r="G47" s="15">
        <v>34</v>
      </c>
      <c r="H47" s="13"/>
      <c r="I47" s="13" t="s">
        <v>205</v>
      </c>
      <c r="J47" s="13" t="s">
        <v>27</v>
      </c>
      <c r="K47" s="13" t="s">
        <v>121</v>
      </c>
      <c r="L47" s="13" t="s">
        <v>29</v>
      </c>
      <c r="M47" s="13" t="s">
        <v>30</v>
      </c>
      <c r="N47" s="15">
        <v>11</v>
      </c>
      <c r="O47" s="14" t="s">
        <v>215</v>
      </c>
      <c r="P47" s="14" t="s">
        <v>32</v>
      </c>
      <c r="Q47" s="14" t="s">
        <v>75</v>
      </c>
      <c r="R47" s="14" t="s">
        <v>76</v>
      </c>
      <c r="S47" s="14" t="s">
        <v>45</v>
      </c>
      <c r="T47" s="13" t="s">
        <v>221</v>
      </c>
      <c r="U47" s="12">
        <v>25569.256944444402</v>
      </c>
      <c r="V47" s="12">
        <v>25569.606250000001</v>
      </c>
      <c r="W47" s="14"/>
      <c r="X47" s="17"/>
      <c r="Y47" s="18" t="s">
        <v>37</v>
      </c>
      <c r="Z47" s="18"/>
      <c r="AA47" s="19"/>
      <c r="AB47" s="20"/>
    </row>
    <row r="48" spans="2:28" s="10" customFormat="1" ht="60" hidden="1" x14ac:dyDescent="0.2">
      <c r="B48" s="21">
        <v>43139</v>
      </c>
      <c r="C48" s="22">
        <v>25569.208333333299</v>
      </c>
      <c r="D48" s="23" t="s">
        <v>222</v>
      </c>
      <c r="E48" s="24"/>
      <c r="F48" s="24"/>
      <c r="G48" s="25">
        <v>51</v>
      </c>
      <c r="H48" s="23"/>
      <c r="I48" s="23" t="s">
        <v>26</v>
      </c>
      <c r="J48" s="23" t="s">
        <v>27</v>
      </c>
      <c r="K48" s="23" t="s">
        <v>28</v>
      </c>
      <c r="L48" s="23" t="s">
        <v>30</v>
      </c>
      <c r="M48" s="23" t="s">
        <v>30</v>
      </c>
      <c r="N48" s="25"/>
      <c r="O48" s="24" t="s">
        <v>68</v>
      </c>
      <c r="P48" s="24" t="s">
        <v>32</v>
      </c>
      <c r="Q48" s="24" t="s">
        <v>75</v>
      </c>
      <c r="R48" s="24" t="s">
        <v>76</v>
      </c>
      <c r="S48" s="24" t="s">
        <v>45</v>
      </c>
      <c r="T48" s="23" t="s">
        <v>223</v>
      </c>
      <c r="U48" s="22">
        <v>25569.916666666701</v>
      </c>
      <c r="V48" s="22">
        <v>25569.261805555601</v>
      </c>
      <c r="W48" s="24"/>
      <c r="X48" s="26"/>
      <c r="Y48" s="27"/>
      <c r="Z48" s="27"/>
      <c r="AA48" s="19"/>
      <c r="AB48" s="20"/>
    </row>
    <row r="49" spans="2:28" s="10" customFormat="1" ht="72" hidden="1" x14ac:dyDescent="0.2">
      <c r="B49" s="11">
        <v>43139</v>
      </c>
      <c r="C49" s="12">
        <v>25569.25</v>
      </c>
      <c r="D49" s="13" t="s">
        <v>224</v>
      </c>
      <c r="E49" s="14"/>
      <c r="F49" s="14"/>
      <c r="G49" s="15">
        <v>19</v>
      </c>
      <c r="H49" s="13"/>
      <c r="I49" s="13" t="s">
        <v>225</v>
      </c>
      <c r="J49" s="13" t="s">
        <v>27</v>
      </c>
      <c r="K49" s="13" t="s">
        <v>121</v>
      </c>
      <c r="L49" s="13" t="s">
        <v>30</v>
      </c>
      <c r="M49" s="13" t="s">
        <v>29</v>
      </c>
      <c r="N49" s="15"/>
      <c r="O49" s="14" t="s">
        <v>215</v>
      </c>
      <c r="P49" s="14" t="s">
        <v>32</v>
      </c>
      <c r="Q49" s="14" t="s">
        <v>75</v>
      </c>
      <c r="R49" s="14" t="s">
        <v>76</v>
      </c>
      <c r="S49" s="14" t="s">
        <v>45</v>
      </c>
      <c r="T49" s="13" t="s">
        <v>226</v>
      </c>
      <c r="U49" s="12">
        <v>25569.270833333299</v>
      </c>
      <c r="V49" s="12">
        <v>25569.5444444444</v>
      </c>
      <c r="W49" s="14"/>
      <c r="X49" s="17"/>
      <c r="Y49" s="18"/>
      <c r="Z49" s="18"/>
      <c r="AA49" s="19"/>
      <c r="AB49" s="20"/>
    </row>
    <row r="50" spans="2:28" s="10" customFormat="1" ht="48" hidden="1" x14ac:dyDescent="0.2">
      <c r="B50" s="21">
        <v>43139</v>
      </c>
      <c r="C50" s="22">
        <v>25569.270833333299</v>
      </c>
      <c r="D50" s="23" t="s">
        <v>227</v>
      </c>
      <c r="E50" s="24"/>
      <c r="F50" s="24"/>
      <c r="G50" s="25">
        <v>53</v>
      </c>
      <c r="H50" s="23"/>
      <c r="I50" s="23" t="s">
        <v>228</v>
      </c>
      <c r="J50" s="23" t="s">
        <v>27</v>
      </c>
      <c r="K50" s="23" t="s">
        <v>121</v>
      </c>
      <c r="L50" s="23" t="s">
        <v>30</v>
      </c>
      <c r="M50" s="23" t="s">
        <v>30</v>
      </c>
      <c r="N50" s="25"/>
      <c r="O50" s="24" t="s">
        <v>68</v>
      </c>
      <c r="P50" s="24" t="s">
        <v>32</v>
      </c>
      <c r="Q50" s="24" t="s">
        <v>88</v>
      </c>
      <c r="R50" s="24" t="s">
        <v>89</v>
      </c>
      <c r="S50" s="24" t="s">
        <v>45</v>
      </c>
      <c r="T50" s="23" t="s">
        <v>229</v>
      </c>
      <c r="U50" s="22">
        <v>25569.302083333299</v>
      </c>
      <c r="V50" s="22">
        <v>25569.645833333299</v>
      </c>
      <c r="W50" s="24"/>
      <c r="X50" s="26"/>
      <c r="Y50" s="27" t="s">
        <v>73</v>
      </c>
      <c r="Z50" s="27"/>
      <c r="AA50" s="19"/>
      <c r="AB50" s="20"/>
    </row>
    <row r="51" spans="2:28" s="10" customFormat="1" ht="60" hidden="1" x14ac:dyDescent="0.2">
      <c r="B51" s="11">
        <v>43139</v>
      </c>
      <c r="C51" s="12">
        <v>25569.3125</v>
      </c>
      <c r="D51" s="13" t="s">
        <v>230</v>
      </c>
      <c r="E51" s="14"/>
      <c r="F51" s="14"/>
      <c r="G51" s="15">
        <v>45</v>
      </c>
      <c r="H51" s="13"/>
      <c r="I51" s="13" t="s">
        <v>40</v>
      </c>
      <c r="J51" s="13" t="s">
        <v>27</v>
      </c>
      <c r="K51" s="13" t="s">
        <v>28</v>
      </c>
      <c r="L51" s="13" t="s">
        <v>29</v>
      </c>
      <c r="M51" s="13" t="s">
        <v>30</v>
      </c>
      <c r="N51" s="15">
        <v>10</v>
      </c>
      <c r="O51" s="14" t="s">
        <v>231</v>
      </c>
      <c r="P51" s="14" t="s">
        <v>32</v>
      </c>
      <c r="Q51" s="14" t="s">
        <v>75</v>
      </c>
      <c r="R51" s="14" t="s">
        <v>76</v>
      </c>
      <c r="S51" s="14" t="s">
        <v>45</v>
      </c>
      <c r="T51" s="13" t="s">
        <v>232</v>
      </c>
      <c r="U51" s="12">
        <v>25569.270833333299</v>
      </c>
      <c r="V51" s="12">
        <v>25569.645833333299</v>
      </c>
      <c r="W51" s="14"/>
      <c r="X51" s="17"/>
      <c r="Y51" s="18"/>
      <c r="Z51" s="18"/>
      <c r="AA51" s="19"/>
      <c r="AB51" s="20"/>
    </row>
    <row r="52" spans="2:28" s="10" customFormat="1" ht="72" hidden="1" x14ac:dyDescent="0.2">
      <c r="B52" s="21">
        <v>43139</v>
      </c>
      <c r="C52" s="22">
        <v>25569.322916666701</v>
      </c>
      <c r="D52" s="23" t="s">
        <v>233</v>
      </c>
      <c r="E52" s="24"/>
      <c r="F52" s="24"/>
      <c r="G52" s="25">
        <v>50</v>
      </c>
      <c r="H52" s="23"/>
      <c r="I52" s="23" t="s">
        <v>234</v>
      </c>
      <c r="J52" s="23" t="s">
        <v>27</v>
      </c>
      <c r="K52" s="23" t="s">
        <v>28</v>
      </c>
      <c r="L52" s="23" t="s">
        <v>30</v>
      </c>
      <c r="M52" s="23" t="s">
        <v>30</v>
      </c>
      <c r="N52" s="25"/>
      <c r="O52" s="24" t="s">
        <v>68</v>
      </c>
      <c r="P52" s="24" t="s">
        <v>235</v>
      </c>
      <c r="Q52" s="24" t="s">
        <v>75</v>
      </c>
      <c r="R52" s="24" t="s">
        <v>76</v>
      </c>
      <c r="S52" s="24" t="s">
        <v>236</v>
      </c>
      <c r="T52" s="23" t="s">
        <v>237</v>
      </c>
      <c r="U52" s="22">
        <v>25569.222222222201</v>
      </c>
      <c r="V52" s="22">
        <v>25569.583333333299</v>
      </c>
      <c r="W52" s="24"/>
      <c r="X52" s="26"/>
      <c r="Y52" s="27" t="s">
        <v>73</v>
      </c>
      <c r="Z52" s="27" t="s">
        <v>238</v>
      </c>
      <c r="AA52" s="19"/>
      <c r="AB52" s="20"/>
    </row>
    <row r="53" spans="2:28" s="10" customFormat="1" ht="96" hidden="1" x14ac:dyDescent="0.2">
      <c r="B53" s="11">
        <v>43139</v>
      </c>
      <c r="C53" s="12">
        <v>25569.322916666701</v>
      </c>
      <c r="D53" s="13" t="s">
        <v>239</v>
      </c>
      <c r="E53" s="14"/>
      <c r="F53" s="14"/>
      <c r="G53" s="15">
        <v>56</v>
      </c>
      <c r="H53" s="13"/>
      <c r="I53" s="13" t="s">
        <v>240</v>
      </c>
      <c r="J53" s="13" t="s">
        <v>27</v>
      </c>
      <c r="K53" s="13" t="s">
        <v>121</v>
      </c>
      <c r="L53" s="13" t="s">
        <v>30</v>
      </c>
      <c r="M53" s="13" t="s">
        <v>29</v>
      </c>
      <c r="N53" s="15"/>
      <c r="O53" s="14" t="s">
        <v>68</v>
      </c>
      <c r="P53" s="14" t="s">
        <v>32</v>
      </c>
      <c r="Q53" s="14" t="s">
        <v>75</v>
      </c>
      <c r="R53" s="14" t="s">
        <v>76</v>
      </c>
      <c r="S53" s="14" t="s">
        <v>241</v>
      </c>
      <c r="T53" s="29" t="s">
        <v>242</v>
      </c>
      <c r="U53" s="12">
        <v>25569.34375</v>
      </c>
      <c r="V53" s="12">
        <v>25569.708333333299</v>
      </c>
      <c r="W53" s="14"/>
      <c r="X53" s="17"/>
      <c r="Y53" s="18"/>
      <c r="Z53" s="18"/>
      <c r="AA53" s="19"/>
      <c r="AB53" s="20"/>
    </row>
    <row r="54" spans="2:28" s="10" customFormat="1" ht="84" hidden="1" x14ac:dyDescent="0.2">
      <c r="B54" s="21">
        <v>43139</v>
      </c>
      <c r="C54" s="22">
        <v>25569.680555555598</v>
      </c>
      <c r="D54" s="23" t="s">
        <v>243</v>
      </c>
      <c r="E54" s="24"/>
      <c r="F54" s="24"/>
      <c r="G54" s="25">
        <v>31</v>
      </c>
      <c r="H54" s="23"/>
      <c r="I54" s="23" t="s">
        <v>55</v>
      </c>
      <c r="J54" s="23" t="s">
        <v>27</v>
      </c>
      <c r="K54" s="23" t="s">
        <v>28</v>
      </c>
      <c r="L54" s="23" t="s">
        <v>30</v>
      </c>
      <c r="M54" s="23" t="s">
        <v>30</v>
      </c>
      <c r="N54" s="25"/>
      <c r="O54" s="24" t="s">
        <v>41</v>
      </c>
      <c r="P54" s="24" t="s">
        <v>69</v>
      </c>
      <c r="Q54" s="24" t="s">
        <v>88</v>
      </c>
      <c r="R54" s="24" t="s">
        <v>89</v>
      </c>
      <c r="S54" s="24" t="s">
        <v>45</v>
      </c>
      <c r="T54" s="23" t="s">
        <v>244</v>
      </c>
      <c r="U54" s="22">
        <v>25569.590277777799</v>
      </c>
      <c r="V54" s="22">
        <v>25569.940972222201</v>
      </c>
      <c r="W54" s="24"/>
      <c r="X54" s="26"/>
      <c r="Y54" s="27" t="s">
        <v>73</v>
      </c>
      <c r="Z54" s="27" t="s">
        <v>38</v>
      </c>
      <c r="AA54" s="19"/>
      <c r="AB54" s="20"/>
    </row>
    <row r="55" spans="2:28" s="10" customFormat="1" ht="48" hidden="1" x14ac:dyDescent="0.2">
      <c r="B55" s="11">
        <v>43139</v>
      </c>
      <c r="C55" s="12">
        <v>25569.989583333299</v>
      </c>
      <c r="D55" s="13" t="s">
        <v>245</v>
      </c>
      <c r="E55" s="14"/>
      <c r="F55" s="14"/>
      <c r="G55" s="15">
        <v>66</v>
      </c>
      <c r="H55" s="13"/>
      <c r="I55" s="13" t="s">
        <v>246</v>
      </c>
      <c r="J55" s="13" t="s">
        <v>27</v>
      </c>
      <c r="K55" s="13" t="s">
        <v>28</v>
      </c>
      <c r="L55" s="13" t="s">
        <v>30</v>
      </c>
      <c r="M55" s="13" t="s">
        <v>30</v>
      </c>
      <c r="N55" s="15"/>
      <c r="O55" s="14" t="s">
        <v>68</v>
      </c>
      <c r="P55" s="14" t="s">
        <v>32</v>
      </c>
      <c r="Q55" s="14" t="s">
        <v>75</v>
      </c>
      <c r="R55" s="14" t="s">
        <v>76</v>
      </c>
      <c r="S55" s="14" t="s">
        <v>45</v>
      </c>
      <c r="T55" s="13" t="s">
        <v>247</v>
      </c>
      <c r="U55" s="12">
        <v>25569.916666666701</v>
      </c>
      <c r="V55" s="12">
        <v>25569.270833333299</v>
      </c>
      <c r="W55" s="14"/>
      <c r="X55" s="17"/>
      <c r="Y55" s="18"/>
      <c r="Z55" s="18"/>
      <c r="AA55" s="19"/>
      <c r="AB55" s="20"/>
    </row>
    <row r="56" spans="2:28" s="10" customFormat="1" ht="48" hidden="1" x14ac:dyDescent="0.2">
      <c r="B56" s="21">
        <v>43140</v>
      </c>
      <c r="C56" s="22">
        <v>25569.354166666701</v>
      </c>
      <c r="D56" s="23" t="s">
        <v>248</v>
      </c>
      <c r="E56" s="24"/>
      <c r="F56" s="24"/>
      <c r="G56" s="25">
        <v>24</v>
      </c>
      <c r="H56" s="23"/>
      <c r="I56" s="23" t="s">
        <v>225</v>
      </c>
      <c r="J56" s="23" t="s">
        <v>27</v>
      </c>
      <c r="K56" s="23" t="s">
        <v>121</v>
      </c>
      <c r="L56" s="23" t="s">
        <v>30</v>
      </c>
      <c r="M56" s="23" t="s">
        <v>30</v>
      </c>
      <c r="N56" s="25"/>
      <c r="O56" s="24" t="s">
        <v>68</v>
      </c>
      <c r="P56" s="24" t="s">
        <v>32</v>
      </c>
      <c r="Q56" s="24" t="s">
        <v>88</v>
      </c>
      <c r="R56" s="24" t="s">
        <v>134</v>
      </c>
      <c r="S56" s="24" t="s">
        <v>45</v>
      </c>
      <c r="T56" s="23" t="s">
        <v>249</v>
      </c>
      <c r="U56" s="22">
        <v>25569.354166666701</v>
      </c>
      <c r="V56" s="22">
        <v>25569.6875</v>
      </c>
      <c r="W56" s="24"/>
      <c r="X56" s="26"/>
      <c r="Y56" s="27" t="s">
        <v>73</v>
      </c>
      <c r="Z56" s="27"/>
      <c r="AA56" s="19"/>
      <c r="AB56" s="20"/>
    </row>
    <row r="57" spans="2:28" s="10" customFormat="1" ht="60" hidden="1" x14ac:dyDescent="0.2">
      <c r="B57" s="11">
        <v>43140</v>
      </c>
      <c r="C57" s="12">
        <v>25569.427083333299</v>
      </c>
      <c r="D57" s="13" t="s">
        <v>250</v>
      </c>
      <c r="E57" s="14"/>
      <c r="F57" s="14"/>
      <c r="G57" s="15">
        <v>52</v>
      </c>
      <c r="H57" s="13"/>
      <c r="I57" s="13" t="s">
        <v>26</v>
      </c>
      <c r="J57" s="13" t="s">
        <v>27</v>
      </c>
      <c r="K57" s="13" t="s">
        <v>28</v>
      </c>
      <c r="L57" s="13" t="s">
        <v>30</v>
      </c>
      <c r="M57" s="13" t="s">
        <v>30</v>
      </c>
      <c r="N57" s="15"/>
      <c r="O57" s="14" t="s">
        <v>68</v>
      </c>
      <c r="P57" s="14"/>
      <c r="Q57" s="14" t="s">
        <v>33</v>
      </c>
      <c r="R57" s="14" t="s">
        <v>216</v>
      </c>
      <c r="S57" s="14" t="s">
        <v>45</v>
      </c>
      <c r="T57" s="13" t="s">
        <v>251</v>
      </c>
      <c r="U57" s="12">
        <v>25569.25</v>
      </c>
      <c r="V57" s="12">
        <v>25569.617361111101</v>
      </c>
      <c r="W57" s="14"/>
      <c r="X57" s="17"/>
      <c r="Y57" s="18"/>
      <c r="Z57" s="18"/>
      <c r="AA57" s="19"/>
      <c r="AB57" s="20"/>
    </row>
    <row r="58" spans="2:28" s="10" customFormat="1" ht="60" hidden="1" x14ac:dyDescent="0.2">
      <c r="B58" s="21">
        <v>43140</v>
      </c>
      <c r="C58" s="22">
        <v>25569.4375</v>
      </c>
      <c r="D58" s="23" t="s">
        <v>252</v>
      </c>
      <c r="E58" s="24"/>
      <c r="F58" s="24"/>
      <c r="G58" s="25">
        <v>39</v>
      </c>
      <c r="H58" s="23"/>
      <c r="I58" s="23" t="s">
        <v>26</v>
      </c>
      <c r="J58" s="23" t="s">
        <v>27</v>
      </c>
      <c r="K58" s="23" t="s">
        <v>28</v>
      </c>
      <c r="L58" s="23" t="s">
        <v>29</v>
      </c>
      <c r="M58" s="23" t="s">
        <v>30</v>
      </c>
      <c r="N58" s="25">
        <v>28</v>
      </c>
      <c r="O58" s="24" t="s">
        <v>31</v>
      </c>
      <c r="P58" s="24" t="s">
        <v>189</v>
      </c>
      <c r="Q58" s="24" t="s">
        <v>88</v>
      </c>
      <c r="R58" s="24" t="s">
        <v>89</v>
      </c>
      <c r="S58" s="24" t="s">
        <v>253</v>
      </c>
      <c r="T58" s="23" t="s">
        <v>254</v>
      </c>
      <c r="U58" s="22">
        <v>25569.28125</v>
      </c>
      <c r="V58" s="22">
        <v>25569.649305555598</v>
      </c>
      <c r="W58" s="24"/>
      <c r="X58" s="26">
        <v>43187</v>
      </c>
      <c r="Y58" s="27" t="s">
        <v>37</v>
      </c>
      <c r="Z58" s="27" t="s">
        <v>86</v>
      </c>
      <c r="AA58" s="19"/>
      <c r="AB58" s="20"/>
    </row>
    <row r="59" spans="2:28" s="10" customFormat="1" ht="60" hidden="1" x14ac:dyDescent="0.2">
      <c r="B59" s="21">
        <v>43140</v>
      </c>
      <c r="C59" s="22">
        <v>25569.791666666701</v>
      </c>
      <c r="D59" s="23" t="s">
        <v>255</v>
      </c>
      <c r="E59" s="24"/>
      <c r="F59" s="24"/>
      <c r="G59" s="25">
        <v>46</v>
      </c>
      <c r="H59" s="23"/>
      <c r="I59" s="23" t="s">
        <v>256</v>
      </c>
      <c r="J59" s="23" t="s">
        <v>27</v>
      </c>
      <c r="K59" s="23" t="s">
        <v>28</v>
      </c>
      <c r="L59" s="23" t="s">
        <v>30</v>
      </c>
      <c r="M59" s="23" t="s">
        <v>30</v>
      </c>
      <c r="N59" s="25"/>
      <c r="O59" s="24" t="s">
        <v>31</v>
      </c>
      <c r="P59" s="24" t="s">
        <v>42</v>
      </c>
      <c r="Q59" s="24" t="s">
        <v>43</v>
      </c>
      <c r="R59" s="24" t="s">
        <v>44</v>
      </c>
      <c r="S59" s="24" t="s">
        <v>257</v>
      </c>
      <c r="T59" s="23" t="s">
        <v>258</v>
      </c>
      <c r="U59" s="22">
        <v>25569.611111111099</v>
      </c>
      <c r="V59" s="22">
        <v>25569.958333333299</v>
      </c>
      <c r="W59" s="24"/>
      <c r="X59" s="26"/>
      <c r="Y59" s="27" t="s">
        <v>73</v>
      </c>
      <c r="Z59" s="27" t="s">
        <v>259</v>
      </c>
      <c r="AA59" s="19"/>
      <c r="AB59" s="20"/>
    </row>
    <row r="60" spans="2:28" s="10" customFormat="1" ht="72" hidden="1" x14ac:dyDescent="0.2">
      <c r="B60" s="11">
        <v>43141</v>
      </c>
      <c r="C60" s="12">
        <v>25569.909722222201</v>
      </c>
      <c r="D60" s="13" t="s">
        <v>260</v>
      </c>
      <c r="E60" s="14"/>
      <c r="F60" s="14"/>
      <c r="G60" s="15">
        <v>42</v>
      </c>
      <c r="H60" s="13"/>
      <c r="I60" s="13" t="s">
        <v>55</v>
      </c>
      <c r="J60" s="13" t="s">
        <v>27</v>
      </c>
      <c r="K60" s="13" t="s">
        <v>121</v>
      </c>
      <c r="L60" s="13" t="s">
        <v>29</v>
      </c>
      <c r="M60" s="13" t="s">
        <v>30</v>
      </c>
      <c r="N60" s="15">
        <v>16</v>
      </c>
      <c r="O60" s="14" t="s">
        <v>215</v>
      </c>
      <c r="P60" s="14" t="s">
        <v>189</v>
      </c>
      <c r="Q60" s="14" t="s">
        <v>88</v>
      </c>
      <c r="R60" s="14" t="s">
        <v>94</v>
      </c>
      <c r="S60" s="14" t="s">
        <v>45</v>
      </c>
      <c r="T60" s="13" t="s">
        <v>261</v>
      </c>
      <c r="U60" s="12">
        <v>25569.916666666701</v>
      </c>
      <c r="V60" s="12">
        <v>25569.260416666701</v>
      </c>
      <c r="W60" s="14"/>
      <c r="X60" s="17"/>
      <c r="Y60" s="18"/>
      <c r="Z60" s="18"/>
      <c r="AA60" s="19"/>
      <c r="AB60" s="20"/>
    </row>
    <row r="61" spans="2:28" s="10" customFormat="1" ht="48" hidden="1" x14ac:dyDescent="0.2">
      <c r="B61" s="21">
        <v>43142</v>
      </c>
      <c r="C61" s="22">
        <v>25569.395833333299</v>
      </c>
      <c r="D61" s="23" t="s">
        <v>262</v>
      </c>
      <c r="E61" s="24"/>
      <c r="F61" s="24"/>
      <c r="G61" s="25">
        <v>49</v>
      </c>
      <c r="H61" s="23"/>
      <c r="I61" s="23" t="s">
        <v>26</v>
      </c>
      <c r="J61" s="23" t="s">
        <v>27</v>
      </c>
      <c r="K61" s="23" t="s">
        <v>28</v>
      </c>
      <c r="L61" s="23" t="s">
        <v>29</v>
      </c>
      <c r="M61" s="23" t="s">
        <v>30</v>
      </c>
      <c r="N61" s="25">
        <v>4</v>
      </c>
      <c r="O61" s="24" t="s">
        <v>31</v>
      </c>
      <c r="P61" s="24" t="s">
        <v>189</v>
      </c>
      <c r="Q61" s="24" t="s">
        <v>43</v>
      </c>
      <c r="R61" s="24" t="s">
        <v>64</v>
      </c>
      <c r="S61" s="24" t="s">
        <v>45</v>
      </c>
      <c r="T61" s="23" t="s">
        <v>263</v>
      </c>
      <c r="U61" s="22">
        <v>25569.28125</v>
      </c>
      <c r="V61" s="22">
        <v>25569.649305555598</v>
      </c>
      <c r="W61" s="24"/>
      <c r="X61" s="26"/>
      <c r="Y61" s="27"/>
      <c r="Z61" s="27"/>
      <c r="AA61" s="19"/>
      <c r="AB61" s="20"/>
    </row>
    <row r="62" spans="2:28" s="10" customFormat="1" ht="60" hidden="1" x14ac:dyDescent="0.2">
      <c r="B62" s="11">
        <v>43143</v>
      </c>
      <c r="C62" s="12">
        <v>25569.416666666701</v>
      </c>
      <c r="D62" s="13" t="s">
        <v>264</v>
      </c>
      <c r="E62" s="14"/>
      <c r="F62" s="14"/>
      <c r="G62" s="15">
        <v>41</v>
      </c>
      <c r="H62" s="13"/>
      <c r="I62" s="13" t="s">
        <v>26</v>
      </c>
      <c r="J62" s="13" t="s">
        <v>27</v>
      </c>
      <c r="K62" s="13" t="s">
        <v>28</v>
      </c>
      <c r="L62" s="13" t="s">
        <v>30</v>
      </c>
      <c r="M62" s="13" t="s">
        <v>30</v>
      </c>
      <c r="N62" s="15"/>
      <c r="O62" s="14" t="s">
        <v>41</v>
      </c>
      <c r="P62" s="14" t="s">
        <v>32</v>
      </c>
      <c r="Q62" s="14" t="s">
        <v>75</v>
      </c>
      <c r="R62" s="14" t="s">
        <v>76</v>
      </c>
      <c r="S62" s="14" t="s">
        <v>265</v>
      </c>
      <c r="T62" s="13" t="s">
        <v>266</v>
      </c>
      <c r="U62" s="12">
        <v>25569.305555555598</v>
      </c>
      <c r="V62" s="12">
        <v>25569.6472222222</v>
      </c>
      <c r="W62" s="14"/>
      <c r="X62" s="17"/>
      <c r="Y62" s="18" t="s">
        <v>73</v>
      </c>
      <c r="Z62" s="18" t="s">
        <v>104</v>
      </c>
      <c r="AA62" s="19"/>
      <c r="AB62" s="20"/>
    </row>
    <row r="63" spans="2:28" s="10" customFormat="1" ht="72" hidden="1" x14ac:dyDescent="0.2">
      <c r="B63" s="21">
        <v>43145</v>
      </c>
      <c r="C63" s="22">
        <v>25569.041666666701</v>
      </c>
      <c r="D63" s="23" t="s">
        <v>267</v>
      </c>
      <c r="E63" s="24"/>
      <c r="F63" s="24"/>
      <c r="G63" s="25">
        <v>52</v>
      </c>
      <c r="H63" s="23"/>
      <c r="I63" s="23" t="s">
        <v>26</v>
      </c>
      <c r="J63" s="23" t="s">
        <v>27</v>
      </c>
      <c r="K63" s="23" t="s">
        <v>28</v>
      </c>
      <c r="L63" s="23" t="s">
        <v>30</v>
      </c>
      <c r="M63" s="23" t="s">
        <v>30</v>
      </c>
      <c r="N63" s="25"/>
      <c r="O63" s="24" t="s">
        <v>31</v>
      </c>
      <c r="P63" s="24" t="s">
        <v>32</v>
      </c>
      <c r="Q63" s="24" t="s">
        <v>33</v>
      </c>
      <c r="R63" s="24" t="s">
        <v>216</v>
      </c>
      <c r="S63" s="24" t="s">
        <v>45</v>
      </c>
      <c r="T63" s="23" t="s">
        <v>268</v>
      </c>
      <c r="U63" s="22">
        <v>25569.916666666701</v>
      </c>
      <c r="V63" s="22">
        <v>25569.261805555601</v>
      </c>
      <c r="W63" s="24"/>
      <c r="X63" s="26"/>
      <c r="Y63" s="27"/>
      <c r="Z63" s="27" t="s">
        <v>269</v>
      </c>
      <c r="AA63" s="19"/>
      <c r="AB63" s="20"/>
    </row>
    <row r="64" spans="2:28" s="10" customFormat="1" ht="60" hidden="1" x14ac:dyDescent="0.2">
      <c r="B64" s="11">
        <v>43147</v>
      </c>
      <c r="C64" s="12">
        <v>25569.625</v>
      </c>
      <c r="D64" s="13" t="s">
        <v>270</v>
      </c>
      <c r="E64" s="14"/>
      <c r="F64" s="14"/>
      <c r="G64" s="15">
        <v>52</v>
      </c>
      <c r="H64" s="13"/>
      <c r="I64" s="13" t="s">
        <v>79</v>
      </c>
      <c r="J64" s="13" t="s">
        <v>27</v>
      </c>
      <c r="K64" s="13" t="s">
        <v>28</v>
      </c>
      <c r="L64" s="13" t="s">
        <v>29</v>
      </c>
      <c r="M64" s="13" t="s">
        <v>30</v>
      </c>
      <c r="N64" s="15">
        <v>8</v>
      </c>
      <c r="O64" s="14" t="s">
        <v>31</v>
      </c>
      <c r="P64" s="14"/>
      <c r="Q64" s="14" t="s">
        <v>75</v>
      </c>
      <c r="R64" s="14" t="s">
        <v>76</v>
      </c>
      <c r="S64" s="14" t="s">
        <v>271</v>
      </c>
      <c r="T64" s="13" t="s">
        <v>272</v>
      </c>
      <c r="U64" s="12">
        <v>25569.583333333299</v>
      </c>
      <c r="V64" s="12">
        <v>25569.9708333333</v>
      </c>
      <c r="W64" s="14"/>
      <c r="X64" s="17"/>
      <c r="Y64" s="18" t="s">
        <v>37</v>
      </c>
      <c r="Z64" s="18" t="s">
        <v>273</v>
      </c>
      <c r="AA64" s="19"/>
      <c r="AB64" s="20"/>
    </row>
    <row r="65" spans="2:28" s="10" customFormat="1" ht="132" hidden="1" x14ac:dyDescent="0.2">
      <c r="B65" s="21">
        <v>43150</v>
      </c>
      <c r="C65" s="22">
        <v>25569.8125</v>
      </c>
      <c r="D65" s="23" t="s">
        <v>274</v>
      </c>
      <c r="E65" s="24"/>
      <c r="F65" s="24"/>
      <c r="G65" s="25">
        <v>56</v>
      </c>
      <c r="H65" s="23"/>
      <c r="I65" s="23" t="s">
        <v>275</v>
      </c>
      <c r="J65" s="23" t="s">
        <v>27</v>
      </c>
      <c r="K65" s="23" t="s">
        <v>28</v>
      </c>
      <c r="L65" s="23" t="s">
        <v>30</v>
      </c>
      <c r="M65" s="23" t="s">
        <v>30</v>
      </c>
      <c r="N65" s="25"/>
      <c r="O65" s="24" t="s">
        <v>50</v>
      </c>
      <c r="P65" s="24" t="s">
        <v>276</v>
      </c>
      <c r="Q65" s="24"/>
      <c r="R65" s="24"/>
      <c r="S65" s="28" t="s">
        <v>277</v>
      </c>
      <c r="T65" s="30" t="s">
        <v>278</v>
      </c>
      <c r="U65" s="22">
        <v>25569.786805555599</v>
      </c>
      <c r="V65" s="22">
        <v>25569.145833333299</v>
      </c>
      <c r="W65" s="24"/>
      <c r="X65" s="26"/>
      <c r="Y65" s="27" t="s">
        <v>73</v>
      </c>
      <c r="Z65" s="27"/>
      <c r="AA65" s="19"/>
      <c r="AB65" s="20"/>
    </row>
    <row r="66" spans="2:28" s="10" customFormat="1" ht="60" hidden="1" x14ac:dyDescent="0.2">
      <c r="B66" s="11">
        <v>43151</v>
      </c>
      <c r="C66" s="12">
        <v>25569.854166666701</v>
      </c>
      <c r="D66" s="13" t="s">
        <v>279</v>
      </c>
      <c r="E66" s="14"/>
      <c r="F66" s="14"/>
      <c r="G66" s="15">
        <v>60</v>
      </c>
      <c r="H66" s="13"/>
      <c r="I66" s="13" t="s">
        <v>205</v>
      </c>
      <c r="J66" s="13" t="s">
        <v>27</v>
      </c>
      <c r="K66" s="13" t="s">
        <v>28</v>
      </c>
      <c r="L66" s="13" t="s">
        <v>30</v>
      </c>
      <c r="M66" s="13" t="s">
        <v>30</v>
      </c>
      <c r="N66" s="15"/>
      <c r="O66" s="14" t="s">
        <v>68</v>
      </c>
      <c r="P66" s="14" t="s">
        <v>235</v>
      </c>
      <c r="Q66" s="14" t="s">
        <v>280</v>
      </c>
      <c r="R66" s="14"/>
      <c r="S66" s="14" t="s">
        <v>281</v>
      </c>
      <c r="T66" s="13" t="s">
        <v>282</v>
      </c>
      <c r="U66" s="12">
        <v>25569.583333333299</v>
      </c>
      <c r="V66" s="12">
        <v>25569.934027777799</v>
      </c>
      <c r="W66" s="14"/>
      <c r="X66" s="17"/>
      <c r="Y66" s="18" t="s">
        <v>73</v>
      </c>
      <c r="Z66" s="18"/>
      <c r="AA66" s="19"/>
      <c r="AB66" s="20"/>
    </row>
    <row r="67" spans="2:28" s="10" customFormat="1" ht="60" hidden="1" x14ac:dyDescent="0.2">
      <c r="B67" s="21">
        <v>43152</v>
      </c>
      <c r="C67" s="22">
        <v>25569.291666666701</v>
      </c>
      <c r="D67" s="23" t="s">
        <v>283</v>
      </c>
      <c r="E67" s="24"/>
      <c r="F67" s="24"/>
      <c r="G67" s="25">
        <v>50</v>
      </c>
      <c r="H67" s="23"/>
      <c r="I67" s="23" t="s">
        <v>162</v>
      </c>
      <c r="J67" s="23" t="s">
        <v>27</v>
      </c>
      <c r="K67" s="23" t="s">
        <v>121</v>
      </c>
      <c r="L67" s="23" t="s">
        <v>30</v>
      </c>
      <c r="M67" s="23" t="s">
        <v>29</v>
      </c>
      <c r="N67" s="25"/>
      <c r="O67" s="24" t="s">
        <v>50</v>
      </c>
      <c r="P67" s="24"/>
      <c r="Q67" s="24" t="s">
        <v>88</v>
      </c>
      <c r="R67" s="24" t="s">
        <v>94</v>
      </c>
      <c r="S67" s="24" t="s">
        <v>45</v>
      </c>
      <c r="T67" s="23" t="s">
        <v>284</v>
      </c>
      <c r="U67" s="22">
        <v>25569.329861111099</v>
      </c>
      <c r="V67" s="22">
        <v>25569.645833333299</v>
      </c>
      <c r="W67" s="24"/>
      <c r="X67" s="26"/>
      <c r="Y67" s="27"/>
      <c r="Z67" s="27"/>
      <c r="AA67" s="19"/>
      <c r="AB67" s="20"/>
    </row>
    <row r="68" spans="2:28" s="10" customFormat="1" ht="60" hidden="1" x14ac:dyDescent="0.2">
      <c r="B68" s="11">
        <v>43153</v>
      </c>
      <c r="C68" s="12">
        <v>25569.15625</v>
      </c>
      <c r="D68" s="13" t="s">
        <v>285</v>
      </c>
      <c r="E68" s="14"/>
      <c r="F68" s="14"/>
      <c r="G68" s="15">
        <v>46</v>
      </c>
      <c r="H68" s="13"/>
      <c r="I68" s="13" t="s">
        <v>49</v>
      </c>
      <c r="J68" s="13" t="s">
        <v>27</v>
      </c>
      <c r="K68" s="13" t="s">
        <v>28</v>
      </c>
      <c r="L68" s="13" t="s">
        <v>30</v>
      </c>
      <c r="M68" s="13" t="s">
        <v>30</v>
      </c>
      <c r="N68" s="15"/>
      <c r="O68" s="14" t="s">
        <v>286</v>
      </c>
      <c r="P68" s="14" t="s">
        <v>42</v>
      </c>
      <c r="Q68" s="14" t="s">
        <v>57</v>
      </c>
      <c r="R68" s="14"/>
      <c r="S68" s="14" t="s">
        <v>45</v>
      </c>
      <c r="T68" s="13" t="s">
        <v>287</v>
      </c>
      <c r="U68" s="12">
        <v>25569.902777777799</v>
      </c>
      <c r="V68" s="12">
        <v>25569.253472222201</v>
      </c>
      <c r="W68" s="14"/>
      <c r="X68" s="17"/>
      <c r="Y68" s="18" t="s">
        <v>73</v>
      </c>
      <c r="Z68" s="18" t="s">
        <v>288</v>
      </c>
      <c r="AA68" s="19"/>
      <c r="AB68" s="20"/>
    </row>
    <row r="69" spans="2:28" s="10" customFormat="1" ht="48" hidden="1" x14ac:dyDescent="0.2">
      <c r="B69" s="21">
        <v>43154</v>
      </c>
      <c r="C69" s="22">
        <v>25569.458333333299</v>
      </c>
      <c r="D69" s="23" t="s">
        <v>289</v>
      </c>
      <c r="E69" s="24"/>
      <c r="F69" s="24"/>
      <c r="G69" s="25">
        <v>38</v>
      </c>
      <c r="H69" s="23"/>
      <c r="I69" s="23" t="s">
        <v>55</v>
      </c>
      <c r="J69" s="23" t="s">
        <v>27</v>
      </c>
      <c r="K69" s="23" t="s">
        <v>28</v>
      </c>
      <c r="L69" s="23" t="s">
        <v>30</v>
      </c>
      <c r="M69" s="23" t="s">
        <v>29</v>
      </c>
      <c r="N69" s="25"/>
      <c r="O69" s="24" t="s">
        <v>31</v>
      </c>
      <c r="P69" s="24" t="s">
        <v>290</v>
      </c>
      <c r="Q69" s="24" t="s">
        <v>43</v>
      </c>
      <c r="R69" s="24" t="s">
        <v>44</v>
      </c>
      <c r="S69" s="24" t="s">
        <v>291</v>
      </c>
      <c r="T69" s="23" t="s">
        <v>292</v>
      </c>
      <c r="U69" s="22">
        <v>25569.256944444402</v>
      </c>
      <c r="V69" s="22">
        <v>25569.604166666701</v>
      </c>
      <c r="W69" s="24"/>
      <c r="X69" s="26"/>
      <c r="Y69" s="27"/>
      <c r="Z69" s="27" t="s">
        <v>38</v>
      </c>
      <c r="AA69" s="19"/>
      <c r="AB69" s="20"/>
    </row>
    <row r="70" spans="2:28" s="10" customFormat="1" ht="60" hidden="1" x14ac:dyDescent="0.2">
      <c r="B70" s="11">
        <v>43154</v>
      </c>
      <c r="C70" s="12">
        <v>25569.65625</v>
      </c>
      <c r="D70" s="13" t="s">
        <v>293</v>
      </c>
      <c r="E70" s="14"/>
      <c r="F70" s="14"/>
      <c r="G70" s="15">
        <v>51</v>
      </c>
      <c r="H70" s="13"/>
      <c r="I70" s="13" t="s">
        <v>93</v>
      </c>
      <c r="J70" s="13" t="s">
        <v>27</v>
      </c>
      <c r="K70" s="13" t="s">
        <v>28</v>
      </c>
      <c r="L70" s="13" t="s">
        <v>29</v>
      </c>
      <c r="M70" s="13" t="s">
        <v>30</v>
      </c>
      <c r="N70" s="15">
        <v>8</v>
      </c>
      <c r="O70" s="14" t="s">
        <v>41</v>
      </c>
      <c r="P70" s="14"/>
      <c r="Q70" s="14" t="s">
        <v>88</v>
      </c>
      <c r="R70" s="14" t="s">
        <v>89</v>
      </c>
      <c r="S70" s="14" t="s">
        <v>294</v>
      </c>
      <c r="T70" s="13" t="s">
        <v>295</v>
      </c>
      <c r="U70" s="12">
        <v>25569.583333333299</v>
      </c>
      <c r="V70" s="12">
        <v>25569.9375</v>
      </c>
      <c r="W70" s="14" t="s">
        <v>296</v>
      </c>
      <c r="X70" s="17"/>
      <c r="Y70" s="18" t="s">
        <v>37</v>
      </c>
      <c r="Z70" s="18"/>
      <c r="AA70" s="19"/>
      <c r="AB70" s="20"/>
    </row>
    <row r="71" spans="2:28" s="10" customFormat="1" ht="48" hidden="1" x14ac:dyDescent="0.2">
      <c r="B71" s="21">
        <v>43157</v>
      </c>
      <c r="C71" s="22">
        <v>25569.520833333299</v>
      </c>
      <c r="D71" s="23" t="s">
        <v>297</v>
      </c>
      <c r="E71" s="24"/>
      <c r="F71" s="24"/>
      <c r="G71" s="25">
        <v>35</v>
      </c>
      <c r="H71" s="23"/>
      <c r="I71" s="23" t="s">
        <v>26</v>
      </c>
      <c r="J71" s="23" t="s">
        <v>27</v>
      </c>
      <c r="K71" s="23" t="s">
        <v>28</v>
      </c>
      <c r="L71" s="23" t="s">
        <v>29</v>
      </c>
      <c r="M71" s="23" t="s">
        <v>30</v>
      </c>
      <c r="N71" s="25">
        <v>11</v>
      </c>
      <c r="O71" s="24" t="s">
        <v>31</v>
      </c>
      <c r="P71" s="24"/>
      <c r="Q71" s="24" t="s">
        <v>75</v>
      </c>
      <c r="R71" s="24" t="s">
        <v>76</v>
      </c>
      <c r="S71" s="24" t="s">
        <v>298</v>
      </c>
      <c r="T71" s="23" t="s">
        <v>299</v>
      </c>
      <c r="U71" s="22">
        <v>25569.263888888901</v>
      </c>
      <c r="V71" s="22"/>
      <c r="W71" s="24"/>
      <c r="X71" s="26"/>
      <c r="Y71" s="27"/>
      <c r="Z71" s="27"/>
      <c r="AA71" s="19"/>
      <c r="AB71" s="20"/>
    </row>
    <row r="72" spans="2:28" s="10" customFormat="1" ht="72" hidden="1" x14ac:dyDescent="0.2">
      <c r="B72" s="11">
        <v>43158</v>
      </c>
      <c r="C72" s="12">
        <v>25569.4375</v>
      </c>
      <c r="D72" s="13" t="s">
        <v>300</v>
      </c>
      <c r="E72" s="14"/>
      <c r="F72" s="14"/>
      <c r="G72" s="15">
        <v>50</v>
      </c>
      <c r="H72" s="13"/>
      <c r="I72" s="13" t="s">
        <v>301</v>
      </c>
      <c r="J72" s="13" t="s">
        <v>27</v>
      </c>
      <c r="K72" s="13" t="s">
        <v>28</v>
      </c>
      <c r="L72" s="13" t="s">
        <v>30</v>
      </c>
      <c r="M72" s="13" t="s">
        <v>30</v>
      </c>
      <c r="N72" s="15"/>
      <c r="O72" s="14" t="s">
        <v>41</v>
      </c>
      <c r="P72" s="14"/>
      <c r="Q72" s="14" t="s">
        <v>33</v>
      </c>
      <c r="R72" s="14" t="s">
        <v>181</v>
      </c>
      <c r="S72" s="14" t="s">
        <v>45</v>
      </c>
      <c r="T72" s="13" t="s">
        <v>302</v>
      </c>
      <c r="U72" s="12">
        <v>25569.239583333299</v>
      </c>
      <c r="V72" s="12">
        <v>25569.614583333299</v>
      </c>
      <c r="W72" s="14"/>
      <c r="X72" s="17"/>
      <c r="Y72" s="18" t="s">
        <v>73</v>
      </c>
      <c r="Z72" s="18" t="s">
        <v>303</v>
      </c>
      <c r="AA72" s="19"/>
      <c r="AB72" s="20"/>
    </row>
    <row r="73" spans="2:28" s="10" customFormat="1" ht="48" hidden="1" x14ac:dyDescent="0.2">
      <c r="B73" s="11">
        <v>43158</v>
      </c>
      <c r="C73" s="12">
        <v>25569.854166666701</v>
      </c>
      <c r="D73" s="13" t="s">
        <v>304</v>
      </c>
      <c r="E73" s="14"/>
      <c r="F73" s="14"/>
      <c r="G73" s="15">
        <v>57</v>
      </c>
      <c r="H73" s="13"/>
      <c r="I73" s="13" t="s">
        <v>120</v>
      </c>
      <c r="J73" s="13" t="s">
        <v>27</v>
      </c>
      <c r="K73" s="13" t="s">
        <v>28</v>
      </c>
      <c r="L73" s="13" t="s">
        <v>29</v>
      </c>
      <c r="M73" s="13" t="s">
        <v>30</v>
      </c>
      <c r="N73" s="15">
        <v>64</v>
      </c>
      <c r="O73" s="14" t="s">
        <v>31</v>
      </c>
      <c r="P73" s="14"/>
      <c r="Q73" s="14" t="s">
        <v>33</v>
      </c>
      <c r="R73" s="14" t="s">
        <v>305</v>
      </c>
      <c r="S73" s="14" t="s">
        <v>45</v>
      </c>
      <c r="T73" s="13" t="s">
        <v>306</v>
      </c>
      <c r="U73" s="12">
        <v>25569.590277777799</v>
      </c>
      <c r="V73" s="12">
        <v>25569.944444444402</v>
      </c>
      <c r="W73" s="14"/>
      <c r="X73" s="17"/>
      <c r="Y73" s="18"/>
      <c r="Z73" s="18"/>
      <c r="AA73" s="19"/>
      <c r="AB73" s="20"/>
    </row>
    <row r="74" spans="2:28" s="10" customFormat="1" ht="48" hidden="1" x14ac:dyDescent="0.2">
      <c r="B74" s="21">
        <v>43158</v>
      </c>
      <c r="C74" s="22">
        <v>25569.958333333299</v>
      </c>
      <c r="D74" s="23" t="s">
        <v>307</v>
      </c>
      <c r="E74" s="24"/>
      <c r="F74" s="24"/>
      <c r="G74" s="25">
        <v>56</v>
      </c>
      <c r="H74" s="23"/>
      <c r="I74" s="23" t="s">
        <v>120</v>
      </c>
      <c r="J74" s="23" t="s">
        <v>27</v>
      </c>
      <c r="K74" s="23" t="s">
        <v>28</v>
      </c>
      <c r="L74" s="23" t="s">
        <v>30</v>
      </c>
      <c r="M74" s="23" t="s">
        <v>30</v>
      </c>
      <c r="N74" s="25"/>
      <c r="O74" s="24" t="s">
        <v>68</v>
      </c>
      <c r="P74" s="24" t="s">
        <v>235</v>
      </c>
      <c r="Q74" s="24" t="s">
        <v>43</v>
      </c>
      <c r="R74" s="24" t="s">
        <v>190</v>
      </c>
      <c r="S74" s="24" t="s">
        <v>45</v>
      </c>
      <c r="T74" s="23" t="s">
        <v>308</v>
      </c>
      <c r="U74" s="22">
        <v>25569.916666666701</v>
      </c>
      <c r="V74" s="22">
        <v>25569.25</v>
      </c>
      <c r="W74" s="24"/>
      <c r="X74" s="26"/>
      <c r="Y74" s="27"/>
      <c r="Z74" s="27"/>
      <c r="AA74" s="19"/>
      <c r="AB74" s="20"/>
    </row>
    <row r="75" spans="2:28" s="10" customFormat="1" ht="48" hidden="1" x14ac:dyDescent="0.2">
      <c r="B75" s="21">
        <v>43159</v>
      </c>
      <c r="C75" s="22">
        <v>25569.0625</v>
      </c>
      <c r="D75" s="23" t="s">
        <v>309</v>
      </c>
      <c r="E75" s="24"/>
      <c r="F75" s="24"/>
      <c r="G75" s="25">
        <v>56</v>
      </c>
      <c r="H75" s="23"/>
      <c r="I75" s="23" t="s">
        <v>120</v>
      </c>
      <c r="J75" s="23" t="s">
        <v>27</v>
      </c>
      <c r="K75" s="23" t="s">
        <v>28</v>
      </c>
      <c r="L75" s="23" t="s">
        <v>29</v>
      </c>
      <c r="M75" s="23" t="s">
        <v>30</v>
      </c>
      <c r="N75" s="25">
        <v>14</v>
      </c>
      <c r="O75" s="24" t="s">
        <v>31</v>
      </c>
      <c r="P75" s="24" t="s">
        <v>56</v>
      </c>
      <c r="Q75" s="24" t="s">
        <v>57</v>
      </c>
      <c r="R75" s="24"/>
      <c r="S75" s="24" t="s">
        <v>45</v>
      </c>
      <c r="T75" s="23" t="s">
        <v>310</v>
      </c>
      <c r="U75" s="22">
        <v>25569.916666666701</v>
      </c>
      <c r="V75" s="22">
        <v>25569.25</v>
      </c>
      <c r="W75" s="24"/>
      <c r="X75" s="26"/>
      <c r="Y75" s="27" t="s">
        <v>73</v>
      </c>
      <c r="Z75" s="27"/>
      <c r="AA75" s="19"/>
      <c r="AB75" s="20"/>
    </row>
    <row r="76" spans="2:28" s="10" customFormat="1" ht="72" hidden="1" x14ac:dyDescent="0.2">
      <c r="B76" s="11">
        <v>43159</v>
      </c>
      <c r="C76" s="12">
        <v>25569.395833333299</v>
      </c>
      <c r="D76" s="13" t="s">
        <v>311</v>
      </c>
      <c r="E76" s="14"/>
      <c r="F76" s="14"/>
      <c r="G76" s="15">
        <v>53</v>
      </c>
      <c r="H76" s="13"/>
      <c r="I76" s="13" t="s">
        <v>301</v>
      </c>
      <c r="J76" s="13" t="s">
        <v>27</v>
      </c>
      <c r="K76" s="13" t="s">
        <v>28</v>
      </c>
      <c r="L76" s="13" t="s">
        <v>29</v>
      </c>
      <c r="M76" s="13" t="s">
        <v>30</v>
      </c>
      <c r="N76" s="15">
        <v>8</v>
      </c>
      <c r="O76" s="14" t="s">
        <v>31</v>
      </c>
      <c r="P76" s="14" t="s">
        <v>235</v>
      </c>
      <c r="Q76" s="14" t="s">
        <v>43</v>
      </c>
      <c r="R76" s="14" t="s">
        <v>64</v>
      </c>
      <c r="S76" s="14" t="s">
        <v>45</v>
      </c>
      <c r="T76" s="13" t="s">
        <v>312</v>
      </c>
      <c r="U76" s="12">
        <v>25569.239583333299</v>
      </c>
      <c r="V76" s="12">
        <v>25569.611111111099</v>
      </c>
      <c r="W76" s="14"/>
      <c r="X76" s="17"/>
      <c r="Y76" s="18"/>
      <c r="Z76" s="18" t="s">
        <v>303</v>
      </c>
      <c r="AA76" s="19"/>
      <c r="AB76" s="20"/>
    </row>
    <row r="77" spans="2:28" s="10" customFormat="1" ht="48" hidden="1" x14ac:dyDescent="0.2">
      <c r="B77" s="21">
        <v>43159</v>
      </c>
      <c r="C77" s="22">
        <v>25569.520833333299</v>
      </c>
      <c r="D77" s="23" t="s">
        <v>313</v>
      </c>
      <c r="E77" s="24"/>
      <c r="F77" s="24"/>
      <c r="G77" s="25">
        <v>30</v>
      </c>
      <c r="H77" s="23"/>
      <c r="I77" s="23" t="s">
        <v>26</v>
      </c>
      <c r="J77" s="23" t="s">
        <v>27</v>
      </c>
      <c r="K77" s="23" t="s">
        <v>28</v>
      </c>
      <c r="L77" s="23" t="s">
        <v>30</v>
      </c>
      <c r="M77" s="23" t="s">
        <v>30</v>
      </c>
      <c r="N77" s="25"/>
      <c r="O77" s="24" t="s">
        <v>31</v>
      </c>
      <c r="P77" s="24"/>
      <c r="Q77" s="24" t="s">
        <v>75</v>
      </c>
      <c r="R77" s="24" t="s">
        <v>76</v>
      </c>
      <c r="S77" s="24" t="s">
        <v>45</v>
      </c>
      <c r="T77" s="23" t="s">
        <v>314</v>
      </c>
      <c r="U77" s="22">
        <v>25569.25</v>
      </c>
      <c r="V77" s="22">
        <v>25569.614583333299</v>
      </c>
      <c r="W77" s="24"/>
      <c r="X77" s="26"/>
      <c r="Y77" s="27" t="s">
        <v>73</v>
      </c>
      <c r="Z77" s="27"/>
      <c r="AA77" s="19"/>
      <c r="AB77" s="20"/>
    </row>
    <row r="78" spans="2:28" s="10" customFormat="1" ht="84" hidden="1" x14ac:dyDescent="0.2">
      <c r="B78" s="11">
        <v>43160</v>
      </c>
      <c r="C78" s="12">
        <v>25569.458333333299</v>
      </c>
      <c r="D78" s="13" t="s">
        <v>315</v>
      </c>
      <c r="E78" s="14"/>
      <c r="F78" s="14"/>
      <c r="G78" s="15">
        <v>19</v>
      </c>
      <c r="H78" s="13"/>
      <c r="I78" s="13" t="s">
        <v>316</v>
      </c>
      <c r="J78" s="13" t="s">
        <v>27</v>
      </c>
      <c r="K78" s="13" t="s">
        <v>28</v>
      </c>
      <c r="L78" s="13" t="s">
        <v>30</v>
      </c>
      <c r="M78" s="13" t="s">
        <v>29</v>
      </c>
      <c r="N78" s="15"/>
      <c r="O78" s="14"/>
      <c r="P78" s="14" t="s">
        <v>169</v>
      </c>
      <c r="Q78" s="14" t="s">
        <v>43</v>
      </c>
      <c r="R78" s="14" t="s">
        <v>44</v>
      </c>
      <c r="S78" s="14" t="s">
        <v>317</v>
      </c>
      <c r="T78" s="13" t="s">
        <v>318</v>
      </c>
      <c r="U78" s="12"/>
      <c r="V78" s="12"/>
      <c r="W78" s="14"/>
      <c r="X78" s="17"/>
      <c r="Y78" s="18"/>
      <c r="Z78" s="18" t="s">
        <v>319</v>
      </c>
      <c r="AA78" s="19"/>
      <c r="AB78" s="20"/>
    </row>
    <row r="79" spans="2:28" s="10" customFormat="1" ht="48" hidden="1" x14ac:dyDescent="0.2">
      <c r="B79" s="21">
        <v>43162</v>
      </c>
      <c r="C79" s="22">
        <v>25569.1875</v>
      </c>
      <c r="D79" s="23" t="s">
        <v>320</v>
      </c>
      <c r="E79" s="24"/>
      <c r="F79" s="24"/>
      <c r="G79" s="25">
        <v>39</v>
      </c>
      <c r="H79" s="23"/>
      <c r="I79" s="23" t="s">
        <v>26</v>
      </c>
      <c r="J79" s="23" t="s">
        <v>27</v>
      </c>
      <c r="K79" s="23" t="s">
        <v>28</v>
      </c>
      <c r="L79" s="23" t="s">
        <v>30</v>
      </c>
      <c r="M79" s="23" t="s">
        <v>30</v>
      </c>
      <c r="N79" s="25"/>
      <c r="O79" s="24"/>
      <c r="P79" s="24" t="s">
        <v>32</v>
      </c>
      <c r="Q79" s="24" t="s">
        <v>75</v>
      </c>
      <c r="R79" s="24" t="s">
        <v>76</v>
      </c>
      <c r="S79" s="24" t="s">
        <v>45</v>
      </c>
      <c r="T79" s="23" t="s">
        <v>321</v>
      </c>
      <c r="U79" s="22">
        <v>25569.907638888901</v>
      </c>
      <c r="V79" s="22">
        <v>25569.261805555601</v>
      </c>
      <c r="W79" s="24"/>
      <c r="X79" s="26"/>
      <c r="Y79" s="27"/>
      <c r="Z79" s="27" t="s">
        <v>104</v>
      </c>
      <c r="AA79" s="19"/>
      <c r="AB79" s="20"/>
    </row>
    <row r="80" spans="2:28" s="10" customFormat="1" ht="60" hidden="1" x14ac:dyDescent="0.2">
      <c r="B80" s="11">
        <v>43164</v>
      </c>
      <c r="C80" s="12">
        <v>25569.6875</v>
      </c>
      <c r="D80" s="13" t="s">
        <v>322</v>
      </c>
      <c r="E80" s="14"/>
      <c r="F80" s="14"/>
      <c r="G80" s="15">
        <v>54</v>
      </c>
      <c r="H80" s="13"/>
      <c r="I80" s="13" t="s">
        <v>205</v>
      </c>
      <c r="J80" s="13" t="s">
        <v>27</v>
      </c>
      <c r="K80" s="13" t="s">
        <v>28</v>
      </c>
      <c r="L80" s="13" t="s">
        <v>29</v>
      </c>
      <c r="M80" s="13" t="s">
        <v>30</v>
      </c>
      <c r="N80" s="15">
        <v>13</v>
      </c>
      <c r="O80" s="14" t="s">
        <v>50</v>
      </c>
      <c r="P80" s="14" t="s">
        <v>323</v>
      </c>
      <c r="Q80" s="14" t="s">
        <v>196</v>
      </c>
      <c r="R80" s="14" t="s">
        <v>197</v>
      </c>
      <c r="S80" s="14" t="s">
        <v>45</v>
      </c>
      <c r="T80" s="13" t="s">
        <v>324</v>
      </c>
      <c r="U80" s="12">
        <v>25569.583333333299</v>
      </c>
      <c r="V80" s="12">
        <v>25569.934027777799</v>
      </c>
      <c r="W80" s="14"/>
      <c r="X80" s="17"/>
      <c r="Y80" s="18" t="s">
        <v>37</v>
      </c>
      <c r="Z80" s="18" t="s">
        <v>86</v>
      </c>
      <c r="AA80" s="19"/>
      <c r="AB80" s="20"/>
    </row>
    <row r="81" spans="2:28" s="10" customFormat="1" ht="48" hidden="1" x14ac:dyDescent="0.2">
      <c r="B81" s="21">
        <v>43165</v>
      </c>
      <c r="C81" s="22">
        <v>25569.375</v>
      </c>
      <c r="D81" s="23" t="s">
        <v>325</v>
      </c>
      <c r="E81" s="24"/>
      <c r="F81" s="24"/>
      <c r="G81" s="25">
        <v>24</v>
      </c>
      <c r="H81" s="23"/>
      <c r="I81" s="23" t="s">
        <v>225</v>
      </c>
      <c r="J81" s="23" t="s">
        <v>27</v>
      </c>
      <c r="K81" s="23" t="s">
        <v>121</v>
      </c>
      <c r="L81" s="23" t="s">
        <v>30</v>
      </c>
      <c r="M81" s="23" t="s">
        <v>30</v>
      </c>
      <c r="N81" s="25"/>
      <c r="O81" s="24" t="s">
        <v>68</v>
      </c>
      <c r="P81" s="24"/>
      <c r="Q81" s="24" t="s">
        <v>196</v>
      </c>
      <c r="R81" s="24" t="s">
        <v>197</v>
      </c>
      <c r="S81" s="24" t="s">
        <v>45</v>
      </c>
      <c r="T81" s="23" t="s">
        <v>326</v>
      </c>
      <c r="U81" s="22">
        <v>25569.395833333299</v>
      </c>
      <c r="V81" s="22">
        <v>25569.729166666701</v>
      </c>
      <c r="W81" s="24"/>
      <c r="X81" s="26"/>
      <c r="Y81" s="27" t="s">
        <v>37</v>
      </c>
      <c r="Z81" s="27"/>
      <c r="AA81" s="19"/>
      <c r="AB81" s="20"/>
    </row>
    <row r="82" spans="2:28" s="10" customFormat="1" ht="48" hidden="1" x14ac:dyDescent="0.2">
      <c r="B82" s="11">
        <v>43167</v>
      </c>
      <c r="C82" s="12">
        <v>25569.6875</v>
      </c>
      <c r="D82" s="13" t="s">
        <v>327</v>
      </c>
      <c r="E82" s="14"/>
      <c r="F82" s="14"/>
      <c r="G82" s="15">
        <v>32</v>
      </c>
      <c r="H82" s="13"/>
      <c r="I82" s="13" t="s">
        <v>26</v>
      </c>
      <c r="J82" s="13" t="s">
        <v>27</v>
      </c>
      <c r="K82" s="13" t="s">
        <v>28</v>
      </c>
      <c r="L82" s="13" t="s">
        <v>30</v>
      </c>
      <c r="M82" s="13" t="s">
        <v>30</v>
      </c>
      <c r="N82" s="15"/>
      <c r="O82" s="14"/>
      <c r="P82" s="14" t="s">
        <v>189</v>
      </c>
      <c r="Q82" s="14" t="s">
        <v>196</v>
      </c>
      <c r="R82" s="14" t="s">
        <v>197</v>
      </c>
      <c r="S82" s="14" t="s">
        <v>328</v>
      </c>
      <c r="T82" s="13" t="s">
        <v>329</v>
      </c>
      <c r="U82" s="12">
        <v>25569.603472222199</v>
      </c>
      <c r="V82" s="12">
        <v>25569.999305555601</v>
      </c>
      <c r="W82" s="14"/>
      <c r="X82" s="17"/>
      <c r="Y82" s="18" t="s">
        <v>73</v>
      </c>
      <c r="Z82" s="18"/>
      <c r="AA82" s="19"/>
      <c r="AB82" s="20"/>
    </row>
    <row r="83" spans="2:28" s="10" customFormat="1" ht="48" hidden="1" x14ac:dyDescent="0.2">
      <c r="B83" s="21">
        <v>43168</v>
      </c>
      <c r="C83" s="22">
        <v>25569.447916666701</v>
      </c>
      <c r="D83" s="23" t="s">
        <v>330</v>
      </c>
      <c r="E83" s="24"/>
      <c r="F83" s="24"/>
      <c r="G83" s="25">
        <v>48</v>
      </c>
      <c r="H83" s="23"/>
      <c r="I83" s="23" t="s">
        <v>205</v>
      </c>
      <c r="J83" s="23" t="s">
        <v>27</v>
      </c>
      <c r="K83" s="23" t="s">
        <v>28</v>
      </c>
      <c r="L83" s="23" t="s">
        <v>30</v>
      </c>
      <c r="M83" s="23" t="s">
        <v>29</v>
      </c>
      <c r="N83" s="25"/>
      <c r="O83" s="24" t="s">
        <v>50</v>
      </c>
      <c r="P83" s="24" t="s">
        <v>42</v>
      </c>
      <c r="Q83" s="24" t="s">
        <v>43</v>
      </c>
      <c r="R83" s="24" t="s">
        <v>44</v>
      </c>
      <c r="S83" s="24" t="s">
        <v>45</v>
      </c>
      <c r="T83" s="23" t="s">
        <v>331</v>
      </c>
      <c r="U83" s="22">
        <v>25569.256944444402</v>
      </c>
      <c r="V83" s="22">
        <v>25569.606250000001</v>
      </c>
      <c r="W83" s="24"/>
      <c r="X83" s="26"/>
      <c r="Y83" s="27"/>
      <c r="Z83" s="27"/>
      <c r="AA83" s="19"/>
      <c r="AB83" s="20"/>
    </row>
    <row r="84" spans="2:28" s="10" customFormat="1" ht="48" hidden="1" x14ac:dyDescent="0.2">
      <c r="B84" s="11">
        <v>43170</v>
      </c>
      <c r="C84" s="12">
        <v>25569.440972222201</v>
      </c>
      <c r="D84" s="13" t="s">
        <v>332</v>
      </c>
      <c r="E84" s="14"/>
      <c r="F84" s="14"/>
      <c r="G84" s="15">
        <v>31</v>
      </c>
      <c r="H84" s="13"/>
      <c r="I84" s="13" t="s">
        <v>26</v>
      </c>
      <c r="J84" s="13" t="s">
        <v>27</v>
      </c>
      <c r="K84" s="13" t="s">
        <v>28</v>
      </c>
      <c r="L84" s="13" t="s">
        <v>30</v>
      </c>
      <c r="M84" s="13" t="s">
        <v>30</v>
      </c>
      <c r="N84" s="15"/>
      <c r="O84" s="14" t="s">
        <v>31</v>
      </c>
      <c r="P84" s="14" t="s">
        <v>42</v>
      </c>
      <c r="Q84" s="14" t="s">
        <v>43</v>
      </c>
      <c r="R84" s="14" t="s">
        <v>44</v>
      </c>
      <c r="S84" s="14" t="s">
        <v>45</v>
      </c>
      <c r="T84" s="13" t="s">
        <v>333</v>
      </c>
      <c r="U84" s="12">
        <v>25569.28125</v>
      </c>
      <c r="V84" s="12">
        <v>25569.649305555598</v>
      </c>
      <c r="W84" s="14"/>
      <c r="X84" s="17"/>
      <c r="Y84" s="18" t="s">
        <v>73</v>
      </c>
      <c r="Z84" s="18"/>
      <c r="AA84" s="19"/>
      <c r="AB84" s="20"/>
    </row>
    <row r="85" spans="2:28" s="10" customFormat="1" ht="96" hidden="1" x14ac:dyDescent="0.2">
      <c r="B85" s="21">
        <v>43171</v>
      </c>
      <c r="C85" s="22">
        <v>25569.75</v>
      </c>
      <c r="D85" s="23" t="s">
        <v>334</v>
      </c>
      <c r="E85" s="24"/>
      <c r="F85" s="24"/>
      <c r="G85" s="25">
        <v>40</v>
      </c>
      <c r="H85" s="23"/>
      <c r="I85" s="23" t="s">
        <v>26</v>
      </c>
      <c r="J85" s="23" t="s">
        <v>27</v>
      </c>
      <c r="K85" s="23" t="s">
        <v>28</v>
      </c>
      <c r="L85" s="23" t="s">
        <v>29</v>
      </c>
      <c r="M85" s="23" t="s">
        <v>30</v>
      </c>
      <c r="N85" s="25">
        <v>4</v>
      </c>
      <c r="O85" s="24" t="s">
        <v>31</v>
      </c>
      <c r="P85" s="24"/>
      <c r="Q85" s="24" t="s">
        <v>57</v>
      </c>
      <c r="R85" s="24" t="s">
        <v>335</v>
      </c>
      <c r="S85" s="28" t="s">
        <v>336</v>
      </c>
      <c r="T85" s="23" t="s">
        <v>337</v>
      </c>
      <c r="U85" s="22">
        <v>25569.659722222201</v>
      </c>
      <c r="V85" s="22">
        <v>25569.020833333299</v>
      </c>
      <c r="W85" s="24"/>
      <c r="X85" s="26"/>
      <c r="Y85" s="27"/>
      <c r="Z85" s="27"/>
      <c r="AA85" s="19"/>
      <c r="AB85" s="20"/>
    </row>
    <row r="86" spans="2:28" s="10" customFormat="1" ht="60" hidden="1" x14ac:dyDescent="0.2">
      <c r="B86" s="11">
        <v>43172</v>
      </c>
      <c r="C86" s="12">
        <v>25569.416666666701</v>
      </c>
      <c r="D86" s="13" t="s">
        <v>338</v>
      </c>
      <c r="E86" s="14"/>
      <c r="F86" s="14"/>
      <c r="G86" s="15">
        <v>43</v>
      </c>
      <c r="H86" s="13"/>
      <c r="I86" s="13" t="s">
        <v>93</v>
      </c>
      <c r="J86" s="13" t="s">
        <v>27</v>
      </c>
      <c r="K86" s="13" t="s">
        <v>28</v>
      </c>
      <c r="L86" s="13" t="s">
        <v>30</v>
      </c>
      <c r="M86" s="13" t="s">
        <v>30</v>
      </c>
      <c r="N86" s="15"/>
      <c r="O86" s="14" t="s">
        <v>68</v>
      </c>
      <c r="P86" s="14"/>
      <c r="Q86" s="14" t="s">
        <v>33</v>
      </c>
      <c r="R86" s="14" t="s">
        <v>70</v>
      </c>
      <c r="S86" s="14" t="s">
        <v>45</v>
      </c>
      <c r="T86" s="13" t="s">
        <v>339</v>
      </c>
      <c r="U86" s="12">
        <v>25569.25</v>
      </c>
      <c r="V86" s="12">
        <v>25569.607638888901</v>
      </c>
      <c r="W86" s="14"/>
      <c r="X86" s="17"/>
      <c r="Y86" s="18"/>
      <c r="Z86" s="18" t="s">
        <v>340</v>
      </c>
      <c r="AA86" s="19"/>
      <c r="AB86" s="20"/>
    </row>
    <row r="87" spans="2:28" s="10" customFormat="1" ht="72" hidden="1" x14ac:dyDescent="0.2">
      <c r="B87" s="11">
        <v>43174</v>
      </c>
      <c r="C87" s="12">
        <v>25569.0625</v>
      </c>
      <c r="D87" s="13" t="s">
        <v>341</v>
      </c>
      <c r="E87" s="14"/>
      <c r="F87" s="14"/>
      <c r="G87" s="15">
        <v>53</v>
      </c>
      <c r="H87" s="13"/>
      <c r="I87" s="13" t="s">
        <v>55</v>
      </c>
      <c r="J87" s="13" t="s">
        <v>27</v>
      </c>
      <c r="K87" s="13" t="s">
        <v>28</v>
      </c>
      <c r="L87" s="13" t="s">
        <v>29</v>
      </c>
      <c r="M87" s="13" t="s">
        <v>30</v>
      </c>
      <c r="N87" s="15">
        <v>2</v>
      </c>
      <c r="O87" s="14" t="s">
        <v>50</v>
      </c>
      <c r="P87" s="14" t="s">
        <v>342</v>
      </c>
      <c r="Q87" s="14" t="s">
        <v>149</v>
      </c>
      <c r="R87" s="14" t="s">
        <v>150</v>
      </c>
      <c r="S87" s="14" t="s">
        <v>45</v>
      </c>
      <c r="T87" s="13" t="s">
        <v>343</v>
      </c>
      <c r="U87" s="12">
        <v>25569.916666666701</v>
      </c>
      <c r="V87" s="12">
        <v>25569.260416666701</v>
      </c>
      <c r="W87" s="14"/>
      <c r="X87" s="17"/>
      <c r="Y87" s="18" t="s">
        <v>37</v>
      </c>
      <c r="Z87" s="18"/>
      <c r="AA87" s="19"/>
      <c r="AB87" s="20"/>
    </row>
    <row r="88" spans="2:28" s="10" customFormat="1" ht="60" hidden="1" x14ac:dyDescent="0.2">
      <c r="B88" s="21">
        <v>43176</v>
      </c>
      <c r="C88" s="22">
        <v>25569.458333333299</v>
      </c>
      <c r="D88" s="23" t="s">
        <v>344</v>
      </c>
      <c r="E88" s="24"/>
      <c r="F88" s="24"/>
      <c r="G88" s="25">
        <v>45</v>
      </c>
      <c r="H88" s="23"/>
      <c r="I88" s="23" t="s">
        <v>26</v>
      </c>
      <c r="J88" s="23" t="s">
        <v>27</v>
      </c>
      <c r="K88" s="23" t="s">
        <v>28</v>
      </c>
      <c r="L88" s="23" t="s">
        <v>29</v>
      </c>
      <c r="M88" s="23" t="s">
        <v>30</v>
      </c>
      <c r="N88" s="25">
        <v>27</v>
      </c>
      <c r="O88" s="24"/>
      <c r="P88" s="24"/>
      <c r="Q88" s="24" t="s">
        <v>33</v>
      </c>
      <c r="R88" s="24" t="s">
        <v>305</v>
      </c>
      <c r="S88" s="24" t="s">
        <v>45</v>
      </c>
      <c r="T88" s="23" t="s">
        <v>345</v>
      </c>
      <c r="U88" s="22">
        <v>25569.278472222199</v>
      </c>
      <c r="V88" s="22">
        <v>25569.649305555598</v>
      </c>
      <c r="W88" s="24"/>
      <c r="X88" s="26"/>
      <c r="Y88" s="27" t="s">
        <v>37</v>
      </c>
      <c r="Z88" s="27"/>
      <c r="AA88" s="19"/>
      <c r="AB88" s="20"/>
    </row>
    <row r="89" spans="2:28" s="10" customFormat="1" ht="96" hidden="1" x14ac:dyDescent="0.2">
      <c r="B89" s="11">
        <v>43178</v>
      </c>
      <c r="C89" s="12">
        <v>25569.3104166667</v>
      </c>
      <c r="D89" s="13" t="s">
        <v>346</v>
      </c>
      <c r="E89" s="14"/>
      <c r="F89" s="14"/>
      <c r="G89" s="15">
        <v>27</v>
      </c>
      <c r="H89" s="13"/>
      <c r="I89" s="13" t="s">
        <v>347</v>
      </c>
      <c r="J89" s="13" t="s">
        <v>27</v>
      </c>
      <c r="K89" s="13" t="s">
        <v>121</v>
      </c>
      <c r="L89" s="13" t="s">
        <v>30</v>
      </c>
      <c r="M89" s="13" t="s">
        <v>29</v>
      </c>
      <c r="N89" s="15"/>
      <c r="O89" s="14" t="s">
        <v>215</v>
      </c>
      <c r="P89" s="14" t="s">
        <v>235</v>
      </c>
      <c r="Q89" s="14" t="s">
        <v>33</v>
      </c>
      <c r="R89" s="14" t="s">
        <v>181</v>
      </c>
      <c r="S89" s="14" t="s">
        <v>45</v>
      </c>
      <c r="T89" s="29" t="s">
        <v>348</v>
      </c>
      <c r="U89" s="12">
        <v>25569.313194444399</v>
      </c>
      <c r="V89" s="12">
        <v>25569.662499999999</v>
      </c>
      <c r="W89" s="14"/>
      <c r="X89" s="17"/>
      <c r="Y89" s="18"/>
      <c r="Z89" s="18"/>
      <c r="AA89" s="19"/>
      <c r="AB89" s="20"/>
    </row>
    <row r="90" spans="2:28" s="10" customFormat="1" ht="48" hidden="1" x14ac:dyDescent="0.2">
      <c r="B90" s="21">
        <v>43178</v>
      </c>
      <c r="C90" s="22">
        <v>25569.333333333299</v>
      </c>
      <c r="D90" s="23" t="s">
        <v>349</v>
      </c>
      <c r="E90" s="24"/>
      <c r="F90" s="24"/>
      <c r="G90" s="25">
        <v>61</v>
      </c>
      <c r="H90" s="23"/>
      <c r="I90" s="23" t="s">
        <v>26</v>
      </c>
      <c r="J90" s="23" t="s">
        <v>27</v>
      </c>
      <c r="K90" s="23" t="s">
        <v>28</v>
      </c>
      <c r="L90" s="23" t="s">
        <v>29</v>
      </c>
      <c r="M90" s="23" t="s">
        <v>30</v>
      </c>
      <c r="N90" s="25">
        <v>39</v>
      </c>
      <c r="O90" s="24" t="s">
        <v>31</v>
      </c>
      <c r="P90" s="24" t="s">
        <v>189</v>
      </c>
      <c r="Q90" s="24" t="s">
        <v>88</v>
      </c>
      <c r="R90" s="24" t="s">
        <v>134</v>
      </c>
      <c r="S90" s="24" t="s">
        <v>45</v>
      </c>
      <c r="T90" s="23" t="s">
        <v>350</v>
      </c>
      <c r="U90" s="22">
        <v>25569.28125</v>
      </c>
      <c r="V90" s="22">
        <v>25569.649305555598</v>
      </c>
      <c r="W90" s="24"/>
      <c r="X90" s="26"/>
      <c r="Y90" s="27" t="s">
        <v>37</v>
      </c>
      <c r="Z90" s="27"/>
      <c r="AA90" s="19"/>
      <c r="AB90" s="20"/>
    </row>
    <row r="91" spans="2:28" s="10" customFormat="1" ht="48" hidden="1" x14ac:dyDescent="0.2">
      <c r="B91" s="11">
        <v>43178</v>
      </c>
      <c r="C91" s="12">
        <v>25569.604166666701</v>
      </c>
      <c r="D91" s="13" t="s">
        <v>351</v>
      </c>
      <c r="E91" s="14"/>
      <c r="F91" s="14"/>
      <c r="G91" s="15">
        <v>39</v>
      </c>
      <c r="H91" s="13"/>
      <c r="I91" s="13" t="s">
        <v>26</v>
      </c>
      <c r="J91" s="13" t="s">
        <v>27</v>
      </c>
      <c r="K91" s="13" t="s">
        <v>28</v>
      </c>
      <c r="L91" s="13" t="s">
        <v>30</v>
      </c>
      <c r="M91" s="13" t="s">
        <v>30</v>
      </c>
      <c r="N91" s="15"/>
      <c r="O91" s="14" t="s">
        <v>31</v>
      </c>
      <c r="P91" s="14" t="s">
        <v>189</v>
      </c>
      <c r="Q91" s="14" t="s">
        <v>43</v>
      </c>
      <c r="R91" s="14" t="s">
        <v>44</v>
      </c>
      <c r="S91" s="14" t="s">
        <v>45</v>
      </c>
      <c r="T91" s="13" t="s">
        <v>352</v>
      </c>
      <c r="U91" s="12">
        <v>25569.28125</v>
      </c>
      <c r="V91" s="12">
        <v>25569.649305555598</v>
      </c>
      <c r="W91" s="14"/>
      <c r="X91" s="17"/>
      <c r="Y91" s="18"/>
      <c r="Z91" s="18" t="s">
        <v>38</v>
      </c>
      <c r="AA91" s="19"/>
      <c r="AB91" s="20"/>
    </row>
    <row r="92" spans="2:28" s="10" customFormat="1" ht="96" hidden="1" x14ac:dyDescent="0.2">
      <c r="B92" s="21">
        <v>43179</v>
      </c>
      <c r="C92" s="22">
        <v>25569.395833333299</v>
      </c>
      <c r="D92" s="23" t="s">
        <v>353</v>
      </c>
      <c r="E92" s="24"/>
      <c r="F92" s="24"/>
      <c r="G92" s="25">
        <v>48</v>
      </c>
      <c r="H92" s="23"/>
      <c r="I92" s="23" t="s">
        <v>354</v>
      </c>
      <c r="J92" s="23" t="s">
        <v>27</v>
      </c>
      <c r="K92" s="23" t="s">
        <v>28</v>
      </c>
      <c r="L92" s="23" t="s">
        <v>29</v>
      </c>
      <c r="M92" s="23" t="s">
        <v>30</v>
      </c>
      <c r="N92" s="25">
        <v>147</v>
      </c>
      <c r="O92" s="24" t="s">
        <v>68</v>
      </c>
      <c r="P92" s="24" t="s">
        <v>189</v>
      </c>
      <c r="Q92" s="24" t="s">
        <v>88</v>
      </c>
      <c r="R92" s="24" t="s">
        <v>89</v>
      </c>
      <c r="S92" s="24" t="s">
        <v>355</v>
      </c>
      <c r="T92" s="30" t="s">
        <v>356</v>
      </c>
      <c r="U92" s="22">
        <v>25569.229166666701</v>
      </c>
      <c r="V92" s="22">
        <v>25569.593055555601</v>
      </c>
      <c r="W92" s="24"/>
      <c r="X92" s="26"/>
      <c r="Y92" s="27" t="s">
        <v>37</v>
      </c>
      <c r="Z92" s="27"/>
      <c r="AA92" s="19"/>
      <c r="AB92" s="20"/>
    </row>
    <row r="93" spans="2:28" s="10" customFormat="1" ht="48" hidden="1" x14ac:dyDescent="0.2">
      <c r="B93" s="11">
        <v>43182</v>
      </c>
      <c r="C93" s="12">
        <v>25569.0625</v>
      </c>
      <c r="D93" s="13" t="s">
        <v>357</v>
      </c>
      <c r="E93" s="14"/>
      <c r="F93" s="14"/>
      <c r="G93" s="15">
        <v>52</v>
      </c>
      <c r="H93" s="13"/>
      <c r="I93" s="13" t="s">
        <v>26</v>
      </c>
      <c r="J93" s="13" t="s">
        <v>27</v>
      </c>
      <c r="K93" s="13" t="s">
        <v>28</v>
      </c>
      <c r="L93" s="13" t="s">
        <v>29</v>
      </c>
      <c r="M93" s="13" t="s">
        <v>30</v>
      </c>
      <c r="N93" s="15">
        <v>40</v>
      </c>
      <c r="O93" s="14" t="s">
        <v>31</v>
      </c>
      <c r="P93" s="14"/>
      <c r="Q93" s="14" t="s">
        <v>43</v>
      </c>
      <c r="R93" s="14" t="s">
        <v>44</v>
      </c>
      <c r="S93" s="14" t="s">
        <v>45</v>
      </c>
      <c r="T93" s="13" t="s">
        <v>358</v>
      </c>
      <c r="U93" s="12">
        <v>25569.916666666701</v>
      </c>
      <c r="V93" s="12">
        <v>25569.261805555601</v>
      </c>
      <c r="W93" s="14"/>
      <c r="X93" s="17"/>
      <c r="Y93" s="18" t="s">
        <v>37</v>
      </c>
      <c r="Z93" s="18"/>
      <c r="AA93" s="19"/>
      <c r="AB93" s="20"/>
    </row>
    <row r="94" spans="2:28" s="10" customFormat="1" ht="72" hidden="1" x14ac:dyDescent="0.2">
      <c r="B94" s="21">
        <v>43186</v>
      </c>
      <c r="C94" s="22">
        <v>25569.395833333299</v>
      </c>
      <c r="D94" s="23" t="s">
        <v>359</v>
      </c>
      <c r="E94" s="24"/>
      <c r="F94" s="24"/>
      <c r="G94" s="25">
        <v>40</v>
      </c>
      <c r="H94" s="23"/>
      <c r="I94" s="23" t="s">
        <v>49</v>
      </c>
      <c r="J94" s="23" t="s">
        <v>27</v>
      </c>
      <c r="K94" s="23" t="s">
        <v>28</v>
      </c>
      <c r="L94" s="23" t="s">
        <v>30</v>
      </c>
      <c r="M94" s="23" t="s">
        <v>29</v>
      </c>
      <c r="N94" s="25"/>
      <c r="O94" s="24" t="s">
        <v>50</v>
      </c>
      <c r="P94" s="24" t="s">
        <v>235</v>
      </c>
      <c r="Q94" s="24" t="s">
        <v>57</v>
      </c>
      <c r="R94" s="24"/>
      <c r="S94" s="24" t="s">
        <v>360</v>
      </c>
      <c r="T94" s="23" t="s">
        <v>361</v>
      </c>
      <c r="U94" s="22">
        <v>25569.263888888901</v>
      </c>
      <c r="V94" s="22">
        <v>25569.615277777801</v>
      </c>
      <c r="W94" s="24"/>
      <c r="X94" s="26"/>
      <c r="Y94" s="27"/>
      <c r="Z94" s="27" t="s">
        <v>82</v>
      </c>
      <c r="AA94" s="19"/>
      <c r="AB94" s="20"/>
    </row>
    <row r="95" spans="2:28" s="10" customFormat="1" ht="72" hidden="1" x14ac:dyDescent="0.2">
      <c r="B95" s="11">
        <v>43186</v>
      </c>
      <c r="C95" s="12">
        <v>25569.895833333299</v>
      </c>
      <c r="D95" s="13" t="s">
        <v>362</v>
      </c>
      <c r="E95" s="14"/>
      <c r="F95" s="14"/>
      <c r="G95" s="15">
        <v>40</v>
      </c>
      <c r="H95" s="13"/>
      <c r="I95" s="13" t="s">
        <v>26</v>
      </c>
      <c r="J95" s="13" t="s">
        <v>27</v>
      </c>
      <c r="K95" s="13" t="s">
        <v>28</v>
      </c>
      <c r="L95" s="13" t="s">
        <v>29</v>
      </c>
      <c r="M95" s="13" t="s">
        <v>30</v>
      </c>
      <c r="N95" s="15">
        <v>12</v>
      </c>
      <c r="O95" s="14" t="s">
        <v>31</v>
      </c>
      <c r="P95" s="14"/>
      <c r="Q95" s="14" t="s">
        <v>33</v>
      </c>
      <c r="R95" s="14" t="s">
        <v>181</v>
      </c>
      <c r="S95" s="14" t="s">
        <v>363</v>
      </c>
      <c r="T95" s="13" t="s">
        <v>364</v>
      </c>
      <c r="U95" s="12">
        <v>25569.611111111099</v>
      </c>
      <c r="V95" s="12">
        <v>25569.972222222201</v>
      </c>
      <c r="W95" s="14"/>
      <c r="X95" s="17"/>
      <c r="Y95" s="18" t="s">
        <v>37</v>
      </c>
      <c r="Z95" s="18"/>
      <c r="AA95" s="19"/>
      <c r="AB95" s="20"/>
    </row>
    <row r="96" spans="2:28" s="10" customFormat="1" ht="60" hidden="1" x14ac:dyDescent="0.2">
      <c r="B96" s="11">
        <v>43189</v>
      </c>
      <c r="C96" s="12">
        <v>25569.041666666701</v>
      </c>
      <c r="D96" s="13" t="s">
        <v>365</v>
      </c>
      <c r="E96" s="14"/>
      <c r="F96" s="14"/>
      <c r="G96" s="15">
        <v>41</v>
      </c>
      <c r="H96" s="13"/>
      <c r="I96" s="13" t="s">
        <v>26</v>
      </c>
      <c r="J96" s="13" t="s">
        <v>27</v>
      </c>
      <c r="K96" s="13" t="s">
        <v>28</v>
      </c>
      <c r="L96" s="13" t="s">
        <v>30</v>
      </c>
      <c r="M96" s="13" t="s">
        <v>30</v>
      </c>
      <c r="N96" s="15"/>
      <c r="O96" s="14" t="s">
        <v>50</v>
      </c>
      <c r="P96" s="14"/>
      <c r="Q96" s="14" t="s">
        <v>88</v>
      </c>
      <c r="R96" s="14" t="s">
        <v>89</v>
      </c>
      <c r="S96" s="14" t="s">
        <v>45</v>
      </c>
      <c r="T96" s="13" t="s">
        <v>366</v>
      </c>
      <c r="U96" s="12">
        <v>25569.916666666701</v>
      </c>
      <c r="V96" s="12">
        <v>25569.261805555601</v>
      </c>
      <c r="W96" s="14"/>
      <c r="X96" s="17"/>
      <c r="Y96" s="18"/>
      <c r="Z96" s="18"/>
      <c r="AA96" s="19"/>
      <c r="AB96" s="20"/>
    </row>
    <row r="97" spans="1:28" s="10" customFormat="1" ht="72" hidden="1" x14ac:dyDescent="0.2">
      <c r="B97" s="21">
        <v>43189</v>
      </c>
      <c r="C97" s="22">
        <v>25569.75</v>
      </c>
      <c r="D97" s="23" t="s">
        <v>367</v>
      </c>
      <c r="E97" s="24"/>
      <c r="F97" s="24"/>
      <c r="G97" s="25">
        <v>28</v>
      </c>
      <c r="H97" s="23"/>
      <c r="I97" s="23" t="s">
        <v>368</v>
      </c>
      <c r="J97" s="23" t="s">
        <v>27</v>
      </c>
      <c r="K97" s="23" t="s">
        <v>28</v>
      </c>
      <c r="L97" s="23" t="s">
        <v>30</v>
      </c>
      <c r="M97" s="23" t="s">
        <v>30</v>
      </c>
      <c r="N97" s="25"/>
      <c r="O97" s="24"/>
      <c r="P97" s="24"/>
      <c r="Q97" s="24" t="s">
        <v>33</v>
      </c>
      <c r="R97" s="24" t="s">
        <v>305</v>
      </c>
      <c r="S97" s="24" t="s">
        <v>45</v>
      </c>
      <c r="T97" s="23" t="s">
        <v>369</v>
      </c>
      <c r="U97" s="22">
        <v>25569.2791666667</v>
      </c>
      <c r="V97" s="22"/>
      <c r="W97" s="24"/>
      <c r="X97" s="26"/>
      <c r="Y97" s="27" t="s">
        <v>73</v>
      </c>
      <c r="Z97" s="27" t="s">
        <v>82</v>
      </c>
      <c r="AA97" s="19"/>
      <c r="AB97" s="20"/>
    </row>
    <row r="98" spans="1:28" s="10" customFormat="1" ht="60" hidden="1" x14ac:dyDescent="0.2">
      <c r="B98" s="11">
        <v>43191</v>
      </c>
      <c r="C98" s="12">
        <v>25569.041666666701</v>
      </c>
      <c r="D98" s="13" t="s">
        <v>370</v>
      </c>
      <c r="E98" s="14"/>
      <c r="F98" s="14"/>
      <c r="G98" s="15">
        <v>55</v>
      </c>
      <c r="H98" s="13"/>
      <c r="I98" s="13" t="s">
        <v>93</v>
      </c>
      <c r="J98" s="13" t="s">
        <v>27</v>
      </c>
      <c r="K98" s="13" t="s">
        <v>28</v>
      </c>
      <c r="L98" s="13" t="s">
        <v>29</v>
      </c>
      <c r="M98" s="13" t="s">
        <v>30</v>
      </c>
      <c r="N98" s="15">
        <v>13</v>
      </c>
      <c r="O98" s="14" t="s">
        <v>68</v>
      </c>
      <c r="P98" s="14"/>
      <c r="Q98" s="14" t="s">
        <v>88</v>
      </c>
      <c r="R98" s="14" t="s">
        <v>134</v>
      </c>
      <c r="S98" s="14" t="s">
        <v>45</v>
      </c>
      <c r="T98" s="13" t="s">
        <v>371</v>
      </c>
      <c r="U98" s="12">
        <v>25569.905555555601</v>
      </c>
      <c r="V98" s="12">
        <v>25569.259722222199</v>
      </c>
      <c r="W98" s="14"/>
      <c r="X98" s="17"/>
      <c r="Y98" s="18" t="s">
        <v>37</v>
      </c>
      <c r="Z98" s="18"/>
      <c r="AA98" s="19"/>
      <c r="AB98" s="20"/>
    </row>
    <row r="99" spans="1:28" s="10" customFormat="1" ht="72" hidden="1" x14ac:dyDescent="0.2">
      <c r="B99" s="21">
        <v>43191</v>
      </c>
      <c r="C99" s="22">
        <v>25569.711805555598</v>
      </c>
      <c r="D99" s="23" t="s">
        <v>372</v>
      </c>
      <c r="E99" s="24"/>
      <c r="F99" s="24"/>
      <c r="G99" s="25">
        <v>53</v>
      </c>
      <c r="H99" s="23"/>
      <c r="I99" s="23" t="s">
        <v>354</v>
      </c>
      <c r="J99" s="23" t="s">
        <v>27</v>
      </c>
      <c r="K99" s="23" t="s">
        <v>121</v>
      </c>
      <c r="L99" s="23" t="s">
        <v>30</v>
      </c>
      <c r="M99" s="23" t="s">
        <v>30</v>
      </c>
      <c r="N99" s="25"/>
      <c r="O99" s="24" t="s">
        <v>215</v>
      </c>
      <c r="P99" s="24" t="s">
        <v>32</v>
      </c>
      <c r="Q99" s="24" t="s">
        <v>33</v>
      </c>
      <c r="R99" s="24" t="s">
        <v>181</v>
      </c>
      <c r="S99" s="24" t="s">
        <v>373</v>
      </c>
      <c r="T99" s="23" t="s">
        <v>374</v>
      </c>
      <c r="U99" s="22">
        <v>25569.739583333299</v>
      </c>
      <c r="V99" s="22">
        <v>25569.104166666701</v>
      </c>
      <c r="W99" s="24"/>
      <c r="X99" s="26"/>
      <c r="Y99" s="27" t="s">
        <v>73</v>
      </c>
      <c r="Z99" s="27"/>
      <c r="AA99" s="19"/>
      <c r="AB99" s="20"/>
    </row>
    <row r="100" spans="1:28" s="10" customFormat="1" ht="84" hidden="1" x14ac:dyDescent="0.2">
      <c r="B100" s="21">
        <v>43192</v>
      </c>
      <c r="C100" s="22">
        <v>25569.03125</v>
      </c>
      <c r="D100" s="23" t="s">
        <v>375</v>
      </c>
      <c r="E100" s="24"/>
      <c r="F100" s="24"/>
      <c r="G100" s="25">
        <v>46</v>
      </c>
      <c r="H100" s="23"/>
      <c r="I100" s="23" t="s">
        <v>376</v>
      </c>
      <c r="J100" s="23" t="s">
        <v>27</v>
      </c>
      <c r="K100" s="23" t="s">
        <v>28</v>
      </c>
      <c r="L100" s="23" t="s">
        <v>30</v>
      </c>
      <c r="M100" s="23" t="s">
        <v>30</v>
      </c>
      <c r="N100" s="25"/>
      <c r="O100" s="24" t="s">
        <v>68</v>
      </c>
      <c r="P100" s="24" t="s">
        <v>32</v>
      </c>
      <c r="Q100" s="24" t="s">
        <v>33</v>
      </c>
      <c r="R100" s="24" t="s">
        <v>377</v>
      </c>
      <c r="S100" s="24" t="s">
        <v>378</v>
      </c>
      <c r="T100" s="30" t="s">
        <v>379</v>
      </c>
      <c r="U100" s="22">
        <v>25569.921527777798</v>
      </c>
      <c r="V100" s="22">
        <v>25569.28125</v>
      </c>
      <c r="W100" s="24"/>
      <c r="X100" s="26"/>
      <c r="Y100" s="27"/>
      <c r="Z100" s="27"/>
      <c r="AA100" s="19"/>
      <c r="AB100" s="20"/>
    </row>
    <row r="101" spans="1:28" s="10" customFormat="1" ht="48" hidden="1" x14ac:dyDescent="0.2">
      <c r="B101" s="11">
        <v>43192</v>
      </c>
      <c r="C101" s="12">
        <v>25569.583333333299</v>
      </c>
      <c r="D101" s="13" t="s">
        <v>380</v>
      </c>
      <c r="E101" s="14"/>
      <c r="F101" s="14"/>
      <c r="G101" s="15">
        <v>52</v>
      </c>
      <c r="H101" s="13"/>
      <c r="I101" s="13" t="s">
        <v>26</v>
      </c>
      <c r="J101" s="13" t="s">
        <v>27</v>
      </c>
      <c r="K101" s="13" t="s">
        <v>28</v>
      </c>
      <c r="L101" s="13" t="s">
        <v>29</v>
      </c>
      <c r="M101" s="13" t="s">
        <v>30</v>
      </c>
      <c r="N101" s="15">
        <v>4</v>
      </c>
      <c r="O101" s="14" t="s">
        <v>31</v>
      </c>
      <c r="P101" s="14"/>
      <c r="Q101" s="14" t="s">
        <v>43</v>
      </c>
      <c r="R101" s="14" t="s">
        <v>44</v>
      </c>
      <c r="S101" s="14" t="s">
        <v>45</v>
      </c>
      <c r="T101" s="13" t="s">
        <v>381</v>
      </c>
      <c r="U101" s="12">
        <v>25569.28125</v>
      </c>
      <c r="V101" s="12">
        <v>25569.649305555598</v>
      </c>
      <c r="W101" s="14"/>
      <c r="X101" s="17"/>
      <c r="Y101" s="18" t="s">
        <v>37</v>
      </c>
      <c r="Z101" s="18"/>
      <c r="AA101" s="19"/>
      <c r="AB101" s="20"/>
    </row>
    <row r="102" spans="1:28" s="10" customFormat="1" ht="72" hidden="1" x14ac:dyDescent="0.2">
      <c r="B102" s="21">
        <v>43192</v>
      </c>
      <c r="C102" s="22">
        <v>25569.884722222199</v>
      </c>
      <c r="D102" s="23" t="s">
        <v>382</v>
      </c>
      <c r="E102" s="24"/>
      <c r="F102" s="24"/>
      <c r="G102" s="25">
        <v>52</v>
      </c>
      <c r="H102" s="23"/>
      <c r="I102" s="23" t="s">
        <v>205</v>
      </c>
      <c r="J102" s="23" t="s">
        <v>27</v>
      </c>
      <c r="K102" s="23" t="s">
        <v>121</v>
      </c>
      <c r="L102" s="23" t="s">
        <v>30</v>
      </c>
      <c r="M102" s="23" t="s">
        <v>30</v>
      </c>
      <c r="N102" s="25"/>
      <c r="O102" s="24" t="s">
        <v>215</v>
      </c>
      <c r="P102" s="24" t="s">
        <v>235</v>
      </c>
      <c r="Q102" s="24" t="s">
        <v>280</v>
      </c>
      <c r="R102" s="24"/>
      <c r="S102" s="24" t="s">
        <v>45</v>
      </c>
      <c r="T102" s="23" t="s">
        <v>383</v>
      </c>
      <c r="U102" s="22">
        <v>25569.895833333299</v>
      </c>
      <c r="V102" s="22">
        <v>25569.265277777798</v>
      </c>
      <c r="W102" s="24"/>
      <c r="X102" s="26"/>
      <c r="Y102" s="27" t="s">
        <v>37</v>
      </c>
      <c r="Z102" s="27"/>
      <c r="AA102" s="19"/>
      <c r="AB102" s="20"/>
    </row>
    <row r="103" spans="1:28" s="10" customFormat="1" ht="48" hidden="1" x14ac:dyDescent="0.2">
      <c r="B103" s="21">
        <v>43193</v>
      </c>
      <c r="C103" s="22">
        <v>25569.5291666667</v>
      </c>
      <c r="D103" s="23" t="s">
        <v>384</v>
      </c>
      <c r="E103" s="24"/>
      <c r="F103" s="24"/>
      <c r="G103" s="25">
        <v>48</v>
      </c>
      <c r="H103" s="23"/>
      <c r="I103" s="23" t="s">
        <v>188</v>
      </c>
      <c r="J103" s="23" t="s">
        <v>27</v>
      </c>
      <c r="K103" s="23" t="s">
        <v>121</v>
      </c>
      <c r="L103" s="23" t="s">
        <v>29</v>
      </c>
      <c r="M103" s="23" t="s">
        <v>30</v>
      </c>
      <c r="N103" s="25">
        <v>5</v>
      </c>
      <c r="O103" s="24" t="s">
        <v>68</v>
      </c>
      <c r="P103" s="24" t="s">
        <v>189</v>
      </c>
      <c r="Q103" s="24" t="s">
        <v>196</v>
      </c>
      <c r="R103" s="24" t="s">
        <v>385</v>
      </c>
      <c r="S103" s="24" t="s">
        <v>45</v>
      </c>
      <c r="T103" s="23" t="s">
        <v>386</v>
      </c>
      <c r="U103" s="22">
        <v>25569.354166666701</v>
      </c>
      <c r="V103" s="22">
        <v>25569.708333333299</v>
      </c>
      <c r="W103" s="24"/>
      <c r="X103" s="26"/>
      <c r="Y103" s="27"/>
      <c r="Z103" s="27"/>
      <c r="AA103" s="19"/>
      <c r="AB103" s="20"/>
    </row>
    <row r="104" spans="1:28" s="10" customFormat="1" ht="72" hidden="1" x14ac:dyDescent="0.2">
      <c r="B104" s="11">
        <v>43193</v>
      </c>
      <c r="C104" s="12">
        <v>25569.71875</v>
      </c>
      <c r="D104" s="13" t="s">
        <v>387</v>
      </c>
      <c r="E104" s="14"/>
      <c r="F104" s="14"/>
      <c r="G104" s="15">
        <v>31</v>
      </c>
      <c r="H104" s="13"/>
      <c r="I104" s="13" t="s">
        <v>93</v>
      </c>
      <c r="J104" s="13" t="s">
        <v>27</v>
      </c>
      <c r="K104" s="13" t="s">
        <v>28</v>
      </c>
      <c r="L104" s="13" t="s">
        <v>30</v>
      </c>
      <c r="M104" s="13" t="s">
        <v>30</v>
      </c>
      <c r="N104" s="15"/>
      <c r="O104" s="14" t="s">
        <v>98</v>
      </c>
      <c r="P104" s="14" t="s">
        <v>51</v>
      </c>
      <c r="Q104" s="14" t="s">
        <v>57</v>
      </c>
      <c r="R104" s="14" t="s">
        <v>58</v>
      </c>
      <c r="S104" s="14" t="s">
        <v>388</v>
      </c>
      <c r="T104" s="13" t="s">
        <v>389</v>
      </c>
      <c r="U104" s="12">
        <v>25569.583333333299</v>
      </c>
      <c r="V104" s="12">
        <v>25569.930555555598</v>
      </c>
      <c r="W104" s="14"/>
      <c r="X104" s="17"/>
      <c r="Y104" s="18"/>
      <c r="Z104" s="18"/>
      <c r="AA104" s="19"/>
      <c r="AB104" s="20"/>
    </row>
    <row r="105" spans="1:28" s="10" customFormat="1" ht="48" hidden="1" x14ac:dyDescent="0.2">
      <c r="B105" s="11">
        <v>43194</v>
      </c>
      <c r="C105" s="12">
        <v>25569.368055555598</v>
      </c>
      <c r="D105" s="13" t="s">
        <v>390</v>
      </c>
      <c r="E105" s="14"/>
      <c r="F105" s="14"/>
      <c r="G105" s="15">
        <v>50</v>
      </c>
      <c r="H105" s="13"/>
      <c r="I105" s="13" t="s">
        <v>120</v>
      </c>
      <c r="J105" s="13" t="s">
        <v>27</v>
      </c>
      <c r="K105" s="13" t="s">
        <v>28</v>
      </c>
      <c r="L105" s="13" t="s">
        <v>29</v>
      </c>
      <c r="M105" s="13" t="s">
        <v>30</v>
      </c>
      <c r="N105" s="15">
        <v>1</v>
      </c>
      <c r="O105" s="14"/>
      <c r="P105" s="14" t="s">
        <v>42</v>
      </c>
      <c r="Q105" s="14" t="s">
        <v>57</v>
      </c>
      <c r="R105" s="14" t="s">
        <v>58</v>
      </c>
      <c r="S105" s="14" t="s">
        <v>391</v>
      </c>
      <c r="T105" s="13" t="s">
        <v>392</v>
      </c>
      <c r="U105" s="12">
        <v>25569.291666666701</v>
      </c>
      <c r="V105" s="12">
        <v>25569.65625</v>
      </c>
      <c r="W105" s="14"/>
      <c r="X105" s="17"/>
      <c r="Y105" s="18" t="s">
        <v>37</v>
      </c>
      <c r="Z105" s="18"/>
      <c r="AA105" s="19"/>
      <c r="AB105" s="20"/>
    </row>
    <row r="106" spans="1:28" s="1" customFormat="1" ht="48" hidden="1" x14ac:dyDescent="0.2">
      <c r="A106" s="5"/>
      <c r="B106" s="21">
        <v>43195</v>
      </c>
      <c r="C106" s="22">
        <v>25569.354166666701</v>
      </c>
      <c r="D106" s="23" t="s">
        <v>393</v>
      </c>
      <c r="E106" s="24"/>
      <c r="F106" s="24"/>
      <c r="G106" s="25">
        <v>20</v>
      </c>
      <c r="H106" s="23"/>
      <c r="I106" s="23" t="s">
        <v>205</v>
      </c>
      <c r="J106" s="23" t="s">
        <v>27</v>
      </c>
      <c r="K106" s="23" t="s">
        <v>28</v>
      </c>
      <c r="L106" s="23" t="s">
        <v>29</v>
      </c>
      <c r="M106" s="23" t="s">
        <v>30</v>
      </c>
      <c r="N106" s="25">
        <v>9</v>
      </c>
      <c r="O106" s="24" t="s">
        <v>41</v>
      </c>
      <c r="P106" s="24" t="s">
        <v>394</v>
      </c>
      <c r="Q106" s="24" t="s">
        <v>88</v>
      </c>
      <c r="R106" s="24" t="s">
        <v>134</v>
      </c>
      <c r="S106" s="24" t="s">
        <v>45</v>
      </c>
      <c r="T106" s="23" t="s">
        <v>395</v>
      </c>
      <c r="U106" s="22">
        <v>25569.263888888901</v>
      </c>
      <c r="V106" s="22">
        <v>25569.604166666701</v>
      </c>
      <c r="W106" s="24"/>
      <c r="X106" s="26"/>
      <c r="Y106" s="27" t="s">
        <v>37</v>
      </c>
      <c r="Z106" s="27"/>
      <c r="AA106" s="19"/>
      <c r="AB106" s="20"/>
    </row>
    <row r="107" spans="1:28" s="1" customFormat="1" ht="72" hidden="1" x14ac:dyDescent="0.2">
      <c r="A107" s="5"/>
      <c r="B107" s="11">
        <v>43201</v>
      </c>
      <c r="C107" s="12">
        <v>25569.763888888901</v>
      </c>
      <c r="D107" s="13" t="s">
        <v>396</v>
      </c>
      <c r="E107" s="14"/>
      <c r="F107" s="14"/>
      <c r="G107" s="15">
        <v>52</v>
      </c>
      <c r="H107" s="13"/>
      <c r="I107" s="13" t="s">
        <v>205</v>
      </c>
      <c r="J107" s="13" t="s">
        <v>27</v>
      </c>
      <c r="K107" s="13" t="s">
        <v>28</v>
      </c>
      <c r="L107" s="13" t="s">
        <v>30</v>
      </c>
      <c r="M107" s="13" t="s">
        <v>29</v>
      </c>
      <c r="N107" s="15"/>
      <c r="O107" s="14" t="s">
        <v>50</v>
      </c>
      <c r="P107" s="14" t="s">
        <v>42</v>
      </c>
      <c r="Q107" s="14" t="s">
        <v>57</v>
      </c>
      <c r="R107" s="14"/>
      <c r="S107" s="14" t="s">
        <v>397</v>
      </c>
      <c r="T107" s="13" t="s">
        <v>398</v>
      </c>
      <c r="U107" s="12">
        <v>25569.583333333299</v>
      </c>
      <c r="V107" s="12">
        <v>25569</v>
      </c>
      <c r="W107" s="14"/>
      <c r="X107" s="17"/>
      <c r="Y107" s="18"/>
      <c r="Z107" s="18"/>
      <c r="AA107" s="19"/>
      <c r="AB107" s="20"/>
    </row>
    <row r="108" spans="1:28" s="1" customFormat="1" ht="48" hidden="1" x14ac:dyDescent="0.2">
      <c r="A108" s="5"/>
      <c r="B108" s="21">
        <v>43206</v>
      </c>
      <c r="C108" s="22">
        <v>25569.302083333299</v>
      </c>
      <c r="D108" s="23" t="s">
        <v>399</v>
      </c>
      <c r="E108" s="24"/>
      <c r="F108" s="24"/>
      <c r="G108" s="25">
        <v>31</v>
      </c>
      <c r="H108" s="23"/>
      <c r="I108" s="23" t="s">
        <v>93</v>
      </c>
      <c r="J108" s="23" t="s">
        <v>27</v>
      </c>
      <c r="K108" s="23" t="s">
        <v>28</v>
      </c>
      <c r="L108" s="23" t="s">
        <v>30</v>
      </c>
      <c r="M108" s="23" t="s">
        <v>30</v>
      </c>
      <c r="N108" s="25"/>
      <c r="O108" s="24" t="s">
        <v>31</v>
      </c>
      <c r="P108" s="24" t="s">
        <v>32</v>
      </c>
      <c r="Q108" s="24" t="s">
        <v>33</v>
      </c>
      <c r="R108" s="24" t="s">
        <v>305</v>
      </c>
      <c r="S108" s="24" t="s">
        <v>400</v>
      </c>
      <c r="T108" s="23" t="s">
        <v>401</v>
      </c>
      <c r="U108" s="22">
        <v>25569.25</v>
      </c>
      <c r="V108" s="22">
        <v>25569.607638888901</v>
      </c>
      <c r="W108" s="24"/>
      <c r="X108" s="26"/>
      <c r="Y108" s="27" t="s">
        <v>73</v>
      </c>
      <c r="Z108" s="27" t="s">
        <v>38</v>
      </c>
      <c r="AA108" s="19"/>
      <c r="AB108" s="20"/>
    </row>
    <row r="109" spans="1:28" s="1" customFormat="1" ht="60" hidden="1" x14ac:dyDescent="0.2">
      <c r="A109" s="5"/>
      <c r="B109" s="11">
        <v>43207</v>
      </c>
      <c r="C109" s="12">
        <v>25569.302083333299</v>
      </c>
      <c r="D109" s="13" t="s">
        <v>402</v>
      </c>
      <c r="E109" s="14"/>
      <c r="F109" s="14"/>
      <c r="G109" s="15">
        <v>21</v>
      </c>
      <c r="H109" s="13"/>
      <c r="I109" s="13" t="s">
        <v>403</v>
      </c>
      <c r="J109" s="13" t="s">
        <v>27</v>
      </c>
      <c r="K109" s="13" t="s">
        <v>121</v>
      </c>
      <c r="L109" s="13" t="s">
        <v>30</v>
      </c>
      <c r="M109" s="13" t="s">
        <v>29</v>
      </c>
      <c r="N109" s="15"/>
      <c r="O109" s="14"/>
      <c r="P109" s="14" t="s">
        <v>32</v>
      </c>
      <c r="Q109" s="14" t="s">
        <v>75</v>
      </c>
      <c r="R109" s="14" t="s">
        <v>76</v>
      </c>
      <c r="S109" s="14" t="s">
        <v>404</v>
      </c>
      <c r="T109" s="13" t="s">
        <v>405</v>
      </c>
      <c r="U109" s="12">
        <v>25569.3125</v>
      </c>
      <c r="V109" s="12">
        <v>25569.541666666701</v>
      </c>
      <c r="W109" s="14"/>
      <c r="X109" s="17"/>
      <c r="Y109" s="18"/>
      <c r="Z109" s="18"/>
      <c r="AA109" s="19"/>
      <c r="AB109" s="20"/>
    </row>
    <row r="110" spans="1:28" s="1" customFormat="1" ht="60" hidden="1" x14ac:dyDescent="0.2">
      <c r="A110" s="5"/>
      <c r="B110" s="21">
        <v>43208</v>
      </c>
      <c r="C110" s="22">
        <v>25569.041666666701</v>
      </c>
      <c r="D110" s="23" t="s">
        <v>406</v>
      </c>
      <c r="E110" s="24"/>
      <c r="F110" s="24"/>
      <c r="G110" s="25">
        <v>31</v>
      </c>
      <c r="H110" s="23"/>
      <c r="I110" s="23" t="s">
        <v>93</v>
      </c>
      <c r="J110" s="23" t="s">
        <v>27</v>
      </c>
      <c r="K110" s="23" t="s">
        <v>28</v>
      </c>
      <c r="L110" s="23" t="s">
        <v>30</v>
      </c>
      <c r="M110" s="23" t="s">
        <v>30</v>
      </c>
      <c r="N110" s="25"/>
      <c r="O110" s="24"/>
      <c r="P110" s="24" t="s">
        <v>342</v>
      </c>
      <c r="Q110" s="24" t="s">
        <v>149</v>
      </c>
      <c r="R110" s="24" t="s">
        <v>407</v>
      </c>
      <c r="S110" s="24" t="s">
        <v>408</v>
      </c>
      <c r="T110" s="23" t="s">
        <v>409</v>
      </c>
      <c r="U110" s="22">
        <v>25569.905555555601</v>
      </c>
      <c r="V110" s="22">
        <v>25569.260416666701</v>
      </c>
      <c r="W110" s="24"/>
      <c r="X110" s="26"/>
      <c r="Y110" s="27" t="s">
        <v>73</v>
      </c>
      <c r="Z110" s="27"/>
      <c r="AA110" s="19"/>
      <c r="AB110" s="20"/>
    </row>
    <row r="111" spans="1:28" s="1" customFormat="1" ht="60" hidden="1" x14ac:dyDescent="0.2">
      <c r="A111" s="5"/>
      <c r="B111" s="11">
        <v>43210</v>
      </c>
      <c r="C111" s="12">
        <v>25569.78125</v>
      </c>
      <c r="D111" s="13" t="s">
        <v>410</v>
      </c>
      <c r="E111" s="14"/>
      <c r="F111" s="14"/>
      <c r="G111" s="15">
        <v>50</v>
      </c>
      <c r="H111" s="13"/>
      <c r="I111" s="13" t="s">
        <v>26</v>
      </c>
      <c r="J111" s="13" t="s">
        <v>27</v>
      </c>
      <c r="K111" s="13" t="s">
        <v>28</v>
      </c>
      <c r="L111" s="13" t="s">
        <v>29</v>
      </c>
      <c r="M111" s="13" t="s">
        <v>30</v>
      </c>
      <c r="N111" s="15">
        <v>19</v>
      </c>
      <c r="O111" s="14" t="s">
        <v>31</v>
      </c>
      <c r="P111" s="14" t="s">
        <v>32</v>
      </c>
      <c r="Q111" s="14" t="s">
        <v>196</v>
      </c>
      <c r="R111" s="14" t="s">
        <v>411</v>
      </c>
      <c r="S111" s="14" t="s">
        <v>412</v>
      </c>
      <c r="T111" s="13" t="s">
        <v>413</v>
      </c>
      <c r="U111" s="12">
        <v>25569.603472222199</v>
      </c>
      <c r="V111" s="12">
        <v>25569.999305555601</v>
      </c>
      <c r="W111" s="14"/>
      <c r="X111" s="17"/>
      <c r="Y111" s="18"/>
      <c r="Z111" s="18" t="s">
        <v>86</v>
      </c>
      <c r="AA111" s="19"/>
      <c r="AB111" s="20"/>
    </row>
    <row r="112" spans="1:28" s="1" customFormat="1" ht="60" hidden="1" x14ac:dyDescent="0.2">
      <c r="A112" s="5"/>
      <c r="B112" s="21">
        <v>43211</v>
      </c>
      <c r="C112" s="22">
        <v>25569.5</v>
      </c>
      <c r="D112" s="23" t="s">
        <v>414</v>
      </c>
      <c r="E112" s="24"/>
      <c r="F112" s="24"/>
      <c r="G112" s="25">
        <v>58</v>
      </c>
      <c r="H112" s="23"/>
      <c r="I112" s="23" t="s">
        <v>26</v>
      </c>
      <c r="J112" s="23" t="s">
        <v>27</v>
      </c>
      <c r="K112" s="23" t="s">
        <v>28</v>
      </c>
      <c r="L112" s="23" t="s">
        <v>29</v>
      </c>
      <c r="M112" s="23" t="s">
        <v>30</v>
      </c>
      <c r="N112" s="25">
        <v>8</v>
      </c>
      <c r="O112" s="24" t="s">
        <v>31</v>
      </c>
      <c r="P112" s="24" t="s">
        <v>206</v>
      </c>
      <c r="Q112" s="24" t="s">
        <v>88</v>
      </c>
      <c r="R112" s="24" t="s">
        <v>89</v>
      </c>
      <c r="S112" s="24" t="s">
        <v>415</v>
      </c>
      <c r="T112" s="23" t="s">
        <v>416</v>
      </c>
      <c r="U112" s="22">
        <v>25569.25</v>
      </c>
      <c r="V112" s="22">
        <v>25569.611111111099</v>
      </c>
      <c r="W112" s="24"/>
      <c r="X112" s="26"/>
      <c r="Y112" s="27" t="s">
        <v>37</v>
      </c>
      <c r="Z112" s="27" t="s">
        <v>86</v>
      </c>
      <c r="AA112" s="19"/>
      <c r="AB112" s="20"/>
    </row>
    <row r="113" spans="1:28" s="1" customFormat="1" ht="48" hidden="1" x14ac:dyDescent="0.2">
      <c r="A113" s="5"/>
      <c r="B113" s="11">
        <v>43211</v>
      </c>
      <c r="C113" s="12">
        <v>25569.833333333299</v>
      </c>
      <c r="D113" s="13" t="s">
        <v>417</v>
      </c>
      <c r="E113" s="14"/>
      <c r="F113" s="14"/>
      <c r="G113" s="15">
        <v>34</v>
      </c>
      <c r="H113" s="13"/>
      <c r="I113" s="13" t="s">
        <v>49</v>
      </c>
      <c r="J113" s="13" t="s">
        <v>27</v>
      </c>
      <c r="K113" s="13" t="s">
        <v>28</v>
      </c>
      <c r="L113" s="13" t="s">
        <v>30</v>
      </c>
      <c r="M113" s="13" t="s">
        <v>30</v>
      </c>
      <c r="N113" s="15"/>
      <c r="O113" s="14" t="s">
        <v>31</v>
      </c>
      <c r="P113" s="14" t="s">
        <v>235</v>
      </c>
      <c r="Q113" s="14" t="s">
        <v>43</v>
      </c>
      <c r="R113" s="14"/>
      <c r="S113" s="14" t="s">
        <v>418</v>
      </c>
      <c r="T113" s="13" t="s">
        <v>419</v>
      </c>
      <c r="U113" s="12">
        <v>25569.570138888899</v>
      </c>
      <c r="V113" s="12"/>
      <c r="W113" s="14"/>
      <c r="X113" s="17"/>
      <c r="Y113" s="18"/>
      <c r="Z113" s="18"/>
      <c r="AA113" s="19"/>
      <c r="AB113" s="20"/>
    </row>
    <row r="114" spans="1:28" s="1" customFormat="1" ht="48" hidden="1" x14ac:dyDescent="0.2">
      <c r="A114" s="5"/>
      <c r="B114" s="21">
        <v>43213</v>
      </c>
      <c r="C114" s="22">
        <v>25569.208333333299</v>
      </c>
      <c r="D114" s="23" t="s">
        <v>420</v>
      </c>
      <c r="E114" s="24"/>
      <c r="F114" s="24"/>
      <c r="G114" s="25">
        <v>32</v>
      </c>
      <c r="H114" s="23"/>
      <c r="I114" s="23" t="s">
        <v>93</v>
      </c>
      <c r="J114" s="23" t="s">
        <v>27</v>
      </c>
      <c r="K114" s="23" t="s">
        <v>28</v>
      </c>
      <c r="L114" s="23" t="s">
        <v>30</v>
      </c>
      <c r="M114" s="23" t="s">
        <v>30</v>
      </c>
      <c r="N114" s="25"/>
      <c r="O114" s="24"/>
      <c r="P114" s="24" t="s">
        <v>148</v>
      </c>
      <c r="Q114" s="24" t="s">
        <v>149</v>
      </c>
      <c r="R114" s="24" t="s">
        <v>150</v>
      </c>
      <c r="S114" s="24" t="s">
        <v>421</v>
      </c>
      <c r="T114" s="23" t="s">
        <v>422</v>
      </c>
      <c r="U114" s="22">
        <v>25569.905555555601</v>
      </c>
      <c r="V114" s="22">
        <v>25569.259722222199</v>
      </c>
      <c r="W114" s="24"/>
      <c r="X114" s="26"/>
      <c r="Y114" s="27"/>
      <c r="Z114" s="27"/>
      <c r="AA114" s="19"/>
      <c r="AB114" s="20"/>
    </row>
    <row r="115" spans="1:28" s="1" customFormat="1" ht="48" hidden="1" x14ac:dyDescent="0.2">
      <c r="A115" s="5"/>
      <c r="B115" s="11">
        <v>43215</v>
      </c>
      <c r="C115" s="12">
        <v>25569.416666666701</v>
      </c>
      <c r="D115" s="13" t="s">
        <v>423</v>
      </c>
      <c r="E115" s="14"/>
      <c r="F115" s="14"/>
      <c r="G115" s="15">
        <v>52</v>
      </c>
      <c r="H115" s="13"/>
      <c r="I115" s="13" t="s">
        <v>205</v>
      </c>
      <c r="J115" s="13" t="s">
        <v>27</v>
      </c>
      <c r="K115" s="13" t="s">
        <v>28</v>
      </c>
      <c r="L115" s="13" t="s">
        <v>30</v>
      </c>
      <c r="M115" s="13" t="s">
        <v>30</v>
      </c>
      <c r="N115" s="15"/>
      <c r="O115" s="14" t="s">
        <v>50</v>
      </c>
      <c r="P115" s="14" t="s">
        <v>424</v>
      </c>
      <c r="Q115" s="14" t="s">
        <v>43</v>
      </c>
      <c r="R115" s="14" t="s">
        <v>44</v>
      </c>
      <c r="S115" s="14" t="s">
        <v>425</v>
      </c>
      <c r="T115" s="13" t="s">
        <v>426</v>
      </c>
      <c r="U115" s="12">
        <v>25569.277777777799</v>
      </c>
      <c r="V115" s="12">
        <v>25569.611111111099</v>
      </c>
      <c r="W115" s="14"/>
      <c r="X115" s="17"/>
      <c r="Y115" s="18"/>
      <c r="Z115" s="18"/>
      <c r="AA115" s="19"/>
      <c r="AB115" s="20"/>
    </row>
    <row r="116" spans="1:28" s="1" customFormat="1" ht="72" hidden="1" x14ac:dyDescent="0.2">
      <c r="A116" s="5"/>
      <c r="B116" s="21">
        <v>43217</v>
      </c>
      <c r="C116" s="22">
        <v>25569.25</v>
      </c>
      <c r="D116" s="23" t="s">
        <v>427</v>
      </c>
      <c r="E116" s="24"/>
      <c r="F116" s="24"/>
      <c r="G116" s="25">
        <v>43</v>
      </c>
      <c r="H116" s="23"/>
      <c r="I116" s="23" t="s">
        <v>26</v>
      </c>
      <c r="J116" s="23" t="s">
        <v>27</v>
      </c>
      <c r="K116" s="23" t="s">
        <v>121</v>
      </c>
      <c r="L116" s="23" t="s">
        <v>29</v>
      </c>
      <c r="M116" s="23" t="s">
        <v>30</v>
      </c>
      <c r="N116" s="25">
        <v>7</v>
      </c>
      <c r="O116" s="24" t="s">
        <v>215</v>
      </c>
      <c r="P116" s="24" t="s">
        <v>206</v>
      </c>
      <c r="Q116" s="24"/>
      <c r="R116" s="24"/>
      <c r="S116" s="24" t="s">
        <v>428</v>
      </c>
      <c r="T116" s="23" t="s">
        <v>429</v>
      </c>
      <c r="U116" s="22">
        <v>25569.28125</v>
      </c>
      <c r="V116" s="22"/>
      <c r="W116" s="24"/>
      <c r="X116" s="26"/>
      <c r="Y116" s="27" t="s">
        <v>37</v>
      </c>
      <c r="Z116" s="27"/>
      <c r="AA116" s="19"/>
      <c r="AB116" s="20"/>
    </row>
    <row r="117" spans="1:28" s="1" customFormat="1" ht="48" hidden="1" x14ac:dyDescent="0.2">
      <c r="A117" s="5"/>
      <c r="B117" s="11">
        <v>43220</v>
      </c>
      <c r="C117" s="12">
        <v>25569.375</v>
      </c>
      <c r="D117" s="13" t="s">
        <v>430</v>
      </c>
      <c r="E117" s="14"/>
      <c r="F117" s="14"/>
      <c r="G117" s="15">
        <v>41</v>
      </c>
      <c r="H117" s="13"/>
      <c r="I117" s="13" t="s">
        <v>26</v>
      </c>
      <c r="J117" s="13" t="s">
        <v>27</v>
      </c>
      <c r="K117" s="13" t="s">
        <v>28</v>
      </c>
      <c r="L117" s="13" t="s">
        <v>29</v>
      </c>
      <c r="M117" s="13" t="s">
        <v>30</v>
      </c>
      <c r="N117" s="15">
        <v>31</v>
      </c>
      <c r="O117" s="14" t="s">
        <v>68</v>
      </c>
      <c r="P117" s="14" t="s">
        <v>63</v>
      </c>
      <c r="Q117" s="14" t="s">
        <v>88</v>
      </c>
      <c r="R117" s="14" t="s">
        <v>89</v>
      </c>
      <c r="S117" s="14" t="s">
        <v>431</v>
      </c>
      <c r="T117" s="13" t="s">
        <v>432</v>
      </c>
      <c r="U117" s="12">
        <v>25569.305555555598</v>
      </c>
      <c r="V117" s="12">
        <v>25569.6472222222</v>
      </c>
      <c r="W117" s="14"/>
      <c r="X117" s="17"/>
      <c r="Y117" s="18" t="s">
        <v>37</v>
      </c>
      <c r="Z117" s="18" t="s">
        <v>433</v>
      </c>
      <c r="AA117" s="19"/>
      <c r="AB117" s="20"/>
    </row>
    <row r="118" spans="1:28" s="1" customFormat="1" ht="48" hidden="1" x14ac:dyDescent="0.2">
      <c r="A118" s="5"/>
      <c r="B118" s="21">
        <v>43224</v>
      </c>
      <c r="C118" s="22">
        <v>25569.309027777799</v>
      </c>
      <c r="D118" s="23" t="s">
        <v>434</v>
      </c>
      <c r="E118" s="24"/>
      <c r="F118" s="24"/>
      <c r="G118" s="25">
        <v>24</v>
      </c>
      <c r="H118" s="23"/>
      <c r="I118" s="23" t="s">
        <v>435</v>
      </c>
      <c r="J118" s="23" t="s">
        <v>27</v>
      </c>
      <c r="K118" s="23" t="s">
        <v>121</v>
      </c>
      <c r="L118" s="23" t="s">
        <v>29</v>
      </c>
      <c r="M118" s="23" t="s">
        <v>30</v>
      </c>
      <c r="N118" s="25">
        <v>5</v>
      </c>
      <c r="O118" s="24" t="s">
        <v>68</v>
      </c>
      <c r="P118" s="24" t="s">
        <v>189</v>
      </c>
      <c r="Q118" s="24" t="s">
        <v>196</v>
      </c>
      <c r="R118" s="24" t="s">
        <v>197</v>
      </c>
      <c r="S118" s="24" t="s">
        <v>436</v>
      </c>
      <c r="T118" s="23" t="s">
        <v>437</v>
      </c>
      <c r="U118" s="22">
        <v>25569.375</v>
      </c>
      <c r="V118" s="22"/>
      <c r="W118" s="24"/>
      <c r="X118" s="26"/>
      <c r="Y118" s="27" t="s">
        <v>37</v>
      </c>
      <c r="Z118" s="27"/>
      <c r="AA118" s="19"/>
      <c r="AB118" s="20"/>
    </row>
    <row r="119" spans="1:28" s="1" customFormat="1" ht="72" hidden="1" x14ac:dyDescent="0.2">
      <c r="A119" s="5"/>
      <c r="B119" s="11">
        <v>43225</v>
      </c>
      <c r="C119" s="12">
        <v>25569.541666666701</v>
      </c>
      <c r="D119" s="13" t="s">
        <v>438</v>
      </c>
      <c r="E119" s="14"/>
      <c r="F119" s="14"/>
      <c r="G119" s="15">
        <v>40</v>
      </c>
      <c r="H119" s="13"/>
      <c r="I119" s="13" t="s">
        <v>93</v>
      </c>
      <c r="J119" s="13" t="s">
        <v>27</v>
      </c>
      <c r="K119" s="13" t="s">
        <v>121</v>
      </c>
      <c r="L119" s="13" t="s">
        <v>30</v>
      </c>
      <c r="M119" s="13" t="s">
        <v>30</v>
      </c>
      <c r="N119" s="15"/>
      <c r="O119" s="14" t="s">
        <v>215</v>
      </c>
      <c r="P119" s="14" t="s">
        <v>32</v>
      </c>
      <c r="Q119" s="14" t="s">
        <v>75</v>
      </c>
      <c r="R119" s="14" t="s">
        <v>76</v>
      </c>
      <c r="S119" s="14" t="s">
        <v>439</v>
      </c>
      <c r="T119" s="13" t="s">
        <v>440</v>
      </c>
      <c r="U119" s="12">
        <v>25569.555555555598</v>
      </c>
      <c r="V119" s="12"/>
      <c r="W119" s="14"/>
      <c r="X119" s="17"/>
      <c r="Y119" s="18" t="s">
        <v>73</v>
      </c>
      <c r="Z119" s="18"/>
      <c r="AA119" s="19"/>
      <c r="AB119" s="20"/>
    </row>
    <row r="120" spans="1:28" s="1" customFormat="1" ht="24" hidden="1" x14ac:dyDescent="0.2">
      <c r="A120" s="5"/>
      <c r="B120" s="21">
        <v>43225</v>
      </c>
      <c r="C120" s="22">
        <v>25569.563194444399</v>
      </c>
      <c r="D120" s="23" t="s">
        <v>441</v>
      </c>
      <c r="E120" s="24"/>
      <c r="F120" s="24"/>
      <c r="G120" s="25">
        <v>55</v>
      </c>
      <c r="H120" s="23"/>
      <c r="I120" s="23" t="s">
        <v>246</v>
      </c>
      <c r="J120" s="23" t="s">
        <v>27</v>
      </c>
      <c r="K120" s="23" t="s">
        <v>28</v>
      </c>
      <c r="L120" s="23" t="s">
        <v>30</v>
      </c>
      <c r="M120" s="23" t="s">
        <v>30</v>
      </c>
      <c r="N120" s="25"/>
      <c r="O120" s="24"/>
      <c r="P120" s="24" t="s">
        <v>32</v>
      </c>
      <c r="Q120" s="24" t="s">
        <v>116</v>
      </c>
      <c r="R120" s="24" t="s">
        <v>117</v>
      </c>
      <c r="S120" s="24" t="s">
        <v>442</v>
      </c>
      <c r="T120" s="23" t="s">
        <v>443</v>
      </c>
      <c r="U120" s="22">
        <v>25569.25</v>
      </c>
      <c r="V120" s="22">
        <v>25569.599999999999</v>
      </c>
      <c r="W120" s="24"/>
      <c r="X120" s="26"/>
      <c r="Y120" s="27"/>
      <c r="Z120" s="27"/>
      <c r="AA120" s="19"/>
      <c r="AB120" s="20"/>
    </row>
    <row r="121" spans="1:28" s="1" customFormat="1" ht="48" hidden="1" x14ac:dyDescent="0.2">
      <c r="A121" s="5"/>
      <c r="B121" s="11">
        <v>43228</v>
      </c>
      <c r="C121" s="12">
        <v>25569.895833333299</v>
      </c>
      <c r="D121" s="13" t="s">
        <v>444</v>
      </c>
      <c r="E121" s="14"/>
      <c r="F121" s="14"/>
      <c r="G121" s="15">
        <v>38</v>
      </c>
      <c r="H121" s="13"/>
      <c r="I121" s="13" t="s">
        <v>93</v>
      </c>
      <c r="J121" s="13" t="s">
        <v>27</v>
      </c>
      <c r="K121" s="13" t="s">
        <v>28</v>
      </c>
      <c r="L121" s="13" t="s">
        <v>30</v>
      </c>
      <c r="M121" s="13" t="s">
        <v>30</v>
      </c>
      <c r="N121" s="15"/>
      <c r="O121" s="14" t="s">
        <v>31</v>
      </c>
      <c r="P121" s="14" t="s">
        <v>394</v>
      </c>
      <c r="Q121" s="14" t="s">
        <v>33</v>
      </c>
      <c r="R121" s="14" t="s">
        <v>377</v>
      </c>
      <c r="S121" s="14" t="s">
        <v>445</v>
      </c>
      <c r="T121" s="13" t="s">
        <v>446</v>
      </c>
      <c r="U121" s="12">
        <v>25569.583333333299</v>
      </c>
      <c r="V121" s="12">
        <v>25569.940277777801</v>
      </c>
      <c r="W121" s="14"/>
      <c r="X121" s="17"/>
      <c r="Y121" s="18" t="s">
        <v>73</v>
      </c>
      <c r="Z121" s="18"/>
      <c r="AA121" s="19"/>
      <c r="AB121" s="20"/>
    </row>
    <row r="122" spans="1:28" s="1" customFormat="1" ht="36" hidden="1" x14ac:dyDescent="0.2">
      <c r="A122" s="5"/>
      <c r="B122" s="21">
        <v>43229</v>
      </c>
      <c r="C122" s="22">
        <v>25569.34375</v>
      </c>
      <c r="D122" s="23" t="s">
        <v>447</v>
      </c>
      <c r="E122" s="24"/>
      <c r="F122" s="24"/>
      <c r="G122" s="25">
        <v>52</v>
      </c>
      <c r="H122" s="23"/>
      <c r="I122" s="23" t="s">
        <v>205</v>
      </c>
      <c r="J122" s="23" t="s">
        <v>27</v>
      </c>
      <c r="K122" s="23" t="s">
        <v>28</v>
      </c>
      <c r="L122" s="23" t="s">
        <v>29</v>
      </c>
      <c r="M122" s="23" t="s">
        <v>30</v>
      </c>
      <c r="N122" s="25">
        <v>9</v>
      </c>
      <c r="O122" s="24" t="s">
        <v>50</v>
      </c>
      <c r="P122" s="24" t="s">
        <v>42</v>
      </c>
      <c r="Q122" s="24" t="s">
        <v>43</v>
      </c>
      <c r="R122" s="24" t="s">
        <v>44</v>
      </c>
      <c r="S122" s="24" t="s">
        <v>448</v>
      </c>
      <c r="T122" s="23" t="s">
        <v>449</v>
      </c>
      <c r="U122" s="22">
        <v>25569.256944444402</v>
      </c>
      <c r="V122" s="22">
        <v>25569.606250000001</v>
      </c>
      <c r="W122" s="24"/>
      <c r="X122" s="26">
        <v>43242</v>
      </c>
      <c r="Y122" s="27" t="s">
        <v>37</v>
      </c>
      <c r="Z122" s="27" t="s">
        <v>450</v>
      </c>
      <c r="AA122" s="19"/>
      <c r="AB122" s="20"/>
    </row>
    <row r="123" spans="1:28" s="1" customFormat="1" ht="48" hidden="1" x14ac:dyDescent="0.2">
      <c r="A123" s="5"/>
      <c r="B123" s="11">
        <v>43231</v>
      </c>
      <c r="C123" s="12">
        <v>25569.041666666701</v>
      </c>
      <c r="D123" s="13" t="s">
        <v>451</v>
      </c>
      <c r="E123" s="14"/>
      <c r="F123" s="14"/>
      <c r="G123" s="15">
        <v>55</v>
      </c>
      <c r="H123" s="13"/>
      <c r="I123" s="13" t="s">
        <v>120</v>
      </c>
      <c r="J123" s="13" t="s">
        <v>27</v>
      </c>
      <c r="K123" s="13" t="s">
        <v>28</v>
      </c>
      <c r="L123" s="13" t="s">
        <v>29</v>
      </c>
      <c r="M123" s="13" t="s">
        <v>30</v>
      </c>
      <c r="N123" s="15">
        <v>20</v>
      </c>
      <c r="O123" s="14" t="s">
        <v>31</v>
      </c>
      <c r="P123" s="14" t="s">
        <v>206</v>
      </c>
      <c r="Q123" s="14" t="s">
        <v>43</v>
      </c>
      <c r="R123" s="14" t="s">
        <v>64</v>
      </c>
      <c r="S123" s="14" t="s">
        <v>452</v>
      </c>
      <c r="T123" s="13" t="s">
        <v>453</v>
      </c>
      <c r="U123" s="12">
        <v>25569.916666666701</v>
      </c>
      <c r="V123" s="12">
        <v>25569.25</v>
      </c>
      <c r="W123" s="14"/>
      <c r="X123" s="17"/>
      <c r="Y123" s="18" t="s">
        <v>37</v>
      </c>
      <c r="Z123" s="18" t="s">
        <v>186</v>
      </c>
      <c r="AA123" s="19"/>
      <c r="AB123" s="20"/>
    </row>
    <row r="124" spans="1:28" s="1" customFormat="1" ht="24" hidden="1" x14ac:dyDescent="0.2">
      <c r="A124" s="5"/>
      <c r="B124" s="21">
        <v>43231</v>
      </c>
      <c r="C124" s="22">
        <v>25569.559027777799</v>
      </c>
      <c r="D124" s="23" t="s">
        <v>454</v>
      </c>
      <c r="E124" s="24"/>
      <c r="F124" s="24"/>
      <c r="G124" s="25">
        <v>32</v>
      </c>
      <c r="H124" s="23"/>
      <c r="I124" s="23" t="s">
        <v>368</v>
      </c>
      <c r="J124" s="23" t="s">
        <v>27</v>
      </c>
      <c r="K124" s="23" t="s">
        <v>28</v>
      </c>
      <c r="L124" s="23" t="s">
        <v>30</v>
      </c>
      <c r="M124" s="23" t="s">
        <v>30</v>
      </c>
      <c r="N124" s="25"/>
      <c r="O124" s="24"/>
      <c r="P124" s="24" t="s">
        <v>32</v>
      </c>
      <c r="Q124" s="24" t="s">
        <v>75</v>
      </c>
      <c r="R124" s="24" t="s">
        <v>76</v>
      </c>
      <c r="S124" s="24" t="s">
        <v>455</v>
      </c>
      <c r="T124" s="23" t="s">
        <v>456</v>
      </c>
      <c r="U124" s="22">
        <v>25569.2791666667</v>
      </c>
      <c r="V124" s="22">
        <v>25569.611111111099</v>
      </c>
      <c r="W124" s="24"/>
      <c r="X124" s="26"/>
      <c r="Y124" s="27" t="s">
        <v>37</v>
      </c>
      <c r="Z124" s="27"/>
      <c r="AA124" s="19"/>
      <c r="AB124" s="20"/>
    </row>
    <row r="125" spans="1:28" s="1" customFormat="1" ht="60" hidden="1" x14ac:dyDescent="0.2">
      <c r="A125" s="5"/>
      <c r="B125" s="11">
        <v>43235</v>
      </c>
      <c r="C125" s="12">
        <v>25569.416666666701</v>
      </c>
      <c r="D125" s="13" t="s">
        <v>457</v>
      </c>
      <c r="E125" s="14"/>
      <c r="F125" s="14"/>
      <c r="G125" s="15">
        <v>52</v>
      </c>
      <c r="H125" s="13"/>
      <c r="I125" s="13" t="s">
        <v>26</v>
      </c>
      <c r="J125" s="13" t="s">
        <v>27</v>
      </c>
      <c r="K125" s="13" t="s">
        <v>28</v>
      </c>
      <c r="L125" s="13" t="s">
        <v>30</v>
      </c>
      <c r="M125" s="13" t="s">
        <v>30</v>
      </c>
      <c r="N125" s="15"/>
      <c r="O125" s="14" t="s">
        <v>31</v>
      </c>
      <c r="P125" s="14" t="s">
        <v>458</v>
      </c>
      <c r="Q125" s="14" t="s">
        <v>43</v>
      </c>
      <c r="R125" s="14" t="s">
        <v>44</v>
      </c>
      <c r="S125" s="14" t="s">
        <v>459</v>
      </c>
      <c r="T125" s="13" t="s">
        <v>460</v>
      </c>
      <c r="U125" s="12">
        <v>25569.263888888901</v>
      </c>
      <c r="V125" s="12">
        <v>25569.592361111099</v>
      </c>
      <c r="W125" s="14"/>
      <c r="X125" s="17"/>
      <c r="Y125" s="18"/>
      <c r="Z125" s="18" t="s">
        <v>86</v>
      </c>
      <c r="AA125" s="19"/>
      <c r="AB125" s="20"/>
    </row>
    <row r="126" spans="1:28" s="1" customFormat="1" ht="36" hidden="1" x14ac:dyDescent="0.2">
      <c r="A126" s="5"/>
      <c r="B126" s="21">
        <v>43241</v>
      </c>
      <c r="C126" s="22">
        <v>25569.909722222201</v>
      </c>
      <c r="D126" s="23" t="s">
        <v>461</v>
      </c>
      <c r="E126" s="24"/>
      <c r="F126" s="24"/>
      <c r="G126" s="25">
        <v>53</v>
      </c>
      <c r="H126" s="23"/>
      <c r="I126" s="23" t="s">
        <v>49</v>
      </c>
      <c r="J126" s="23" t="s">
        <v>27</v>
      </c>
      <c r="K126" s="23" t="s">
        <v>121</v>
      </c>
      <c r="L126" s="23" t="s">
        <v>30</v>
      </c>
      <c r="M126" s="23" t="s">
        <v>30</v>
      </c>
      <c r="N126" s="25"/>
      <c r="O126" s="24" t="s">
        <v>50</v>
      </c>
      <c r="P126" s="24" t="s">
        <v>42</v>
      </c>
      <c r="Q126" s="24" t="s">
        <v>43</v>
      </c>
      <c r="R126" s="24" t="s">
        <v>44</v>
      </c>
      <c r="S126" s="24" t="s">
        <v>462</v>
      </c>
      <c r="T126" s="23" t="s">
        <v>463</v>
      </c>
      <c r="U126" s="22">
        <v>25569.615277777801</v>
      </c>
      <c r="V126" s="22">
        <v>25569</v>
      </c>
      <c r="W126" s="24"/>
      <c r="X126" s="26"/>
      <c r="Y126" s="27" t="s">
        <v>73</v>
      </c>
      <c r="Z126" s="27"/>
      <c r="AA126" s="19"/>
      <c r="AB126" s="20"/>
    </row>
    <row r="127" spans="1:28" s="1" customFormat="1" ht="60" hidden="1" x14ac:dyDescent="0.2">
      <c r="A127" s="5"/>
      <c r="B127" s="11">
        <v>43242</v>
      </c>
      <c r="C127" s="12">
        <v>25569.875</v>
      </c>
      <c r="D127" s="13" t="s">
        <v>464</v>
      </c>
      <c r="E127" s="14"/>
      <c r="F127" s="14"/>
      <c r="G127" s="15">
        <v>56</v>
      </c>
      <c r="H127" s="13"/>
      <c r="I127" s="13" t="s">
        <v>205</v>
      </c>
      <c r="J127" s="13" t="s">
        <v>27</v>
      </c>
      <c r="K127" s="13" t="s">
        <v>28</v>
      </c>
      <c r="L127" s="13" t="s">
        <v>30</v>
      </c>
      <c r="M127" s="13" t="s">
        <v>30</v>
      </c>
      <c r="N127" s="15"/>
      <c r="O127" s="14" t="s">
        <v>465</v>
      </c>
      <c r="P127" s="14" t="s">
        <v>63</v>
      </c>
      <c r="Q127" s="14" t="s">
        <v>57</v>
      </c>
      <c r="R127" s="14"/>
      <c r="S127" s="14" t="s">
        <v>466</v>
      </c>
      <c r="T127" s="13" t="s">
        <v>467</v>
      </c>
      <c r="U127" s="12">
        <v>25569.590277777799</v>
      </c>
      <c r="V127" s="12">
        <v>25569.9395833333</v>
      </c>
      <c r="W127" s="14"/>
      <c r="X127" s="17"/>
      <c r="Y127" s="18" t="s">
        <v>73</v>
      </c>
      <c r="Z127" s="18" t="s">
        <v>450</v>
      </c>
      <c r="AA127" s="19"/>
      <c r="AB127" s="20"/>
    </row>
    <row r="128" spans="1:28" s="1" customFormat="1" ht="48" hidden="1" x14ac:dyDescent="0.2">
      <c r="A128" s="5"/>
      <c r="B128" s="21">
        <v>43244</v>
      </c>
      <c r="C128" s="22">
        <v>25569.416666666701</v>
      </c>
      <c r="D128" s="23" t="s">
        <v>468</v>
      </c>
      <c r="E128" s="24"/>
      <c r="F128" s="24"/>
      <c r="G128" s="25">
        <v>32</v>
      </c>
      <c r="H128" s="23"/>
      <c r="I128" s="23" t="s">
        <v>93</v>
      </c>
      <c r="J128" s="23" t="s">
        <v>27</v>
      </c>
      <c r="K128" s="23" t="s">
        <v>28</v>
      </c>
      <c r="L128" s="23" t="s">
        <v>29</v>
      </c>
      <c r="M128" s="23" t="s">
        <v>30</v>
      </c>
      <c r="N128" s="25">
        <v>15</v>
      </c>
      <c r="O128" s="24" t="s">
        <v>41</v>
      </c>
      <c r="P128" s="24" t="s">
        <v>32</v>
      </c>
      <c r="Q128" s="24" t="s">
        <v>88</v>
      </c>
      <c r="R128" s="24" t="s">
        <v>89</v>
      </c>
      <c r="S128" s="24" t="s">
        <v>469</v>
      </c>
      <c r="T128" s="23" t="s">
        <v>470</v>
      </c>
      <c r="U128" s="22">
        <v>25569.25</v>
      </c>
      <c r="V128" s="22"/>
      <c r="W128" s="24"/>
      <c r="X128" s="26"/>
      <c r="Y128" s="27"/>
      <c r="Z128" s="27"/>
      <c r="AA128" s="19"/>
      <c r="AB128" s="20"/>
    </row>
    <row r="129" spans="1:28" s="1" customFormat="1" ht="60" hidden="1" x14ac:dyDescent="0.2">
      <c r="A129" s="5"/>
      <c r="B129" s="11">
        <v>43245</v>
      </c>
      <c r="C129" s="12">
        <v>25569.354166666701</v>
      </c>
      <c r="D129" s="13" t="s">
        <v>471</v>
      </c>
      <c r="E129" s="14"/>
      <c r="F129" s="14"/>
      <c r="G129" s="15">
        <v>20</v>
      </c>
      <c r="H129" s="13"/>
      <c r="I129" s="13" t="s">
        <v>62</v>
      </c>
      <c r="J129" s="13" t="s">
        <v>27</v>
      </c>
      <c r="K129" s="13" t="s">
        <v>28</v>
      </c>
      <c r="L129" s="13" t="s">
        <v>30</v>
      </c>
      <c r="M129" s="13" t="s">
        <v>29</v>
      </c>
      <c r="N129" s="15"/>
      <c r="O129" s="14"/>
      <c r="P129" s="14" t="s">
        <v>458</v>
      </c>
      <c r="Q129" s="14" t="s">
        <v>43</v>
      </c>
      <c r="R129" s="14" t="s">
        <v>44</v>
      </c>
      <c r="S129" s="14" t="s">
        <v>472</v>
      </c>
      <c r="T129" s="13" t="s">
        <v>473</v>
      </c>
      <c r="U129" s="12">
        <v>25569.333333333299</v>
      </c>
      <c r="V129" s="12">
        <v>25569</v>
      </c>
      <c r="W129" s="14"/>
      <c r="X129" s="17"/>
      <c r="Y129" s="18"/>
      <c r="Z129" s="18"/>
      <c r="AA129" s="19"/>
      <c r="AB129" s="20"/>
    </row>
    <row r="130" spans="1:28" s="1" customFormat="1" ht="48" hidden="1" x14ac:dyDescent="0.2">
      <c r="A130" s="5"/>
      <c r="B130" s="21">
        <v>43245</v>
      </c>
      <c r="C130" s="22">
        <v>25569.381944444402</v>
      </c>
      <c r="D130" s="23" t="s">
        <v>474</v>
      </c>
      <c r="E130" s="24"/>
      <c r="F130" s="24"/>
      <c r="G130" s="25">
        <v>49</v>
      </c>
      <c r="H130" s="23"/>
      <c r="I130" s="23" t="s">
        <v>162</v>
      </c>
      <c r="J130" s="23" t="s">
        <v>27</v>
      </c>
      <c r="K130" s="23" t="s">
        <v>28</v>
      </c>
      <c r="L130" s="23" t="s">
        <v>30</v>
      </c>
      <c r="M130" s="23" t="s">
        <v>30</v>
      </c>
      <c r="N130" s="25"/>
      <c r="O130" s="24" t="s">
        <v>68</v>
      </c>
      <c r="P130" s="24" t="s">
        <v>235</v>
      </c>
      <c r="Q130" s="24" t="s">
        <v>75</v>
      </c>
      <c r="R130" s="24" t="s">
        <v>76</v>
      </c>
      <c r="S130" s="24" t="s">
        <v>475</v>
      </c>
      <c r="T130" s="23" t="s">
        <v>476</v>
      </c>
      <c r="U130" s="22">
        <v>25569.333333333299</v>
      </c>
      <c r="V130" s="22">
        <v>25569.666666666701</v>
      </c>
      <c r="W130" s="24"/>
      <c r="X130" s="26"/>
      <c r="Y130" s="27" t="s">
        <v>73</v>
      </c>
      <c r="Z130" s="27"/>
      <c r="AA130" s="19"/>
      <c r="AB130" s="20"/>
    </row>
    <row r="131" spans="1:28" s="1" customFormat="1" ht="48" hidden="1" x14ac:dyDescent="0.2">
      <c r="A131" s="5"/>
      <c r="B131" s="11">
        <v>43245</v>
      </c>
      <c r="C131" s="12">
        <v>25569.395833333299</v>
      </c>
      <c r="D131" s="13" t="s">
        <v>477</v>
      </c>
      <c r="E131" s="14"/>
      <c r="F131" s="14"/>
      <c r="G131" s="15">
        <v>54</v>
      </c>
      <c r="H131" s="13"/>
      <c r="I131" s="13" t="s">
        <v>55</v>
      </c>
      <c r="J131" s="13" t="s">
        <v>27</v>
      </c>
      <c r="K131" s="13" t="s">
        <v>28</v>
      </c>
      <c r="L131" s="13" t="s">
        <v>29</v>
      </c>
      <c r="M131" s="13" t="s">
        <v>30</v>
      </c>
      <c r="N131" s="15">
        <v>6</v>
      </c>
      <c r="O131" s="14" t="s">
        <v>163</v>
      </c>
      <c r="P131" s="14" t="s">
        <v>63</v>
      </c>
      <c r="Q131" s="14" t="s">
        <v>196</v>
      </c>
      <c r="R131" s="14" t="s">
        <v>411</v>
      </c>
      <c r="S131" s="14" t="s">
        <v>478</v>
      </c>
      <c r="T131" s="13" t="s">
        <v>479</v>
      </c>
      <c r="U131" s="12">
        <v>25569.253472222201</v>
      </c>
      <c r="V131" s="12">
        <v>25569.604166666701</v>
      </c>
      <c r="W131" s="14"/>
      <c r="X131" s="17"/>
      <c r="Y131" s="18" t="s">
        <v>37</v>
      </c>
      <c r="Z131" s="18" t="s">
        <v>137</v>
      </c>
      <c r="AA131" s="19"/>
      <c r="AB131" s="20"/>
    </row>
    <row r="132" spans="1:28" s="1" customFormat="1" ht="48" hidden="1" x14ac:dyDescent="0.2">
      <c r="A132" s="5"/>
      <c r="B132" s="21">
        <v>43248</v>
      </c>
      <c r="C132" s="22">
        <v>25569.625</v>
      </c>
      <c r="D132" s="23" t="s">
        <v>480</v>
      </c>
      <c r="E132" s="24"/>
      <c r="F132" s="24"/>
      <c r="G132" s="25">
        <v>54</v>
      </c>
      <c r="H132" s="23"/>
      <c r="I132" s="23" t="s">
        <v>481</v>
      </c>
      <c r="J132" s="23" t="s">
        <v>27</v>
      </c>
      <c r="K132" s="23" t="s">
        <v>28</v>
      </c>
      <c r="L132" s="23" t="s">
        <v>29</v>
      </c>
      <c r="M132" s="23" t="s">
        <v>30</v>
      </c>
      <c r="N132" s="25">
        <v>0</v>
      </c>
      <c r="O132" s="24" t="s">
        <v>50</v>
      </c>
      <c r="P132" s="24" t="s">
        <v>482</v>
      </c>
      <c r="Q132" s="24" t="s">
        <v>116</v>
      </c>
      <c r="R132" s="24" t="s">
        <v>117</v>
      </c>
      <c r="S132" s="24" t="s">
        <v>442</v>
      </c>
      <c r="T132" s="23" t="s">
        <v>483</v>
      </c>
      <c r="U132" s="22">
        <v>25569.333333333299</v>
      </c>
      <c r="V132" s="22"/>
      <c r="W132" s="24"/>
      <c r="X132" s="26"/>
      <c r="Y132" s="27" t="s">
        <v>146</v>
      </c>
      <c r="Z132" s="27"/>
      <c r="AA132" s="19"/>
      <c r="AB132" s="20"/>
    </row>
    <row r="133" spans="1:28" s="1" customFormat="1" ht="60" hidden="1" x14ac:dyDescent="0.2">
      <c r="A133" s="5"/>
      <c r="B133" s="11">
        <v>43248</v>
      </c>
      <c r="C133" s="12">
        <v>25569.979166666701</v>
      </c>
      <c r="D133" s="13" t="s">
        <v>484</v>
      </c>
      <c r="E133" s="14"/>
      <c r="F133" s="14"/>
      <c r="G133" s="15">
        <v>32</v>
      </c>
      <c r="H133" s="13"/>
      <c r="I133" s="13" t="s">
        <v>93</v>
      </c>
      <c r="J133" s="13" t="s">
        <v>27</v>
      </c>
      <c r="K133" s="13" t="s">
        <v>28</v>
      </c>
      <c r="L133" s="13" t="s">
        <v>30</v>
      </c>
      <c r="M133" s="13" t="s">
        <v>30</v>
      </c>
      <c r="N133" s="15"/>
      <c r="O133" s="14" t="s">
        <v>98</v>
      </c>
      <c r="P133" s="14" t="s">
        <v>69</v>
      </c>
      <c r="Q133" s="14" t="s">
        <v>149</v>
      </c>
      <c r="R133" s="14" t="s">
        <v>150</v>
      </c>
      <c r="S133" s="14" t="s">
        <v>485</v>
      </c>
      <c r="T133" s="13" t="s">
        <v>486</v>
      </c>
      <c r="U133" s="12">
        <v>25569.905555555601</v>
      </c>
      <c r="V133" s="12">
        <v>25569.259722222199</v>
      </c>
      <c r="W133" s="14"/>
      <c r="X133" s="17"/>
      <c r="Y133" s="18" t="s">
        <v>73</v>
      </c>
      <c r="Z133" s="18" t="s">
        <v>82</v>
      </c>
      <c r="AA133" s="19"/>
      <c r="AB133" s="20"/>
    </row>
    <row r="134" spans="1:28" s="1" customFormat="1" ht="60" hidden="1" x14ac:dyDescent="0.2">
      <c r="A134" s="5"/>
      <c r="B134" s="21">
        <v>43249</v>
      </c>
      <c r="C134" s="22">
        <v>25569.333333333299</v>
      </c>
      <c r="D134" s="23" t="s">
        <v>487</v>
      </c>
      <c r="E134" s="24"/>
      <c r="F134" s="24"/>
      <c r="G134" s="25">
        <v>53</v>
      </c>
      <c r="H134" s="23"/>
      <c r="I134" s="23" t="s">
        <v>234</v>
      </c>
      <c r="J134" s="23" t="s">
        <v>27</v>
      </c>
      <c r="K134" s="23" t="s">
        <v>28</v>
      </c>
      <c r="L134" s="23" t="s">
        <v>29</v>
      </c>
      <c r="M134" s="23" t="s">
        <v>30</v>
      </c>
      <c r="N134" s="25">
        <v>124</v>
      </c>
      <c r="O134" s="24" t="s">
        <v>50</v>
      </c>
      <c r="P134" s="24" t="s">
        <v>488</v>
      </c>
      <c r="Q134" s="24" t="s">
        <v>196</v>
      </c>
      <c r="R134" s="24" t="s">
        <v>197</v>
      </c>
      <c r="S134" s="24" t="s">
        <v>489</v>
      </c>
      <c r="T134" s="23" t="s">
        <v>490</v>
      </c>
      <c r="U134" s="22">
        <v>25569.222222222201</v>
      </c>
      <c r="V134" s="22">
        <v>25569.583333333299</v>
      </c>
      <c r="W134" s="24"/>
      <c r="X134" s="26"/>
      <c r="Y134" s="27" t="s">
        <v>37</v>
      </c>
      <c r="Z134" s="27" t="s">
        <v>491</v>
      </c>
      <c r="AA134" s="19"/>
      <c r="AB134" s="20"/>
    </row>
    <row r="135" spans="1:28" s="1" customFormat="1" ht="72" hidden="1" x14ac:dyDescent="0.2">
      <c r="A135" s="5"/>
      <c r="B135" s="11">
        <v>43249</v>
      </c>
      <c r="C135" s="12">
        <v>25569.559027777799</v>
      </c>
      <c r="D135" s="13" t="s">
        <v>492</v>
      </c>
      <c r="E135" s="14"/>
      <c r="F135" s="14"/>
      <c r="G135" s="15">
        <v>16</v>
      </c>
      <c r="H135" s="13"/>
      <c r="I135" s="13" t="s">
        <v>201</v>
      </c>
      <c r="J135" s="13" t="s">
        <v>27</v>
      </c>
      <c r="K135" s="13" t="s">
        <v>121</v>
      </c>
      <c r="L135" s="13" t="s">
        <v>29</v>
      </c>
      <c r="M135" s="13" t="s">
        <v>30</v>
      </c>
      <c r="N135" s="15">
        <v>5</v>
      </c>
      <c r="O135" s="14" t="s">
        <v>215</v>
      </c>
      <c r="P135" s="14" t="s">
        <v>32</v>
      </c>
      <c r="Q135" s="14" t="s">
        <v>75</v>
      </c>
      <c r="R135" s="14" t="s">
        <v>76</v>
      </c>
      <c r="S135" s="14" t="s">
        <v>493</v>
      </c>
      <c r="T135" s="13" t="s">
        <v>494</v>
      </c>
      <c r="U135" s="12">
        <v>25569.572916666701</v>
      </c>
      <c r="V135" s="12"/>
      <c r="W135" s="14"/>
      <c r="X135" s="17"/>
      <c r="Y135" s="18" t="s">
        <v>37</v>
      </c>
      <c r="Z135" s="18"/>
      <c r="AA135" s="19"/>
      <c r="AB135" s="20"/>
    </row>
    <row r="136" spans="1:28" s="1" customFormat="1" ht="48" hidden="1" x14ac:dyDescent="0.2">
      <c r="A136" s="5"/>
      <c r="B136" s="21">
        <v>43251</v>
      </c>
      <c r="C136" s="22">
        <v>25569.385416666701</v>
      </c>
      <c r="D136" s="23" t="s">
        <v>495</v>
      </c>
      <c r="E136" s="24"/>
      <c r="F136" s="24"/>
      <c r="G136" s="25">
        <v>47</v>
      </c>
      <c r="H136" s="23"/>
      <c r="I136" s="23" t="s">
        <v>205</v>
      </c>
      <c r="J136" s="23" t="s">
        <v>27</v>
      </c>
      <c r="K136" s="23" t="s">
        <v>28</v>
      </c>
      <c r="L136" s="23" t="s">
        <v>30</v>
      </c>
      <c r="M136" s="23" t="s">
        <v>30</v>
      </c>
      <c r="N136" s="25"/>
      <c r="O136" s="24"/>
      <c r="P136" s="24" t="s">
        <v>394</v>
      </c>
      <c r="Q136" s="24" t="s">
        <v>75</v>
      </c>
      <c r="R136" s="24" t="s">
        <v>76</v>
      </c>
      <c r="S136" s="24" t="s">
        <v>496</v>
      </c>
      <c r="T136" s="23" t="s">
        <v>497</v>
      </c>
      <c r="U136" s="22">
        <v>25569.25</v>
      </c>
      <c r="V136" s="22"/>
      <c r="W136" s="24"/>
      <c r="X136" s="26"/>
      <c r="Y136" s="27"/>
      <c r="Z136" s="27"/>
      <c r="AA136" s="19"/>
      <c r="AB136" s="20"/>
    </row>
    <row r="137" spans="1:28" s="1" customFormat="1" ht="72" hidden="1" x14ac:dyDescent="0.2">
      <c r="A137" s="5"/>
      <c r="B137" s="11">
        <v>43251</v>
      </c>
      <c r="C137" s="12">
        <v>25569.534722222201</v>
      </c>
      <c r="D137" s="13" t="s">
        <v>498</v>
      </c>
      <c r="E137" s="14"/>
      <c r="F137" s="14"/>
      <c r="G137" s="15">
        <v>36</v>
      </c>
      <c r="H137" s="13"/>
      <c r="I137" s="13" t="s">
        <v>205</v>
      </c>
      <c r="J137" s="13" t="s">
        <v>27</v>
      </c>
      <c r="K137" s="13" t="s">
        <v>28</v>
      </c>
      <c r="L137" s="13" t="s">
        <v>30</v>
      </c>
      <c r="M137" s="13" t="s">
        <v>30</v>
      </c>
      <c r="N137" s="15"/>
      <c r="O137" s="14"/>
      <c r="P137" s="14" t="s">
        <v>499</v>
      </c>
      <c r="Q137" s="14" t="s">
        <v>43</v>
      </c>
      <c r="R137" s="14" t="s">
        <v>44</v>
      </c>
      <c r="S137" s="14" t="s">
        <v>500</v>
      </c>
      <c r="T137" s="13" t="s">
        <v>501</v>
      </c>
      <c r="U137" s="12">
        <v>25569.25</v>
      </c>
      <c r="V137" s="12">
        <v>25569.601388888899</v>
      </c>
      <c r="W137" s="14"/>
      <c r="X137" s="17"/>
      <c r="Y137" s="18"/>
      <c r="Z137" s="18"/>
      <c r="AA137" s="19"/>
      <c r="AB137" s="20"/>
    </row>
    <row r="138" spans="1:28" s="1" customFormat="1" ht="48" hidden="1" x14ac:dyDescent="0.2">
      <c r="A138" s="5"/>
      <c r="B138" s="21">
        <v>43254</v>
      </c>
      <c r="C138" s="22">
        <v>25569.666666666701</v>
      </c>
      <c r="D138" s="23" t="s">
        <v>502</v>
      </c>
      <c r="E138" s="24"/>
      <c r="F138" s="24"/>
      <c r="G138" s="25">
        <v>38</v>
      </c>
      <c r="H138" s="23"/>
      <c r="I138" s="23" t="s">
        <v>26</v>
      </c>
      <c r="J138" s="23" t="s">
        <v>27</v>
      </c>
      <c r="K138" s="23" t="s">
        <v>28</v>
      </c>
      <c r="L138" s="23" t="s">
        <v>30</v>
      </c>
      <c r="M138" s="23" t="s">
        <v>30</v>
      </c>
      <c r="N138" s="25"/>
      <c r="O138" s="24" t="s">
        <v>31</v>
      </c>
      <c r="P138" s="24" t="s">
        <v>235</v>
      </c>
      <c r="Q138" s="24" t="s">
        <v>43</v>
      </c>
      <c r="R138" s="24" t="s">
        <v>44</v>
      </c>
      <c r="S138" s="24" t="s">
        <v>503</v>
      </c>
      <c r="T138" s="23" t="s">
        <v>504</v>
      </c>
      <c r="U138" s="22">
        <v>25569.603472222199</v>
      </c>
      <c r="V138" s="22">
        <v>25569.978472222199</v>
      </c>
      <c r="W138" s="24"/>
      <c r="X138" s="26"/>
      <c r="Y138" s="27" t="s">
        <v>73</v>
      </c>
      <c r="Z138" s="27" t="s">
        <v>38</v>
      </c>
      <c r="AA138" s="19"/>
      <c r="AB138" s="20"/>
    </row>
    <row r="139" spans="1:28" s="1" customFormat="1" ht="48" x14ac:dyDescent="0.2">
      <c r="A139" s="5"/>
      <c r="B139" s="11">
        <v>43257</v>
      </c>
      <c r="C139" s="12">
        <v>25569.3125</v>
      </c>
      <c r="D139" s="13" t="s">
        <v>505</v>
      </c>
      <c r="E139" s="14"/>
      <c r="F139" s="14"/>
      <c r="G139" s="15">
        <v>47</v>
      </c>
      <c r="H139" s="13"/>
      <c r="I139" s="13" t="s">
        <v>49</v>
      </c>
      <c r="J139" s="13" t="s">
        <v>27</v>
      </c>
      <c r="K139" s="13" t="s">
        <v>28</v>
      </c>
      <c r="L139" s="13" t="s">
        <v>29</v>
      </c>
      <c r="M139" s="13" t="s">
        <v>30</v>
      </c>
      <c r="N139" s="15">
        <v>9</v>
      </c>
      <c r="O139" s="14" t="s">
        <v>41</v>
      </c>
      <c r="P139" s="14" t="s">
        <v>32</v>
      </c>
      <c r="Q139" s="14" t="s">
        <v>196</v>
      </c>
      <c r="R139" s="14" t="s">
        <v>385</v>
      </c>
      <c r="S139" s="14" t="s">
        <v>506</v>
      </c>
      <c r="T139" s="13" t="s">
        <v>507</v>
      </c>
      <c r="U139" s="12">
        <v>25569.263888888901</v>
      </c>
      <c r="V139" s="12">
        <v>25569.615277777801</v>
      </c>
      <c r="W139" s="14"/>
      <c r="X139" s="17"/>
      <c r="Y139" s="18" t="s">
        <v>37</v>
      </c>
      <c r="Z139" s="18"/>
      <c r="AA139" s="19"/>
      <c r="AB139" s="20"/>
    </row>
    <row r="140" spans="1:28" s="1" customFormat="1" ht="48" hidden="1" x14ac:dyDescent="0.2">
      <c r="A140" s="5"/>
      <c r="B140" s="21">
        <v>43258</v>
      </c>
      <c r="C140" s="22">
        <v>25569.590277777799</v>
      </c>
      <c r="D140" s="23" t="s">
        <v>508</v>
      </c>
      <c r="E140" s="24"/>
      <c r="F140" s="24"/>
      <c r="G140" s="25">
        <v>49</v>
      </c>
      <c r="H140" s="23"/>
      <c r="I140" s="23" t="s">
        <v>26</v>
      </c>
      <c r="J140" s="23" t="s">
        <v>27</v>
      </c>
      <c r="K140" s="23" t="s">
        <v>121</v>
      </c>
      <c r="L140" s="23" t="s">
        <v>29</v>
      </c>
      <c r="M140" s="23" t="s">
        <v>30</v>
      </c>
      <c r="N140" s="25">
        <v>5</v>
      </c>
      <c r="O140" s="24" t="s">
        <v>41</v>
      </c>
      <c r="P140" s="24" t="s">
        <v>394</v>
      </c>
      <c r="Q140" s="24" t="s">
        <v>88</v>
      </c>
      <c r="R140" s="24" t="s">
        <v>94</v>
      </c>
      <c r="S140" s="24" t="s">
        <v>509</v>
      </c>
      <c r="T140" s="23" t="s">
        <v>510</v>
      </c>
      <c r="U140" s="22">
        <v>25569.603472222199</v>
      </c>
      <c r="V140" s="22"/>
      <c r="W140" s="24"/>
      <c r="X140" s="26"/>
      <c r="Y140" s="27" t="s">
        <v>37</v>
      </c>
      <c r="Z140" s="27" t="s">
        <v>511</v>
      </c>
      <c r="AA140" s="19"/>
      <c r="AB140" s="20"/>
    </row>
    <row r="141" spans="1:28" s="1" customFormat="1" ht="36" hidden="1" x14ac:dyDescent="0.2">
      <c r="A141" s="5"/>
      <c r="B141" s="11">
        <v>43258</v>
      </c>
      <c r="C141" s="12">
        <v>25569.666666666701</v>
      </c>
      <c r="D141" s="13" t="s">
        <v>512</v>
      </c>
      <c r="E141" s="14"/>
      <c r="F141" s="14"/>
      <c r="G141" s="15">
        <v>39</v>
      </c>
      <c r="H141" s="13"/>
      <c r="I141" s="13" t="s">
        <v>93</v>
      </c>
      <c r="J141" s="13" t="s">
        <v>27</v>
      </c>
      <c r="K141" s="13" t="s">
        <v>28</v>
      </c>
      <c r="L141" s="13" t="s">
        <v>30</v>
      </c>
      <c r="M141" s="13" t="s">
        <v>30</v>
      </c>
      <c r="N141" s="15"/>
      <c r="O141" s="14" t="s">
        <v>50</v>
      </c>
      <c r="P141" s="14" t="s">
        <v>51</v>
      </c>
      <c r="Q141" s="14" t="s">
        <v>33</v>
      </c>
      <c r="R141" s="14" t="s">
        <v>70</v>
      </c>
      <c r="S141" s="14" t="s">
        <v>513</v>
      </c>
      <c r="T141" s="13" t="s">
        <v>514</v>
      </c>
      <c r="U141" s="12">
        <v>25569.604166666701</v>
      </c>
      <c r="V141" s="12"/>
      <c r="W141" s="14"/>
      <c r="X141" s="17"/>
      <c r="Y141" s="18"/>
      <c r="Z141" s="18"/>
      <c r="AA141" s="19"/>
      <c r="AB141" s="20"/>
    </row>
    <row r="142" spans="1:28" s="1" customFormat="1" ht="48" hidden="1" x14ac:dyDescent="0.2">
      <c r="A142" s="5"/>
      <c r="B142" s="21">
        <v>43258</v>
      </c>
      <c r="C142" s="22">
        <v>25569.708333333299</v>
      </c>
      <c r="D142" s="23" t="s">
        <v>515</v>
      </c>
      <c r="E142" s="24"/>
      <c r="F142" s="24"/>
      <c r="G142" s="25">
        <v>52</v>
      </c>
      <c r="H142" s="23"/>
      <c r="I142" s="23" t="s">
        <v>55</v>
      </c>
      <c r="J142" s="23" t="s">
        <v>27</v>
      </c>
      <c r="K142" s="23" t="s">
        <v>28</v>
      </c>
      <c r="L142" s="23" t="s">
        <v>29</v>
      </c>
      <c r="M142" s="23" t="s">
        <v>30</v>
      </c>
      <c r="N142" s="25">
        <v>13</v>
      </c>
      <c r="O142" s="24" t="s">
        <v>31</v>
      </c>
      <c r="P142" s="24" t="s">
        <v>32</v>
      </c>
      <c r="Q142" s="24" t="s">
        <v>75</v>
      </c>
      <c r="R142" s="24" t="s">
        <v>76</v>
      </c>
      <c r="S142" s="24" t="s">
        <v>516</v>
      </c>
      <c r="T142" s="23" t="s">
        <v>517</v>
      </c>
      <c r="U142" s="22">
        <v>25569.611111111099</v>
      </c>
      <c r="V142" s="22"/>
      <c r="W142" s="24"/>
      <c r="X142" s="26"/>
      <c r="Y142" s="27" t="s">
        <v>37</v>
      </c>
      <c r="Z142" s="27"/>
      <c r="AA142" s="19"/>
      <c r="AB142" s="20"/>
    </row>
    <row r="143" spans="1:28" s="1" customFormat="1" ht="72" hidden="1" x14ac:dyDescent="0.2">
      <c r="A143" s="5"/>
      <c r="B143" s="11">
        <v>43259</v>
      </c>
      <c r="C143" s="12">
        <v>25569.375</v>
      </c>
      <c r="D143" s="13" t="s">
        <v>518</v>
      </c>
      <c r="E143" s="14"/>
      <c r="F143" s="14"/>
      <c r="G143" s="15">
        <v>58</v>
      </c>
      <c r="H143" s="13"/>
      <c r="I143" s="13" t="s">
        <v>205</v>
      </c>
      <c r="J143" s="13" t="s">
        <v>27</v>
      </c>
      <c r="K143" s="13" t="s">
        <v>28</v>
      </c>
      <c r="L143" s="13" t="s">
        <v>30</v>
      </c>
      <c r="M143" s="13" t="s">
        <v>30</v>
      </c>
      <c r="N143" s="15"/>
      <c r="O143" s="14" t="s">
        <v>31</v>
      </c>
      <c r="P143" s="14" t="s">
        <v>499</v>
      </c>
      <c r="Q143" s="14" t="s">
        <v>43</v>
      </c>
      <c r="R143" s="14" t="s">
        <v>153</v>
      </c>
      <c r="S143" s="16" t="s">
        <v>519</v>
      </c>
      <c r="T143" s="13" t="s">
        <v>520</v>
      </c>
      <c r="U143" s="12">
        <v>25569.25</v>
      </c>
      <c r="V143" s="12"/>
      <c r="W143" s="14"/>
      <c r="X143" s="17"/>
      <c r="Y143" s="18" t="s">
        <v>73</v>
      </c>
      <c r="Z143" s="18"/>
      <c r="AA143" s="19"/>
      <c r="AB143" s="20"/>
    </row>
    <row r="144" spans="1:28" s="1" customFormat="1" ht="48" hidden="1" x14ac:dyDescent="0.2">
      <c r="A144" s="5"/>
      <c r="B144" s="21">
        <v>43261</v>
      </c>
      <c r="C144" s="22">
        <v>25569.041666666701</v>
      </c>
      <c r="D144" s="23" t="s">
        <v>521</v>
      </c>
      <c r="E144" s="24"/>
      <c r="F144" s="24"/>
      <c r="G144" s="25">
        <v>37</v>
      </c>
      <c r="H144" s="23"/>
      <c r="I144" s="23" t="s">
        <v>120</v>
      </c>
      <c r="J144" s="23" t="s">
        <v>27</v>
      </c>
      <c r="K144" s="23" t="s">
        <v>28</v>
      </c>
      <c r="L144" s="23" t="s">
        <v>30</v>
      </c>
      <c r="M144" s="23" t="s">
        <v>30</v>
      </c>
      <c r="N144" s="25"/>
      <c r="O144" s="24" t="s">
        <v>31</v>
      </c>
      <c r="P144" s="24" t="s">
        <v>32</v>
      </c>
      <c r="Q144" s="24" t="s">
        <v>43</v>
      </c>
      <c r="R144" s="24" t="s">
        <v>190</v>
      </c>
      <c r="S144" s="24" t="s">
        <v>522</v>
      </c>
      <c r="T144" s="23" t="s">
        <v>523</v>
      </c>
      <c r="U144" s="22">
        <v>25569.916666666701</v>
      </c>
      <c r="V144" s="22"/>
      <c r="W144" s="24"/>
      <c r="X144" s="26"/>
      <c r="Y144" s="27"/>
      <c r="Z144" s="27"/>
      <c r="AA144" s="19"/>
      <c r="AB144" s="20"/>
    </row>
    <row r="145" spans="1:28" s="1" customFormat="1" ht="48" hidden="1" x14ac:dyDescent="0.2">
      <c r="A145" s="5"/>
      <c r="B145" s="11">
        <v>43262</v>
      </c>
      <c r="C145" s="12">
        <v>25569.256944444402</v>
      </c>
      <c r="D145" s="13" t="s">
        <v>524</v>
      </c>
      <c r="E145" s="14"/>
      <c r="F145" s="14"/>
      <c r="G145" s="15">
        <v>19</v>
      </c>
      <c r="H145" s="13"/>
      <c r="I145" s="13" t="s">
        <v>201</v>
      </c>
      <c r="J145" s="13" t="s">
        <v>27</v>
      </c>
      <c r="K145" s="13" t="s">
        <v>121</v>
      </c>
      <c r="L145" s="13" t="s">
        <v>30</v>
      </c>
      <c r="M145" s="13" t="s">
        <v>30</v>
      </c>
      <c r="N145" s="15"/>
      <c r="O145" s="14"/>
      <c r="P145" s="14" t="s">
        <v>482</v>
      </c>
      <c r="Q145" s="14" t="s">
        <v>57</v>
      </c>
      <c r="R145" s="14"/>
      <c r="S145" s="14" t="s">
        <v>525</v>
      </c>
      <c r="T145" s="13" t="s">
        <v>526</v>
      </c>
      <c r="U145" s="12">
        <v>25569.256944444402</v>
      </c>
      <c r="V145" s="12">
        <v>25569</v>
      </c>
      <c r="W145" s="14"/>
      <c r="X145" s="17"/>
      <c r="Y145" s="18" t="s">
        <v>73</v>
      </c>
      <c r="Z145" s="18"/>
      <c r="AA145" s="19"/>
      <c r="AB145" s="20"/>
    </row>
    <row r="146" spans="1:28" s="1" customFormat="1" ht="48" hidden="1" x14ac:dyDescent="0.2">
      <c r="A146" s="5"/>
      <c r="B146" s="21">
        <v>43264</v>
      </c>
      <c r="C146" s="22">
        <v>25569.395833333299</v>
      </c>
      <c r="D146" s="23" t="s">
        <v>527</v>
      </c>
      <c r="E146" s="24"/>
      <c r="F146" s="24"/>
      <c r="G146" s="25">
        <v>31</v>
      </c>
      <c r="H146" s="23"/>
      <c r="I146" s="23" t="s">
        <v>93</v>
      </c>
      <c r="J146" s="23" t="s">
        <v>27</v>
      </c>
      <c r="K146" s="23" t="s">
        <v>28</v>
      </c>
      <c r="L146" s="23" t="s">
        <v>29</v>
      </c>
      <c r="M146" s="23" t="s">
        <v>30</v>
      </c>
      <c r="N146" s="25">
        <v>14</v>
      </c>
      <c r="O146" s="24" t="s">
        <v>31</v>
      </c>
      <c r="P146" s="24" t="s">
        <v>394</v>
      </c>
      <c r="Q146" s="24" t="s">
        <v>75</v>
      </c>
      <c r="R146" s="24" t="s">
        <v>76</v>
      </c>
      <c r="S146" s="24" t="s">
        <v>528</v>
      </c>
      <c r="T146" s="23" t="s">
        <v>529</v>
      </c>
      <c r="U146" s="22">
        <v>25569.270833333299</v>
      </c>
      <c r="V146" s="22">
        <v>25569</v>
      </c>
      <c r="W146" s="24"/>
      <c r="X146" s="26"/>
      <c r="Y146" s="27"/>
      <c r="Z146" s="27" t="s">
        <v>38</v>
      </c>
      <c r="AA146" s="19"/>
      <c r="AB146" s="20"/>
    </row>
    <row r="147" spans="1:28" s="1" customFormat="1" ht="60" hidden="1" x14ac:dyDescent="0.2">
      <c r="A147" s="5"/>
      <c r="B147" s="11">
        <v>43264</v>
      </c>
      <c r="C147" s="12">
        <v>25569.416666666701</v>
      </c>
      <c r="D147" s="13" t="s">
        <v>530</v>
      </c>
      <c r="E147" s="14"/>
      <c r="F147" s="14"/>
      <c r="G147" s="15">
        <v>50</v>
      </c>
      <c r="H147" s="13"/>
      <c r="I147" s="13" t="s">
        <v>55</v>
      </c>
      <c r="J147" s="13" t="s">
        <v>27</v>
      </c>
      <c r="K147" s="13" t="s">
        <v>28</v>
      </c>
      <c r="L147" s="13" t="s">
        <v>30</v>
      </c>
      <c r="M147" s="13" t="s">
        <v>30</v>
      </c>
      <c r="N147" s="15"/>
      <c r="O147" s="14" t="s">
        <v>31</v>
      </c>
      <c r="P147" s="14" t="s">
        <v>458</v>
      </c>
      <c r="Q147" s="14"/>
      <c r="R147" s="14"/>
      <c r="S147" s="14" t="s">
        <v>531</v>
      </c>
      <c r="T147" s="13" t="s">
        <v>532</v>
      </c>
      <c r="U147" s="12">
        <v>25569.253472222201</v>
      </c>
      <c r="V147" s="12">
        <v>25569.604166666701</v>
      </c>
      <c r="W147" s="14"/>
      <c r="X147" s="17"/>
      <c r="Y147" s="18"/>
      <c r="Z147" s="18" t="s">
        <v>82</v>
      </c>
      <c r="AA147" s="19"/>
      <c r="AB147" s="20"/>
    </row>
    <row r="148" spans="1:28" s="1" customFormat="1" ht="72" hidden="1" x14ac:dyDescent="0.2">
      <c r="A148" s="5"/>
      <c r="B148" s="21">
        <v>43264</v>
      </c>
      <c r="C148" s="22">
        <v>25569.583333333299</v>
      </c>
      <c r="D148" s="23" t="s">
        <v>533</v>
      </c>
      <c r="E148" s="24"/>
      <c r="F148" s="24"/>
      <c r="G148" s="25">
        <v>33</v>
      </c>
      <c r="H148" s="23"/>
      <c r="I148" s="23" t="s">
        <v>26</v>
      </c>
      <c r="J148" s="23" t="s">
        <v>27</v>
      </c>
      <c r="K148" s="23" t="s">
        <v>28</v>
      </c>
      <c r="L148" s="23" t="s">
        <v>30</v>
      </c>
      <c r="M148" s="23" t="s">
        <v>30</v>
      </c>
      <c r="N148" s="25"/>
      <c r="O148" s="24"/>
      <c r="P148" s="24" t="s">
        <v>499</v>
      </c>
      <c r="Q148" s="24" t="s">
        <v>116</v>
      </c>
      <c r="R148" s="24" t="s">
        <v>117</v>
      </c>
      <c r="S148" s="24" t="s">
        <v>534</v>
      </c>
      <c r="T148" s="23" t="s">
        <v>535</v>
      </c>
      <c r="U148" s="22">
        <v>25569.25</v>
      </c>
      <c r="V148" s="22">
        <v>25569.617361111101</v>
      </c>
      <c r="W148" s="24"/>
      <c r="X148" s="26"/>
      <c r="Y148" s="27" t="s">
        <v>73</v>
      </c>
      <c r="Z148" s="27"/>
      <c r="AA148" s="19"/>
      <c r="AB148" s="20"/>
    </row>
    <row r="149" spans="1:28" s="1" customFormat="1" ht="60" hidden="1" x14ac:dyDescent="0.2">
      <c r="A149" s="5"/>
      <c r="B149" s="11">
        <v>43266</v>
      </c>
      <c r="C149" s="12">
        <v>25569.222222222201</v>
      </c>
      <c r="D149" s="13" t="s">
        <v>536</v>
      </c>
      <c r="E149" s="14"/>
      <c r="F149" s="14"/>
      <c r="G149" s="15">
        <v>42</v>
      </c>
      <c r="H149" s="13"/>
      <c r="I149" s="13" t="s">
        <v>49</v>
      </c>
      <c r="J149" s="13" t="s">
        <v>27</v>
      </c>
      <c r="K149" s="13" t="s">
        <v>28</v>
      </c>
      <c r="L149" s="13" t="s">
        <v>30</v>
      </c>
      <c r="M149" s="13" t="s">
        <v>30</v>
      </c>
      <c r="N149" s="15"/>
      <c r="O149" s="14"/>
      <c r="P149" s="14" t="s">
        <v>458</v>
      </c>
      <c r="Q149" s="14" t="s">
        <v>57</v>
      </c>
      <c r="R149" s="14" t="s">
        <v>58</v>
      </c>
      <c r="S149" s="14" t="s">
        <v>537</v>
      </c>
      <c r="T149" s="13" t="s">
        <v>538</v>
      </c>
      <c r="U149" s="12">
        <v>25569.21875</v>
      </c>
      <c r="V149" s="12"/>
      <c r="W149" s="14"/>
      <c r="X149" s="17"/>
      <c r="Y149" s="18" t="s">
        <v>73</v>
      </c>
      <c r="Z149" s="18"/>
      <c r="AA149" s="19"/>
      <c r="AB149" s="20"/>
    </row>
    <row r="150" spans="1:28" s="1" customFormat="1" ht="48" hidden="1" x14ac:dyDescent="0.2">
      <c r="A150" s="5"/>
      <c r="B150" s="21">
        <v>43266</v>
      </c>
      <c r="C150" s="22">
        <v>25569.375</v>
      </c>
      <c r="D150" s="23" t="s">
        <v>539</v>
      </c>
      <c r="E150" s="24"/>
      <c r="F150" s="24"/>
      <c r="G150" s="25">
        <v>37</v>
      </c>
      <c r="H150" s="23"/>
      <c r="I150" s="23" t="s">
        <v>40</v>
      </c>
      <c r="J150" s="23" t="s">
        <v>27</v>
      </c>
      <c r="K150" s="23" t="s">
        <v>28</v>
      </c>
      <c r="L150" s="23" t="s">
        <v>30</v>
      </c>
      <c r="M150" s="23" t="s">
        <v>30</v>
      </c>
      <c r="N150" s="25"/>
      <c r="O150" s="24" t="s">
        <v>31</v>
      </c>
      <c r="P150" s="24" t="s">
        <v>32</v>
      </c>
      <c r="Q150" s="24" t="s">
        <v>57</v>
      </c>
      <c r="R150" s="24"/>
      <c r="S150" s="24" t="s">
        <v>540</v>
      </c>
      <c r="T150" s="23" t="s">
        <v>541</v>
      </c>
      <c r="U150" s="22">
        <v>25569.25</v>
      </c>
      <c r="V150" s="22"/>
      <c r="W150" s="24"/>
      <c r="X150" s="26"/>
      <c r="Y150" s="27"/>
      <c r="Z150" s="27" t="s">
        <v>542</v>
      </c>
      <c r="AA150" s="19"/>
      <c r="AB150" s="20"/>
    </row>
    <row r="151" spans="1:28" s="1" customFormat="1" ht="60" hidden="1" x14ac:dyDescent="0.2">
      <c r="A151" s="5"/>
      <c r="B151" s="11">
        <v>43266</v>
      </c>
      <c r="C151" s="12">
        <v>25569.770833333299</v>
      </c>
      <c r="D151" s="13" t="s">
        <v>543</v>
      </c>
      <c r="E151" s="14"/>
      <c r="F151" s="14"/>
      <c r="G151" s="15">
        <v>37</v>
      </c>
      <c r="H151" s="13"/>
      <c r="I151" s="13" t="s">
        <v>544</v>
      </c>
      <c r="J151" s="13" t="s">
        <v>27</v>
      </c>
      <c r="K151" s="13" t="s">
        <v>28</v>
      </c>
      <c r="L151" s="13" t="s">
        <v>30</v>
      </c>
      <c r="M151" s="13" t="s">
        <v>30</v>
      </c>
      <c r="N151" s="15">
        <v>0</v>
      </c>
      <c r="O151" s="14"/>
      <c r="P151" s="14" t="s">
        <v>458</v>
      </c>
      <c r="Q151" s="14" t="s">
        <v>57</v>
      </c>
      <c r="R151" s="14"/>
      <c r="S151" s="14" t="s">
        <v>545</v>
      </c>
      <c r="T151" s="13" t="s">
        <v>546</v>
      </c>
      <c r="U151" s="12">
        <v>25569.635416666701</v>
      </c>
      <c r="V151" s="12"/>
      <c r="W151" s="14"/>
      <c r="X151" s="17"/>
      <c r="Y151" s="18" t="s">
        <v>37</v>
      </c>
      <c r="Z151" s="18"/>
      <c r="AA151" s="19"/>
      <c r="AB151" s="20"/>
    </row>
    <row r="152" spans="1:28" s="1" customFormat="1" ht="48" hidden="1" x14ac:dyDescent="0.2">
      <c r="A152" s="5"/>
      <c r="B152" s="21">
        <v>43267</v>
      </c>
      <c r="C152" s="22">
        <v>25569.333333333299</v>
      </c>
      <c r="D152" s="23" t="s">
        <v>547</v>
      </c>
      <c r="E152" s="24"/>
      <c r="F152" s="24"/>
      <c r="G152" s="25">
        <v>57</v>
      </c>
      <c r="H152" s="23"/>
      <c r="I152" s="23" t="s">
        <v>120</v>
      </c>
      <c r="J152" s="23" t="s">
        <v>27</v>
      </c>
      <c r="K152" s="23" t="s">
        <v>28</v>
      </c>
      <c r="L152" s="23" t="s">
        <v>29</v>
      </c>
      <c r="M152" s="23" t="s">
        <v>30</v>
      </c>
      <c r="N152" s="25">
        <v>9</v>
      </c>
      <c r="O152" s="24" t="s">
        <v>31</v>
      </c>
      <c r="P152" s="24" t="s">
        <v>394</v>
      </c>
      <c r="Q152" s="24" t="s">
        <v>75</v>
      </c>
      <c r="R152" s="24"/>
      <c r="S152" s="24" t="s">
        <v>548</v>
      </c>
      <c r="T152" s="23" t="s">
        <v>549</v>
      </c>
      <c r="U152" s="22">
        <v>25569.239583333299</v>
      </c>
      <c r="V152" s="22"/>
      <c r="W152" s="24"/>
      <c r="X152" s="26"/>
      <c r="Y152" s="27" t="s">
        <v>37</v>
      </c>
      <c r="Z152" s="27"/>
      <c r="AA152" s="19"/>
      <c r="AB152" s="20"/>
    </row>
    <row r="153" spans="1:28" s="1" customFormat="1" ht="48" hidden="1" x14ac:dyDescent="0.2">
      <c r="A153" s="5"/>
      <c r="B153" s="11">
        <v>43267</v>
      </c>
      <c r="C153" s="12">
        <v>25569.5847222222</v>
      </c>
      <c r="D153" s="13" t="s">
        <v>550</v>
      </c>
      <c r="E153" s="14"/>
      <c r="F153" s="14"/>
      <c r="G153" s="15">
        <v>43</v>
      </c>
      <c r="H153" s="13"/>
      <c r="I153" s="13" t="s">
        <v>26</v>
      </c>
      <c r="J153" s="13" t="s">
        <v>27</v>
      </c>
      <c r="K153" s="13" t="s">
        <v>28</v>
      </c>
      <c r="L153" s="13" t="s">
        <v>29</v>
      </c>
      <c r="M153" s="13" t="s">
        <v>30</v>
      </c>
      <c r="N153" s="15">
        <v>5</v>
      </c>
      <c r="O153" s="14" t="s">
        <v>31</v>
      </c>
      <c r="P153" s="14" t="s">
        <v>32</v>
      </c>
      <c r="Q153" s="14" t="s">
        <v>196</v>
      </c>
      <c r="R153" s="14" t="s">
        <v>551</v>
      </c>
      <c r="S153" s="14" t="s">
        <v>552</v>
      </c>
      <c r="T153" s="13" t="s">
        <v>553</v>
      </c>
      <c r="U153" s="12">
        <v>25569.28125</v>
      </c>
      <c r="V153" s="12"/>
      <c r="W153" s="14"/>
      <c r="X153" s="17"/>
      <c r="Y153" s="18" t="s">
        <v>37</v>
      </c>
      <c r="Z153" s="18"/>
      <c r="AA153" s="19"/>
      <c r="AB153" s="20"/>
    </row>
    <row r="154" spans="1:28" s="1" customFormat="1" ht="72" hidden="1" x14ac:dyDescent="0.2">
      <c r="A154" s="5"/>
      <c r="B154" s="21">
        <v>43269</v>
      </c>
      <c r="C154" s="22">
        <v>25569.3125</v>
      </c>
      <c r="D154" s="23" t="s">
        <v>554</v>
      </c>
      <c r="E154" s="24"/>
      <c r="F154" s="24"/>
      <c r="G154" s="25">
        <v>34</v>
      </c>
      <c r="H154" s="23"/>
      <c r="I154" s="23" t="s">
        <v>26</v>
      </c>
      <c r="J154" s="23" t="s">
        <v>27</v>
      </c>
      <c r="K154" s="23" t="s">
        <v>28</v>
      </c>
      <c r="L154" s="23" t="s">
        <v>30</v>
      </c>
      <c r="M154" s="23" t="s">
        <v>30</v>
      </c>
      <c r="N154" s="25"/>
      <c r="O154" s="24" t="s">
        <v>31</v>
      </c>
      <c r="P154" s="24" t="s">
        <v>499</v>
      </c>
      <c r="Q154" s="24" t="s">
        <v>116</v>
      </c>
      <c r="R154" s="24"/>
      <c r="S154" s="24" t="s">
        <v>555</v>
      </c>
      <c r="T154" s="23" t="s">
        <v>556</v>
      </c>
      <c r="U154" s="22">
        <v>25569.25</v>
      </c>
      <c r="V154" s="22">
        <v>25569.482638888901</v>
      </c>
      <c r="W154" s="24"/>
      <c r="X154" s="26"/>
      <c r="Y154" s="27"/>
      <c r="Z154" s="27" t="s">
        <v>557</v>
      </c>
      <c r="AA154" s="19"/>
      <c r="AB154" s="20"/>
    </row>
    <row r="155" spans="1:28" s="1" customFormat="1" ht="72" hidden="1" x14ac:dyDescent="0.2">
      <c r="A155" s="5"/>
      <c r="B155" s="11">
        <v>43269</v>
      </c>
      <c r="C155" s="12">
        <v>25569.385416666701</v>
      </c>
      <c r="D155" s="13" t="s">
        <v>558</v>
      </c>
      <c r="E155" s="14"/>
      <c r="F155" s="14"/>
      <c r="G155" s="15">
        <v>46</v>
      </c>
      <c r="H155" s="13"/>
      <c r="I155" s="13" t="s">
        <v>234</v>
      </c>
      <c r="J155" s="13" t="s">
        <v>27</v>
      </c>
      <c r="K155" s="13" t="s">
        <v>28</v>
      </c>
      <c r="L155" s="13" t="s">
        <v>29</v>
      </c>
      <c r="M155" s="13" t="s">
        <v>30</v>
      </c>
      <c r="N155" s="15">
        <v>1</v>
      </c>
      <c r="O155" s="14" t="s">
        <v>50</v>
      </c>
      <c r="P155" s="14" t="s">
        <v>499</v>
      </c>
      <c r="Q155" s="14" t="s">
        <v>149</v>
      </c>
      <c r="R155" s="14" t="s">
        <v>150</v>
      </c>
      <c r="S155" s="14" t="s">
        <v>559</v>
      </c>
      <c r="T155" s="13" t="s">
        <v>560</v>
      </c>
      <c r="U155" s="12">
        <v>25569.222222222201</v>
      </c>
      <c r="V155" s="12"/>
      <c r="W155" s="14"/>
      <c r="X155" s="17"/>
      <c r="Y155" s="18" t="s">
        <v>37</v>
      </c>
      <c r="Z155" s="18" t="s">
        <v>104</v>
      </c>
      <c r="AA155" s="19"/>
      <c r="AB155" s="20"/>
    </row>
    <row r="156" spans="1:28" s="1" customFormat="1" ht="60" hidden="1" x14ac:dyDescent="0.2">
      <c r="A156" s="5"/>
      <c r="B156" s="11">
        <v>43270</v>
      </c>
      <c r="C156" s="12">
        <v>25569.493055555598</v>
      </c>
      <c r="D156" s="13" t="s">
        <v>561</v>
      </c>
      <c r="E156" s="14"/>
      <c r="F156" s="14"/>
      <c r="G156" s="15">
        <v>53</v>
      </c>
      <c r="H156" s="13"/>
      <c r="I156" s="13" t="s">
        <v>562</v>
      </c>
      <c r="J156" s="13" t="s">
        <v>27</v>
      </c>
      <c r="K156" s="13" t="s">
        <v>28</v>
      </c>
      <c r="L156" s="13" t="s">
        <v>30</v>
      </c>
      <c r="M156" s="13" t="s">
        <v>30</v>
      </c>
      <c r="N156" s="15"/>
      <c r="O156" s="14" t="s">
        <v>50</v>
      </c>
      <c r="P156" s="14" t="s">
        <v>563</v>
      </c>
      <c r="Q156" s="14" t="s">
        <v>57</v>
      </c>
      <c r="R156" s="14"/>
      <c r="S156" s="14" t="s">
        <v>564</v>
      </c>
      <c r="T156" s="13" t="s">
        <v>565</v>
      </c>
      <c r="U156" s="12">
        <v>25569.383333333299</v>
      </c>
      <c r="V156" s="12">
        <v>25569</v>
      </c>
      <c r="W156" s="14"/>
      <c r="X156" s="17"/>
      <c r="Y156" s="18"/>
      <c r="Z156" s="18"/>
      <c r="AA156" s="19"/>
      <c r="AB156" s="20"/>
    </row>
    <row r="157" spans="1:28" s="1" customFormat="1" ht="24" hidden="1" x14ac:dyDescent="0.2">
      <c r="A157" s="5"/>
      <c r="B157" s="21">
        <v>43270</v>
      </c>
      <c r="C157" s="22">
        <v>25569.666666666701</v>
      </c>
      <c r="D157" s="23" t="s">
        <v>566</v>
      </c>
      <c r="E157" s="24"/>
      <c r="F157" s="24"/>
      <c r="G157" s="25">
        <v>57</v>
      </c>
      <c r="H157" s="23"/>
      <c r="I157" s="23" t="s">
        <v>567</v>
      </c>
      <c r="J157" s="23" t="s">
        <v>27</v>
      </c>
      <c r="K157" s="23" t="s">
        <v>121</v>
      </c>
      <c r="L157" s="23" t="s">
        <v>30</v>
      </c>
      <c r="M157" s="23" t="s">
        <v>30</v>
      </c>
      <c r="N157" s="25"/>
      <c r="O157" s="24"/>
      <c r="P157" s="24" t="s">
        <v>32</v>
      </c>
      <c r="Q157" s="24" t="s">
        <v>116</v>
      </c>
      <c r="R157" s="24" t="s">
        <v>568</v>
      </c>
      <c r="S157" s="24" t="s">
        <v>569</v>
      </c>
      <c r="T157" s="23" t="s">
        <v>570</v>
      </c>
      <c r="U157" s="22">
        <v>25569.3125</v>
      </c>
      <c r="V157" s="22">
        <v>25569.645833333299</v>
      </c>
      <c r="W157" s="24"/>
      <c r="X157" s="26"/>
      <c r="Y157" s="27" t="s">
        <v>37</v>
      </c>
      <c r="Z157" s="27"/>
      <c r="AA157" s="19"/>
      <c r="AB157" s="20"/>
    </row>
    <row r="158" spans="1:28" s="1" customFormat="1" ht="24" hidden="1" x14ac:dyDescent="0.2">
      <c r="A158" s="5"/>
      <c r="B158" s="11">
        <v>43270</v>
      </c>
      <c r="C158" s="12">
        <v>25569.916666666701</v>
      </c>
      <c r="D158" s="13" t="s">
        <v>571</v>
      </c>
      <c r="E158" s="14"/>
      <c r="F158" s="14"/>
      <c r="G158" s="15">
        <v>55</v>
      </c>
      <c r="H158" s="13"/>
      <c r="I158" s="13" t="s">
        <v>26</v>
      </c>
      <c r="J158" s="13" t="s">
        <v>27</v>
      </c>
      <c r="K158" s="13" t="s">
        <v>28</v>
      </c>
      <c r="L158" s="13" t="s">
        <v>30</v>
      </c>
      <c r="M158" s="13" t="s">
        <v>30</v>
      </c>
      <c r="N158" s="15"/>
      <c r="O158" s="14"/>
      <c r="P158" s="14" t="s">
        <v>32</v>
      </c>
      <c r="Q158" s="14" t="s">
        <v>43</v>
      </c>
      <c r="R158" s="14" t="s">
        <v>190</v>
      </c>
      <c r="S158" s="14" t="s">
        <v>572</v>
      </c>
      <c r="T158" s="13" t="s">
        <v>573</v>
      </c>
      <c r="U158" s="12">
        <v>25569.659722222201</v>
      </c>
      <c r="V158" s="12">
        <v>25569.020833333299</v>
      </c>
      <c r="W158" s="14"/>
      <c r="X158" s="17"/>
      <c r="Y158" s="18" t="s">
        <v>73</v>
      </c>
      <c r="Z158" s="18"/>
      <c r="AA158" s="19"/>
      <c r="AB158" s="20"/>
    </row>
    <row r="159" spans="1:28" s="1" customFormat="1" ht="48" hidden="1" x14ac:dyDescent="0.2">
      <c r="A159" s="5"/>
      <c r="B159" s="21">
        <v>43273</v>
      </c>
      <c r="C159" s="22">
        <v>25569.416666666701</v>
      </c>
      <c r="D159" s="23" t="s">
        <v>574</v>
      </c>
      <c r="E159" s="24"/>
      <c r="F159" s="24"/>
      <c r="G159" s="25">
        <v>54</v>
      </c>
      <c r="H159" s="23"/>
      <c r="I159" s="23" t="s">
        <v>26</v>
      </c>
      <c r="J159" s="23" t="s">
        <v>27</v>
      </c>
      <c r="K159" s="23" t="s">
        <v>28</v>
      </c>
      <c r="L159" s="23" t="s">
        <v>30</v>
      </c>
      <c r="M159" s="23" t="s">
        <v>30</v>
      </c>
      <c r="N159" s="25"/>
      <c r="O159" s="24" t="s">
        <v>31</v>
      </c>
      <c r="P159" s="24" t="s">
        <v>32</v>
      </c>
      <c r="Q159" s="24" t="s">
        <v>43</v>
      </c>
      <c r="R159" s="24" t="s">
        <v>44</v>
      </c>
      <c r="S159" s="24" t="s">
        <v>575</v>
      </c>
      <c r="T159" s="23" t="s">
        <v>576</v>
      </c>
      <c r="U159" s="22">
        <v>25569.263888888901</v>
      </c>
      <c r="V159" s="22">
        <v>25569.592361111099</v>
      </c>
      <c r="W159" s="24"/>
      <c r="X159" s="26"/>
      <c r="Y159" s="27" t="s">
        <v>37</v>
      </c>
      <c r="Z159" s="27"/>
      <c r="AA159" s="19"/>
      <c r="AB159" s="20"/>
    </row>
    <row r="160" spans="1:28" s="1" customFormat="1" ht="48" hidden="1" x14ac:dyDescent="0.2">
      <c r="A160" s="5"/>
      <c r="B160" s="11">
        <v>43275</v>
      </c>
      <c r="C160" s="12">
        <v>25569.708333333299</v>
      </c>
      <c r="D160" s="13" t="s">
        <v>577</v>
      </c>
      <c r="E160" s="14"/>
      <c r="F160" s="14"/>
      <c r="G160" s="15">
        <v>32</v>
      </c>
      <c r="H160" s="13"/>
      <c r="I160" s="13" t="s">
        <v>26</v>
      </c>
      <c r="J160" s="13" t="s">
        <v>27</v>
      </c>
      <c r="K160" s="13" t="s">
        <v>28</v>
      </c>
      <c r="L160" s="13" t="s">
        <v>30</v>
      </c>
      <c r="M160" s="13" t="s">
        <v>30</v>
      </c>
      <c r="N160" s="15"/>
      <c r="O160" s="14" t="s">
        <v>31</v>
      </c>
      <c r="P160" s="14" t="s">
        <v>394</v>
      </c>
      <c r="Q160" s="14" t="s">
        <v>75</v>
      </c>
      <c r="R160" s="14" t="s">
        <v>76</v>
      </c>
      <c r="S160" s="14" t="s">
        <v>578</v>
      </c>
      <c r="T160" s="13" t="s">
        <v>579</v>
      </c>
      <c r="U160" s="12">
        <v>25569.659027777801</v>
      </c>
      <c r="V160" s="12">
        <v>25569.020833333299</v>
      </c>
      <c r="W160" s="14"/>
      <c r="X160" s="17"/>
      <c r="Y160" s="18"/>
      <c r="Z160" s="18"/>
      <c r="AA160" s="19"/>
      <c r="AB160" s="20"/>
    </row>
    <row r="161" spans="1:28" s="1" customFormat="1" ht="48" hidden="1" x14ac:dyDescent="0.2">
      <c r="A161" s="5"/>
      <c r="B161" s="21">
        <v>43276</v>
      </c>
      <c r="C161" s="22">
        <v>25569.541666666701</v>
      </c>
      <c r="D161" s="23" t="s">
        <v>580</v>
      </c>
      <c r="E161" s="24"/>
      <c r="F161" s="24"/>
      <c r="G161" s="25">
        <v>51</v>
      </c>
      <c r="H161" s="23"/>
      <c r="I161" s="23" t="s">
        <v>581</v>
      </c>
      <c r="J161" s="23" t="s">
        <v>27</v>
      </c>
      <c r="K161" s="23" t="s">
        <v>28</v>
      </c>
      <c r="L161" s="23" t="s">
        <v>29</v>
      </c>
      <c r="M161" s="23" t="s">
        <v>30</v>
      </c>
      <c r="N161" s="25">
        <v>25</v>
      </c>
      <c r="O161" s="24" t="s">
        <v>50</v>
      </c>
      <c r="P161" s="24" t="s">
        <v>482</v>
      </c>
      <c r="Q161" s="24"/>
      <c r="R161" s="24"/>
      <c r="S161" s="24" t="s">
        <v>582</v>
      </c>
      <c r="T161" s="23" t="s">
        <v>583</v>
      </c>
      <c r="U161" s="22">
        <v>25569.354166666701</v>
      </c>
      <c r="V161" s="22">
        <v>25569.541666666701</v>
      </c>
      <c r="W161" s="24"/>
      <c r="X161" s="26"/>
      <c r="Y161" s="27"/>
      <c r="Z161" s="27"/>
      <c r="AA161" s="19"/>
      <c r="AB161" s="20"/>
    </row>
    <row r="162" spans="1:28" s="1" customFormat="1" ht="60" hidden="1" x14ac:dyDescent="0.2">
      <c r="A162" s="5"/>
      <c r="B162" s="11">
        <v>43279</v>
      </c>
      <c r="C162" s="12">
        <v>25569.375</v>
      </c>
      <c r="D162" s="13" t="s">
        <v>584</v>
      </c>
      <c r="E162" s="14"/>
      <c r="F162" s="14"/>
      <c r="G162" s="15">
        <v>21</v>
      </c>
      <c r="H162" s="13"/>
      <c r="I162" s="13" t="s">
        <v>55</v>
      </c>
      <c r="J162" s="13" t="s">
        <v>27</v>
      </c>
      <c r="K162" s="13" t="s">
        <v>28</v>
      </c>
      <c r="L162" s="13" t="s">
        <v>30</v>
      </c>
      <c r="M162" s="13" t="s">
        <v>30</v>
      </c>
      <c r="N162" s="15"/>
      <c r="O162" s="14" t="s">
        <v>68</v>
      </c>
      <c r="P162" s="14" t="s">
        <v>458</v>
      </c>
      <c r="Q162" s="14" t="s">
        <v>57</v>
      </c>
      <c r="R162" s="14"/>
      <c r="S162" s="14" t="s">
        <v>585</v>
      </c>
      <c r="T162" s="13" t="s">
        <v>586</v>
      </c>
      <c r="U162" s="12">
        <v>25569.253472222201</v>
      </c>
      <c r="V162" s="12">
        <v>25569</v>
      </c>
      <c r="W162" s="14"/>
      <c r="X162" s="17"/>
      <c r="Y162" s="18" t="s">
        <v>73</v>
      </c>
      <c r="Z162" s="18"/>
      <c r="AA162" s="19"/>
      <c r="AB162" s="20"/>
    </row>
    <row r="163" spans="1:28" s="1" customFormat="1" ht="48" hidden="1" x14ac:dyDescent="0.2">
      <c r="A163" s="5"/>
      <c r="B163" s="21">
        <v>43279</v>
      </c>
      <c r="C163" s="22">
        <v>25569.458333333299</v>
      </c>
      <c r="D163" s="23" t="s">
        <v>587</v>
      </c>
      <c r="E163" s="24"/>
      <c r="F163" s="24"/>
      <c r="G163" s="25">
        <v>36</v>
      </c>
      <c r="H163" s="23"/>
      <c r="I163" s="23" t="s">
        <v>93</v>
      </c>
      <c r="J163" s="23" t="s">
        <v>27</v>
      </c>
      <c r="K163" s="23" t="s">
        <v>28</v>
      </c>
      <c r="L163" s="23" t="s">
        <v>29</v>
      </c>
      <c r="M163" s="23" t="s">
        <v>30</v>
      </c>
      <c r="N163" s="25">
        <v>14</v>
      </c>
      <c r="O163" s="24"/>
      <c r="P163" s="24" t="s">
        <v>394</v>
      </c>
      <c r="Q163" s="24" t="s">
        <v>75</v>
      </c>
      <c r="R163" s="24" t="s">
        <v>76</v>
      </c>
      <c r="S163" s="24" t="s">
        <v>588</v>
      </c>
      <c r="T163" s="23" t="s">
        <v>589</v>
      </c>
      <c r="U163" s="22">
        <v>25569.270833333299</v>
      </c>
      <c r="V163" s="22">
        <v>25569.597222222201</v>
      </c>
      <c r="W163" s="24"/>
      <c r="X163" s="26"/>
      <c r="Y163" s="27" t="s">
        <v>37</v>
      </c>
      <c r="Z163" s="27"/>
      <c r="AA163" s="19"/>
      <c r="AB163" s="20"/>
    </row>
    <row r="164" spans="1:28" s="1" customFormat="1" ht="60" hidden="1" x14ac:dyDescent="0.2">
      <c r="A164" s="5"/>
      <c r="B164" s="11">
        <v>43279</v>
      </c>
      <c r="C164" s="12">
        <v>25569.577777777798</v>
      </c>
      <c r="D164" s="13" t="s">
        <v>590</v>
      </c>
      <c r="E164" s="14"/>
      <c r="F164" s="14"/>
      <c r="G164" s="15">
        <v>39</v>
      </c>
      <c r="H164" s="13"/>
      <c r="I164" s="13" t="s">
        <v>26</v>
      </c>
      <c r="J164" s="13" t="s">
        <v>27</v>
      </c>
      <c r="K164" s="13" t="s">
        <v>28</v>
      </c>
      <c r="L164" s="13" t="s">
        <v>29</v>
      </c>
      <c r="M164" s="13" t="s">
        <v>30</v>
      </c>
      <c r="N164" s="15">
        <v>24</v>
      </c>
      <c r="O164" s="14" t="s">
        <v>31</v>
      </c>
      <c r="P164" s="14" t="s">
        <v>488</v>
      </c>
      <c r="Q164" s="14" t="s">
        <v>43</v>
      </c>
      <c r="R164" s="14" t="s">
        <v>153</v>
      </c>
      <c r="S164" s="14" t="s">
        <v>591</v>
      </c>
      <c r="T164" s="13" t="s">
        <v>592</v>
      </c>
      <c r="U164" s="12">
        <v>25569.28125</v>
      </c>
      <c r="V164" s="12">
        <v>25569.649305555598</v>
      </c>
      <c r="W164" s="14"/>
      <c r="X164" s="17"/>
      <c r="Y164" s="18" t="s">
        <v>37</v>
      </c>
      <c r="Z164" s="18" t="s">
        <v>186</v>
      </c>
      <c r="AA164" s="19"/>
      <c r="AB164" s="20"/>
    </row>
    <row r="165" spans="1:28" s="1" customFormat="1" ht="60" hidden="1" x14ac:dyDescent="0.2">
      <c r="A165" s="5"/>
      <c r="B165" s="21">
        <v>43280</v>
      </c>
      <c r="C165" s="22">
        <v>25569.541666666701</v>
      </c>
      <c r="D165" s="23" t="s">
        <v>593</v>
      </c>
      <c r="E165" s="24"/>
      <c r="F165" s="24"/>
      <c r="G165" s="25">
        <v>32</v>
      </c>
      <c r="H165" s="23"/>
      <c r="I165" s="23" t="s">
        <v>55</v>
      </c>
      <c r="J165" s="23" t="s">
        <v>27</v>
      </c>
      <c r="K165" s="23" t="s">
        <v>28</v>
      </c>
      <c r="L165" s="23" t="s">
        <v>30</v>
      </c>
      <c r="M165" s="23" t="s">
        <v>30</v>
      </c>
      <c r="N165" s="25"/>
      <c r="O165" s="24" t="s">
        <v>50</v>
      </c>
      <c r="P165" s="24" t="s">
        <v>458</v>
      </c>
      <c r="Q165" s="24" t="s">
        <v>33</v>
      </c>
      <c r="R165" s="24" t="s">
        <v>181</v>
      </c>
      <c r="S165" s="24" t="s">
        <v>594</v>
      </c>
      <c r="T165" s="23" t="s">
        <v>595</v>
      </c>
      <c r="U165" s="22">
        <v>25569.253472222201</v>
      </c>
      <c r="V165" s="22">
        <v>25569</v>
      </c>
      <c r="W165" s="24"/>
      <c r="X165" s="26"/>
      <c r="Y165" s="27" t="s">
        <v>73</v>
      </c>
      <c r="Z165" s="27"/>
      <c r="AA165" s="19"/>
      <c r="AB165" s="20"/>
    </row>
    <row r="166" spans="1:28" s="1" customFormat="1" ht="60" hidden="1" x14ac:dyDescent="0.2">
      <c r="A166" s="5"/>
      <c r="B166" s="11">
        <v>43282</v>
      </c>
      <c r="C166" s="12">
        <v>25569.708333333299</v>
      </c>
      <c r="D166" s="13" t="s">
        <v>596</v>
      </c>
      <c r="E166" s="14"/>
      <c r="F166" s="14"/>
      <c r="G166" s="15">
        <v>59</v>
      </c>
      <c r="H166" s="13"/>
      <c r="I166" s="13" t="s">
        <v>26</v>
      </c>
      <c r="J166" s="13" t="s">
        <v>27</v>
      </c>
      <c r="K166" s="13" t="s">
        <v>28</v>
      </c>
      <c r="L166" s="13" t="s">
        <v>29</v>
      </c>
      <c r="M166" s="13" t="s">
        <v>30</v>
      </c>
      <c r="N166" s="15">
        <v>7</v>
      </c>
      <c r="O166" s="14" t="s">
        <v>98</v>
      </c>
      <c r="P166" s="14" t="s">
        <v>482</v>
      </c>
      <c r="Q166" s="14" t="s">
        <v>116</v>
      </c>
      <c r="R166" s="14" t="s">
        <v>117</v>
      </c>
      <c r="S166" s="14" t="s">
        <v>597</v>
      </c>
      <c r="T166" s="13" t="s">
        <v>598</v>
      </c>
      <c r="U166" s="12">
        <v>25569.603472222199</v>
      </c>
      <c r="V166" s="12"/>
      <c r="W166" s="14"/>
      <c r="X166" s="17"/>
      <c r="Y166" s="18" t="s">
        <v>37</v>
      </c>
      <c r="Z166" s="18" t="s">
        <v>599</v>
      </c>
      <c r="AA166" s="19"/>
      <c r="AB166" s="20"/>
    </row>
    <row r="167" spans="1:28" s="1" customFormat="1" ht="60" hidden="1" x14ac:dyDescent="0.2">
      <c r="A167" s="5"/>
      <c r="B167" s="21">
        <v>43285</v>
      </c>
      <c r="C167" s="22">
        <v>25569.645833333299</v>
      </c>
      <c r="D167" s="23" t="s">
        <v>600</v>
      </c>
      <c r="E167" s="24"/>
      <c r="F167" s="24"/>
      <c r="G167" s="25">
        <v>30</v>
      </c>
      <c r="H167" s="23"/>
      <c r="I167" s="23" t="s">
        <v>93</v>
      </c>
      <c r="J167" s="23" t="s">
        <v>27</v>
      </c>
      <c r="K167" s="23" t="s">
        <v>28</v>
      </c>
      <c r="L167" s="23" t="s">
        <v>30</v>
      </c>
      <c r="M167" s="23" t="s">
        <v>30</v>
      </c>
      <c r="N167" s="25"/>
      <c r="O167" s="24"/>
      <c r="P167" s="24" t="s">
        <v>458</v>
      </c>
      <c r="Q167" s="24" t="s">
        <v>57</v>
      </c>
      <c r="R167" s="24"/>
      <c r="S167" s="24" t="s">
        <v>601</v>
      </c>
      <c r="T167" s="23" t="s">
        <v>602</v>
      </c>
      <c r="U167" s="22">
        <v>25569.597916666698</v>
      </c>
      <c r="V167" s="22">
        <v>25569</v>
      </c>
      <c r="W167" s="24"/>
      <c r="X167" s="26"/>
      <c r="Y167" s="27" t="s">
        <v>37</v>
      </c>
      <c r="Z167" s="27"/>
      <c r="AA167" s="19"/>
      <c r="AB167" s="20"/>
    </row>
    <row r="168" spans="1:28" s="1" customFormat="1" ht="36" hidden="1" x14ac:dyDescent="0.2">
      <c r="A168" s="5"/>
      <c r="B168" s="11">
        <v>43286</v>
      </c>
      <c r="C168" s="12">
        <v>25569.694444444402</v>
      </c>
      <c r="D168" s="13" t="s">
        <v>603</v>
      </c>
      <c r="E168" s="14"/>
      <c r="F168" s="14"/>
      <c r="G168" s="15">
        <v>26</v>
      </c>
      <c r="H168" s="13"/>
      <c r="I168" s="13" t="s">
        <v>604</v>
      </c>
      <c r="J168" s="13" t="s">
        <v>27</v>
      </c>
      <c r="K168" s="13" t="s">
        <v>121</v>
      </c>
      <c r="L168" s="13" t="s">
        <v>30</v>
      </c>
      <c r="M168" s="13" t="s">
        <v>30</v>
      </c>
      <c r="N168" s="15"/>
      <c r="O168" s="14"/>
      <c r="P168" s="14" t="s">
        <v>32</v>
      </c>
      <c r="Q168" s="14" t="s">
        <v>43</v>
      </c>
      <c r="R168" s="14" t="s">
        <v>153</v>
      </c>
      <c r="S168" s="14" t="s">
        <v>605</v>
      </c>
      <c r="T168" s="13" t="s">
        <v>606</v>
      </c>
      <c r="U168" s="12">
        <v>25569.356250000001</v>
      </c>
      <c r="V168" s="12"/>
      <c r="W168" s="14"/>
      <c r="X168" s="17"/>
      <c r="Y168" s="18"/>
      <c r="Z168" s="18"/>
      <c r="AA168" s="19"/>
      <c r="AB168" s="20"/>
    </row>
    <row r="169" spans="1:28" s="1" customFormat="1" ht="72" hidden="1" x14ac:dyDescent="0.2">
      <c r="A169" s="5"/>
      <c r="B169" s="21">
        <v>43287</v>
      </c>
      <c r="C169" s="22">
        <v>25569.1875</v>
      </c>
      <c r="D169" s="23" t="s">
        <v>607</v>
      </c>
      <c r="E169" s="24"/>
      <c r="F169" s="24"/>
      <c r="G169" s="25">
        <v>20</v>
      </c>
      <c r="H169" s="23"/>
      <c r="I169" s="23" t="s">
        <v>608</v>
      </c>
      <c r="J169" s="23" t="s">
        <v>27</v>
      </c>
      <c r="K169" s="23" t="s">
        <v>28</v>
      </c>
      <c r="L169" s="23" t="s">
        <v>29</v>
      </c>
      <c r="M169" s="23" t="s">
        <v>30</v>
      </c>
      <c r="N169" s="25">
        <v>8</v>
      </c>
      <c r="O169" s="24" t="s">
        <v>68</v>
      </c>
      <c r="P169" s="24" t="s">
        <v>499</v>
      </c>
      <c r="Q169" s="24" t="s">
        <v>43</v>
      </c>
      <c r="R169" s="24" t="s">
        <v>64</v>
      </c>
      <c r="S169" s="24" t="s">
        <v>609</v>
      </c>
      <c r="T169" s="23" t="s">
        <v>610</v>
      </c>
      <c r="U169" s="22">
        <v>25569.916666666701</v>
      </c>
      <c r="V169" s="22"/>
      <c r="W169" s="24"/>
      <c r="X169" s="26"/>
      <c r="Y169" s="27" t="s">
        <v>37</v>
      </c>
      <c r="Z169" s="27"/>
      <c r="AA169" s="19"/>
      <c r="AB169" s="20"/>
    </row>
    <row r="170" spans="1:28" s="1" customFormat="1" ht="72" hidden="1" x14ac:dyDescent="0.2">
      <c r="A170" s="5"/>
      <c r="B170" s="11">
        <v>43290</v>
      </c>
      <c r="C170" s="12">
        <v>25569.3125</v>
      </c>
      <c r="D170" s="13" t="s">
        <v>611</v>
      </c>
      <c r="E170" s="14"/>
      <c r="F170" s="14"/>
      <c r="G170" s="15">
        <v>43</v>
      </c>
      <c r="H170" s="13"/>
      <c r="I170" s="13" t="s">
        <v>612</v>
      </c>
      <c r="J170" s="13" t="s">
        <v>27</v>
      </c>
      <c r="K170" s="13" t="s">
        <v>121</v>
      </c>
      <c r="L170" s="13" t="s">
        <v>30</v>
      </c>
      <c r="M170" s="13" t="s">
        <v>30</v>
      </c>
      <c r="N170" s="15"/>
      <c r="O170" s="14" t="s">
        <v>215</v>
      </c>
      <c r="P170" s="14" t="s">
        <v>394</v>
      </c>
      <c r="Q170" s="14" t="s">
        <v>196</v>
      </c>
      <c r="R170" s="14" t="s">
        <v>385</v>
      </c>
      <c r="S170" s="14" t="s">
        <v>613</v>
      </c>
      <c r="T170" s="13" t="s">
        <v>614</v>
      </c>
      <c r="U170" s="12">
        <v>25569.333333333299</v>
      </c>
      <c r="V170" s="12"/>
      <c r="W170" s="14"/>
      <c r="X170" s="17"/>
      <c r="Y170" s="18"/>
      <c r="Z170" s="18" t="s">
        <v>615</v>
      </c>
      <c r="AA170" s="19"/>
      <c r="AB170" s="20"/>
    </row>
    <row r="171" spans="1:28" s="1" customFormat="1" ht="24" hidden="1" x14ac:dyDescent="0.2">
      <c r="A171" s="5"/>
      <c r="B171" s="21">
        <v>43291</v>
      </c>
      <c r="C171" s="22">
        <v>25569.3125</v>
      </c>
      <c r="D171" s="23" t="s">
        <v>616</v>
      </c>
      <c r="E171" s="24"/>
      <c r="F171" s="24"/>
      <c r="G171" s="25">
        <v>18</v>
      </c>
      <c r="H171" s="23"/>
      <c r="I171" s="23" t="s">
        <v>617</v>
      </c>
      <c r="J171" s="23" t="s">
        <v>27</v>
      </c>
      <c r="K171" s="23" t="s">
        <v>121</v>
      </c>
      <c r="L171" s="23" t="s">
        <v>30</v>
      </c>
      <c r="M171" s="23" t="s">
        <v>29</v>
      </c>
      <c r="N171" s="25"/>
      <c r="O171" s="24"/>
      <c r="P171" s="24"/>
      <c r="Q171" s="24"/>
      <c r="R171" s="24"/>
      <c r="S171" s="24" t="s">
        <v>618</v>
      </c>
      <c r="T171" s="23" t="s">
        <v>619</v>
      </c>
      <c r="U171" s="22">
        <v>25569.333333333299</v>
      </c>
      <c r="V171" s="22">
        <v>25569.53125</v>
      </c>
      <c r="W171" s="24"/>
      <c r="X171" s="26"/>
      <c r="Y171" s="27"/>
      <c r="Z171" s="27"/>
      <c r="AA171" s="19"/>
      <c r="AB171" s="20"/>
    </row>
    <row r="172" spans="1:28" s="1" customFormat="1" ht="72" hidden="1" x14ac:dyDescent="0.2">
      <c r="A172" s="5"/>
      <c r="B172" s="11">
        <v>43291</v>
      </c>
      <c r="C172" s="12">
        <v>25569.611111111099</v>
      </c>
      <c r="D172" s="13" t="s">
        <v>620</v>
      </c>
      <c r="E172" s="14"/>
      <c r="F172" s="14"/>
      <c r="G172" s="15">
        <v>34</v>
      </c>
      <c r="H172" s="13"/>
      <c r="I172" s="13" t="s">
        <v>354</v>
      </c>
      <c r="J172" s="13" t="s">
        <v>27</v>
      </c>
      <c r="K172" s="13" t="s">
        <v>28</v>
      </c>
      <c r="L172" s="13" t="s">
        <v>30</v>
      </c>
      <c r="M172" s="13" t="s">
        <v>30</v>
      </c>
      <c r="N172" s="15"/>
      <c r="O172" s="14" t="s">
        <v>215</v>
      </c>
      <c r="P172" s="14" t="s">
        <v>458</v>
      </c>
      <c r="Q172" s="14" t="s">
        <v>57</v>
      </c>
      <c r="R172" s="14" t="s">
        <v>164</v>
      </c>
      <c r="S172" s="14" t="s">
        <v>621</v>
      </c>
      <c r="T172" s="13" t="s">
        <v>622</v>
      </c>
      <c r="U172" s="12">
        <v>25569.583333333299</v>
      </c>
      <c r="V172" s="12"/>
      <c r="W172" s="14"/>
      <c r="X172" s="17"/>
      <c r="Y172" s="18"/>
      <c r="Z172" s="18"/>
      <c r="AA172" s="19"/>
      <c r="AB172" s="20"/>
    </row>
    <row r="173" spans="1:28" s="1" customFormat="1" ht="48" hidden="1" x14ac:dyDescent="0.2">
      <c r="A173" s="5"/>
      <c r="B173" s="11">
        <v>43296</v>
      </c>
      <c r="C173" s="12">
        <v>25569.458333333299</v>
      </c>
      <c r="D173" s="13" t="s">
        <v>623</v>
      </c>
      <c r="E173" s="14"/>
      <c r="F173" s="14"/>
      <c r="G173" s="15">
        <v>49</v>
      </c>
      <c r="H173" s="13"/>
      <c r="I173" s="13" t="s">
        <v>26</v>
      </c>
      <c r="J173" s="13" t="s">
        <v>27</v>
      </c>
      <c r="K173" s="13" t="s">
        <v>28</v>
      </c>
      <c r="L173" s="13" t="s">
        <v>29</v>
      </c>
      <c r="M173" s="13" t="s">
        <v>30</v>
      </c>
      <c r="N173" s="15">
        <v>29</v>
      </c>
      <c r="O173" s="14" t="s">
        <v>41</v>
      </c>
      <c r="P173" s="14" t="s">
        <v>32</v>
      </c>
      <c r="Q173" s="14" t="s">
        <v>33</v>
      </c>
      <c r="R173" s="14" t="s">
        <v>70</v>
      </c>
      <c r="S173" s="14" t="s">
        <v>624</v>
      </c>
      <c r="T173" s="13" t="s">
        <v>625</v>
      </c>
      <c r="U173" s="12">
        <v>25569.25</v>
      </c>
      <c r="V173" s="12">
        <v>25569</v>
      </c>
      <c r="W173" s="14"/>
      <c r="X173" s="17"/>
      <c r="Y173" s="18"/>
      <c r="Z173" s="18"/>
      <c r="AA173" s="19"/>
      <c r="AB173" s="20"/>
    </row>
    <row r="174" spans="1:28" s="1" customFormat="1" ht="60" hidden="1" x14ac:dyDescent="0.2">
      <c r="A174" s="5"/>
      <c r="B174" s="11">
        <v>43297</v>
      </c>
      <c r="C174" s="12">
        <v>25569.395833333299</v>
      </c>
      <c r="D174" s="13" t="s">
        <v>626</v>
      </c>
      <c r="E174" s="14"/>
      <c r="F174" s="14"/>
      <c r="G174" s="15">
        <v>25</v>
      </c>
      <c r="H174" s="13"/>
      <c r="I174" s="13" t="s">
        <v>562</v>
      </c>
      <c r="J174" s="13" t="s">
        <v>27</v>
      </c>
      <c r="K174" s="13" t="s">
        <v>28</v>
      </c>
      <c r="L174" s="13" t="s">
        <v>30</v>
      </c>
      <c r="M174" s="13" t="s">
        <v>30</v>
      </c>
      <c r="N174" s="15"/>
      <c r="O174" s="14" t="s">
        <v>50</v>
      </c>
      <c r="P174" s="14" t="s">
        <v>563</v>
      </c>
      <c r="Q174" s="14" t="s">
        <v>57</v>
      </c>
      <c r="R174" s="14"/>
      <c r="S174" s="14" t="s">
        <v>627</v>
      </c>
      <c r="T174" s="13" t="s">
        <v>628</v>
      </c>
      <c r="U174" s="12">
        <v>25569.3659722222</v>
      </c>
      <c r="V174" s="12">
        <v>25569</v>
      </c>
      <c r="W174" s="14" t="s">
        <v>629</v>
      </c>
      <c r="X174" s="17"/>
      <c r="Y174" s="18"/>
      <c r="Z174" s="18"/>
      <c r="AA174" s="19"/>
      <c r="AB174" s="20"/>
    </row>
    <row r="175" spans="1:28" s="1" customFormat="1" ht="60" hidden="1" x14ac:dyDescent="0.2">
      <c r="A175" s="5"/>
      <c r="B175" s="21">
        <v>43298</v>
      </c>
      <c r="C175" s="22">
        <v>25569.708333333299</v>
      </c>
      <c r="D175" s="23" t="s">
        <v>630</v>
      </c>
      <c r="E175" s="24"/>
      <c r="F175" s="24"/>
      <c r="G175" s="25">
        <v>20</v>
      </c>
      <c r="H175" s="23"/>
      <c r="I175" s="23" t="s">
        <v>225</v>
      </c>
      <c r="J175" s="23" t="s">
        <v>27</v>
      </c>
      <c r="K175" s="23" t="s">
        <v>28</v>
      </c>
      <c r="L175" s="23" t="s">
        <v>29</v>
      </c>
      <c r="M175" s="23" t="s">
        <v>30</v>
      </c>
      <c r="N175" s="25">
        <v>9</v>
      </c>
      <c r="O175" s="24" t="s">
        <v>98</v>
      </c>
      <c r="P175" s="24" t="s">
        <v>148</v>
      </c>
      <c r="Q175" s="24" t="s">
        <v>149</v>
      </c>
      <c r="R175" s="24" t="s">
        <v>407</v>
      </c>
      <c r="S175" s="24" t="s">
        <v>631</v>
      </c>
      <c r="T175" s="23" t="s">
        <v>632</v>
      </c>
      <c r="U175" s="22">
        <v>25569.5201388889</v>
      </c>
      <c r="V175" s="22">
        <v>25569</v>
      </c>
      <c r="W175" s="24"/>
      <c r="X175" s="26"/>
      <c r="Y175" s="27"/>
      <c r="Z175" s="27"/>
      <c r="AA175" s="19"/>
      <c r="AB175" s="20"/>
    </row>
    <row r="176" spans="1:28" s="1" customFormat="1" ht="48" hidden="1" x14ac:dyDescent="0.2">
      <c r="A176" s="5"/>
      <c r="B176" s="11">
        <v>43298</v>
      </c>
      <c r="C176" s="12">
        <v>25569.958333333299</v>
      </c>
      <c r="D176" s="13" t="s">
        <v>633</v>
      </c>
      <c r="E176" s="14"/>
      <c r="F176" s="14"/>
      <c r="G176" s="15">
        <v>39</v>
      </c>
      <c r="H176" s="13"/>
      <c r="I176" s="13" t="s">
        <v>55</v>
      </c>
      <c r="J176" s="13" t="s">
        <v>27</v>
      </c>
      <c r="K176" s="13" t="s">
        <v>28</v>
      </c>
      <c r="L176" s="13" t="s">
        <v>30</v>
      </c>
      <c r="M176" s="13" t="s">
        <v>30</v>
      </c>
      <c r="N176" s="15"/>
      <c r="O176" s="14" t="s">
        <v>31</v>
      </c>
      <c r="P176" s="14" t="s">
        <v>32</v>
      </c>
      <c r="Q176" s="14" t="s">
        <v>43</v>
      </c>
      <c r="R176" s="14" t="s">
        <v>44</v>
      </c>
      <c r="S176" s="14" t="s">
        <v>634</v>
      </c>
      <c r="T176" s="13" t="s">
        <v>635</v>
      </c>
      <c r="U176" s="12">
        <v>25569.916666666701</v>
      </c>
      <c r="V176" s="12">
        <v>25569</v>
      </c>
      <c r="W176" s="14"/>
      <c r="X176" s="17"/>
      <c r="Y176" s="18"/>
      <c r="Z176" s="18"/>
      <c r="AA176" s="19"/>
      <c r="AB176" s="20"/>
    </row>
    <row r="177" spans="1:28" s="1" customFormat="1" ht="60" hidden="1" x14ac:dyDescent="0.2">
      <c r="A177" s="5"/>
      <c r="B177" s="21">
        <v>43300</v>
      </c>
      <c r="C177" s="22">
        <v>25569.0625</v>
      </c>
      <c r="D177" s="23" t="s">
        <v>636</v>
      </c>
      <c r="E177" s="24"/>
      <c r="F177" s="24"/>
      <c r="G177" s="25">
        <v>34</v>
      </c>
      <c r="H177" s="23"/>
      <c r="I177" s="23" t="s">
        <v>55</v>
      </c>
      <c r="J177" s="23" t="s">
        <v>27</v>
      </c>
      <c r="K177" s="23" t="s">
        <v>28</v>
      </c>
      <c r="L177" s="23" t="s">
        <v>30</v>
      </c>
      <c r="M177" s="23" t="s">
        <v>30</v>
      </c>
      <c r="N177" s="25"/>
      <c r="O177" s="24" t="s">
        <v>98</v>
      </c>
      <c r="P177" s="24" t="s">
        <v>148</v>
      </c>
      <c r="Q177" s="24" t="s">
        <v>149</v>
      </c>
      <c r="R177" s="24" t="s">
        <v>407</v>
      </c>
      <c r="S177" s="24" t="s">
        <v>637</v>
      </c>
      <c r="T177" s="23" t="s">
        <v>638</v>
      </c>
      <c r="U177" s="22">
        <v>25569.916666666701</v>
      </c>
      <c r="V177" s="22"/>
      <c r="W177" s="24"/>
      <c r="X177" s="26"/>
      <c r="Y177" s="27"/>
      <c r="Z177" s="27"/>
      <c r="AA177" s="19"/>
      <c r="AB177" s="20"/>
    </row>
    <row r="178" spans="1:28" s="1" customFormat="1" ht="60" hidden="1" x14ac:dyDescent="0.2">
      <c r="A178" s="5"/>
      <c r="B178" s="11">
        <v>43300</v>
      </c>
      <c r="C178" s="12">
        <v>25569.4375</v>
      </c>
      <c r="D178" s="13" t="s">
        <v>639</v>
      </c>
      <c r="E178" s="14"/>
      <c r="F178" s="14"/>
      <c r="G178" s="15">
        <v>17</v>
      </c>
      <c r="H178" s="13"/>
      <c r="I178" s="13" t="s">
        <v>316</v>
      </c>
      <c r="J178" s="13" t="s">
        <v>27</v>
      </c>
      <c r="K178" s="13" t="s">
        <v>28</v>
      </c>
      <c r="L178" s="13" t="s">
        <v>30</v>
      </c>
      <c r="M178" s="13" t="s">
        <v>30</v>
      </c>
      <c r="N178" s="15"/>
      <c r="O178" s="14" t="s">
        <v>31</v>
      </c>
      <c r="P178" s="14" t="s">
        <v>458</v>
      </c>
      <c r="Q178" s="14" t="s">
        <v>43</v>
      </c>
      <c r="R178" s="14" t="s">
        <v>44</v>
      </c>
      <c r="S178" s="14" t="s">
        <v>640</v>
      </c>
      <c r="T178" s="13" t="s">
        <v>641</v>
      </c>
      <c r="U178" s="12">
        <v>25569.3125</v>
      </c>
      <c r="V178" s="12"/>
      <c r="W178" s="14"/>
      <c r="X178" s="17"/>
      <c r="Y178" s="18"/>
      <c r="Z178" s="18"/>
      <c r="AA178" s="19"/>
      <c r="AB178" s="20"/>
    </row>
    <row r="179" spans="1:28" s="1" customFormat="1" ht="48" hidden="1" x14ac:dyDescent="0.2">
      <c r="A179" s="5"/>
      <c r="B179" s="21">
        <v>43301</v>
      </c>
      <c r="C179" s="22">
        <v>25569.375</v>
      </c>
      <c r="D179" s="23" t="s">
        <v>642</v>
      </c>
      <c r="E179" s="24"/>
      <c r="F179" s="24"/>
      <c r="G179" s="25">
        <v>63</v>
      </c>
      <c r="H179" s="23"/>
      <c r="I179" s="23" t="s">
        <v>643</v>
      </c>
      <c r="J179" s="23" t="s">
        <v>27</v>
      </c>
      <c r="K179" s="23" t="s">
        <v>28</v>
      </c>
      <c r="L179" s="23" t="s">
        <v>29</v>
      </c>
      <c r="M179" s="23" t="s">
        <v>30</v>
      </c>
      <c r="N179" s="25">
        <v>37</v>
      </c>
      <c r="O179" s="24" t="s">
        <v>31</v>
      </c>
      <c r="P179" s="24" t="s">
        <v>394</v>
      </c>
      <c r="Q179" s="24" t="s">
        <v>75</v>
      </c>
      <c r="R179" s="24" t="s">
        <v>76</v>
      </c>
      <c r="S179" s="24" t="s">
        <v>644</v>
      </c>
      <c r="T179" s="23" t="s">
        <v>645</v>
      </c>
      <c r="U179" s="22">
        <v>25569.3215277778</v>
      </c>
      <c r="V179" s="22"/>
      <c r="W179" s="24"/>
      <c r="X179" s="26"/>
      <c r="Y179" s="27"/>
      <c r="Z179" s="27"/>
      <c r="AA179" s="19"/>
      <c r="AB179" s="20"/>
    </row>
    <row r="180" spans="1:28" s="1" customFormat="1" ht="48" hidden="1" x14ac:dyDescent="0.2">
      <c r="A180" s="5"/>
      <c r="B180" s="11">
        <v>43304</v>
      </c>
      <c r="C180" s="12">
        <v>25569.395833333299</v>
      </c>
      <c r="D180" s="13" t="s">
        <v>646</v>
      </c>
      <c r="E180" s="14"/>
      <c r="F180" s="14"/>
      <c r="G180" s="15">
        <v>17</v>
      </c>
      <c r="H180" s="13"/>
      <c r="I180" s="13" t="s">
        <v>316</v>
      </c>
      <c r="J180" s="13" t="s">
        <v>27</v>
      </c>
      <c r="K180" s="13" t="s">
        <v>28</v>
      </c>
      <c r="L180" s="13" t="s">
        <v>30</v>
      </c>
      <c r="M180" s="13" t="s">
        <v>30</v>
      </c>
      <c r="N180" s="15"/>
      <c r="O180" s="14" t="s">
        <v>31</v>
      </c>
      <c r="P180" s="14" t="s">
        <v>32</v>
      </c>
      <c r="Q180" s="14" t="s">
        <v>43</v>
      </c>
      <c r="R180" s="14" t="s">
        <v>153</v>
      </c>
      <c r="S180" s="14" t="s">
        <v>647</v>
      </c>
      <c r="T180" s="13" t="s">
        <v>648</v>
      </c>
      <c r="U180" s="12">
        <v>25569.3125</v>
      </c>
      <c r="V180" s="12"/>
      <c r="W180" s="14"/>
      <c r="X180" s="17"/>
      <c r="Y180" s="18"/>
      <c r="Z180" s="18"/>
      <c r="AA180" s="19"/>
      <c r="AB180" s="20"/>
    </row>
    <row r="181" spans="1:28" s="1" customFormat="1" ht="60" hidden="1" x14ac:dyDescent="0.2">
      <c r="A181" s="5"/>
      <c r="B181" s="21">
        <v>43305</v>
      </c>
      <c r="C181" s="22">
        <v>25569.395833333299</v>
      </c>
      <c r="D181" s="23" t="s">
        <v>649</v>
      </c>
      <c r="E181" s="24"/>
      <c r="F181" s="24"/>
      <c r="G181" s="25">
        <v>59</v>
      </c>
      <c r="H181" s="23"/>
      <c r="I181" s="23" t="s">
        <v>79</v>
      </c>
      <c r="J181" s="23" t="s">
        <v>27</v>
      </c>
      <c r="K181" s="23" t="s">
        <v>28</v>
      </c>
      <c r="L181" s="23" t="s">
        <v>29</v>
      </c>
      <c r="M181" s="23" t="s">
        <v>30</v>
      </c>
      <c r="N181" s="25">
        <v>8</v>
      </c>
      <c r="O181" s="24" t="s">
        <v>31</v>
      </c>
      <c r="P181" s="24" t="s">
        <v>394</v>
      </c>
      <c r="Q181" s="24" t="s">
        <v>75</v>
      </c>
      <c r="R181" s="24" t="s">
        <v>76</v>
      </c>
      <c r="S181" s="24" t="s">
        <v>650</v>
      </c>
      <c r="T181" s="23" t="s">
        <v>651</v>
      </c>
      <c r="U181" s="22">
        <v>25569.229166666701</v>
      </c>
      <c r="V181" s="22"/>
      <c r="W181" s="24"/>
      <c r="X181" s="26"/>
      <c r="Y181" s="27"/>
      <c r="Z181" s="27" t="s">
        <v>86</v>
      </c>
      <c r="AA181" s="19"/>
      <c r="AB181" s="20"/>
    </row>
    <row r="182" spans="1:28" s="1" customFormat="1" ht="48" hidden="1" x14ac:dyDescent="0.2">
      <c r="A182" s="5"/>
      <c r="B182" s="21">
        <v>43307</v>
      </c>
      <c r="C182" s="22">
        <v>25569.3125</v>
      </c>
      <c r="D182" s="23" t="s">
        <v>652</v>
      </c>
      <c r="E182" s="24"/>
      <c r="F182" s="24"/>
      <c r="G182" s="25">
        <v>58</v>
      </c>
      <c r="H182" s="23"/>
      <c r="I182" s="23" t="s">
        <v>246</v>
      </c>
      <c r="J182" s="23" t="s">
        <v>27</v>
      </c>
      <c r="K182" s="23" t="s">
        <v>28</v>
      </c>
      <c r="L182" s="23" t="s">
        <v>29</v>
      </c>
      <c r="M182" s="23" t="s">
        <v>30</v>
      </c>
      <c r="N182" s="25">
        <v>11</v>
      </c>
      <c r="O182" s="24" t="s">
        <v>31</v>
      </c>
      <c r="P182" s="24" t="s">
        <v>32</v>
      </c>
      <c r="Q182" s="24" t="s">
        <v>149</v>
      </c>
      <c r="R182" s="24" t="s">
        <v>407</v>
      </c>
      <c r="S182" s="24" t="s">
        <v>653</v>
      </c>
      <c r="T182" s="23" t="s">
        <v>654</v>
      </c>
      <c r="U182" s="22">
        <v>25569.25</v>
      </c>
      <c r="V182" s="22"/>
      <c r="W182" s="24"/>
      <c r="X182" s="26"/>
      <c r="Y182" s="27"/>
      <c r="Z182" s="27"/>
      <c r="AA182" s="19"/>
      <c r="AB182" s="20"/>
    </row>
    <row r="183" spans="1:28" s="1" customFormat="1" ht="84" hidden="1" x14ac:dyDescent="0.2">
      <c r="A183" s="5"/>
      <c r="B183" s="11">
        <v>43309</v>
      </c>
      <c r="C183" s="12">
        <v>25569.493055555598</v>
      </c>
      <c r="D183" s="13" t="s">
        <v>655</v>
      </c>
      <c r="E183" s="14"/>
      <c r="F183" s="14"/>
      <c r="G183" s="15">
        <v>45</v>
      </c>
      <c r="H183" s="13"/>
      <c r="I183" s="13" t="s">
        <v>26</v>
      </c>
      <c r="J183" s="13" t="s">
        <v>27</v>
      </c>
      <c r="K183" s="13" t="s">
        <v>28</v>
      </c>
      <c r="L183" s="13" t="s">
        <v>29</v>
      </c>
      <c r="M183" s="13" t="s">
        <v>30</v>
      </c>
      <c r="N183" s="15">
        <v>64</v>
      </c>
      <c r="O183" s="14"/>
      <c r="P183" s="14" t="s">
        <v>394</v>
      </c>
      <c r="Q183" s="14" t="s">
        <v>33</v>
      </c>
      <c r="R183" s="14" t="s">
        <v>377</v>
      </c>
      <c r="S183" s="16" t="s">
        <v>656</v>
      </c>
      <c r="T183" s="13" t="s">
        <v>657</v>
      </c>
      <c r="U183" s="12">
        <v>25569.25</v>
      </c>
      <c r="V183" s="12">
        <v>25569</v>
      </c>
      <c r="W183" s="14"/>
      <c r="X183" s="17"/>
      <c r="Y183" s="18" t="s">
        <v>37</v>
      </c>
      <c r="Z183" s="18"/>
      <c r="AA183" s="19"/>
      <c r="AB183" s="20"/>
    </row>
    <row r="184" spans="1:28" s="1" customFormat="1" ht="48" hidden="1" x14ac:dyDescent="0.2">
      <c r="A184" s="5"/>
      <c r="B184" s="21">
        <v>43311</v>
      </c>
      <c r="C184" s="22">
        <v>25569.520833333299</v>
      </c>
      <c r="D184" s="23" t="s">
        <v>658</v>
      </c>
      <c r="E184" s="24"/>
      <c r="F184" s="24"/>
      <c r="G184" s="25">
        <v>34</v>
      </c>
      <c r="H184" s="23"/>
      <c r="I184" s="23" t="s">
        <v>49</v>
      </c>
      <c r="J184" s="23" t="s">
        <v>27</v>
      </c>
      <c r="K184" s="23" t="s">
        <v>28</v>
      </c>
      <c r="L184" s="23" t="s">
        <v>30</v>
      </c>
      <c r="M184" s="23" t="s">
        <v>30</v>
      </c>
      <c r="N184" s="25"/>
      <c r="O184" s="24" t="s">
        <v>50</v>
      </c>
      <c r="P184" s="24" t="s">
        <v>482</v>
      </c>
      <c r="Q184" s="24" t="s">
        <v>57</v>
      </c>
      <c r="R184" s="24"/>
      <c r="S184" s="24" t="s">
        <v>659</v>
      </c>
      <c r="T184" s="23" t="s">
        <v>660</v>
      </c>
      <c r="U184" s="22">
        <v>25569.263888888901</v>
      </c>
      <c r="V184" s="22">
        <v>25569</v>
      </c>
      <c r="W184" s="24"/>
      <c r="X184" s="26"/>
      <c r="Y184" s="27"/>
      <c r="Z184" s="27"/>
      <c r="AA184" s="19"/>
      <c r="AB184" s="20"/>
    </row>
    <row r="185" spans="1:28" s="1" customFormat="1" ht="60" hidden="1" x14ac:dyDescent="0.2">
      <c r="A185" s="5"/>
      <c r="B185" s="11">
        <v>43314</v>
      </c>
      <c r="C185" s="12">
        <v>25569.614583333299</v>
      </c>
      <c r="D185" s="13" t="s">
        <v>661</v>
      </c>
      <c r="E185" s="14"/>
      <c r="F185" s="14"/>
      <c r="G185" s="15">
        <v>59</v>
      </c>
      <c r="H185" s="13"/>
      <c r="I185" s="13" t="s">
        <v>234</v>
      </c>
      <c r="J185" s="13" t="s">
        <v>27</v>
      </c>
      <c r="K185" s="13" t="s">
        <v>28</v>
      </c>
      <c r="L185" s="13" t="s">
        <v>30</v>
      </c>
      <c r="M185" s="13" t="s">
        <v>30</v>
      </c>
      <c r="N185" s="15"/>
      <c r="O185" s="14" t="s">
        <v>31</v>
      </c>
      <c r="P185" s="14" t="s">
        <v>458</v>
      </c>
      <c r="Q185" s="14" t="s">
        <v>57</v>
      </c>
      <c r="R185" s="14"/>
      <c r="S185" s="14" t="s">
        <v>662</v>
      </c>
      <c r="T185" s="13" t="s">
        <v>663</v>
      </c>
      <c r="U185" s="12">
        <v>25569.5625</v>
      </c>
      <c r="V185" s="12"/>
      <c r="W185" s="14"/>
      <c r="X185" s="17"/>
      <c r="Y185" s="18"/>
      <c r="Z185" s="18" t="s">
        <v>186</v>
      </c>
      <c r="AA185" s="19"/>
      <c r="AB185" s="20"/>
    </row>
    <row r="186" spans="1:28" s="1" customFormat="1" ht="48" hidden="1" x14ac:dyDescent="0.2">
      <c r="A186" s="5"/>
      <c r="B186" s="21">
        <v>43315</v>
      </c>
      <c r="C186" s="22">
        <v>25569.229166666701</v>
      </c>
      <c r="D186" s="23" t="s">
        <v>664</v>
      </c>
      <c r="E186" s="24"/>
      <c r="F186" s="24"/>
      <c r="G186" s="25">
        <v>55</v>
      </c>
      <c r="H186" s="23"/>
      <c r="I186" s="23" t="s">
        <v>120</v>
      </c>
      <c r="J186" s="23" t="s">
        <v>27</v>
      </c>
      <c r="K186" s="23" t="s">
        <v>121</v>
      </c>
      <c r="L186" s="23" t="s">
        <v>30</v>
      </c>
      <c r="M186" s="23" t="s">
        <v>30</v>
      </c>
      <c r="N186" s="25"/>
      <c r="O186" s="24" t="s">
        <v>31</v>
      </c>
      <c r="P186" s="24" t="s">
        <v>394</v>
      </c>
      <c r="Q186" s="24" t="s">
        <v>196</v>
      </c>
      <c r="R186" s="24" t="s">
        <v>551</v>
      </c>
      <c r="S186" s="24" t="s">
        <v>665</v>
      </c>
      <c r="T186" s="23" t="s">
        <v>666</v>
      </c>
      <c r="U186" s="22">
        <v>25569.239583333299</v>
      </c>
      <c r="V186" s="22"/>
      <c r="W186" s="24"/>
      <c r="X186" s="26"/>
      <c r="Y186" s="27"/>
      <c r="Z186" s="27" t="s">
        <v>113</v>
      </c>
      <c r="AA186" s="19"/>
      <c r="AB186" s="20"/>
    </row>
    <row r="187" spans="1:28" s="1" customFormat="1" ht="72" hidden="1" x14ac:dyDescent="0.2">
      <c r="A187" s="5"/>
      <c r="B187" s="11">
        <v>43318</v>
      </c>
      <c r="C187" s="12">
        <v>25569.0625</v>
      </c>
      <c r="D187" s="13" t="s">
        <v>667</v>
      </c>
      <c r="E187" s="14"/>
      <c r="F187" s="14"/>
      <c r="G187" s="15">
        <v>49</v>
      </c>
      <c r="H187" s="13"/>
      <c r="I187" s="13" t="s">
        <v>93</v>
      </c>
      <c r="J187" s="13" t="s">
        <v>27</v>
      </c>
      <c r="K187" s="13" t="s">
        <v>28</v>
      </c>
      <c r="L187" s="13" t="s">
        <v>30</v>
      </c>
      <c r="M187" s="13" t="s">
        <v>30</v>
      </c>
      <c r="N187" s="15"/>
      <c r="O187" s="14" t="s">
        <v>31</v>
      </c>
      <c r="P187" s="14" t="s">
        <v>499</v>
      </c>
      <c r="Q187" s="14" t="s">
        <v>33</v>
      </c>
      <c r="R187" s="14" t="s">
        <v>70</v>
      </c>
      <c r="S187" s="14" t="s">
        <v>668</v>
      </c>
      <c r="T187" s="13" t="s">
        <v>669</v>
      </c>
      <c r="U187" s="12">
        <v>25569.916666666701</v>
      </c>
      <c r="V187" s="12">
        <v>25569.259722222199</v>
      </c>
      <c r="W187" s="14"/>
      <c r="X187" s="17"/>
      <c r="Y187" s="18"/>
      <c r="Z187" s="18" t="s">
        <v>82</v>
      </c>
      <c r="AA187" s="19"/>
      <c r="AB187" s="20"/>
    </row>
    <row r="188" spans="1:28" s="1" customFormat="1" ht="72" hidden="1" x14ac:dyDescent="0.2">
      <c r="A188" s="5"/>
      <c r="B188" s="21">
        <v>43320</v>
      </c>
      <c r="C188" s="22">
        <v>25569.048611111099</v>
      </c>
      <c r="D188" s="23" t="s">
        <v>670</v>
      </c>
      <c r="E188" s="24"/>
      <c r="F188" s="24"/>
      <c r="G188" s="25">
        <v>45</v>
      </c>
      <c r="H188" s="23"/>
      <c r="I188" s="23" t="s">
        <v>26</v>
      </c>
      <c r="J188" s="23" t="s">
        <v>27</v>
      </c>
      <c r="K188" s="23" t="s">
        <v>28</v>
      </c>
      <c r="L188" s="23" t="s">
        <v>29</v>
      </c>
      <c r="M188" s="23" t="s">
        <v>30</v>
      </c>
      <c r="N188" s="25">
        <v>6</v>
      </c>
      <c r="O188" s="24"/>
      <c r="P188" s="24" t="s">
        <v>499</v>
      </c>
      <c r="Q188" s="24" t="s">
        <v>88</v>
      </c>
      <c r="R188" s="24" t="s">
        <v>89</v>
      </c>
      <c r="S188" s="24" t="s">
        <v>671</v>
      </c>
      <c r="T188" s="23" t="s">
        <v>672</v>
      </c>
      <c r="U188" s="22">
        <v>25569.916666666701</v>
      </c>
      <c r="V188" s="22"/>
      <c r="W188" s="24"/>
      <c r="X188" s="26"/>
      <c r="Y188" s="27"/>
      <c r="Z188" s="27"/>
      <c r="AA188" s="19"/>
      <c r="AB188" s="20"/>
    </row>
    <row r="189" spans="1:28" s="1" customFormat="1" ht="60" hidden="1" x14ac:dyDescent="0.2">
      <c r="A189" s="5"/>
      <c r="B189" s="11">
        <v>43327</v>
      </c>
      <c r="C189" s="12">
        <v>25569.166666666701</v>
      </c>
      <c r="D189" s="13" t="s">
        <v>673</v>
      </c>
      <c r="E189" s="14"/>
      <c r="F189" s="14"/>
      <c r="G189" s="15">
        <v>46</v>
      </c>
      <c r="H189" s="13"/>
      <c r="I189" s="13" t="s">
        <v>120</v>
      </c>
      <c r="J189" s="13" t="s">
        <v>27</v>
      </c>
      <c r="K189" s="13" t="s">
        <v>28</v>
      </c>
      <c r="L189" s="13" t="s">
        <v>29</v>
      </c>
      <c r="M189" s="13" t="s">
        <v>30</v>
      </c>
      <c r="N189" s="15">
        <v>46</v>
      </c>
      <c r="O189" s="14"/>
      <c r="P189" s="14" t="s">
        <v>488</v>
      </c>
      <c r="Q189" s="14" t="s">
        <v>88</v>
      </c>
      <c r="R189" s="14" t="s">
        <v>89</v>
      </c>
      <c r="S189" s="14" t="s">
        <v>674</v>
      </c>
      <c r="T189" s="13" t="s">
        <v>675</v>
      </c>
      <c r="U189" s="12">
        <v>25569.916666666701</v>
      </c>
      <c r="V189" s="12"/>
      <c r="W189" s="14"/>
      <c r="X189" s="17"/>
      <c r="Y189" s="18" t="s">
        <v>37</v>
      </c>
      <c r="Z189" s="18"/>
      <c r="AA189" s="19"/>
      <c r="AB189" s="20"/>
    </row>
    <row r="190" spans="1:28" s="1" customFormat="1" ht="60" hidden="1" x14ac:dyDescent="0.2">
      <c r="A190" s="5"/>
      <c r="B190" s="21">
        <v>43327</v>
      </c>
      <c r="C190" s="22">
        <v>25569.5625</v>
      </c>
      <c r="D190" s="23" t="s">
        <v>676</v>
      </c>
      <c r="E190" s="24"/>
      <c r="F190" s="24"/>
      <c r="G190" s="25">
        <v>32</v>
      </c>
      <c r="H190" s="23"/>
      <c r="I190" s="23" t="s">
        <v>368</v>
      </c>
      <c r="J190" s="23" t="s">
        <v>27</v>
      </c>
      <c r="K190" s="23" t="s">
        <v>28</v>
      </c>
      <c r="L190" s="23" t="s">
        <v>29</v>
      </c>
      <c r="M190" s="23" t="s">
        <v>30</v>
      </c>
      <c r="N190" s="25">
        <v>7</v>
      </c>
      <c r="O190" s="24" t="s">
        <v>31</v>
      </c>
      <c r="P190" s="24" t="s">
        <v>394</v>
      </c>
      <c r="Q190" s="24" t="s">
        <v>88</v>
      </c>
      <c r="R190" s="24" t="s">
        <v>126</v>
      </c>
      <c r="S190" s="24" t="s">
        <v>677</v>
      </c>
      <c r="T190" s="23" t="s">
        <v>678</v>
      </c>
      <c r="U190" s="22">
        <v>25569.2791666667</v>
      </c>
      <c r="V190" s="22"/>
      <c r="W190" s="24"/>
      <c r="X190" s="26"/>
      <c r="Y190" s="27" t="s">
        <v>37</v>
      </c>
      <c r="Z190" s="27"/>
      <c r="AA190" s="19"/>
      <c r="AB190" s="20"/>
    </row>
    <row r="191" spans="1:28" s="1" customFormat="1" ht="48" hidden="1" x14ac:dyDescent="0.2">
      <c r="A191" s="5"/>
      <c r="B191" s="21">
        <v>43328</v>
      </c>
      <c r="C191" s="22">
        <v>25569.5</v>
      </c>
      <c r="D191" s="23" t="s">
        <v>679</v>
      </c>
      <c r="E191" s="24"/>
      <c r="F191" s="24"/>
      <c r="G191" s="25">
        <v>50</v>
      </c>
      <c r="H191" s="23"/>
      <c r="I191" s="23" t="s">
        <v>49</v>
      </c>
      <c r="J191" s="23" t="s">
        <v>27</v>
      </c>
      <c r="K191" s="23" t="s">
        <v>28</v>
      </c>
      <c r="L191" s="23" t="s">
        <v>30</v>
      </c>
      <c r="M191" s="23" t="s">
        <v>30</v>
      </c>
      <c r="N191" s="25"/>
      <c r="O191" s="24"/>
      <c r="P191" s="24" t="s">
        <v>394</v>
      </c>
      <c r="Q191" s="24" t="s">
        <v>75</v>
      </c>
      <c r="R191" s="24" t="s">
        <v>76</v>
      </c>
      <c r="S191" s="24" t="s">
        <v>680</v>
      </c>
      <c r="T191" s="23" t="s">
        <v>681</v>
      </c>
      <c r="U191" s="22">
        <v>25569.263888888901</v>
      </c>
      <c r="V191" s="22"/>
      <c r="W191" s="24"/>
      <c r="X191" s="26"/>
      <c r="Y191" s="27" t="s">
        <v>37</v>
      </c>
      <c r="Z191" s="27"/>
      <c r="AA191" s="19"/>
      <c r="AB191" s="20"/>
    </row>
    <row r="192" spans="1:28" s="1" customFormat="1" ht="60" hidden="1" x14ac:dyDescent="0.2">
      <c r="A192" s="5"/>
      <c r="B192" s="11">
        <v>43329</v>
      </c>
      <c r="C192" s="12">
        <v>25569.052083333299</v>
      </c>
      <c r="D192" s="13" t="s">
        <v>682</v>
      </c>
      <c r="E192" s="14"/>
      <c r="F192" s="14"/>
      <c r="G192" s="15">
        <v>31</v>
      </c>
      <c r="H192" s="13"/>
      <c r="I192" s="13" t="s">
        <v>26</v>
      </c>
      <c r="J192" s="13" t="s">
        <v>27</v>
      </c>
      <c r="K192" s="13" t="s">
        <v>28</v>
      </c>
      <c r="L192" s="13" t="s">
        <v>30</v>
      </c>
      <c r="M192" s="13" t="s">
        <v>30</v>
      </c>
      <c r="N192" s="15"/>
      <c r="O192" s="14" t="s">
        <v>50</v>
      </c>
      <c r="P192" s="14" t="s">
        <v>394</v>
      </c>
      <c r="Q192" s="14" t="s">
        <v>33</v>
      </c>
      <c r="R192" s="14" t="s">
        <v>216</v>
      </c>
      <c r="S192" s="14" t="s">
        <v>683</v>
      </c>
      <c r="T192" s="13" t="s">
        <v>684</v>
      </c>
      <c r="U192" s="12">
        <v>25569.916666666701</v>
      </c>
      <c r="V192" s="12"/>
      <c r="W192" s="14"/>
      <c r="X192" s="17"/>
      <c r="Y192" s="18"/>
      <c r="Z192" s="18" t="s">
        <v>599</v>
      </c>
      <c r="AA192" s="19"/>
      <c r="AB192" s="20"/>
    </row>
    <row r="193" spans="1:28" s="1" customFormat="1" ht="48" hidden="1" x14ac:dyDescent="0.2">
      <c r="A193" s="5"/>
      <c r="B193" s="11">
        <v>43329</v>
      </c>
      <c r="C193" s="12">
        <v>25569.444444444402</v>
      </c>
      <c r="D193" s="13" t="s">
        <v>685</v>
      </c>
      <c r="E193" s="14"/>
      <c r="F193" s="14"/>
      <c r="G193" s="15">
        <v>42</v>
      </c>
      <c r="H193" s="13"/>
      <c r="I193" s="13" t="s">
        <v>55</v>
      </c>
      <c r="J193" s="13" t="s">
        <v>27</v>
      </c>
      <c r="K193" s="13" t="s">
        <v>28</v>
      </c>
      <c r="L193" s="13" t="s">
        <v>30</v>
      </c>
      <c r="M193" s="13" t="s">
        <v>30</v>
      </c>
      <c r="N193" s="15"/>
      <c r="O193" s="14"/>
      <c r="P193" s="14" t="s">
        <v>394</v>
      </c>
      <c r="Q193" s="14" t="s">
        <v>196</v>
      </c>
      <c r="R193" s="14" t="s">
        <v>551</v>
      </c>
      <c r="S193" s="14" t="s">
        <v>686</v>
      </c>
      <c r="T193" s="13" t="s">
        <v>687</v>
      </c>
      <c r="U193" s="12">
        <v>25569.25</v>
      </c>
      <c r="V193" s="12">
        <v>25569.617361111101</v>
      </c>
      <c r="W193" s="14"/>
      <c r="X193" s="17"/>
      <c r="Y193" s="18"/>
      <c r="Z193" s="18"/>
      <c r="AA193" s="19"/>
      <c r="AB193" s="20"/>
    </row>
    <row r="194" spans="1:28" s="1" customFormat="1" ht="48" hidden="1" x14ac:dyDescent="0.2">
      <c r="A194" s="5"/>
      <c r="B194" s="21">
        <v>43332</v>
      </c>
      <c r="C194" s="22">
        <v>25569.083333333299</v>
      </c>
      <c r="D194" s="23" t="s">
        <v>688</v>
      </c>
      <c r="E194" s="24"/>
      <c r="F194" s="24"/>
      <c r="G194" s="25">
        <v>52</v>
      </c>
      <c r="H194" s="23"/>
      <c r="I194" s="23" t="s">
        <v>205</v>
      </c>
      <c r="J194" s="23" t="s">
        <v>27</v>
      </c>
      <c r="K194" s="23" t="s">
        <v>121</v>
      </c>
      <c r="L194" s="23" t="s">
        <v>29</v>
      </c>
      <c r="M194" s="23" t="s">
        <v>30</v>
      </c>
      <c r="N194" s="25">
        <v>48</v>
      </c>
      <c r="O194" s="24" t="s">
        <v>41</v>
      </c>
      <c r="P194" s="24" t="s">
        <v>63</v>
      </c>
      <c r="Q194" s="24" t="s">
        <v>196</v>
      </c>
      <c r="R194" s="24" t="s">
        <v>551</v>
      </c>
      <c r="S194" s="24" t="s">
        <v>689</v>
      </c>
      <c r="T194" s="23" t="s">
        <v>690</v>
      </c>
      <c r="U194" s="22">
        <v>25569.75</v>
      </c>
      <c r="V194" s="22">
        <v>25569.166666666701</v>
      </c>
      <c r="W194" s="24"/>
      <c r="X194" s="26"/>
      <c r="Y194" s="27"/>
      <c r="Z194" s="27" t="s">
        <v>599</v>
      </c>
      <c r="AA194" s="19"/>
      <c r="AB194" s="20"/>
    </row>
    <row r="195" spans="1:28" s="1" customFormat="1" ht="60" hidden="1" x14ac:dyDescent="0.2">
      <c r="A195" s="5"/>
      <c r="B195" s="11">
        <v>43332</v>
      </c>
      <c r="C195" s="12">
        <v>25569.635416666701</v>
      </c>
      <c r="D195" s="13" t="s">
        <v>691</v>
      </c>
      <c r="E195" s="14"/>
      <c r="F195" s="14"/>
      <c r="G195" s="15">
        <v>52</v>
      </c>
      <c r="H195" s="13"/>
      <c r="I195" s="13" t="s">
        <v>205</v>
      </c>
      <c r="J195" s="13" t="s">
        <v>27</v>
      </c>
      <c r="K195" s="13" t="s">
        <v>28</v>
      </c>
      <c r="L195" s="13" t="s">
        <v>29</v>
      </c>
      <c r="M195" s="13" t="s">
        <v>30</v>
      </c>
      <c r="N195" s="15">
        <v>12</v>
      </c>
      <c r="O195" s="14" t="s">
        <v>163</v>
      </c>
      <c r="P195" s="14" t="s">
        <v>458</v>
      </c>
      <c r="Q195" s="14" t="s">
        <v>43</v>
      </c>
      <c r="R195" s="14" t="s">
        <v>153</v>
      </c>
      <c r="S195" s="14" t="s">
        <v>692</v>
      </c>
      <c r="T195" s="13" t="s">
        <v>693</v>
      </c>
      <c r="U195" s="12">
        <v>25569.597916666698</v>
      </c>
      <c r="V195" s="12">
        <v>25569</v>
      </c>
      <c r="W195" s="14"/>
      <c r="X195" s="17"/>
      <c r="Y195" s="18"/>
      <c r="Z195" s="18"/>
      <c r="AA195" s="19"/>
      <c r="AB195" s="20"/>
    </row>
    <row r="196" spans="1:28" s="1" customFormat="1" ht="48" hidden="1" x14ac:dyDescent="0.2">
      <c r="A196" s="5"/>
      <c r="B196" s="21">
        <v>43334</v>
      </c>
      <c r="C196" s="22">
        <v>25569.375</v>
      </c>
      <c r="D196" s="23" t="s">
        <v>694</v>
      </c>
      <c r="E196" s="24"/>
      <c r="F196" s="24"/>
      <c r="G196" s="25">
        <v>44</v>
      </c>
      <c r="H196" s="23"/>
      <c r="I196" s="23" t="s">
        <v>26</v>
      </c>
      <c r="J196" s="23" t="s">
        <v>27</v>
      </c>
      <c r="K196" s="23" t="s">
        <v>28</v>
      </c>
      <c r="L196" s="23" t="s">
        <v>29</v>
      </c>
      <c r="M196" s="23" t="s">
        <v>30</v>
      </c>
      <c r="N196" s="25">
        <v>21</v>
      </c>
      <c r="O196" s="24" t="s">
        <v>31</v>
      </c>
      <c r="P196" s="24" t="s">
        <v>394</v>
      </c>
      <c r="Q196" s="24" t="s">
        <v>33</v>
      </c>
      <c r="R196" s="24" t="s">
        <v>34</v>
      </c>
      <c r="S196" s="24" t="s">
        <v>695</v>
      </c>
      <c r="T196" s="23" t="s">
        <v>696</v>
      </c>
      <c r="U196" s="22">
        <v>25569.25</v>
      </c>
      <c r="V196" s="22">
        <v>25569.617361111101</v>
      </c>
      <c r="W196" s="24"/>
      <c r="X196" s="26"/>
      <c r="Y196" s="27" t="s">
        <v>37</v>
      </c>
      <c r="Z196" s="27"/>
      <c r="AA196" s="19"/>
      <c r="AB196" s="20"/>
    </row>
    <row r="197" spans="1:28" s="1" customFormat="1" ht="72" hidden="1" x14ac:dyDescent="0.2">
      <c r="A197" s="5"/>
      <c r="B197" s="21">
        <v>43335</v>
      </c>
      <c r="C197" s="22">
        <v>25569.1875</v>
      </c>
      <c r="D197" s="23" t="s">
        <v>697</v>
      </c>
      <c r="E197" s="24"/>
      <c r="F197" s="24"/>
      <c r="G197" s="25">
        <v>27</v>
      </c>
      <c r="H197" s="23"/>
      <c r="I197" s="23" t="s">
        <v>26</v>
      </c>
      <c r="J197" s="23" t="s">
        <v>27</v>
      </c>
      <c r="K197" s="23" t="s">
        <v>28</v>
      </c>
      <c r="L197" s="23" t="s">
        <v>30</v>
      </c>
      <c r="M197" s="23" t="s">
        <v>30</v>
      </c>
      <c r="N197" s="25"/>
      <c r="O197" s="24" t="s">
        <v>31</v>
      </c>
      <c r="P197" s="24" t="s">
        <v>499</v>
      </c>
      <c r="Q197" s="24"/>
      <c r="R197" s="24"/>
      <c r="S197" s="24" t="s">
        <v>698</v>
      </c>
      <c r="T197" s="23" t="s">
        <v>699</v>
      </c>
      <c r="U197" s="22">
        <v>25569.916666666701</v>
      </c>
      <c r="V197" s="22">
        <v>25569.261805555601</v>
      </c>
      <c r="W197" s="24"/>
      <c r="X197" s="26"/>
      <c r="Y197" s="27"/>
      <c r="Z197" s="27" t="s">
        <v>82</v>
      </c>
      <c r="AA197" s="19"/>
      <c r="AB197" s="20"/>
    </row>
    <row r="198" spans="1:28" s="1" customFormat="1" ht="72" hidden="1" x14ac:dyDescent="0.2">
      <c r="A198" s="5"/>
      <c r="B198" s="11">
        <v>43335</v>
      </c>
      <c r="C198" s="12">
        <v>25569.447916666701</v>
      </c>
      <c r="D198" s="13" t="s">
        <v>700</v>
      </c>
      <c r="E198" s="14"/>
      <c r="F198" s="14"/>
      <c r="G198" s="15">
        <v>19</v>
      </c>
      <c r="H198" s="13"/>
      <c r="I198" s="13" t="s">
        <v>403</v>
      </c>
      <c r="J198" s="13" t="s">
        <v>27</v>
      </c>
      <c r="K198" s="13" t="s">
        <v>28</v>
      </c>
      <c r="L198" s="13" t="s">
        <v>29</v>
      </c>
      <c r="M198" s="13" t="s">
        <v>30</v>
      </c>
      <c r="N198" s="15">
        <v>1</v>
      </c>
      <c r="O198" s="14" t="s">
        <v>50</v>
      </c>
      <c r="P198" s="14" t="s">
        <v>499</v>
      </c>
      <c r="Q198" s="14" t="s">
        <v>57</v>
      </c>
      <c r="R198" s="14"/>
      <c r="S198" s="14" t="s">
        <v>701</v>
      </c>
      <c r="T198" s="13" t="s">
        <v>702</v>
      </c>
      <c r="U198" s="12">
        <v>25569.302083333299</v>
      </c>
      <c r="V198" s="12">
        <v>25569</v>
      </c>
      <c r="W198" s="14" t="s">
        <v>703</v>
      </c>
      <c r="X198" s="17"/>
      <c r="Y198" s="18"/>
      <c r="Z198" s="18" t="s">
        <v>599</v>
      </c>
      <c r="AA198" s="19"/>
      <c r="AB198" s="20"/>
    </row>
    <row r="199" spans="1:28" s="1" customFormat="1" ht="72" hidden="1" x14ac:dyDescent="0.2">
      <c r="A199" s="5"/>
      <c r="B199" s="11">
        <v>43335</v>
      </c>
      <c r="C199" s="12">
        <v>25569.666666666701</v>
      </c>
      <c r="D199" s="13" t="s">
        <v>704</v>
      </c>
      <c r="E199" s="14"/>
      <c r="F199" s="14"/>
      <c r="G199" s="15">
        <v>37</v>
      </c>
      <c r="H199" s="13"/>
      <c r="I199" s="13" t="s">
        <v>93</v>
      </c>
      <c r="J199" s="13" t="s">
        <v>27</v>
      </c>
      <c r="K199" s="13" t="s">
        <v>28</v>
      </c>
      <c r="L199" s="13" t="s">
        <v>30</v>
      </c>
      <c r="M199" s="13" t="s">
        <v>30</v>
      </c>
      <c r="N199" s="15"/>
      <c r="O199" s="14" t="s">
        <v>50</v>
      </c>
      <c r="P199" s="14" t="s">
        <v>499</v>
      </c>
      <c r="Q199" s="14" t="s">
        <v>88</v>
      </c>
      <c r="R199" s="14" t="s">
        <v>134</v>
      </c>
      <c r="S199" s="14" t="s">
        <v>705</v>
      </c>
      <c r="T199" s="13" t="s">
        <v>706</v>
      </c>
      <c r="U199" s="12">
        <v>25569.583333333299</v>
      </c>
      <c r="V199" s="12"/>
      <c r="W199" s="14"/>
      <c r="X199" s="17"/>
      <c r="Y199" s="18"/>
      <c r="Z199" s="18"/>
      <c r="AA199" s="19"/>
      <c r="AB199" s="20"/>
    </row>
    <row r="200" spans="1:28" s="1" customFormat="1" ht="72" hidden="1" x14ac:dyDescent="0.2">
      <c r="A200" s="5"/>
      <c r="B200" s="21">
        <v>43335</v>
      </c>
      <c r="C200" s="22">
        <v>25569.6875</v>
      </c>
      <c r="D200" s="23" t="s">
        <v>707</v>
      </c>
      <c r="E200" s="24"/>
      <c r="F200" s="24"/>
      <c r="G200" s="25">
        <v>55</v>
      </c>
      <c r="H200" s="23"/>
      <c r="I200" s="23" t="s">
        <v>354</v>
      </c>
      <c r="J200" s="23" t="s">
        <v>27</v>
      </c>
      <c r="K200" s="23" t="s">
        <v>121</v>
      </c>
      <c r="L200" s="23" t="s">
        <v>29</v>
      </c>
      <c r="M200" s="23" t="s">
        <v>30</v>
      </c>
      <c r="N200" s="25">
        <v>38</v>
      </c>
      <c r="O200" s="24" t="s">
        <v>215</v>
      </c>
      <c r="P200" s="24" t="s">
        <v>394</v>
      </c>
      <c r="Q200" s="24" t="s">
        <v>280</v>
      </c>
      <c r="R200" s="24"/>
      <c r="S200" s="24" t="s">
        <v>708</v>
      </c>
      <c r="T200" s="23" t="s">
        <v>709</v>
      </c>
      <c r="U200" s="22">
        <v>25569.739583333299</v>
      </c>
      <c r="V200" s="22">
        <v>25569.103472222199</v>
      </c>
      <c r="W200" s="24"/>
      <c r="X200" s="26"/>
      <c r="Y200" s="27"/>
      <c r="Z200" s="27"/>
      <c r="AA200" s="19"/>
      <c r="AB200" s="20"/>
    </row>
    <row r="201" spans="1:28" s="1" customFormat="1" ht="48" hidden="1" x14ac:dyDescent="0.2">
      <c r="A201" s="5"/>
      <c r="B201" s="21">
        <v>43336</v>
      </c>
      <c r="C201" s="22">
        <v>25569.527777777799</v>
      </c>
      <c r="D201" s="23" t="s">
        <v>710</v>
      </c>
      <c r="E201" s="24"/>
      <c r="F201" s="24"/>
      <c r="G201" s="25">
        <v>45</v>
      </c>
      <c r="H201" s="23"/>
      <c r="I201" s="23" t="s">
        <v>246</v>
      </c>
      <c r="J201" s="23" t="s">
        <v>27</v>
      </c>
      <c r="K201" s="23" t="s">
        <v>28</v>
      </c>
      <c r="L201" s="23" t="s">
        <v>29</v>
      </c>
      <c r="M201" s="23" t="s">
        <v>30</v>
      </c>
      <c r="N201" s="25">
        <v>22</v>
      </c>
      <c r="O201" s="24" t="s">
        <v>31</v>
      </c>
      <c r="P201" s="24" t="s">
        <v>394</v>
      </c>
      <c r="Q201" s="24" t="s">
        <v>33</v>
      </c>
      <c r="R201" s="24" t="s">
        <v>216</v>
      </c>
      <c r="S201" s="24" t="s">
        <v>711</v>
      </c>
      <c r="T201" s="23" t="s">
        <v>712</v>
      </c>
      <c r="U201" s="22">
        <v>25569.489583333299</v>
      </c>
      <c r="V201" s="22">
        <v>25569.833333333299</v>
      </c>
      <c r="W201" s="24"/>
      <c r="X201" s="26"/>
      <c r="Y201" s="27"/>
      <c r="Z201" s="27"/>
      <c r="AA201" s="19"/>
      <c r="AB201" s="20"/>
    </row>
    <row r="202" spans="1:28" s="1" customFormat="1" ht="48" hidden="1" x14ac:dyDescent="0.2">
      <c r="A202" s="5"/>
      <c r="B202" s="11">
        <v>43336</v>
      </c>
      <c r="C202" s="12">
        <v>25569.604166666701</v>
      </c>
      <c r="D202" s="13" t="s">
        <v>713</v>
      </c>
      <c r="E202" s="14"/>
      <c r="F202" s="14"/>
      <c r="G202" s="15">
        <v>54</v>
      </c>
      <c r="H202" s="13"/>
      <c r="I202" s="13" t="s">
        <v>55</v>
      </c>
      <c r="J202" s="13" t="s">
        <v>27</v>
      </c>
      <c r="K202" s="13" t="s">
        <v>28</v>
      </c>
      <c r="L202" s="13" t="s">
        <v>30</v>
      </c>
      <c r="M202" s="13" t="s">
        <v>30</v>
      </c>
      <c r="N202" s="15"/>
      <c r="O202" s="14" t="s">
        <v>50</v>
      </c>
      <c r="P202" s="14" t="s">
        <v>394</v>
      </c>
      <c r="Q202" s="14" t="s">
        <v>196</v>
      </c>
      <c r="R202" s="14" t="s">
        <v>385</v>
      </c>
      <c r="S202" s="14" t="s">
        <v>714</v>
      </c>
      <c r="T202" s="13" t="s">
        <v>715</v>
      </c>
      <c r="U202" s="12">
        <v>25569.277083333302</v>
      </c>
      <c r="V202" s="12"/>
      <c r="W202" s="14"/>
      <c r="X202" s="17"/>
      <c r="Y202" s="18"/>
      <c r="Z202" s="18"/>
      <c r="AA202" s="19"/>
      <c r="AB202" s="20"/>
    </row>
    <row r="203" spans="1:28" s="1" customFormat="1" ht="72" hidden="1" x14ac:dyDescent="0.2">
      <c r="A203" s="5"/>
      <c r="B203" s="21">
        <v>43337</v>
      </c>
      <c r="C203" s="22">
        <v>25569.625</v>
      </c>
      <c r="D203" s="23" t="s">
        <v>716</v>
      </c>
      <c r="E203" s="24"/>
      <c r="F203" s="24"/>
      <c r="G203" s="25">
        <v>42</v>
      </c>
      <c r="H203" s="23"/>
      <c r="I203" s="23" t="s">
        <v>79</v>
      </c>
      <c r="J203" s="23" t="s">
        <v>27</v>
      </c>
      <c r="K203" s="23" t="s">
        <v>28</v>
      </c>
      <c r="L203" s="23" t="s">
        <v>30</v>
      </c>
      <c r="M203" s="23" t="s">
        <v>30</v>
      </c>
      <c r="N203" s="25"/>
      <c r="O203" s="24"/>
      <c r="P203" s="24" t="s">
        <v>499</v>
      </c>
      <c r="Q203" s="24" t="s">
        <v>88</v>
      </c>
      <c r="R203" s="24" t="s">
        <v>89</v>
      </c>
      <c r="S203" s="24" t="s">
        <v>717</v>
      </c>
      <c r="T203" s="23" t="s">
        <v>718</v>
      </c>
      <c r="U203" s="22">
        <v>25569.583333333299</v>
      </c>
      <c r="V203" s="22"/>
      <c r="W203" s="24"/>
      <c r="X203" s="26"/>
      <c r="Y203" s="27"/>
      <c r="Z203" s="27"/>
      <c r="AA203" s="19"/>
    </row>
    <row r="204" spans="1:28" s="1" customFormat="1" ht="72" hidden="1" x14ac:dyDescent="0.2">
      <c r="A204" s="5"/>
      <c r="B204" s="11">
        <v>43338</v>
      </c>
      <c r="C204" s="12">
        <v>25569.416666666701</v>
      </c>
      <c r="D204" s="13" t="s">
        <v>719</v>
      </c>
      <c r="E204" s="14"/>
      <c r="F204" s="14"/>
      <c r="G204" s="15">
        <v>42</v>
      </c>
      <c r="H204" s="13"/>
      <c r="I204" s="13" t="s">
        <v>205</v>
      </c>
      <c r="J204" s="13" t="s">
        <v>27</v>
      </c>
      <c r="K204" s="13" t="s">
        <v>28</v>
      </c>
      <c r="L204" s="13" t="s">
        <v>29</v>
      </c>
      <c r="M204" s="13" t="s">
        <v>30</v>
      </c>
      <c r="N204" s="15">
        <v>23</v>
      </c>
      <c r="O204" s="14" t="s">
        <v>31</v>
      </c>
      <c r="P204" s="14" t="s">
        <v>499</v>
      </c>
      <c r="Q204" s="14" t="s">
        <v>33</v>
      </c>
      <c r="R204" s="14" t="s">
        <v>377</v>
      </c>
      <c r="S204" s="14" t="s">
        <v>720</v>
      </c>
      <c r="T204" s="13" t="s">
        <v>721</v>
      </c>
      <c r="U204" s="12">
        <v>25569.270833333299</v>
      </c>
      <c r="V204" s="12">
        <v>25569</v>
      </c>
      <c r="W204" s="14"/>
      <c r="X204" s="17"/>
      <c r="Y204" s="18"/>
      <c r="Z204" s="18"/>
      <c r="AA204" s="19"/>
    </row>
    <row r="205" spans="1:28" s="1" customFormat="1" ht="72" hidden="1" x14ac:dyDescent="0.2">
      <c r="A205" s="5"/>
      <c r="B205" s="21">
        <v>43339</v>
      </c>
      <c r="C205" s="22">
        <v>25569.729166666701</v>
      </c>
      <c r="D205" s="23" t="s">
        <v>722</v>
      </c>
      <c r="E205" s="24"/>
      <c r="F205" s="24"/>
      <c r="G205" s="25">
        <v>19</v>
      </c>
      <c r="H205" s="23"/>
      <c r="I205" s="23" t="s">
        <v>723</v>
      </c>
      <c r="J205" s="23" t="s">
        <v>27</v>
      </c>
      <c r="K205" s="23" t="s">
        <v>121</v>
      </c>
      <c r="L205" s="23" t="s">
        <v>29</v>
      </c>
      <c r="M205" s="23" t="s">
        <v>30</v>
      </c>
      <c r="N205" s="25">
        <v>7</v>
      </c>
      <c r="O205" s="24" t="s">
        <v>215</v>
      </c>
      <c r="P205" s="24" t="s">
        <v>499</v>
      </c>
      <c r="Q205" s="24" t="s">
        <v>57</v>
      </c>
      <c r="R205" s="24" t="s">
        <v>335</v>
      </c>
      <c r="S205" s="24" t="s">
        <v>724</v>
      </c>
      <c r="T205" s="23" t="s">
        <v>725</v>
      </c>
      <c r="U205" s="22">
        <v>25569.329861111099</v>
      </c>
      <c r="V205" s="22"/>
      <c r="W205" s="24"/>
      <c r="X205" s="26"/>
      <c r="Y205" s="27" t="s">
        <v>37</v>
      </c>
      <c r="Z205" s="27"/>
      <c r="AA205" s="19"/>
    </row>
    <row r="206" spans="1:28" s="1" customFormat="1" ht="48" hidden="1" x14ac:dyDescent="0.2">
      <c r="A206" s="5"/>
      <c r="B206" s="11">
        <v>43340</v>
      </c>
      <c r="C206" s="12">
        <v>25569.899305555598</v>
      </c>
      <c r="D206" s="13" t="s">
        <v>726</v>
      </c>
      <c r="E206" s="14"/>
      <c r="F206" s="14"/>
      <c r="G206" s="15">
        <v>40</v>
      </c>
      <c r="H206" s="13"/>
      <c r="I206" s="13" t="s">
        <v>26</v>
      </c>
      <c r="J206" s="13" t="s">
        <v>27</v>
      </c>
      <c r="K206" s="13" t="s">
        <v>121</v>
      </c>
      <c r="L206" s="13" t="s">
        <v>30</v>
      </c>
      <c r="M206" s="13" t="s">
        <v>30</v>
      </c>
      <c r="N206" s="15"/>
      <c r="O206" s="14"/>
      <c r="P206" s="14" t="s">
        <v>482</v>
      </c>
      <c r="Q206" s="14"/>
      <c r="R206" s="14"/>
      <c r="S206" s="14" t="s">
        <v>442</v>
      </c>
      <c r="T206" s="13" t="s">
        <v>727</v>
      </c>
      <c r="U206" s="12">
        <v>25569.916666666701</v>
      </c>
      <c r="V206" s="12">
        <v>25569.261805555601</v>
      </c>
      <c r="W206" s="14"/>
      <c r="X206" s="17"/>
      <c r="Y206" s="18"/>
      <c r="Z206" s="18"/>
      <c r="AA206" s="19"/>
    </row>
    <row r="207" spans="1:28" s="1" customFormat="1" ht="60" hidden="1" x14ac:dyDescent="0.2">
      <c r="A207" s="5"/>
      <c r="B207" s="11">
        <v>43341</v>
      </c>
      <c r="C207" s="12">
        <v>25569.243055555598</v>
      </c>
      <c r="D207" s="13" t="s">
        <v>728</v>
      </c>
      <c r="E207" s="14"/>
      <c r="F207" s="14"/>
      <c r="G207" s="15">
        <v>57</v>
      </c>
      <c r="H207" s="13"/>
      <c r="I207" s="13" t="s">
        <v>93</v>
      </c>
      <c r="J207" s="13" t="s">
        <v>27</v>
      </c>
      <c r="K207" s="13" t="s">
        <v>121</v>
      </c>
      <c r="L207" s="13" t="s">
        <v>29</v>
      </c>
      <c r="M207" s="13" t="s">
        <v>30</v>
      </c>
      <c r="N207" s="15">
        <v>19</v>
      </c>
      <c r="O207" s="14" t="s">
        <v>50</v>
      </c>
      <c r="P207" s="14" t="s">
        <v>458</v>
      </c>
      <c r="Q207" s="14" t="s">
        <v>196</v>
      </c>
      <c r="R207" s="14" t="s">
        <v>385</v>
      </c>
      <c r="S207" s="14" t="s">
        <v>729</v>
      </c>
      <c r="T207" s="13" t="s">
        <v>730</v>
      </c>
      <c r="U207" s="12">
        <v>25569.25</v>
      </c>
      <c r="V207" s="12"/>
      <c r="W207" s="14"/>
      <c r="X207" s="17"/>
      <c r="Y207" s="18" t="s">
        <v>37</v>
      </c>
      <c r="Z207" s="18"/>
      <c r="AA207" s="19"/>
    </row>
    <row r="208" spans="1:28" s="1" customFormat="1" ht="48" hidden="1" x14ac:dyDescent="0.2">
      <c r="A208" s="5"/>
      <c r="B208" s="21">
        <v>43341</v>
      </c>
      <c r="C208" s="22">
        <v>25569.4375</v>
      </c>
      <c r="D208" s="23" t="s">
        <v>731</v>
      </c>
      <c r="E208" s="24"/>
      <c r="F208" s="24"/>
      <c r="G208" s="25">
        <v>49</v>
      </c>
      <c r="H208" s="23"/>
      <c r="I208" s="23" t="s">
        <v>26</v>
      </c>
      <c r="J208" s="23" t="s">
        <v>27</v>
      </c>
      <c r="K208" s="23" t="s">
        <v>28</v>
      </c>
      <c r="L208" s="23" t="s">
        <v>30</v>
      </c>
      <c r="M208" s="23" t="s">
        <v>30</v>
      </c>
      <c r="N208" s="25"/>
      <c r="O208" s="24" t="s">
        <v>31</v>
      </c>
      <c r="P208" s="24" t="s">
        <v>394</v>
      </c>
      <c r="Q208" s="24" t="s">
        <v>75</v>
      </c>
      <c r="R208" s="24" t="s">
        <v>76</v>
      </c>
      <c r="S208" s="24" t="s">
        <v>732</v>
      </c>
      <c r="T208" s="23" t="s">
        <v>733</v>
      </c>
      <c r="U208" s="22">
        <v>25569.25</v>
      </c>
      <c r="V208" s="22"/>
      <c r="W208" s="24"/>
      <c r="X208" s="26"/>
      <c r="Y208" s="27"/>
      <c r="Z208" s="27"/>
      <c r="AA208" s="19"/>
    </row>
    <row r="209" spans="1:27" s="1" customFormat="1" ht="24" hidden="1" x14ac:dyDescent="0.2">
      <c r="A209" s="5"/>
      <c r="B209" s="11">
        <v>43341</v>
      </c>
      <c r="C209" s="12">
        <v>25569.541666666701</v>
      </c>
      <c r="D209" s="13" t="s">
        <v>734</v>
      </c>
      <c r="E209" s="14"/>
      <c r="F209" s="14"/>
      <c r="G209" s="15">
        <v>57</v>
      </c>
      <c r="H209" s="13"/>
      <c r="I209" s="13" t="s">
        <v>120</v>
      </c>
      <c r="J209" s="13" t="s">
        <v>27</v>
      </c>
      <c r="K209" s="13" t="s">
        <v>121</v>
      </c>
      <c r="L209" s="13" t="s">
        <v>29</v>
      </c>
      <c r="M209" s="13" t="s">
        <v>30</v>
      </c>
      <c r="N209" s="15">
        <v>19</v>
      </c>
      <c r="O209" s="14"/>
      <c r="P209" s="14" t="s">
        <v>32</v>
      </c>
      <c r="Q209" s="14" t="s">
        <v>43</v>
      </c>
      <c r="R209" s="14" t="s">
        <v>64</v>
      </c>
      <c r="S209" s="14" t="s">
        <v>735</v>
      </c>
      <c r="T209" s="13" t="s">
        <v>736</v>
      </c>
      <c r="U209" s="12">
        <v>25569.572916666701</v>
      </c>
      <c r="V209" s="12">
        <v>25569</v>
      </c>
      <c r="W209" s="14"/>
      <c r="X209" s="17"/>
      <c r="Y209" s="18" t="s">
        <v>37</v>
      </c>
      <c r="Z209" s="18"/>
      <c r="AA209" s="19"/>
    </row>
    <row r="210" spans="1:27" s="1" customFormat="1" ht="60" hidden="1" x14ac:dyDescent="0.2">
      <c r="A210" s="5"/>
      <c r="B210" s="21">
        <v>43341</v>
      </c>
      <c r="C210" s="22">
        <v>25569.59375</v>
      </c>
      <c r="D210" s="23" t="s">
        <v>737</v>
      </c>
      <c r="E210" s="24"/>
      <c r="F210" s="24"/>
      <c r="G210" s="25">
        <v>37</v>
      </c>
      <c r="H210" s="23"/>
      <c r="I210" s="23" t="s">
        <v>544</v>
      </c>
      <c r="J210" s="23" t="s">
        <v>27</v>
      </c>
      <c r="K210" s="23" t="s">
        <v>28</v>
      </c>
      <c r="L210" s="23" t="s">
        <v>30</v>
      </c>
      <c r="M210" s="23" t="s">
        <v>30</v>
      </c>
      <c r="N210" s="25"/>
      <c r="O210" s="24" t="s">
        <v>31</v>
      </c>
      <c r="P210" s="24" t="s">
        <v>458</v>
      </c>
      <c r="Q210" s="24" t="s">
        <v>43</v>
      </c>
      <c r="R210" s="24" t="s">
        <v>153</v>
      </c>
      <c r="S210" s="24" t="s">
        <v>738</v>
      </c>
      <c r="T210" s="23" t="s">
        <v>739</v>
      </c>
      <c r="U210" s="22">
        <v>25569.416666666701</v>
      </c>
      <c r="V210" s="22">
        <v>25569.510416666701</v>
      </c>
      <c r="W210" s="24"/>
      <c r="X210" s="26"/>
      <c r="Y210" s="27"/>
      <c r="Z210" s="27" t="s">
        <v>82</v>
      </c>
      <c r="AA210" s="19"/>
    </row>
    <row r="211" spans="1:27" s="1" customFormat="1" ht="60" hidden="1" x14ac:dyDescent="0.2">
      <c r="A211" s="5"/>
      <c r="B211" s="11">
        <v>43341</v>
      </c>
      <c r="C211" s="12">
        <v>25569.875</v>
      </c>
      <c r="D211" s="13" t="s">
        <v>740</v>
      </c>
      <c r="E211" s="14"/>
      <c r="F211" s="14"/>
      <c r="G211" s="15">
        <v>46</v>
      </c>
      <c r="H211" s="13"/>
      <c r="I211" s="13" t="s">
        <v>55</v>
      </c>
      <c r="J211" s="13" t="s">
        <v>27</v>
      </c>
      <c r="K211" s="13" t="s">
        <v>28</v>
      </c>
      <c r="L211" s="13" t="s">
        <v>30</v>
      </c>
      <c r="M211" s="13" t="s">
        <v>30</v>
      </c>
      <c r="N211" s="15"/>
      <c r="O211" s="14" t="s">
        <v>98</v>
      </c>
      <c r="P211" s="14" t="s">
        <v>458</v>
      </c>
      <c r="Q211" s="14" t="s">
        <v>149</v>
      </c>
      <c r="R211" s="14" t="s">
        <v>150</v>
      </c>
      <c r="S211" s="14" t="s">
        <v>741</v>
      </c>
      <c r="T211" s="13" t="s">
        <v>742</v>
      </c>
      <c r="U211" s="12">
        <v>25569.631944444402</v>
      </c>
      <c r="V211" s="12"/>
      <c r="W211" s="14"/>
      <c r="X211" s="17"/>
      <c r="Y211" s="18"/>
      <c r="Z211" s="18"/>
      <c r="AA211" s="19"/>
    </row>
    <row r="212" spans="1:27" s="1" customFormat="1" ht="72" hidden="1" x14ac:dyDescent="0.2">
      <c r="A212" s="5"/>
      <c r="B212" s="21">
        <v>43342</v>
      </c>
      <c r="C212" s="22">
        <v>25569.645833333299</v>
      </c>
      <c r="D212" s="23" t="s">
        <v>743</v>
      </c>
      <c r="E212" s="24"/>
      <c r="F212" s="24"/>
      <c r="G212" s="25">
        <v>44</v>
      </c>
      <c r="H212" s="23"/>
      <c r="I212" s="23" t="s">
        <v>93</v>
      </c>
      <c r="J212" s="23" t="s">
        <v>27</v>
      </c>
      <c r="K212" s="23" t="s">
        <v>28</v>
      </c>
      <c r="L212" s="23" t="s">
        <v>30</v>
      </c>
      <c r="M212" s="23" t="s">
        <v>30</v>
      </c>
      <c r="N212" s="25"/>
      <c r="O212" s="24"/>
      <c r="P212" s="24" t="s">
        <v>499</v>
      </c>
      <c r="Q212" s="24" t="s">
        <v>43</v>
      </c>
      <c r="R212" s="24"/>
      <c r="S212" s="24" t="s">
        <v>744</v>
      </c>
      <c r="T212" s="23" t="s">
        <v>745</v>
      </c>
      <c r="U212" s="22">
        <v>25569.583333333299</v>
      </c>
      <c r="V212" s="22">
        <v>25569.940277777801</v>
      </c>
      <c r="W212" s="24"/>
      <c r="X212" s="26"/>
      <c r="Y212" s="27"/>
      <c r="Z212" s="27"/>
      <c r="AA212" s="19"/>
    </row>
    <row r="213" spans="1:27" s="1" customFormat="1" ht="72" hidden="1" x14ac:dyDescent="0.2">
      <c r="A213" s="5"/>
      <c r="B213" s="11">
        <v>43345</v>
      </c>
      <c r="C213" s="12">
        <v>25569.8881944444</v>
      </c>
      <c r="D213" s="13" t="s">
        <v>746</v>
      </c>
      <c r="E213" s="14"/>
      <c r="F213" s="14"/>
      <c r="G213" s="15">
        <v>57</v>
      </c>
      <c r="H213" s="13"/>
      <c r="I213" s="13" t="s">
        <v>354</v>
      </c>
      <c r="J213" s="13" t="s">
        <v>27</v>
      </c>
      <c r="K213" s="13" t="s">
        <v>28</v>
      </c>
      <c r="L213" s="13" t="s">
        <v>29</v>
      </c>
      <c r="M213" s="13" t="s">
        <v>30</v>
      </c>
      <c r="N213" s="15">
        <v>28</v>
      </c>
      <c r="O213" s="14" t="s">
        <v>215</v>
      </c>
      <c r="P213" s="14" t="s">
        <v>394</v>
      </c>
      <c r="Q213" s="14" t="s">
        <v>88</v>
      </c>
      <c r="R213" s="14" t="s">
        <v>134</v>
      </c>
      <c r="S213" s="14" t="s">
        <v>747</v>
      </c>
      <c r="T213" s="13" t="s">
        <v>748</v>
      </c>
      <c r="U213" s="12">
        <v>25569.739583333299</v>
      </c>
      <c r="V213" s="12">
        <v>25569.104166666701</v>
      </c>
      <c r="W213" s="14"/>
      <c r="X213" s="17"/>
      <c r="Y213" s="18"/>
      <c r="Z213" s="18" t="s">
        <v>599</v>
      </c>
      <c r="AA213" s="19"/>
    </row>
    <row r="214" spans="1:27" s="1" customFormat="1" ht="24" hidden="1" x14ac:dyDescent="0.2">
      <c r="A214" s="5"/>
      <c r="B214" s="11">
        <v>43346</v>
      </c>
      <c r="C214" s="12">
        <v>25569.604166666701</v>
      </c>
      <c r="D214" s="13" t="s">
        <v>749</v>
      </c>
      <c r="E214" s="14"/>
      <c r="F214" s="14"/>
      <c r="G214" s="15">
        <v>20</v>
      </c>
      <c r="H214" s="13"/>
      <c r="I214" s="13" t="s">
        <v>316</v>
      </c>
      <c r="J214" s="13" t="s">
        <v>27</v>
      </c>
      <c r="K214" s="13" t="s">
        <v>28</v>
      </c>
      <c r="L214" s="13" t="s">
        <v>30</v>
      </c>
      <c r="M214" s="13" t="s">
        <v>30</v>
      </c>
      <c r="N214" s="15"/>
      <c r="O214" s="14"/>
      <c r="P214" s="14" t="s">
        <v>235</v>
      </c>
      <c r="Q214" s="14" t="s">
        <v>57</v>
      </c>
      <c r="R214" s="14"/>
      <c r="S214" s="14" t="s">
        <v>750</v>
      </c>
      <c r="T214" s="13" t="s">
        <v>751</v>
      </c>
      <c r="U214" s="12">
        <v>25569.333333333299</v>
      </c>
      <c r="V214" s="12"/>
      <c r="W214" s="14"/>
      <c r="X214" s="17"/>
      <c r="Y214" s="18"/>
      <c r="Z214" s="18"/>
      <c r="AA214" s="19"/>
    </row>
    <row r="215" spans="1:27" s="1" customFormat="1" ht="60" hidden="1" x14ac:dyDescent="0.2">
      <c r="A215" s="5"/>
      <c r="B215" s="21">
        <v>43347</v>
      </c>
      <c r="C215" s="22">
        <v>25569.3125</v>
      </c>
      <c r="D215" s="23" t="s">
        <v>752</v>
      </c>
      <c r="E215" s="24"/>
      <c r="F215" s="24"/>
      <c r="G215" s="25">
        <v>56</v>
      </c>
      <c r="H215" s="23"/>
      <c r="I215" s="23" t="s">
        <v>55</v>
      </c>
      <c r="J215" s="23" t="s">
        <v>27</v>
      </c>
      <c r="K215" s="23" t="s">
        <v>28</v>
      </c>
      <c r="L215" s="23" t="s">
        <v>30</v>
      </c>
      <c r="M215" s="23" t="s">
        <v>30</v>
      </c>
      <c r="N215" s="25"/>
      <c r="O215" s="24" t="s">
        <v>31</v>
      </c>
      <c r="P215" s="24" t="s">
        <v>458</v>
      </c>
      <c r="Q215" s="24" t="s">
        <v>43</v>
      </c>
      <c r="R215" s="24" t="s">
        <v>44</v>
      </c>
      <c r="S215" s="24" t="s">
        <v>753</v>
      </c>
      <c r="T215" s="23" t="s">
        <v>754</v>
      </c>
      <c r="U215" s="22">
        <v>25569.253472222201</v>
      </c>
      <c r="V215" s="22"/>
      <c r="W215" s="24"/>
      <c r="X215" s="26"/>
      <c r="Y215" s="27" t="s">
        <v>37</v>
      </c>
      <c r="Z215" s="27"/>
      <c r="AA215" s="19"/>
    </row>
    <row r="216" spans="1:27" s="1" customFormat="1" ht="48" hidden="1" x14ac:dyDescent="0.2">
      <c r="A216" s="5"/>
      <c r="B216" s="11">
        <v>43348</v>
      </c>
      <c r="C216" s="12">
        <v>25569.458333333299</v>
      </c>
      <c r="D216" s="13" t="s">
        <v>755</v>
      </c>
      <c r="E216" s="14"/>
      <c r="F216" s="14"/>
      <c r="G216" s="15">
        <v>21</v>
      </c>
      <c r="H216" s="13"/>
      <c r="I216" s="13" t="s">
        <v>316</v>
      </c>
      <c r="J216" s="13" t="s">
        <v>27</v>
      </c>
      <c r="K216" s="13" t="s">
        <v>28</v>
      </c>
      <c r="L216" s="13" t="s">
        <v>30</v>
      </c>
      <c r="M216" s="13" t="s">
        <v>30</v>
      </c>
      <c r="N216" s="15"/>
      <c r="O216" s="14"/>
      <c r="P216" s="14" t="s">
        <v>394</v>
      </c>
      <c r="Q216" s="14" t="s">
        <v>196</v>
      </c>
      <c r="R216" s="14" t="s">
        <v>197</v>
      </c>
      <c r="S216" s="14" t="s">
        <v>756</v>
      </c>
      <c r="T216" s="13" t="s">
        <v>757</v>
      </c>
      <c r="U216" s="12">
        <v>25569.333333333299</v>
      </c>
      <c r="V216" s="12">
        <v>25569</v>
      </c>
      <c r="W216" s="14"/>
      <c r="X216" s="17"/>
      <c r="Y216" s="18"/>
      <c r="Z216" s="18"/>
      <c r="AA216" s="19"/>
    </row>
    <row r="217" spans="1:27" s="1" customFormat="1" ht="36" hidden="1" x14ac:dyDescent="0.2">
      <c r="A217" s="5"/>
      <c r="B217" s="21">
        <v>43349</v>
      </c>
      <c r="C217" s="22">
        <v>25569.4375</v>
      </c>
      <c r="D217" s="23" t="s">
        <v>758</v>
      </c>
      <c r="E217" s="24"/>
      <c r="F217" s="24"/>
      <c r="G217" s="25">
        <v>54</v>
      </c>
      <c r="H217" s="23"/>
      <c r="I217" s="23" t="s">
        <v>55</v>
      </c>
      <c r="J217" s="23" t="s">
        <v>27</v>
      </c>
      <c r="K217" s="23" t="s">
        <v>28</v>
      </c>
      <c r="L217" s="23" t="s">
        <v>30</v>
      </c>
      <c r="M217" s="23" t="s">
        <v>30</v>
      </c>
      <c r="N217" s="25"/>
      <c r="O217" s="24" t="s">
        <v>50</v>
      </c>
      <c r="P217" s="24" t="s">
        <v>235</v>
      </c>
      <c r="Q217" s="24" t="s">
        <v>57</v>
      </c>
      <c r="R217" s="24" t="s">
        <v>58</v>
      </c>
      <c r="S217" s="24" t="s">
        <v>759</v>
      </c>
      <c r="T217" s="23" t="s">
        <v>760</v>
      </c>
      <c r="U217" s="22">
        <v>25569.253472222201</v>
      </c>
      <c r="V217" s="22">
        <v>25569.5</v>
      </c>
      <c r="W217" s="24"/>
      <c r="X217" s="26"/>
      <c r="Y217" s="27" t="s">
        <v>37</v>
      </c>
      <c r="Z217" s="27"/>
      <c r="AA217" s="19"/>
    </row>
    <row r="218" spans="1:27" s="1" customFormat="1" ht="60" hidden="1" x14ac:dyDescent="0.2">
      <c r="A218" s="5"/>
      <c r="B218" s="11">
        <v>43350</v>
      </c>
      <c r="C218" s="12">
        <v>25569.666666666701</v>
      </c>
      <c r="D218" s="13" t="s">
        <v>761</v>
      </c>
      <c r="E218" s="14"/>
      <c r="F218" s="14"/>
      <c r="G218" s="15">
        <v>44</v>
      </c>
      <c r="H218" s="13"/>
      <c r="I218" s="13" t="s">
        <v>55</v>
      </c>
      <c r="J218" s="13" t="s">
        <v>27</v>
      </c>
      <c r="K218" s="13" t="s">
        <v>28</v>
      </c>
      <c r="L218" s="13" t="s">
        <v>30</v>
      </c>
      <c r="M218" s="13" t="s">
        <v>30</v>
      </c>
      <c r="N218" s="15"/>
      <c r="O218" s="14" t="s">
        <v>31</v>
      </c>
      <c r="P218" s="14" t="s">
        <v>458</v>
      </c>
      <c r="Q218" s="14" t="s">
        <v>57</v>
      </c>
      <c r="R218" s="14"/>
      <c r="S218" s="14" t="s">
        <v>762</v>
      </c>
      <c r="T218" s="13" t="s">
        <v>763</v>
      </c>
      <c r="U218" s="12">
        <v>25569.590277777799</v>
      </c>
      <c r="V218" s="12">
        <v>25569</v>
      </c>
      <c r="W218" s="14"/>
      <c r="X218" s="17"/>
      <c r="Y218" s="18"/>
      <c r="Z218" s="18"/>
      <c r="AA218" s="19"/>
    </row>
    <row r="219" spans="1:27" s="1" customFormat="1" ht="60" x14ac:dyDescent="0.2">
      <c r="A219" s="5"/>
      <c r="B219" s="21">
        <v>43350</v>
      </c>
      <c r="C219" s="22">
        <v>25569.802083333299</v>
      </c>
      <c r="D219" s="23" t="s">
        <v>764</v>
      </c>
      <c r="E219" s="24"/>
      <c r="F219" s="24"/>
      <c r="G219" s="25">
        <v>43</v>
      </c>
      <c r="H219" s="23"/>
      <c r="I219" s="23" t="s">
        <v>49</v>
      </c>
      <c r="J219" s="23" t="s">
        <v>27</v>
      </c>
      <c r="K219" s="23" t="s">
        <v>28</v>
      </c>
      <c r="L219" s="23" t="s">
        <v>29</v>
      </c>
      <c r="M219" s="23" t="s">
        <v>30</v>
      </c>
      <c r="N219" s="25">
        <v>9</v>
      </c>
      <c r="O219" s="24" t="s">
        <v>31</v>
      </c>
      <c r="P219" s="24" t="s">
        <v>394</v>
      </c>
      <c r="Q219" s="24" t="s">
        <v>75</v>
      </c>
      <c r="R219" s="24" t="s">
        <v>76</v>
      </c>
      <c r="S219" s="24" t="s">
        <v>765</v>
      </c>
      <c r="T219" s="23" t="s">
        <v>766</v>
      </c>
      <c r="U219" s="22">
        <v>25569.570138888899</v>
      </c>
      <c r="V219" s="22"/>
      <c r="W219" s="24" t="s">
        <v>629</v>
      </c>
      <c r="X219" s="26"/>
      <c r="Y219" s="27"/>
      <c r="Z219" s="27" t="s">
        <v>288</v>
      </c>
      <c r="AA219" s="19"/>
    </row>
    <row r="220" spans="1:27" s="1" customFormat="1" ht="48" hidden="1" x14ac:dyDescent="0.2">
      <c r="A220" s="5"/>
      <c r="B220" s="11">
        <v>43353</v>
      </c>
      <c r="C220" s="12">
        <v>25569.604166666701</v>
      </c>
      <c r="D220" s="13" t="s">
        <v>767</v>
      </c>
      <c r="E220" s="14"/>
      <c r="F220" s="14"/>
      <c r="G220" s="15">
        <v>50</v>
      </c>
      <c r="H220" s="13"/>
      <c r="I220" s="13" t="s">
        <v>205</v>
      </c>
      <c r="J220" s="13" t="s">
        <v>27</v>
      </c>
      <c r="K220" s="13" t="s">
        <v>28</v>
      </c>
      <c r="L220" s="13" t="s">
        <v>29</v>
      </c>
      <c r="M220" s="13" t="s">
        <v>30</v>
      </c>
      <c r="N220" s="15">
        <v>9</v>
      </c>
      <c r="O220" s="14" t="s">
        <v>68</v>
      </c>
      <c r="P220" s="14" t="s">
        <v>32</v>
      </c>
      <c r="Q220" s="14" t="s">
        <v>88</v>
      </c>
      <c r="R220" s="14" t="s">
        <v>134</v>
      </c>
      <c r="S220" s="14" t="s">
        <v>768</v>
      </c>
      <c r="T220" s="13" t="s">
        <v>769</v>
      </c>
      <c r="U220" s="12">
        <v>25569.583333333299</v>
      </c>
      <c r="V220" s="12"/>
      <c r="W220" s="14"/>
      <c r="X220" s="17"/>
      <c r="Y220" s="18"/>
      <c r="Z220" s="18" t="s">
        <v>511</v>
      </c>
      <c r="AA220" s="19"/>
    </row>
    <row r="221" spans="1:27" s="1" customFormat="1" ht="60" hidden="1" x14ac:dyDescent="0.2">
      <c r="A221" s="5"/>
      <c r="B221" s="21">
        <v>43353</v>
      </c>
      <c r="C221" s="22">
        <v>25569.652777777799</v>
      </c>
      <c r="D221" s="23" t="s">
        <v>770</v>
      </c>
      <c r="E221" s="24"/>
      <c r="F221" s="24"/>
      <c r="G221" s="25">
        <v>29</v>
      </c>
      <c r="H221" s="23"/>
      <c r="I221" s="23" t="s">
        <v>26</v>
      </c>
      <c r="J221" s="23" t="s">
        <v>27</v>
      </c>
      <c r="K221" s="23" t="s">
        <v>28</v>
      </c>
      <c r="L221" s="23" t="s">
        <v>30</v>
      </c>
      <c r="M221" s="23" t="s">
        <v>30</v>
      </c>
      <c r="N221" s="25"/>
      <c r="O221" s="24" t="s">
        <v>31</v>
      </c>
      <c r="P221" s="24" t="s">
        <v>458</v>
      </c>
      <c r="Q221" s="24" t="s">
        <v>57</v>
      </c>
      <c r="R221" s="24"/>
      <c r="S221" s="24" t="s">
        <v>771</v>
      </c>
      <c r="T221" s="23" t="s">
        <v>772</v>
      </c>
      <c r="U221" s="22">
        <v>25569.604166666701</v>
      </c>
      <c r="V221" s="22">
        <v>25569</v>
      </c>
      <c r="W221" s="24"/>
      <c r="X221" s="26"/>
      <c r="Y221" s="27"/>
      <c r="Z221" s="27" t="s">
        <v>450</v>
      </c>
      <c r="AA221" s="19"/>
    </row>
    <row r="222" spans="1:27" s="1" customFormat="1" ht="48" hidden="1" x14ac:dyDescent="0.2">
      <c r="A222" s="5"/>
      <c r="B222" s="11">
        <v>43354</v>
      </c>
      <c r="C222" s="12">
        <v>25569.590277777799</v>
      </c>
      <c r="D222" s="13" t="s">
        <v>773</v>
      </c>
      <c r="E222" s="14"/>
      <c r="F222" s="14"/>
      <c r="G222" s="15">
        <v>20</v>
      </c>
      <c r="H222" s="13"/>
      <c r="I222" s="13" t="s">
        <v>316</v>
      </c>
      <c r="J222" s="13" t="s">
        <v>27</v>
      </c>
      <c r="K222" s="13" t="s">
        <v>28</v>
      </c>
      <c r="L222" s="13" t="s">
        <v>30</v>
      </c>
      <c r="M222" s="13" t="s">
        <v>30</v>
      </c>
      <c r="N222" s="15"/>
      <c r="O222" s="14"/>
      <c r="P222" s="14" t="s">
        <v>482</v>
      </c>
      <c r="Q222" s="14" t="s">
        <v>57</v>
      </c>
      <c r="R222" s="14"/>
      <c r="S222" s="14" t="s">
        <v>774</v>
      </c>
      <c r="T222" s="13" t="s">
        <v>775</v>
      </c>
      <c r="U222" s="12">
        <v>25569.333333333299</v>
      </c>
      <c r="V222" s="12"/>
      <c r="W222" s="14"/>
      <c r="X222" s="17"/>
      <c r="Y222" s="18"/>
      <c r="Z222" s="18"/>
      <c r="AA222" s="19"/>
    </row>
    <row r="223" spans="1:27" s="1" customFormat="1" ht="48" hidden="1" x14ac:dyDescent="0.2">
      <c r="A223" s="5"/>
      <c r="B223" s="21">
        <v>43355</v>
      </c>
      <c r="C223" s="22">
        <v>25569.3125</v>
      </c>
      <c r="D223" s="23" t="s">
        <v>776</v>
      </c>
      <c r="E223" s="24"/>
      <c r="F223" s="24"/>
      <c r="G223" s="25">
        <v>53</v>
      </c>
      <c r="H223" s="23"/>
      <c r="I223" s="23" t="s">
        <v>777</v>
      </c>
      <c r="J223" s="23" t="s">
        <v>27</v>
      </c>
      <c r="K223" s="23" t="s">
        <v>28</v>
      </c>
      <c r="L223" s="23" t="s">
        <v>30</v>
      </c>
      <c r="M223" s="23" t="s">
        <v>30</v>
      </c>
      <c r="N223" s="25"/>
      <c r="O223" s="24" t="s">
        <v>31</v>
      </c>
      <c r="P223" s="24" t="s">
        <v>235</v>
      </c>
      <c r="Q223" s="24" t="s">
        <v>196</v>
      </c>
      <c r="R223" s="24" t="s">
        <v>551</v>
      </c>
      <c r="S223" s="24" t="s">
        <v>778</v>
      </c>
      <c r="T223" s="23" t="s">
        <v>779</v>
      </c>
      <c r="U223" s="22">
        <v>25569.333333333299</v>
      </c>
      <c r="V223" s="22"/>
      <c r="W223" s="24"/>
      <c r="X223" s="26"/>
      <c r="Y223" s="27"/>
      <c r="Z223" s="27" t="s">
        <v>780</v>
      </c>
      <c r="AA223" s="19"/>
    </row>
    <row r="224" spans="1:27" s="1" customFormat="1" ht="60" hidden="1" x14ac:dyDescent="0.2">
      <c r="A224" s="5"/>
      <c r="B224" s="21">
        <v>43355</v>
      </c>
      <c r="C224" s="22">
        <v>25569.625</v>
      </c>
      <c r="D224" s="23" t="s">
        <v>781</v>
      </c>
      <c r="E224" s="24"/>
      <c r="F224" s="24"/>
      <c r="G224" s="25">
        <v>21</v>
      </c>
      <c r="H224" s="23"/>
      <c r="I224" s="23" t="s">
        <v>55</v>
      </c>
      <c r="J224" s="23" t="s">
        <v>27</v>
      </c>
      <c r="K224" s="23" t="s">
        <v>28</v>
      </c>
      <c r="L224" s="23" t="s">
        <v>29</v>
      </c>
      <c r="M224" s="23" t="s">
        <v>30</v>
      </c>
      <c r="N224" s="25">
        <v>9</v>
      </c>
      <c r="O224" s="24" t="s">
        <v>31</v>
      </c>
      <c r="P224" s="24" t="s">
        <v>235</v>
      </c>
      <c r="Q224" s="24" t="s">
        <v>43</v>
      </c>
      <c r="R224" s="24" t="s">
        <v>44</v>
      </c>
      <c r="S224" s="24" t="s">
        <v>782</v>
      </c>
      <c r="T224" s="23" t="s">
        <v>783</v>
      </c>
      <c r="U224" s="22">
        <v>25569.583333333299</v>
      </c>
      <c r="V224" s="22"/>
      <c r="W224" s="24"/>
      <c r="X224" s="26"/>
      <c r="Y224" s="27"/>
      <c r="Z224" s="27" t="s">
        <v>784</v>
      </c>
      <c r="AA224" s="19"/>
    </row>
    <row r="225" spans="1:27" s="1" customFormat="1" ht="48" hidden="1" x14ac:dyDescent="0.2">
      <c r="A225" s="5"/>
      <c r="B225" s="11">
        <v>43355</v>
      </c>
      <c r="C225" s="12">
        <v>25569.729166666701</v>
      </c>
      <c r="D225" s="13" t="s">
        <v>785</v>
      </c>
      <c r="E225" s="14"/>
      <c r="F225" s="14"/>
      <c r="G225" s="15">
        <v>32</v>
      </c>
      <c r="H225" s="13"/>
      <c r="I225" s="13" t="s">
        <v>93</v>
      </c>
      <c r="J225" s="13" t="s">
        <v>27</v>
      </c>
      <c r="K225" s="13" t="s">
        <v>28</v>
      </c>
      <c r="L225" s="13" t="s">
        <v>30</v>
      </c>
      <c r="M225" s="13" t="s">
        <v>30</v>
      </c>
      <c r="N225" s="15"/>
      <c r="O225" s="14"/>
      <c r="P225" s="14" t="s">
        <v>235</v>
      </c>
      <c r="Q225" s="14" t="s">
        <v>57</v>
      </c>
      <c r="R225" s="14"/>
      <c r="S225" s="14" t="s">
        <v>786</v>
      </c>
      <c r="T225" s="13" t="s">
        <v>787</v>
      </c>
      <c r="U225" s="12">
        <v>25569.583333333299</v>
      </c>
      <c r="V225" s="12">
        <v>25569.9375</v>
      </c>
      <c r="W225" s="14"/>
      <c r="X225" s="17"/>
      <c r="Y225" s="18"/>
      <c r="Z225" s="18"/>
      <c r="AA225" s="19"/>
    </row>
    <row r="226" spans="1:27" s="1" customFormat="1" ht="48" hidden="1" x14ac:dyDescent="0.2">
      <c r="A226" s="5"/>
      <c r="B226" s="21">
        <v>43356</v>
      </c>
      <c r="C226" s="22">
        <v>25569.458333333299</v>
      </c>
      <c r="D226" s="23" t="s">
        <v>788</v>
      </c>
      <c r="E226" s="24"/>
      <c r="F226" s="24"/>
      <c r="G226" s="25">
        <v>44</v>
      </c>
      <c r="H226" s="23"/>
      <c r="I226" s="23" t="s">
        <v>789</v>
      </c>
      <c r="J226" s="23" t="s">
        <v>27</v>
      </c>
      <c r="K226" s="23" t="s">
        <v>28</v>
      </c>
      <c r="L226" s="23" t="s">
        <v>30</v>
      </c>
      <c r="M226" s="23" t="s">
        <v>30</v>
      </c>
      <c r="N226" s="25"/>
      <c r="O226" s="24" t="s">
        <v>50</v>
      </c>
      <c r="P226" s="24" t="s">
        <v>482</v>
      </c>
      <c r="Q226" s="24" t="s">
        <v>57</v>
      </c>
      <c r="R226" s="24"/>
      <c r="S226" s="24" t="s">
        <v>790</v>
      </c>
      <c r="T226" s="23" t="s">
        <v>791</v>
      </c>
      <c r="U226" s="22">
        <v>25569.333333333299</v>
      </c>
      <c r="V226" s="22"/>
      <c r="W226" s="24"/>
      <c r="X226" s="26"/>
      <c r="Y226" s="27"/>
      <c r="Z226" s="27"/>
      <c r="AA226" s="19"/>
    </row>
    <row r="227" spans="1:27" s="1" customFormat="1" ht="48" hidden="1" x14ac:dyDescent="0.2">
      <c r="A227" s="5"/>
      <c r="B227" s="21">
        <v>43356</v>
      </c>
      <c r="C227" s="22">
        <v>25569.609722222202</v>
      </c>
      <c r="D227" s="23" t="s">
        <v>792</v>
      </c>
      <c r="E227" s="24"/>
      <c r="F227" s="24"/>
      <c r="G227" s="25">
        <v>33</v>
      </c>
      <c r="H227" s="23"/>
      <c r="I227" s="23" t="s">
        <v>93</v>
      </c>
      <c r="J227" s="23" t="s">
        <v>27</v>
      </c>
      <c r="K227" s="23" t="s">
        <v>121</v>
      </c>
      <c r="L227" s="23" t="s">
        <v>29</v>
      </c>
      <c r="M227" s="23" t="s">
        <v>30</v>
      </c>
      <c r="N227" s="25">
        <v>14</v>
      </c>
      <c r="O227" s="24"/>
      <c r="P227" s="24" t="s">
        <v>32</v>
      </c>
      <c r="Q227" s="24" t="s">
        <v>196</v>
      </c>
      <c r="R227" s="24"/>
      <c r="S227" s="24" t="s">
        <v>793</v>
      </c>
      <c r="T227" s="23" t="s">
        <v>794</v>
      </c>
      <c r="U227" s="22">
        <v>25569.270833333299</v>
      </c>
      <c r="V227" s="22"/>
      <c r="W227" s="24"/>
      <c r="X227" s="26"/>
      <c r="Y227" s="27"/>
      <c r="Z227" s="27"/>
      <c r="AA227" s="19"/>
    </row>
    <row r="228" spans="1:27" s="1" customFormat="1" ht="48" hidden="1" x14ac:dyDescent="0.2">
      <c r="A228" s="5"/>
      <c r="B228" s="11">
        <v>43358</v>
      </c>
      <c r="C228" s="12">
        <v>25569.34375</v>
      </c>
      <c r="D228" s="13" t="s">
        <v>795</v>
      </c>
      <c r="E228" s="14"/>
      <c r="F228" s="14"/>
      <c r="G228" s="15">
        <v>47</v>
      </c>
      <c r="H228" s="13"/>
      <c r="I228" s="13" t="s">
        <v>49</v>
      </c>
      <c r="J228" s="13" t="s">
        <v>27</v>
      </c>
      <c r="K228" s="13" t="s">
        <v>28</v>
      </c>
      <c r="L228" s="13" t="s">
        <v>30</v>
      </c>
      <c r="M228" s="13" t="s">
        <v>30</v>
      </c>
      <c r="N228" s="15"/>
      <c r="O228" s="14" t="s">
        <v>31</v>
      </c>
      <c r="P228" s="14" t="s">
        <v>235</v>
      </c>
      <c r="Q228" s="14" t="s">
        <v>43</v>
      </c>
      <c r="R228" s="14" t="s">
        <v>44</v>
      </c>
      <c r="S228" s="14" t="s">
        <v>796</v>
      </c>
      <c r="T228" s="13" t="s">
        <v>797</v>
      </c>
      <c r="U228" s="12">
        <v>25569.263888888901</v>
      </c>
      <c r="V228" s="12"/>
      <c r="W228" s="14"/>
      <c r="X228" s="17"/>
      <c r="Y228" s="18"/>
      <c r="Z228" s="18"/>
      <c r="AA228" s="19"/>
    </row>
    <row r="229" spans="1:27" s="1" customFormat="1" ht="48" hidden="1" x14ac:dyDescent="0.2">
      <c r="A229" s="5"/>
      <c r="B229" s="21">
        <v>43361</v>
      </c>
      <c r="C229" s="22">
        <v>25569.645833333299</v>
      </c>
      <c r="D229" s="23" t="s">
        <v>798</v>
      </c>
      <c r="E229" s="24"/>
      <c r="F229" s="24"/>
      <c r="G229" s="25">
        <v>39</v>
      </c>
      <c r="H229" s="23"/>
      <c r="I229" s="23" t="s">
        <v>205</v>
      </c>
      <c r="J229" s="23" t="s">
        <v>27</v>
      </c>
      <c r="K229" s="23" t="s">
        <v>28</v>
      </c>
      <c r="L229" s="23" t="s">
        <v>30</v>
      </c>
      <c r="M229" s="23" t="s">
        <v>30</v>
      </c>
      <c r="N229" s="25"/>
      <c r="O229" s="24" t="s">
        <v>50</v>
      </c>
      <c r="P229" s="24" t="s">
        <v>235</v>
      </c>
      <c r="Q229" s="24" t="s">
        <v>57</v>
      </c>
      <c r="R229" s="24" t="s">
        <v>58</v>
      </c>
      <c r="S229" s="24" t="s">
        <v>799</v>
      </c>
      <c r="T229" s="23" t="s">
        <v>800</v>
      </c>
      <c r="U229" s="22">
        <v>25569.583333333299</v>
      </c>
      <c r="V229" s="22">
        <v>25569.934027777799</v>
      </c>
      <c r="W229" s="24"/>
      <c r="X229" s="26"/>
      <c r="Y229" s="27"/>
      <c r="Z229" s="27"/>
      <c r="AA229" s="19"/>
    </row>
    <row r="230" spans="1:27" s="1" customFormat="1" ht="36" hidden="1" x14ac:dyDescent="0.2">
      <c r="A230" s="5"/>
      <c r="B230" s="11">
        <v>43361</v>
      </c>
      <c r="C230" s="12">
        <v>25569.663194444402</v>
      </c>
      <c r="D230" s="13" t="s">
        <v>801</v>
      </c>
      <c r="E230" s="14"/>
      <c r="F230" s="14"/>
      <c r="G230" s="15">
        <v>55</v>
      </c>
      <c r="H230" s="13"/>
      <c r="I230" s="13" t="s">
        <v>802</v>
      </c>
      <c r="J230" s="13" t="s">
        <v>27</v>
      </c>
      <c r="K230" s="13" t="s">
        <v>121</v>
      </c>
      <c r="L230" s="13" t="s">
        <v>29</v>
      </c>
      <c r="M230" s="13" t="s">
        <v>30</v>
      </c>
      <c r="N230" s="15">
        <v>8</v>
      </c>
      <c r="O230" s="14" t="s">
        <v>50</v>
      </c>
      <c r="P230" s="14" t="s">
        <v>32</v>
      </c>
      <c r="Q230" s="14" t="s">
        <v>196</v>
      </c>
      <c r="R230" s="14" t="s">
        <v>385</v>
      </c>
      <c r="S230" s="14" t="s">
        <v>803</v>
      </c>
      <c r="T230" s="13" t="s">
        <v>804</v>
      </c>
      <c r="U230" s="12">
        <v>25569.307638888899</v>
      </c>
      <c r="V230" s="12"/>
      <c r="W230" s="14"/>
      <c r="X230" s="17"/>
      <c r="Y230" s="18"/>
      <c r="Z230" s="18" t="s">
        <v>599</v>
      </c>
      <c r="AA230" s="19"/>
    </row>
    <row r="231" spans="1:27" s="1" customFormat="1" ht="48" hidden="1" x14ac:dyDescent="0.2">
      <c r="A231" s="5"/>
      <c r="B231" s="21">
        <v>43362</v>
      </c>
      <c r="C231" s="22">
        <v>25569.75</v>
      </c>
      <c r="D231" s="23" t="s">
        <v>805</v>
      </c>
      <c r="E231" s="24"/>
      <c r="F231" s="24"/>
      <c r="G231" s="25">
        <v>41</v>
      </c>
      <c r="H231" s="23"/>
      <c r="I231" s="23" t="s">
        <v>79</v>
      </c>
      <c r="J231" s="23" t="s">
        <v>27</v>
      </c>
      <c r="K231" s="23" t="s">
        <v>28</v>
      </c>
      <c r="L231" s="23" t="s">
        <v>30</v>
      </c>
      <c r="M231" s="23" t="s">
        <v>30</v>
      </c>
      <c r="N231" s="25"/>
      <c r="O231" s="24" t="s">
        <v>31</v>
      </c>
      <c r="P231" s="24" t="s">
        <v>32</v>
      </c>
      <c r="Q231" s="24" t="s">
        <v>196</v>
      </c>
      <c r="R231" s="24" t="s">
        <v>411</v>
      </c>
      <c r="S231" s="24" t="s">
        <v>806</v>
      </c>
      <c r="T231" s="23" t="s">
        <v>807</v>
      </c>
      <c r="U231" s="22">
        <v>25569.583333333299</v>
      </c>
      <c r="V231" s="22">
        <v>25569</v>
      </c>
      <c r="W231" s="24"/>
      <c r="X231" s="26"/>
      <c r="Y231" s="27"/>
      <c r="Z231" s="27"/>
      <c r="AA231" s="19"/>
    </row>
    <row r="232" spans="1:27" s="1" customFormat="1" ht="48" hidden="1" x14ac:dyDescent="0.2">
      <c r="A232" s="5"/>
      <c r="B232" s="11">
        <v>43364</v>
      </c>
      <c r="C232" s="12">
        <v>25569.083333333299</v>
      </c>
      <c r="D232" s="13" t="s">
        <v>808</v>
      </c>
      <c r="E232" s="14"/>
      <c r="F232" s="14"/>
      <c r="G232" s="15">
        <v>36</v>
      </c>
      <c r="H232" s="13"/>
      <c r="I232" s="13" t="s">
        <v>93</v>
      </c>
      <c r="J232" s="13" t="s">
        <v>27</v>
      </c>
      <c r="K232" s="13" t="s">
        <v>28</v>
      </c>
      <c r="L232" s="13" t="s">
        <v>30</v>
      </c>
      <c r="M232" s="13" t="s">
        <v>30</v>
      </c>
      <c r="N232" s="15"/>
      <c r="O232" s="14" t="s">
        <v>41</v>
      </c>
      <c r="P232" s="14" t="s">
        <v>235</v>
      </c>
      <c r="Q232" s="14" t="s">
        <v>33</v>
      </c>
      <c r="R232" s="14"/>
      <c r="S232" s="14" t="s">
        <v>809</v>
      </c>
      <c r="T232" s="13" t="s">
        <v>810</v>
      </c>
      <c r="U232" s="12">
        <v>25569.905555555601</v>
      </c>
      <c r="V232" s="12"/>
      <c r="W232" s="14"/>
      <c r="X232" s="17"/>
      <c r="Y232" s="18"/>
      <c r="Z232" s="18"/>
      <c r="AA232" s="19"/>
    </row>
    <row r="233" spans="1:27" s="1" customFormat="1" ht="48" hidden="1" x14ac:dyDescent="0.2">
      <c r="A233" s="5"/>
      <c r="B233" s="21">
        <v>43364</v>
      </c>
      <c r="C233" s="22">
        <v>25569.284722222201</v>
      </c>
      <c r="D233" s="23" t="s">
        <v>811</v>
      </c>
      <c r="E233" s="24"/>
      <c r="F233" s="24"/>
      <c r="G233" s="25">
        <v>44</v>
      </c>
      <c r="H233" s="23"/>
      <c r="I233" s="23" t="s">
        <v>120</v>
      </c>
      <c r="J233" s="23" t="s">
        <v>27</v>
      </c>
      <c r="K233" s="23" t="s">
        <v>28</v>
      </c>
      <c r="L233" s="23" t="s">
        <v>30</v>
      </c>
      <c r="M233" s="23" t="s">
        <v>30</v>
      </c>
      <c r="N233" s="25"/>
      <c r="O233" s="24" t="s">
        <v>31</v>
      </c>
      <c r="P233" s="24" t="s">
        <v>32</v>
      </c>
      <c r="Q233" s="24" t="s">
        <v>75</v>
      </c>
      <c r="R233" s="24" t="s">
        <v>76</v>
      </c>
      <c r="S233" s="24" t="s">
        <v>812</v>
      </c>
      <c r="T233" s="23" t="s">
        <v>813</v>
      </c>
      <c r="U233" s="22">
        <v>25569.239583333299</v>
      </c>
      <c r="V233" s="22"/>
      <c r="W233" s="24"/>
      <c r="X233" s="26"/>
      <c r="Y233" s="27"/>
      <c r="Z233" s="27"/>
      <c r="AA233" s="19"/>
    </row>
    <row r="234" spans="1:27" s="1" customFormat="1" ht="60" hidden="1" x14ac:dyDescent="0.2">
      <c r="A234" s="5"/>
      <c r="B234" s="11">
        <v>43366</v>
      </c>
      <c r="C234" s="12">
        <v>25569.458333333299</v>
      </c>
      <c r="D234" s="13" t="s">
        <v>814</v>
      </c>
      <c r="E234" s="14"/>
      <c r="F234" s="14"/>
      <c r="G234" s="15">
        <v>53</v>
      </c>
      <c r="H234" s="13"/>
      <c r="I234" s="13" t="s">
        <v>26</v>
      </c>
      <c r="J234" s="13" t="s">
        <v>27</v>
      </c>
      <c r="K234" s="13" t="s">
        <v>28</v>
      </c>
      <c r="L234" s="13" t="s">
        <v>30</v>
      </c>
      <c r="M234" s="13" t="s">
        <v>30</v>
      </c>
      <c r="N234" s="15"/>
      <c r="O234" s="14" t="s">
        <v>31</v>
      </c>
      <c r="P234" s="14" t="s">
        <v>488</v>
      </c>
      <c r="Q234" s="14" t="s">
        <v>88</v>
      </c>
      <c r="R234" s="14" t="s">
        <v>134</v>
      </c>
      <c r="S234" s="14" t="s">
        <v>815</v>
      </c>
      <c r="T234" s="13" t="s">
        <v>816</v>
      </c>
      <c r="U234" s="12">
        <v>25569.28125</v>
      </c>
      <c r="V234" s="12"/>
      <c r="W234" s="14"/>
      <c r="X234" s="17"/>
      <c r="Y234" s="18"/>
      <c r="Z234" s="18" t="s">
        <v>86</v>
      </c>
      <c r="AA234" s="19"/>
    </row>
    <row r="235" spans="1:27" s="1" customFormat="1" ht="36" hidden="1" x14ac:dyDescent="0.2">
      <c r="A235" s="5"/>
      <c r="B235" s="21">
        <v>43368</v>
      </c>
      <c r="C235" s="22">
        <v>25569.5</v>
      </c>
      <c r="D235" s="23" t="s">
        <v>817</v>
      </c>
      <c r="E235" s="24"/>
      <c r="F235" s="24"/>
      <c r="G235" s="25">
        <v>36</v>
      </c>
      <c r="H235" s="23"/>
      <c r="I235" s="23" t="s">
        <v>26</v>
      </c>
      <c r="J235" s="23" t="s">
        <v>27</v>
      </c>
      <c r="K235" s="23" t="s">
        <v>28</v>
      </c>
      <c r="L235" s="23" t="s">
        <v>30</v>
      </c>
      <c r="M235" s="23" t="s">
        <v>30</v>
      </c>
      <c r="N235" s="25"/>
      <c r="O235" s="24" t="s">
        <v>50</v>
      </c>
      <c r="P235" s="24" t="s">
        <v>32</v>
      </c>
      <c r="Q235" s="24" t="s">
        <v>149</v>
      </c>
      <c r="R235" s="24"/>
      <c r="S235" s="24" t="s">
        <v>818</v>
      </c>
      <c r="T235" s="23" t="s">
        <v>819</v>
      </c>
      <c r="U235" s="22">
        <v>25569.263888888901</v>
      </c>
      <c r="V235" s="22"/>
      <c r="W235" s="24"/>
      <c r="X235" s="26"/>
      <c r="Y235" s="27"/>
      <c r="Z235" s="27" t="s">
        <v>38</v>
      </c>
      <c r="AA235" s="19"/>
    </row>
    <row r="236" spans="1:27" s="1" customFormat="1" ht="72" hidden="1" x14ac:dyDescent="0.2">
      <c r="A236" s="5"/>
      <c r="B236" s="11">
        <v>43368</v>
      </c>
      <c r="C236" s="12">
        <v>25569.701388888901</v>
      </c>
      <c r="D236" s="13" t="s">
        <v>820</v>
      </c>
      <c r="E236" s="14"/>
      <c r="F236" s="14"/>
      <c r="G236" s="15">
        <v>18</v>
      </c>
      <c r="H236" s="13"/>
      <c r="I236" s="13" t="s">
        <v>225</v>
      </c>
      <c r="J236" s="13" t="s">
        <v>27</v>
      </c>
      <c r="K236" s="13" t="s">
        <v>121</v>
      </c>
      <c r="L236" s="13" t="s">
        <v>30</v>
      </c>
      <c r="M236" s="13" t="s">
        <v>30</v>
      </c>
      <c r="N236" s="15"/>
      <c r="O236" s="14" t="s">
        <v>215</v>
      </c>
      <c r="P236" s="14" t="s">
        <v>458</v>
      </c>
      <c r="Q236" s="14" t="s">
        <v>88</v>
      </c>
      <c r="R236" s="14" t="s">
        <v>94</v>
      </c>
      <c r="S236" s="14" t="s">
        <v>821</v>
      </c>
      <c r="T236" s="13" t="s">
        <v>822</v>
      </c>
      <c r="U236" s="12">
        <v>25569.354166666701</v>
      </c>
      <c r="V236" s="12">
        <v>25569</v>
      </c>
      <c r="W236" s="14"/>
      <c r="X236" s="17"/>
      <c r="Y236" s="18"/>
      <c r="Z236" s="18"/>
      <c r="AA236" s="19"/>
    </row>
    <row r="237" spans="1:27" s="1" customFormat="1" ht="60" hidden="1" x14ac:dyDescent="0.2">
      <c r="A237" s="5"/>
      <c r="B237" s="11">
        <v>43370</v>
      </c>
      <c r="C237" s="12">
        <v>25569.645833333299</v>
      </c>
      <c r="D237" s="13" t="s">
        <v>823</v>
      </c>
      <c r="E237" s="14"/>
      <c r="F237" s="14"/>
      <c r="G237" s="15">
        <v>46</v>
      </c>
      <c r="H237" s="13"/>
      <c r="I237" s="13" t="s">
        <v>205</v>
      </c>
      <c r="J237" s="13" t="s">
        <v>27</v>
      </c>
      <c r="K237" s="13" t="s">
        <v>28</v>
      </c>
      <c r="L237" s="13" t="s">
        <v>30</v>
      </c>
      <c r="M237" s="13" t="s">
        <v>29</v>
      </c>
      <c r="N237" s="15"/>
      <c r="O237" s="14" t="s">
        <v>50</v>
      </c>
      <c r="P237" s="14" t="s">
        <v>458</v>
      </c>
      <c r="Q237" s="14" t="s">
        <v>43</v>
      </c>
      <c r="R237" s="14" t="s">
        <v>44</v>
      </c>
      <c r="S237" s="14" t="s">
        <v>824</v>
      </c>
      <c r="T237" s="13" t="s">
        <v>825</v>
      </c>
      <c r="U237" s="12">
        <v>25569.611111111099</v>
      </c>
      <c r="V237" s="12">
        <v>25569</v>
      </c>
      <c r="W237" s="14"/>
      <c r="X237" s="17"/>
      <c r="Y237" s="18"/>
      <c r="Z237" s="18"/>
      <c r="AA237" s="19"/>
    </row>
    <row r="238" spans="1:27" s="1" customFormat="1" ht="15" x14ac:dyDescent="0.25">
      <c r="A238" s="5"/>
      <c r="B238" s="31"/>
      <c r="C238" s="32"/>
      <c r="D238" s="32"/>
      <c r="E238" s="32"/>
      <c r="F238" s="32"/>
      <c r="G238" s="32"/>
      <c r="H238" s="32"/>
      <c r="I238" s="32"/>
      <c r="J238" s="32"/>
      <c r="K238" s="32"/>
      <c r="L238" s="32"/>
      <c r="M238" s="32"/>
      <c r="N238" s="32"/>
      <c r="O238" s="32"/>
      <c r="P238" s="32"/>
      <c r="Q238" s="32"/>
      <c r="R238" s="32"/>
      <c r="S238" s="32"/>
      <c r="T238" s="32"/>
      <c r="U238" s="32"/>
      <c r="V238" s="32"/>
      <c r="W238" s="32"/>
      <c r="X238" s="32"/>
      <c r="Y238" s="33"/>
      <c r="Z238" s="33"/>
      <c r="AA238" s="19"/>
    </row>
    <row r="239" spans="1:27" s="1" customFormat="1" ht="15" x14ac:dyDescent="0.25">
      <c r="A239" s="5"/>
      <c r="B239"/>
      <c r="C239"/>
      <c r="D239"/>
      <c r="E239"/>
      <c r="F239"/>
      <c r="G239"/>
      <c r="H239"/>
      <c r="I239"/>
      <c r="J239"/>
      <c r="K239"/>
      <c r="L239"/>
      <c r="M239"/>
      <c r="N239"/>
      <c r="O239"/>
      <c r="P239"/>
      <c r="Q239"/>
      <c r="R239"/>
      <c r="S239"/>
      <c r="T239"/>
      <c r="U239"/>
      <c r="V239"/>
      <c r="W239"/>
      <c r="X239"/>
      <c r="Y239"/>
      <c r="Z239"/>
      <c r="AA239" s="19"/>
    </row>
    <row r="240" spans="1:27" s="1" customFormat="1" ht="15" x14ac:dyDescent="0.25">
      <c r="A240" s="5"/>
      <c r="B240"/>
      <c r="C240"/>
      <c r="D240"/>
      <c r="E240"/>
      <c r="F240"/>
      <c r="G240"/>
      <c r="H240"/>
      <c r="I240"/>
      <c r="J240"/>
      <c r="K240"/>
      <c r="L240"/>
      <c r="M240"/>
      <c r="N240"/>
      <c r="O240"/>
      <c r="P240"/>
      <c r="Q240"/>
      <c r="R240"/>
      <c r="S240"/>
      <c r="T240"/>
      <c r="U240"/>
      <c r="V240"/>
      <c r="W240"/>
      <c r="X240"/>
      <c r="Y240"/>
      <c r="Z240"/>
      <c r="AA240" s="19"/>
    </row>
    <row r="241" spans="1:27" s="1" customFormat="1" ht="15" x14ac:dyDescent="0.25">
      <c r="A241" s="5"/>
      <c r="B241"/>
      <c r="C241"/>
      <c r="D241"/>
      <c r="E241"/>
      <c r="F241"/>
      <c r="G241"/>
      <c r="H241"/>
      <c r="I241"/>
      <c r="J241"/>
      <c r="K241"/>
      <c r="L241"/>
      <c r="M241"/>
      <c r="N241"/>
      <c r="O241"/>
      <c r="P241"/>
      <c r="Q241"/>
      <c r="R241"/>
      <c r="S241"/>
      <c r="T241"/>
      <c r="U241"/>
      <c r="V241"/>
      <c r="W241"/>
      <c r="X241"/>
      <c r="Y241"/>
      <c r="Z241"/>
      <c r="AA241" s="19"/>
    </row>
    <row r="242" spans="1:27" s="1" customFormat="1" ht="15" x14ac:dyDescent="0.25">
      <c r="A242" s="5"/>
      <c r="B242"/>
      <c r="C242"/>
      <c r="D242"/>
      <c r="E242"/>
      <c r="F242"/>
      <c r="G242"/>
      <c r="H242"/>
      <c r="I242"/>
      <c r="J242"/>
      <c r="K242"/>
      <c r="L242"/>
      <c r="M242"/>
      <c r="N242"/>
      <c r="O242"/>
      <c r="P242"/>
      <c r="Q242"/>
      <c r="R242"/>
      <c r="S242"/>
      <c r="T242"/>
      <c r="U242"/>
      <c r="V242"/>
      <c r="W242"/>
      <c r="X242"/>
      <c r="Y242"/>
      <c r="Z242"/>
      <c r="AA242" s="19"/>
    </row>
    <row r="243" spans="1:27" s="1" customFormat="1" ht="15" x14ac:dyDescent="0.25">
      <c r="A243" s="5"/>
      <c r="B243"/>
      <c r="C243"/>
      <c r="D243"/>
      <c r="E243"/>
      <c r="F243"/>
      <c r="G243"/>
      <c r="H243"/>
      <c r="I243"/>
      <c r="J243"/>
      <c r="K243"/>
      <c r="L243"/>
      <c r="M243"/>
      <c r="N243"/>
      <c r="O243"/>
      <c r="P243"/>
      <c r="Q243"/>
      <c r="R243"/>
      <c r="S243"/>
      <c r="T243"/>
      <c r="U243"/>
      <c r="V243"/>
      <c r="W243"/>
      <c r="X243"/>
      <c r="Y243"/>
      <c r="Z243"/>
      <c r="AA243" s="19"/>
    </row>
    <row r="244" spans="1:27" s="1" customFormat="1" ht="15" x14ac:dyDescent="0.25">
      <c r="A244" s="5"/>
      <c r="B244"/>
      <c r="C244"/>
      <c r="D244"/>
      <c r="E244"/>
      <c r="F244"/>
      <c r="G244"/>
      <c r="H244"/>
      <c r="I244"/>
      <c r="J244"/>
      <c r="K244"/>
      <c r="L244"/>
      <c r="M244"/>
      <c r="N244"/>
      <c r="O244"/>
      <c r="P244"/>
      <c r="Q244"/>
      <c r="R244"/>
      <c r="S244"/>
      <c r="T244"/>
      <c r="U244"/>
      <c r="V244"/>
      <c r="W244"/>
      <c r="X244"/>
      <c r="Y244"/>
      <c r="Z244"/>
      <c r="AA244" s="19"/>
    </row>
    <row r="245" spans="1:27" s="1" customFormat="1" ht="15" x14ac:dyDescent="0.25">
      <c r="A245" s="5"/>
      <c r="B245"/>
      <c r="C245"/>
      <c r="D245"/>
      <c r="E245"/>
      <c r="F245"/>
      <c r="G245"/>
      <c r="H245"/>
      <c r="I245"/>
      <c r="J245"/>
      <c r="K245"/>
      <c r="L245"/>
      <c r="M245"/>
      <c r="N245"/>
      <c r="O245"/>
      <c r="P245"/>
      <c r="Q245"/>
      <c r="R245"/>
      <c r="S245"/>
      <c r="T245"/>
      <c r="U245"/>
      <c r="V245"/>
      <c r="W245"/>
      <c r="X245"/>
      <c r="Y245"/>
      <c r="Z245"/>
      <c r="AA245" s="19"/>
    </row>
    <row r="246" spans="1:27" s="1" customFormat="1" ht="15" x14ac:dyDescent="0.25">
      <c r="A246" s="5"/>
      <c r="B246"/>
      <c r="C246"/>
      <c r="D246"/>
      <c r="E246"/>
      <c r="F246"/>
      <c r="G246"/>
      <c r="H246"/>
      <c r="I246"/>
      <c r="J246"/>
      <c r="K246"/>
      <c r="L246"/>
      <c r="M246"/>
      <c r="N246"/>
      <c r="O246"/>
      <c r="P246"/>
      <c r="Q246"/>
      <c r="R246"/>
      <c r="S246"/>
      <c r="T246"/>
      <c r="U246"/>
      <c r="V246"/>
      <c r="W246"/>
      <c r="X246"/>
      <c r="Y246"/>
      <c r="Z246"/>
      <c r="AA246" s="19"/>
    </row>
    <row r="247" spans="1:27" s="1" customFormat="1" ht="15" x14ac:dyDescent="0.25">
      <c r="A247" s="5"/>
      <c r="B247"/>
      <c r="C247"/>
      <c r="D247"/>
      <c r="E247"/>
      <c r="F247"/>
      <c r="G247"/>
      <c r="H247"/>
      <c r="I247"/>
      <c r="J247"/>
      <c r="K247"/>
      <c r="L247"/>
      <c r="M247"/>
      <c r="N247"/>
      <c r="O247"/>
      <c r="P247"/>
      <c r="Q247"/>
      <c r="R247"/>
      <c r="S247"/>
      <c r="T247"/>
      <c r="U247"/>
      <c r="V247"/>
      <c r="W247"/>
      <c r="X247"/>
      <c r="Y247"/>
      <c r="Z247"/>
      <c r="AA247" s="19"/>
    </row>
    <row r="248" spans="1:27" s="1" customFormat="1" ht="15" x14ac:dyDescent="0.25">
      <c r="A248" s="5"/>
      <c r="B248"/>
      <c r="C248"/>
      <c r="D248"/>
      <c r="E248"/>
      <c r="F248"/>
      <c r="G248"/>
      <c r="H248"/>
      <c r="I248"/>
      <c r="J248"/>
      <c r="K248"/>
      <c r="L248"/>
      <c r="M248"/>
      <c r="N248"/>
      <c r="O248"/>
      <c r="P248"/>
      <c r="Q248"/>
      <c r="R248"/>
      <c r="S248"/>
      <c r="T248"/>
      <c r="U248"/>
      <c r="V248"/>
      <c r="W248"/>
      <c r="X248"/>
      <c r="Y248"/>
      <c r="Z248"/>
      <c r="AA248" s="19"/>
    </row>
    <row r="249" spans="1:27" s="1" customFormat="1" ht="15" x14ac:dyDescent="0.25">
      <c r="A249" s="5"/>
      <c r="B249"/>
      <c r="C249"/>
      <c r="D249"/>
      <c r="E249"/>
      <c r="F249"/>
      <c r="G249"/>
      <c r="H249"/>
      <c r="I249"/>
      <c r="J249"/>
      <c r="K249"/>
      <c r="L249"/>
      <c r="M249"/>
      <c r="N249"/>
      <c r="O249"/>
      <c r="P249"/>
      <c r="Q249"/>
      <c r="R249"/>
      <c r="S249"/>
      <c r="T249"/>
      <c r="U249"/>
      <c r="V249"/>
      <c r="W249"/>
      <c r="X249"/>
      <c r="Y249"/>
      <c r="Z249"/>
      <c r="AA249" s="19"/>
    </row>
    <row r="250" spans="1:27" s="1" customFormat="1" ht="15" x14ac:dyDescent="0.25">
      <c r="A250" s="5"/>
      <c r="B250"/>
      <c r="C250"/>
      <c r="D250"/>
      <c r="E250"/>
      <c r="F250"/>
      <c r="G250"/>
      <c r="H250"/>
      <c r="I250"/>
      <c r="J250"/>
      <c r="K250"/>
      <c r="L250"/>
      <c r="M250"/>
      <c r="N250"/>
      <c r="O250"/>
      <c r="P250"/>
      <c r="Q250"/>
      <c r="R250"/>
      <c r="S250"/>
      <c r="T250"/>
      <c r="U250"/>
      <c r="V250"/>
      <c r="W250"/>
      <c r="X250"/>
      <c r="Y250"/>
      <c r="Z250"/>
      <c r="AA250" s="19"/>
    </row>
    <row r="251" spans="1:27" s="1" customFormat="1" ht="15" x14ac:dyDescent="0.25">
      <c r="A251" s="5"/>
      <c r="B251"/>
      <c r="C251"/>
      <c r="D251"/>
      <c r="E251"/>
      <c r="F251"/>
      <c r="G251"/>
      <c r="H251"/>
      <c r="I251"/>
      <c r="J251"/>
      <c r="K251"/>
      <c r="L251"/>
      <c r="M251"/>
      <c r="N251"/>
      <c r="O251"/>
      <c r="P251"/>
      <c r="Q251"/>
      <c r="R251"/>
      <c r="S251"/>
      <c r="T251"/>
      <c r="U251"/>
      <c r="V251"/>
      <c r="W251"/>
      <c r="X251"/>
      <c r="Y251"/>
      <c r="Z251"/>
      <c r="AA251" s="19"/>
    </row>
    <row r="252" spans="1:27" s="1" customFormat="1" ht="15" x14ac:dyDescent="0.25">
      <c r="A252" s="5"/>
      <c r="B252"/>
      <c r="C252"/>
      <c r="D252"/>
      <c r="E252"/>
      <c r="F252"/>
      <c r="G252"/>
      <c r="H252"/>
      <c r="I252"/>
      <c r="J252"/>
      <c r="K252"/>
      <c r="L252"/>
      <c r="M252"/>
      <c r="N252"/>
      <c r="O252"/>
      <c r="P252"/>
      <c r="Q252"/>
      <c r="R252"/>
      <c r="S252"/>
      <c r="T252"/>
      <c r="U252"/>
      <c r="V252"/>
      <c r="W252"/>
      <c r="X252"/>
      <c r="Y252"/>
      <c r="Z252"/>
      <c r="AA252" s="19"/>
    </row>
    <row r="253" spans="1:27" s="1" customFormat="1" ht="15" x14ac:dyDescent="0.25">
      <c r="A253" s="5"/>
      <c r="B253"/>
      <c r="C253"/>
      <c r="D253"/>
      <c r="E253"/>
      <c r="F253"/>
      <c r="G253"/>
      <c r="H253"/>
      <c r="I253"/>
      <c r="J253"/>
      <c r="K253"/>
      <c r="L253"/>
      <c r="M253"/>
      <c r="N253"/>
      <c r="O253"/>
      <c r="P253"/>
      <c r="Q253"/>
      <c r="R253"/>
      <c r="S253"/>
      <c r="T253"/>
      <c r="U253"/>
      <c r="V253"/>
      <c r="W253"/>
      <c r="X253"/>
      <c r="Y253"/>
      <c r="Z253"/>
      <c r="AA253" s="19"/>
    </row>
    <row r="254" spans="1:27" s="1" customFormat="1" ht="15" x14ac:dyDescent="0.25">
      <c r="A254" s="5"/>
      <c r="B254"/>
      <c r="C254"/>
      <c r="D254"/>
      <c r="E254"/>
      <c r="F254"/>
      <c r="G254"/>
      <c r="H254"/>
      <c r="I254"/>
      <c r="J254"/>
      <c r="K254"/>
      <c r="L254"/>
      <c r="M254"/>
      <c r="N254"/>
      <c r="O254"/>
      <c r="P254"/>
      <c r="Q254"/>
      <c r="R254"/>
      <c r="S254"/>
      <c r="T254"/>
      <c r="U254"/>
      <c r="V254"/>
      <c r="W254"/>
      <c r="X254"/>
      <c r="Y254"/>
      <c r="Z254"/>
      <c r="AA254" s="19"/>
    </row>
    <row r="255" spans="1:27" s="1" customFormat="1" ht="15" x14ac:dyDescent="0.25">
      <c r="A255" s="5"/>
      <c r="B255"/>
      <c r="C255"/>
      <c r="D255"/>
      <c r="E255"/>
      <c r="F255"/>
      <c r="G255"/>
      <c r="H255"/>
      <c r="I255"/>
      <c r="J255"/>
      <c r="K255"/>
      <c r="L255"/>
      <c r="M255"/>
      <c r="N255"/>
      <c r="O255"/>
      <c r="P255"/>
      <c r="Q255"/>
      <c r="R255"/>
      <c r="S255"/>
      <c r="T255"/>
      <c r="U255"/>
      <c r="V255"/>
      <c r="W255"/>
      <c r="X255"/>
      <c r="Y255"/>
      <c r="Z255"/>
      <c r="AA255" s="19"/>
    </row>
    <row r="256" spans="1:27" s="1" customFormat="1" ht="15" x14ac:dyDescent="0.25">
      <c r="A256" s="5"/>
      <c r="B256"/>
      <c r="C256"/>
      <c r="D256"/>
      <c r="E256"/>
      <c r="F256"/>
      <c r="G256"/>
      <c r="H256"/>
      <c r="I256"/>
      <c r="J256"/>
      <c r="K256"/>
      <c r="L256"/>
      <c r="M256"/>
      <c r="N256"/>
      <c r="O256"/>
      <c r="P256"/>
      <c r="Q256"/>
      <c r="R256"/>
      <c r="S256"/>
      <c r="T256"/>
      <c r="U256"/>
      <c r="V256"/>
      <c r="W256"/>
      <c r="X256"/>
      <c r="Y256"/>
      <c r="Z256"/>
      <c r="AA256" s="19"/>
    </row>
    <row r="257" spans="1:27" s="1" customFormat="1" ht="15" x14ac:dyDescent="0.25">
      <c r="A257" s="5"/>
      <c r="B257"/>
      <c r="C257"/>
      <c r="D257"/>
      <c r="E257"/>
      <c r="F257"/>
      <c r="G257"/>
      <c r="H257"/>
      <c r="I257"/>
      <c r="J257"/>
      <c r="K257"/>
      <c r="L257"/>
      <c r="M257"/>
      <c r="N257"/>
      <c r="O257"/>
      <c r="P257"/>
      <c r="Q257"/>
      <c r="R257"/>
      <c r="S257"/>
      <c r="T257"/>
      <c r="U257"/>
      <c r="V257"/>
      <c r="W257"/>
      <c r="X257"/>
      <c r="Y257"/>
      <c r="Z257"/>
      <c r="AA257" s="19"/>
    </row>
    <row r="258" spans="1:27" s="1" customFormat="1" ht="15" x14ac:dyDescent="0.25">
      <c r="A258" s="5"/>
      <c r="B258"/>
      <c r="C258"/>
      <c r="D258"/>
      <c r="E258"/>
      <c r="F258"/>
      <c r="G258"/>
      <c r="H258"/>
      <c r="I258"/>
      <c r="J258"/>
      <c r="K258"/>
      <c r="L258"/>
      <c r="M258"/>
      <c r="N258"/>
      <c r="O258"/>
      <c r="P258"/>
      <c r="Q258"/>
      <c r="R258"/>
      <c r="S258"/>
      <c r="T258"/>
      <c r="U258"/>
      <c r="V258"/>
      <c r="W258"/>
      <c r="X258"/>
      <c r="Y258"/>
      <c r="Z258"/>
      <c r="AA258" s="19"/>
    </row>
    <row r="259" spans="1:27" s="1" customFormat="1" ht="15" x14ac:dyDescent="0.25">
      <c r="A259" s="5"/>
      <c r="B259"/>
      <c r="C259"/>
      <c r="D259"/>
      <c r="E259"/>
      <c r="F259"/>
      <c r="G259"/>
      <c r="H259"/>
      <c r="I259"/>
      <c r="J259"/>
      <c r="K259"/>
      <c r="L259"/>
      <c r="M259"/>
      <c r="N259"/>
      <c r="O259"/>
      <c r="P259"/>
      <c r="Q259"/>
      <c r="R259"/>
      <c r="S259"/>
      <c r="T259"/>
      <c r="U259"/>
      <c r="V259"/>
      <c r="W259"/>
      <c r="X259"/>
      <c r="Y259"/>
      <c r="Z259"/>
      <c r="AA259" s="19"/>
    </row>
    <row r="260" spans="1:27" s="1" customFormat="1" ht="15" x14ac:dyDescent="0.25">
      <c r="A260" s="5"/>
      <c r="B260"/>
      <c r="C260"/>
      <c r="D260"/>
      <c r="E260"/>
      <c r="F260"/>
      <c r="G260"/>
      <c r="H260"/>
      <c r="I260"/>
      <c r="J260"/>
      <c r="K260"/>
      <c r="L260"/>
      <c r="M260"/>
      <c r="N260"/>
      <c r="O260"/>
      <c r="P260"/>
      <c r="Q260"/>
      <c r="R260"/>
      <c r="S260"/>
      <c r="T260"/>
      <c r="U260"/>
      <c r="V260"/>
      <c r="W260"/>
      <c r="X260"/>
      <c r="Y260"/>
      <c r="Z260"/>
      <c r="AA260" s="19"/>
    </row>
    <row r="261" spans="1:27" s="1" customFormat="1" ht="15" x14ac:dyDescent="0.25">
      <c r="A261" s="5"/>
      <c r="B261"/>
      <c r="C261"/>
      <c r="D261"/>
      <c r="E261"/>
      <c r="F261"/>
      <c r="G261"/>
      <c r="H261"/>
      <c r="I261"/>
      <c r="J261"/>
      <c r="K261"/>
      <c r="L261"/>
      <c r="M261"/>
      <c r="N261"/>
      <c r="O261"/>
      <c r="P261"/>
      <c r="Q261"/>
      <c r="R261"/>
      <c r="S261"/>
      <c r="T261"/>
      <c r="U261"/>
      <c r="V261"/>
      <c r="W261"/>
      <c r="X261"/>
      <c r="Y261"/>
      <c r="Z261"/>
      <c r="AA261" s="19"/>
    </row>
    <row r="262" spans="1:27" s="1" customFormat="1" ht="15" x14ac:dyDescent="0.25">
      <c r="A262" s="5"/>
      <c r="B262"/>
      <c r="C262"/>
      <c r="D262"/>
      <c r="E262"/>
      <c r="F262"/>
      <c r="G262"/>
      <c r="H262"/>
      <c r="I262"/>
      <c r="J262"/>
      <c r="K262"/>
      <c r="L262"/>
      <c r="M262"/>
      <c r="N262"/>
      <c r="O262"/>
      <c r="P262"/>
      <c r="Q262"/>
      <c r="R262"/>
      <c r="S262"/>
      <c r="T262"/>
      <c r="U262"/>
      <c r="V262"/>
      <c r="W262"/>
      <c r="X262"/>
      <c r="Y262"/>
      <c r="Z262"/>
      <c r="AA262" s="19"/>
    </row>
    <row r="263" spans="1:27" s="1" customFormat="1" ht="15" x14ac:dyDescent="0.25">
      <c r="A263" s="5"/>
      <c r="B263"/>
      <c r="C263"/>
      <c r="D263"/>
      <c r="E263"/>
      <c r="F263"/>
      <c r="G263"/>
      <c r="H263"/>
      <c r="I263"/>
      <c r="J263"/>
      <c r="K263"/>
      <c r="L263"/>
      <c r="M263"/>
      <c r="N263"/>
      <c r="O263"/>
      <c r="P263"/>
      <c r="Q263"/>
      <c r="R263"/>
      <c r="S263"/>
      <c r="T263"/>
      <c r="U263"/>
      <c r="V263"/>
      <c r="W263"/>
      <c r="X263"/>
      <c r="Y263"/>
      <c r="Z263"/>
      <c r="AA263" s="19"/>
    </row>
    <row r="264" spans="1:27" s="1" customFormat="1" ht="15" x14ac:dyDescent="0.25">
      <c r="A264" s="5"/>
      <c r="B264"/>
      <c r="C264"/>
      <c r="D264"/>
      <c r="E264"/>
      <c r="F264"/>
      <c r="G264"/>
      <c r="H264"/>
      <c r="I264"/>
      <c r="J264"/>
      <c r="K264"/>
      <c r="L264"/>
      <c r="M264"/>
      <c r="N264"/>
      <c r="O264"/>
      <c r="P264"/>
      <c r="Q264"/>
      <c r="R264"/>
      <c r="S264"/>
      <c r="T264"/>
      <c r="U264"/>
      <c r="V264"/>
      <c r="W264"/>
      <c r="X264"/>
      <c r="Y264"/>
      <c r="Z264"/>
      <c r="AA264" s="19"/>
    </row>
    <row r="265" spans="1:27" s="1" customFormat="1" ht="15" x14ac:dyDescent="0.25">
      <c r="A265" s="5"/>
      <c r="B265"/>
      <c r="C265"/>
      <c r="D265"/>
      <c r="E265"/>
      <c r="F265"/>
      <c r="G265"/>
      <c r="H265"/>
      <c r="I265"/>
      <c r="J265"/>
      <c r="K265"/>
      <c r="L265"/>
      <c r="M265"/>
      <c r="N265"/>
      <c r="O265"/>
      <c r="P265"/>
      <c r="Q265"/>
      <c r="R265"/>
      <c r="S265"/>
      <c r="T265"/>
      <c r="U265"/>
      <c r="V265"/>
      <c r="W265"/>
      <c r="X265"/>
      <c r="Y265"/>
      <c r="Z265"/>
      <c r="AA265" s="19"/>
    </row>
    <row r="266" spans="1:27" s="1" customFormat="1" ht="15" x14ac:dyDescent="0.25">
      <c r="A266" s="5"/>
      <c r="B266"/>
      <c r="C266"/>
      <c r="D266"/>
      <c r="E266"/>
      <c r="F266"/>
      <c r="G266"/>
      <c r="H266"/>
      <c r="I266"/>
      <c r="J266"/>
      <c r="K266"/>
      <c r="L266"/>
      <c r="M266"/>
      <c r="N266"/>
      <c r="O266"/>
      <c r="P266"/>
      <c r="Q266"/>
      <c r="R266"/>
      <c r="S266"/>
      <c r="T266"/>
      <c r="U266"/>
      <c r="V266"/>
      <c r="W266"/>
      <c r="X266"/>
      <c r="Y266"/>
      <c r="Z266"/>
      <c r="AA266" s="19"/>
    </row>
    <row r="267" spans="1:27" s="1" customFormat="1" ht="15" x14ac:dyDescent="0.25">
      <c r="A267" s="5"/>
      <c r="B267"/>
      <c r="C267"/>
      <c r="D267"/>
      <c r="E267"/>
      <c r="F267"/>
      <c r="G267"/>
      <c r="H267"/>
      <c r="I267"/>
      <c r="J267"/>
      <c r="K267"/>
      <c r="L267"/>
      <c r="M267"/>
      <c r="N267"/>
      <c r="O267"/>
      <c r="P267"/>
      <c r="Q267"/>
      <c r="R267"/>
      <c r="S267"/>
      <c r="T267"/>
      <c r="U267"/>
      <c r="V267"/>
      <c r="W267"/>
      <c r="X267"/>
      <c r="Y267"/>
      <c r="Z267"/>
      <c r="AA267" s="19"/>
    </row>
    <row r="268" spans="1:27" s="1" customFormat="1" ht="15" x14ac:dyDescent="0.25">
      <c r="A268" s="5"/>
      <c r="B268"/>
      <c r="C268"/>
      <c r="D268"/>
      <c r="E268"/>
      <c r="F268"/>
      <c r="G268"/>
      <c r="H268"/>
      <c r="I268"/>
      <c r="J268"/>
      <c r="K268"/>
      <c r="L268"/>
      <c r="M268"/>
      <c r="N268"/>
      <c r="O268"/>
      <c r="P268"/>
      <c r="Q268"/>
      <c r="R268"/>
      <c r="S268"/>
      <c r="T268"/>
      <c r="U268"/>
      <c r="V268"/>
      <c r="W268"/>
      <c r="X268"/>
      <c r="Y268"/>
      <c r="Z268"/>
      <c r="AA268" s="19"/>
    </row>
    <row r="269" spans="1:27" s="1" customFormat="1" ht="15" x14ac:dyDescent="0.25">
      <c r="A269" s="5"/>
      <c r="B269"/>
      <c r="C269"/>
      <c r="D269"/>
      <c r="E269"/>
      <c r="F269"/>
      <c r="G269"/>
      <c r="H269"/>
      <c r="I269"/>
      <c r="J269"/>
      <c r="K269"/>
      <c r="L269"/>
      <c r="M269"/>
      <c r="N269"/>
      <c r="O269"/>
      <c r="P269"/>
      <c r="Q269"/>
      <c r="R269"/>
      <c r="S269"/>
      <c r="T269"/>
      <c r="U269"/>
      <c r="V269"/>
      <c r="W269"/>
      <c r="X269"/>
      <c r="Y269"/>
      <c r="Z269"/>
      <c r="AA269" s="19"/>
    </row>
    <row r="270" spans="1:27" s="1" customFormat="1" ht="15" x14ac:dyDescent="0.25">
      <c r="A270" s="5"/>
      <c r="B270"/>
      <c r="C270"/>
      <c r="D270"/>
      <c r="E270"/>
      <c r="F270"/>
      <c r="G270"/>
      <c r="H270"/>
      <c r="I270"/>
      <c r="J270"/>
      <c r="K270"/>
      <c r="L270"/>
      <c r="M270"/>
      <c r="N270"/>
      <c r="O270"/>
      <c r="P270"/>
      <c r="Q270"/>
      <c r="R270"/>
      <c r="S270"/>
      <c r="T270"/>
      <c r="U270"/>
      <c r="V270"/>
      <c r="W270"/>
      <c r="X270"/>
      <c r="Y270"/>
      <c r="Z270"/>
      <c r="AA270" s="19"/>
    </row>
    <row r="271" spans="1:27" s="1" customFormat="1" ht="15" x14ac:dyDescent="0.25">
      <c r="A271" s="5"/>
      <c r="B271"/>
      <c r="C271"/>
      <c r="D271"/>
      <c r="E271"/>
      <c r="F271"/>
      <c r="G271"/>
      <c r="H271"/>
      <c r="I271"/>
      <c r="J271"/>
      <c r="K271"/>
      <c r="L271"/>
      <c r="M271"/>
      <c r="N271"/>
      <c r="O271"/>
      <c r="P271"/>
      <c r="Q271"/>
      <c r="R271"/>
      <c r="S271"/>
      <c r="T271"/>
      <c r="U271"/>
      <c r="V271"/>
      <c r="W271"/>
      <c r="X271"/>
      <c r="Y271"/>
      <c r="Z271"/>
      <c r="AA271" s="19"/>
    </row>
    <row r="272" spans="1:27" s="1" customFormat="1" ht="15" x14ac:dyDescent="0.25">
      <c r="A272" s="5"/>
      <c r="B272"/>
      <c r="C272"/>
      <c r="D272"/>
      <c r="E272"/>
      <c r="F272"/>
      <c r="G272"/>
      <c r="H272"/>
      <c r="I272"/>
      <c r="J272"/>
      <c r="K272"/>
      <c r="L272"/>
      <c r="M272"/>
      <c r="N272"/>
      <c r="O272"/>
      <c r="P272"/>
      <c r="Q272"/>
      <c r="R272"/>
      <c r="S272"/>
      <c r="T272"/>
      <c r="U272"/>
      <c r="V272"/>
      <c r="W272"/>
      <c r="X272"/>
      <c r="Y272"/>
      <c r="Z272"/>
      <c r="AA272" s="19"/>
    </row>
    <row r="273" spans="1:27" s="1" customFormat="1" ht="15" x14ac:dyDescent="0.25">
      <c r="A273" s="5"/>
      <c r="B273"/>
      <c r="C273"/>
      <c r="D273"/>
      <c r="E273"/>
      <c r="F273"/>
      <c r="G273"/>
      <c r="H273"/>
      <c r="I273"/>
      <c r="J273"/>
      <c r="K273"/>
      <c r="L273"/>
      <c r="M273"/>
      <c r="N273"/>
      <c r="O273"/>
      <c r="P273"/>
      <c r="Q273"/>
      <c r="R273"/>
      <c r="S273"/>
      <c r="T273"/>
      <c r="U273"/>
      <c r="V273"/>
      <c r="W273"/>
      <c r="X273"/>
      <c r="Y273"/>
      <c r="Z273"/>
      <c r="AA273" s="19"/>
    </row>
    <row r="274" spans="1:27" s="1" customFormat="1" ht="15" x14ac:dyDescent="0.25">
      <c r="A274" s="5"/>
      <c r="B274"/>
      <c r="C274"/>
      <c r="D274"/>
      <c r="E274"/>
      <c r="F274"/>
      <c r="G274"/>
      <c r="H274"/>
      <c r="I274"/>
      <c r="J274"/>
      <c r="K274"/>
      <c r="L274"/>
      <c r="M274"/>
      <c r="N274"/>
      <c r="O274"/>
      <c r="P274"/>
      <c r="Q274"/>
      <c r="R274"/>
      <c r="S274"/>
      <c r="T274"/>
      <c r="U274"/>
      <c r="V274"/>
      <c r="W274"/>
      <c r="X274"/>
      <c r="Y274"/>
      <c r="Z274"/>
      <c r="AA274" s="19"/>
    </row>
    <row r="275" spans="1:27" s="1" customFormat="1" ht="15" x14ac:dyDescent="0.25">
      <c r="A275" s="5"/>
      <c r="B275"/>
      <c r="C275"/>
      <c r="D275"/>
      <c r="E275"/>
      <c r="F275"/>
      <c r="G275"/>
      <c r="H275"/>
      <c r="I275"/>
      <c r="J275"/>
      <c r="K275"/>
      <c r="L275"/>
      <c r="M275"/>
      <c r="N275"/>
      <c r="O275"/>
      <c r="P275"/>
      <c r="Q275"/>
      <c r="R275"/>
      <c r="S275"/>
      <c r="T275"/>
      <c r="U275"/>
      <c r="V275"/>
      <c r="W275"/>
      <c r="X275"/>
      <c r="Y275"/>
      <c r="Z275"/>
      <c r="AA275" s="19"/>
    </row>
    <row r="276" spans="1:27" s="1" customFormat="1" ht="15" x14ac:dyDescent="0.25">
      <c r="A276" s="5"/>
      <c r="B276"/>
      <c r="C276"/>
      <c r="D276"/>
      <c r="E276"/>
      <c r="F276"/>
      <c r="G276"/>
      <c r="H276"/>
      <c r="I276"/>
      <c r="J276"/>
      <c r="K276"/>
      <c r="L276"/>
      <c r="M276"/>
      <c r="N276"/>
      <c r="O276"/>
      <c r="P276"/>
      <c r="Q276"/>
      <c r="R276"/>
      <c r="S276"/>
      <c r="T276"/>
      <c r="U276"/>
      <c r="V276"/>
      <c r="W276"/>
      <c r="X276"/>
      <c r="Y276"/>
      <c r="Z276"/>
      <c r="AA276" s="19"/>
    </row>
    <row r="277" spans="1:27" s="1" customFormat="1" ht="15" x14ac:dyDescent="0.25">
      <c r="A277" s="5"/>
      <c r="B277"/>
      <c r="C277"/>
      <c r="D277"/>
      <c r="E277"/>
      <c r="F277"/>
      <c r="G277"/>
      <c r="H277"/>
      <c r="I277"/>
      <c r="J277"/>
      <c r="K277"/>
      <c r="L277"/>
      <c r="M277"/>
      <c r="N277"/>
      <c r="O277"/>
      <c r="P277"/>
      <c r="Q277"/>
      <c r="R277"/>
      <c r="S277"/>
      <c r="T277"/>
      <c r="U277"/>
      <c r="V277"/>
      <c r="W277"/>
      <c r="X277"/>
      <c r="Y277"/>
      <c r="Z277"/>
      <c r="AA277" s="19"/>
    </row>
    <row r="278" spans="1:27" s="1" customFormat="1" ht="15" x14ac:dyDescent="0.25">
      <c r="A278" s="5"/>
      <c r="B278"/>
      <c r="C278"/>
      <c r="D278"/>
      <c r="E278"/>
      <c r="F278"/>
      <c r="G278"/>
      <c r="H278"/>
      <c r="I278"/>
      <c r="J278"/>
      <c r="K278"/>
      <c r="L278"/>
      <c r="M278"/>
      <c r="N278"/>
      <c r="O278"/>
      <c r="P278"/>
      <c r="Q278"/>
      <c r="R278"/>
      <c r="S278"/>
      <c r="T278"/>
      <c r="U278"/>
      <c r="V278"/>
      <c r="W278"/>
      <c r="X278"/>
      <c r="Y278"/>
      <c r="Z278"/>
      <c r="AA278" s="19"/>
    </row>
    <row r="279" spans="1:27" s="1" customFormat="1" ht="15" x14ac:dyDescent="0.25">
      <c r="A279" s="5"/>
      <c r="B279"/>
      <c r="C279"/>
      <c r="D279"/>
      <c r="E279"/>
      <c r="F279"/>
      <c r="G279"/>
      <c r="H279"/>
      <c r="I279"/>
      <c r="J279"/>
      <c r="K279"/>
      <c r="L279"/>
      <c r="M279"/>
      <c r="N279"/>
      <c r="O279"/>
      <c r="P279"/>
      <c r="Q279"/>
      <c r="R279"/>
      <c r="S279"/>
      <c r="T279"/>
      <c r="U279"/>
      <c r="V279"/>
      <c r="W279"/>
      <c r="X279"/>
      <c r="Y279"/>
      <c r="Z279"/>
      <c r="AA279" s="19"/>
    </row>
    <row r="280" spans="1:27" s="1" customFormat="1" ht="15" x14ac:dyDescent="0.25">
      <c r="A280" s="5"/>
      <c r="B280"/>
      <c r="C280"/>
      <c r="D280"/>
      <c r="E280"/>
      <c r="F280"/>
      <c r="G280"/>
      <c r="H280"/>
      <c r="I280"/>
      <c r="J280"/>
      <c r="K280"/>
      <c r="L280"/>
      <c r="M280"/>
      <c r="N280"/>
      <c r="O280"/>
      <c r="P280"/>
      <c r="Q280"/>
      <c r="R280"/>
      <c r="S280"/>
      <c r="T280"/>
      <c r="U280"/>
      <c r="V280"/>
      <c r="W280"/>
      <c r="X280"/>
      <c r="Y280"/>
      <c r="Z280"/>
      <c r="AA280" s="19"/>
    </row>
    <row r="281" spans="1:27" s="1" customFormat="1" ht="15" x14ac:dyDescent="0.25">
      <c r="A281" s="5"/>
      <c r="B281"/>
      <c r="C281"/>
      <c r="D281"/>
      <c r="E281"/>
      <c r="F281"/>
      <c r="G281"/>
      <c r="H281"/>
      <c r="I281"/>
      <c r="J281"/>
      <c r="K281"/>
      <c r="L281"/>
      <c r="M281"/>
      <c r="N281"/>
      <c r="O281"/>
      <c r="P281"/>
      <c r="Q281"/>
      <c r="R281"/>
      <c r="S281"/>
      <c r="T281"/>
      <c r="U281"/>
      <c r="V281"/>
      <c r="W281"/>
      <c r="X281"/>
      <c r="Y281"/>
      <c r="Z281"/>
      <c r="AA281" s="19"/>
    </row>
    <row r="282" spans="1:27" s="1" customFormat="1" ht="15" x14ac:dyDescent="0.25">
      <c r="A282" s="5"/>
      <c r="B282"/>
      <c r="C282"/>
      <c r="D282"/>
      <c r="E282"/>
      <c r="F282"/>
      <c r="G282"/>
      <c r="H282"/>
      <c r="I282"/>
      <c r="J282"/>
      <c r="K282"/>
      <c r="L282"/>
      <c r="M282"/>
      <c r="N282"/>
      <c r="O282"/>
      <c r="P282"/>
      <c r="Q282"/>
      <c r="R282"/>
      <c r="S282"/>
      <c r="T282"/>
      <c r="U282"/>
      <c r="V282"/>
      <c r="W282"/>
      <c r="X282"/>
      <c r="Y282"/>
      <c r="Z282"/>
      <c r="AA282" s="19"/>
    </row>
    <row r="283" spans="1:27" s="1" customFormat="1" ht="15" x14ac:dyDescent="0.25">
      <c r="A283" s="5"/>
      <c r="B283"/>
      <c r="C283"/>
      <c r="D283"/>
      <c r="E283"/>
      <c r="F283"/>
      <c r="G283"/>
      <c r="H283"/>
      <c r="I283"/>
      <c r="J283"/>
      <c r="K283"/>
      <c r="L283"/>
      <c r="M283"/>
      <c r="N283"/>
      <c r="O283"/>
      <c r="P283"/>
      <c r="Q283"/>
      <c r="R283"/>
      <c r="S283"/>
      <c r="T283"/>
      <c r="U283"/>
      <c r="V283"/>
      <c r="W283"/>
      <c r="X283"/>
      <c r="Y283"/>
      <c r="Z283"/>
      <c r="AA283" s="19"/>
    </row>
    <row r="284" spans="1:27" s="1" customFormat="1" ht="15" x14ac:dyDescent="0.25">
      <c r="A284" s="5"/>
      <c r="B284"/>
      <c r="C284"/>
      <c r="D284"/>
      <c r="E284"/>
      <c r="F284"/>
      <c r="G284"/>
      <c r="H284"/>
      <c r="I284"/>
      <c r="J284"/>
      <c r="K284"/>
      <c r="L284"/>
      <c r="M284"/>
      <c r="N284"/>
      <c r="O284"/>
      <c r="P284"/>
      <c r="Q284"/>
      <c r="R284"/>
      <c r="S284"/>
      <c r="T284"/>
      <c r="U284"/>
      <c r="V284"/>
      <c r="W284"/>
      <c r="X284"/>
      <c r="Y284"/>
      <c r="Z284"/>
      <c r="AA284" s="19"/>
    </row>
    <row r="285" spans="1:27" s="1" customFormat="1" ht="15" x14ac:dyDescent="0.25">
      <c r="A285" s="5"/>
      <c r="B285"/>
      <c r="C285"/>
      <c r="D285"/>
      <c r="E285"/>
      <c r="F285"/>
      <c r="G285"/>
      <c r="H285"/>
      <c r="I285"/>
      <c r="J285"/>
      <c r="K285"/>
      <c r="L285"/>
      <c r="M285"/>
      <c r="N285"/>
      <c r="O285"/>
      <c r="P285"/>
      <c r="Q285"/>
      <c r="R285"/>
      <c r="S285"/>
      <c r="T285"/>
      <c r="U285"/>
      <c r="V285"/>
      <c r="W285"/>
      <c r="X285"/>
      <c r="Y285"/>
      <c r="Z285"/>
      <c r="AA285" s="19"/>
    </row>
    <row r="286" spans="1:27" s="1" customFormat="1" ht="15" x14ac:dyDescent="0.25">
      <c r="A286" s="5"/>
      <c r="B286"/>
      <c r="C286"/>
      <c r="D286"/>
      <c r="E286"/>
      <c r="F286"/>
      <c r="G286"/>
      <c r="H286"/>
      <c r="I286"/>
      <c r="J286"/>
      <c r="K286"/>
      <c r="L286"/>
      <c r="M286"/>
      <c r="N286"/>
      <c r="O286"/>
      <c r="P286"/>
      <c r="Q286"/>
      <c r="R286"/>
      <c r="S286"/>
      <c r="T286"/>
      <c r="U286"/>
      <c r="V286"/>
      <c r="W286"/>
      <c r="X286"/>
      <c r="Y286"/>
      <c r="Z286"/>
      <c r="AA286" s="19"/>
    </row>
    <row r="287" spans="1:27" s="1" customFormat="1" ht="15" x14ac:dyDescent="0.25">
      <c r="A287" s="5"/>
      <c r="B287"/>
      <c r="C287"/>
      <c r="D287"/>
      <c r="E287"/>
      <c r="F287"/>
      <c r="G287"/>
      <c r="H287"/>
      <c r="I287"/>
      <c r="J287"/>
      <c r="K287"/>
      <c r="L287"/>
      <c r="M287"/>
      <c r="N287"/>
      <c r="O287"/>
      <c r="P287"/>
      <c r="Q287"/>
      <c r="R287"/>
      <c r="S287"/>
      <c r="T287"/>
      <c r="U287"/>
      <c r="V287"/>
      <c r="W287"/>
      <c r="X287"/>
      <c r="Y287"/>
      <c r="Z287"/>
      <c r="AA287" s="19"/>
    </row>
    <row r="288" spans="1:27" s="1" customFormat="1" ht="15" x14ac:dyDescent="0.25">
      <c r="A288" s="5"/>
      <c r="B288"/>
      <c r="C288"/>
      <c r="D288"/>
      <c r="E288"/>
      <c r="F288"/>
      <c r="G288"/>
      <c r="H288"/>
      <c r="I288"/>
      <c r="J288"/>
      <c r="K288"/>
      <c r="L288"/>
      <c r="M288"/>
      <c r="N288"/>
      <c r="O288"/>
      <c r="P288"/>
      <c r="Q288"/>
      <c r="R288"/>
      <c r="S288"/>
      <c r="T288"/>
      <c r="U288"/>
      <c r="V288"/>
      <c r="W288"/>
      <c r="X288"/>
      <c r="Y288"/>
      <c r="Z288"/>
      <c r="AA288" s="19"/>
    </row>
    <row r="289" spans="1:27" s="1" customFormat="1" ht="15" x14ac:dyDescent="0.25">
      <c r="A289" s="5"/>
      <c r="B289"/>
      <c r="C289"/>
      <c r="D289"/>
      <c r="E289"/>
      <c r="F289"/>
      <c r="G289"/>
      <c r="H289"/>
      <c r="I289"/>
      <c r="J289"/>
      <c r="K289"/>
      <c r="L289"/>
      <c r="M289"/>
      <c r="N289"/>
      <c r="O289"/>
      <c r="P289"/>
      <c r="Q289"/>
      <c r="R289"/>
      <c r="S289"/>
      <c r="T289"/>
      <c r="U289"/>
      <c r="V289"/>
      <c r="W289"/>
      <c r="X289"/>
      <c r="Y289"/>
      <c r="Z289"/>
      <c r="AA289" s="19"/>
    </row>
    <row r="290" spans="1:27" s="1" customFormat="1" ht="15" x14ac:dyDescent="0.25">
      <c r="A290" s="5"/>
      <c r="B290"/>
      <c r="C290"/>
      <c r="D290"/>
      <c r="E290"/>
      <c r="F290"/>
      <c r="G290"/>
      <c r="H290"/>
      <c r="I290"/>
      <c r="J290"/>
      <c r="K290"/>
      <c r="L290"/>
      <c r="M290"/>
      <c r="N290"/>
      <c r="O290"/>
      <c r="P290"/>
      <c r="Q290"/>
      <c r="R290"/>
      <c r="S290"/>
      <c r="T290"/>
      <c r="U290"/>
      <c r="V290"/>
      <c r="W290"/>
      <c r="X290"/>
      <c r="Y290"/>
      <c r="Z290"/>
      <c r="AA290" s="19"/>
    </row>
    <row r="291" spans="1:27" s="1" customFormat="1" ht="15" x14ac:dyDescent="0.25">
      <c r="A291" s="5"/>
      <c r="B291"/>
      <c r="C291"/>
      <c r="D291"/>
      <c r="E291"/>
      <c r="F291"/>
      <c r="G291"/>
      <c r="H291"/>
      <c r="I291"/>
      <c r="J291"/>
      <c r="K291"/>
      <c r="L291"/>
      <c r="M291"/>
      <c r="N291"/>
      <c r="O291"/>
      <c r="P291"/>
      <c r="Q291"/>
      <c r="R291"/>
      <c r="S291"/>
      <c r="T291"/>
      <c r="U291"/>
      <c r="V291"/>
      <c r="W291"/>
      <c r="X291"/>
      <c r="Y291"/>
      <c r="Z291"/>
      <c r="AA291" s="19"/>
    </row>
    <row r="292" spans="1:27" s="1" customFormat="1" ht="15" x14ac:dyDescent="0.25">
      <c r="A292" s="5"/>
      <c r="B292"/>
      <c r="C292"/>
      <c r="D292"/>
      <c r="E292"/>
      <c r="F292"/>
      <c r="G292"/>
      <c r="H292"/>
      <c r="I292"/>
      <c r="J292"/>
      <c r="K292"/>
      <c r="L292"/>
      <c r="M292"/>
      <c r="N292"/>
      <c r="O292"/>
      <c r="P292"/>
      <c r="Q292"/>
      <c r="R292"/>
      <c r="S292"/>
      <c r="T292"/>
      <c r="U292"/>
      <c r="V292"/>
      <c r="W292"/>
      <c r="X292"/>
      <c r="Y292"/>
      <c r="Z292"/>
      <c r="AA292" s="19"/>
    </row>
    <row r="293" spans="1:27" s="1" customFormat="1" ht="15" x14ac:dyDescent="0.25">
      <c r="A293" s="5"/>
      <c r="B293"/>
      <c r="C293"/>
      <c r="D293"/>
      <c r="E293"/>
      <c r="F293"/>
      <c r="G293"/>
      <c r="H293"/>
      <c r="I293"/>
      <c r="J293"/>
      <c r="K293"/>
      <c r="L293"/>
      <c r="M293"/>
      <c r="N293"/>
      <c r="O293"/>
      <c r="P293"/>
      <c r="Q293"/>
      <c r="R293"/>
      <c r="S293"/>
      <c r="T293"/>
      <c r="U293"/>
      <c r="V293"/>
      <c r="W293"/>
      <c r="X293"/>
      <c r="Y293"/>
      <c r="Z293"/>
      <c r="AA293" s="19"/>
    </row>
    <row r="294" spans="1:27" s="1" customFormat="1" ht="15" x14ac:dyDescent="0.25">
      <c r="A294" s="5"/>
      <c r="B294"/>
      <c r="C294"/>
      <c r="D294"/>
      <c r="E294"/>
      <c r="F294"/>
      <c r="G294"/>
      <c r="H294"/>
      <c r="I294"/>
      <c r="J294"/>
      <c r="K294"/>
      <c r="L294"/>
      <c r="M294"/>
      <c r="N294"/>
      <c r="O294"/>
      <c r="P294"/>
      <c r="Q294"/>
      <c r="R294"/>
      <c r="S294"/>
      <c r="T294"/>
      <c r="U294"/>
      <c r="V294"/>
      <c r="W294"/>
      <c r="X294"/>
      <c r="Y294"/>
      <c r="Z294"/>
      <c r="AA294" s="19"/>
    </row>
    <row r="295" spans="1:27" s="1" customFormat="1" ht="15" x14ac:dyDescent="0.25">
      <c r="A295" s="5"/>
      <c r="B295"/>
      <c r="C295"/>
      <c r="D295"/>
      <c r="E295"/>
      <c r="F295"/>
      <c r="G295"/>
      <c r="H295"/>
      <c r="I295"/>
      <c r="J295"/>
      <c r="K295"/>
      <c r="L295"/>
      <c r="M295"/>
      <c r="N295"/>
      <c r="O295"/>
      <c r="P295"/>
      <c r="Q295"/>
      <c r="R295"/>
      <c r="S295"/>
      <c r="T295"/>
      <c r="U295"/>
      <c r="V295"/>
      <c r="W295"/>
      <c r="X295"/>
      <c r="Y295"/>
      <c r="Z295"/>
      <c r="AA295" s="19"/>
    </row>
    <row r="296" spans="1:27" s="1" customFormat="1" ht="15" x14ac:dyDescent="0.25">
      <c r="A296" s="5"/>
      <c r="B296"/>
      <c r="C296"/>
      <c r="D296"/>
      <c r="E296"/>
      <c r="F296"/>
      <c r="G296"/>
      <c r="H296"/>
      <c r="I296"/>
      <c r="J296"/>
      <c r="K296"/>
      <c r="L296"/>
      <c r="M296"/>
      <c r="N296"/>
      <c r="O296"/>
      <c r="P296"/>
      <c r="Q296"/>
      <c r="R296"/>
      <c r="S296"/>
      <c r="T296"/>
      <c r="U296"/>
      <c r="V296"/>
      <c r="W296"/>
      <c r="X296"/>
      <c r="Y296"/>
      <c r="Z296"/>
      <c r="AA296" s="19"/>
    </row>
    <row r="297" spans="1:27" s="1" customFormat="1" ht="15" x14ac:dyDescent="0.25">
      <c r="A297" s="5"/>
      <c r="B297"/>
      <c r="C297"/>
      <c r="D297"/>
      <c r="E297"/>
      <c r="F297"/>
      <c r="G297"/>
      <c r="H297"/>
      <c r="I297"/>
      <c r="J297"/>
      <c r="K297"/>
      <c r="L297"/>
      <c r="M297"/>
      <c r="N297"/>
      <c r="O297"/>
      <c r="P297"/>
      <c r="Q297"/>
      <c r="R297"/>
      <c r="S297"/>
      <c r="T297"/>
      <c r="U297"/>
      <c r="V297"/>
      <c r="W297"/>
      <c r="X297"/>
      <c r="Y297"/>
      <c r="Z297"/>
      <c r="AA297" s="19"/>
    </row>
    <row r="298" spans="1:27" s="1" customFormat="1" ht="15" x14ac:dyDescent="0.25">
      <c r="A298" s="5"/>
      <c r="B298"/>
      <c r="C298"/>
      <c r="D298"/>
      <c r="E298"/>
      <c r="F298"/>
      <c r="G298"/>
      <c r="H298"/>
      <c r="I298"/>
      <c r="J298"/>
      <c r="K298"/>
      <c r="L298"/>
      <c r="M298"/>
      <c r="N298"/>
      <c r="O298"/>
      <c r="P298"/>
      <c r="Q298"/>
      <c r="R298"/>
      <c r="S298"/>
      <c r="T298"/>
      <c r="U298"/>
      <c r="V298"/>
      <c r="W298"/>
      <c r="X298"/>
      <c r="Y298"/>
      <c r="Z298"/>
      <c r="AA298" s="19"/>
    </row>
    <row r="299" spans="1:27" s="1" customFormat="1" ht="15" x14ac:dyDescent="0.25">
      <c r="A299" s="5"/>
      <c r="B299"/>
      <c r="C299"/>
      <c r="D299"/>
      <c r="E299"/>
      <c r="F299"/>
      <c r="G299"/>
      <c r="H299"/>
      <c r="I299"/>
      <c r="J299"/>
      <c r="K299"/>
      <c r="L299"/>
      <c r="M299"/>
      <c r="N299"/>
      <c r="O299"/>
      <c r="P299"/>
      <c r="Q299"/>
      <c r="R299"/>
      <c r="S299"/>
      <c r="T299"/>
      <c r="U299"/>
      <c r="V299"/>
      <c r="W299"/>
      <c r="X299"/>
      <c r="Y299"/>
      <c r="Z299"/>
      <c r="AA299" s="19"/>
    </row>
    <row r="300" spans="1:27" s="1" customFormat="1" ht="15" x14ac:dyDescent="0.25">
      <c r="A300" s="5"/>
      <c r="B300"/>
      <c r="C300"/>
      <c r="D300"/>
      <c r="E300"/>
      <c r="F300"/>
      <c r="G300"/>
      <c r="H300"/>
      <c r="I300"/>
      <c r="J300"/>
      <c r="K300"/>
      <c r="L300"/>
      <c r="M300"/>
      <c r="N300"/>
      <c r="O300"/>
      <c r="P300"/>
      <c r="Q300"/>
      <c r="R300"/>
      <c r="S300"/>
      <c r="T300"/>
      <c r="U300"/>
      <c r="V300"/>
      <c r="W300"/>
      <c r="X300"/>
      <c r="Y300"/>
      <c r="Z300"/>
      <c r="AA300" s="19"/>
    </row>
    <row r="301" spans="1:27" s="1" customFormat="1" ht="15" x14ac:dyDescent="0.25">
      <c r="A301" s="5"/>
      <c r="B301"/>
      <c r="C301"/>
      <c r="D301"/>
      <c r="E301"/>
      <c r="F301"/>
      <c r="G301"/>
      <c r="H301"/>
      <c r="I301"/>
      <c r="J301"/>
      <c r="K301"/>
      <c r="L301"/>
      <c r="M301"/>
      <c r="N301"/>
      <c r="O301"/>
      <c r="P301"/>
      <c r="Q301"/>
      <c r="R301"/>
      <c r="S301"/>
      <c r="T301"/>
      <c r="U301"/>
      <c r="V301"/>
      <c r="W301"/>
      <c r="X301"/>
      <c r="Y301"/>
      <c r="Z301"/>
      <c r="AA301" s="19"/>
    </row>
    <row r="302" spans="1:27" s="1" customFormat="1" ht="15" x14ac:dyDescent="0.25">
      <c r="A302" s="5"/>
      <c r="B302"/>
      <c r="C302"/>
      <c r="D302"/>
      <c r="E302"/>
      <c r="F302"/>
      <c r="G302"/>
      <c r="H302"/>
      <c r="I302"/>
      <c r="J302"/>
      <c r="K302"/>
      <c r="L302"/>
      <c r="M302"/>
      <c r="N302"/>
      <c r="O302"/>
      <c r="P302"/>
      <c r="Q302"/>
      <c r="R302"/>
      <c r="S302"/>
      <c r="T302"/>
      <c r="U302"/>
      <c r="V302"/>
      <c r="W302"/>
      <c r="X302"/>
      <c r="Y302"/>
      <c r="Z302"/>
    </row>
    <row r="303" spans="1:27" s="1" customFormat="1" ht="15" x14ac:dyDescent="0.25">
      <c r="A303" s="5"/>
      <c r="B303"/>
      <c r="C303"/>
      <c r="D303"/>
      <c r="E303"/>
      <c r="F303"/>
      <c r="G303"/>
      <c r="H303"/>
      <c r="I303"/>
      <c r="J303"/>
      <c r="K303"/>
      <c r="L303"/>
      <c r="M303"/>
      <c r="N303"/>
      <c r="O303"/>
      <c r="P303"/>
      <c r="Q303"/>
      <c r="R303"/>
      <c r="S303"/>
      <c r="T303"/>
      <c r="U303"/>
      <c r="V303"/>
      <c r="W303"/>
      <c r="X303"/>
      <c r="Y303"/>
      <c r="Z303"/>
    </row>
    <row r="304" spans="1:27" s="1" customFormat="1" ht="15" x14ac:dyDescent="0.25">
      <c r="A304" s="5"/>
      <c r="B304"/>
      <c r="C304"/>
      <c r="D304"/>
      <c r="E304"/>
      <c r="F304"/>
      <c r="G304"/>
      <c r="H304"/>
      <c r="I304"/>
      <c r="J304"/>
      <c r="K304"/>
      <c r="L304"/>
      <c r="M304"/>
      <c r="N304"/>
      <c r="O304"/>
      <c r="P304"/>
      <c r="Q304"/>
      <c r="R304"/>
      <c r="S304"/>
      <c r="T304"/>
      <c r="U304"/>
      <c r="V304"/>
      <c r="W304"/>
      <c r="X304"/>
      <c r="Y304"/>
      <c r="Z304"/>
    </row>
    <row r="305" spans="1:26" s="1" customFormat="1" ht="15" x14ac:dyDescent="0.25">
      <c r="A305" s="5"/>
      <c r="B305"/>
      <c r="C305"/>
      <c r="D305"/>
      <c r="E305"/>
      <c r="F305"/>
      <c r="G305"/>
      <c r="H305"/>
      <c r="I305"/>
      <c r="J305"/>
      <c r="K305"/>
      <c r="L305"/>
      <c r="M305"/>
      <c r="N305"/>
      <c r="O305"/>
      <c r="P305"/>
      <c r="Q305"/>
      <c r="R305"/>
      <c r="S305"/>
      <c r="T305"/>
      <c r="U305"/>
      <c r="V305"/>
      <c r="W305"/>
      <c r="X305"/>
      <c r="Y305"/>
      <c r="Z305"/>
    </row>
    <row r="306" spans="1:26" s="1" customFormat="1" ht="15" x14ac:dyDescent="0.25">
      <c r="A306" s="5"/>
      <c r="B306"/>
      <c r="C306"/>
      <c r="D306"/>
      <c r="E306"/>
      <c r="F306"/>
      <c r="G306"/>
      <c r="H306"/>
      <c r="I306"/>
      <c r="J306"/>
      <c r="K306"/>
      <c r="L306"/>
      <c r="M306"/>
      <c r="N306"/>
      <c r="O306"/>
      <c r="P306"/>
      <c r="Q306"/>
      <c r="R306"/>
      <c r="S306"/>
      <c r="T306"/>
      <c r="U306"/>
      <c r="V306"/>
      <c r="W306"/>
      <c r="X306"/>
      <c r="Y306"/>
      <c r="Z306"/>
    </row>
    <row r="307" spans="1:26" s="1" customFormat="1" ht="15" x14ac:dyDescent="0.25">
      <c r="A307" s="5"/>
      <c r="B307"/>
      <c r="C307"/>
      <c r="D307"/>
      <c r="E307"/>
      <c r="F307"/>
      <c r="G307"/>
      <c r="H307"/>
      <c r="I307"/>
      <c r="J307"/>
      <c r="K307"/>
      <c r="L307"/>
      <c r="M307"/>
      <c r="N307"/>
      <c r="O307"/>
      <c r="P307"/>
      <c r="Q307"/>
      <c r="R307"/>
      <c r="S307"/>
      <c r="T307"/>
      <c r="U307"/>
      <c r="V307"/>
      <c r="W307"/>
      <c r="X307"/>
      <c r="Y307"/>
      <c r="Z307"/>
    </row>
    <row r="308" spans="1:26" s="1" customFormat="1" ht="15" x14ac:dyDescent="0.25">
      <c r="A308" s="5"/>
      <c r="B308"/>
      <c r="C308"/>
      <c r="D308"/>
      <c r="E308"/>
      <c r="F308"/>
      <c r="G308"/>
      <c r="H308"/>
      <c r="I308"/>
      <c r="J308"/>
      <c r="K308"/>
      <c r="L308"/>
      <c r="M308"/>
      <c r="N308"/>
      <c r="O308"/>
      <c r="P308"/>
      <c r="Q308"/>
      <c r="R308"/>
      <c r="S308"/>
      <c r="T308"/>
      <c r="U308"/>
      <c r="V308"/>
      <c r="W308"/>
      <c r="X308"/>
      <c r="Y308"/>
      <c r="Z308"/>
    </row>
    <row r="309" spans="1:26" s="1" customFormat="1" ht="15" x14ac:dyDescent="0.25">
      <c r="A309" s="5"/>
      <c r="B309"/>
      <c r="C309"/>
      <c r="D309"/>
      <c r="E309"/>
      <c r="F309"/>
      <c r="G309"/>
      <c r="H309"/>
      <c r="I309"/>
      <c r="J309"/>
      <c r="K309"/>
      <c r="L309"/>
      <c r="M309"/>
      <c r="N309"/>
      <c r="O309"/>
      <c r="P309"/>
      <c r="Q309"/>
      <c r="R309"/>
      <c r="S309"/>
      <c r="T309"/>
      <c r="U309"/>
      <c r="V309"/>
      <c r="W309"/>
      <c r="X309"/>
      <c r="Y309"/>
      <c r="Z309"/>
    </row>
    <row r="310" spans="1:26" s="1" customFormat="1" ht="15" x14ac:dyDescent="0.25">
      <c r="A310" s="5"/>
      <c r="B310"/>
      <c r="C310"/>
      <c r="D310"/>
      <c r="E310"/>
      <c r="F310"/>
      <c r="G310"/>
      <c r="H310"/>
      <c r="I310"/>
      <c r="J310"/>
      <c r="K310"/>
      <c r="L310"/>
      <c r="M310"/>
      <c r="N310"/>
      <c r="O310"/>
      <c r="P310"/>
      <c r="Q310"/>
      <c r="R310"/>
      <c r="S310"/>
      <c r="T310"/>
      <c r="U310"/>
      <c r="V310"/>
      <c r="W310"/>
      <c r="X310"/>
      <c r="Y310"/>
      <c r="Z310"/>
    </row>
    <row r="311" spans="1:26" s="1" customFormat="1" ht="15" x14ac:dyDescent="0.25">
      <c r="A311" s="5"/>
      <c r="B311"/>
      <c r="C311"/>
      <c r="D311"/>
      <c r="E311"/>
      <c r="F311"/>
      <c r="G311"/>
      <c r="H311"/>
      <c r="I311"/>
      <c r="J311"/>
      <c r="K311"/>
      <c r="L311"/>
      <c r="M311"/>
      <c r="N311"/>
      <c r="O311"/>
      <c r="P311"/>
      <c r="Q311"/>
      <c r="R311"/>
      <c r="S311"/>
      <c r="T311"/>
      <c r="U311"/>
      <c r="V311"/>
      <c r="W311"/>
      <c r="X311"/>
      <c r="Y311"/>
      <c r="Z311"/>
    </row>
    <row r="312" spans="1:26" s="1" customFormat="1" ht="15" x14ac:dyDescent="0.25">
      <c r="A312" s="5"/>
      <c r="B312"/>
      <c r="C312"/>
      <c r="D312"/>
      <c r="E312"/>
      <c r="F312"/>
      <c r="G312"/>
      <c r="H312"/>
      <c r="I312"/>
      <c r="J312"/>
      <c r="K312"/>
      <c r="L312"/>
      <c r="M312"/>
      <c r="N312"/>
      <c r="O312"/>
      <c r="P312"/>
      <c r="Q312"/>
      <c r="R312"/>
      <c r="S312"/>
      <c r="T312"/>
      <c r="U312"/>
      <c r="V312"/>
      <c r="W312"/>
      <c r="X312"/>
      <c r="Y312"/>
      <c r="Z312"/>
    </row>
    <row r="313" spans="1:26" s="1" customFormat="1" ht="15" x14ac:dyDescent="0.25">
      <c r="A313" s="5"/>
      <c r="B313"/>
      <c r="C313"/>
      <c r="D313"/>
      <c r="E313"/>
      <c r="F313"/>
      <c r="G313"/>
      <c r="H313"/>
      <c r="I313"/>
      <c r="J313"/>
      <c r="K313"/>
      <c r="L313"/>
      <c r="M313"/>
      <c r="N313"/>
      <c r="O313"/>
      <c r="P313"/>
      <c r="Q313"/>
      <c r="R313"/>
      <c r="S313"/>
      <c r="T313"/>
      <c r="U313"/>
      <c r="V313"/>
      <c r="W313"/>
      <c r="X313"/>
      <c r="Y313"/>
      <c r="Z313"/>
    </row>
    <row r="314" spans="1:26" s="1" customFormat="1" ht="15" x14ac:dyDescent="0.25">
      <c r="A314" s="5"/>
      <c r="B314"/>
      <c r="C314"/>
      <c r="D314"/>
      <c r="E314"/>
      <c r="F314"/>
      <c r="G314"/>
      <c r="H314"/>
      <c r="I314"/>
      <c r="J314"/>
      <c r="K314"/>
      <c r="L314"/>
      <c r="M314"/>
      <c r="N314"/>
      <c r="O314"/>
      <c r="P314"/>
      <c r="Q314"/>
      <c r="R314"/>
      <c r="S314"/>
      <c r="T314"/>
      <c r="U314"/>
      <c r="V314"/>
      <c r="W314"/>
      <c r="X314"/>
      <c r="Y314"/>
      <c r="Z314"/>
    </row>
    <row r="315" spans="1:26" s="1" customFormat="1" ht="15" x14ac:dyDescent="0.25">
      <c r="A315" s="5"/>
      <c r="B315"/>
      <c r="C315"/>
      <c r="D315"/>
      <c r="E315"/>
      <c r="F315"/>
      <c r="G315"/>
      <c r="H315"/>
      <c r="I315"/>
      <c r="J315"/>
      <c r="K315"/>
      <c r="L315"/>
      <c r="M315"/>
      <c r="N315"/>
      <c r="O315"/>
      <c r="P315"/>
      <c r="Q315"/>
      <c r="R315"/>
      <c r="S315"/>
      <c r="T315"/>
      <c r="U315"/>
      <c r="V315"/>
      <c r="W315"/>
      <c r="X315"/>
      <c r="Y315"/>
      <c r="Z315"/>
    </row>
    <row r="316" spans="1:26" s="1" customFormat="1" ht="15" x14ac:dyDescent="0.25">
      <c r="A316" s="5"/>
      <c r="B316"/>
      <c r="C316"/>
      <c r="D316"/>
      <c r="E316"/>
      <c r="F316"/>
      <c r="G316"/>
      <c r="H316"/>
      <c r="I316"/>
      <c r="J316"/>
      <c r="K316"/>
      <c r="L316"/>
      <c r="M316"/>
      <c r="N316"/>
      <c r="O316"/>
      <c r="P316"/>
      <c r="Q316"/>
      <c r="R316"/>
      <c r="S316"/>
      <c r="T316"/>
      <c r="U316"/>
      <c r="V316"/>
      <c r="W316"/>
      <c r="X316"/>
      <c r="Y316"/>
      <c r="Z316"/>
    </row>
    <row r="317" spans="1:26" s="1" customFormat="1" ht="15" x14ac:dyDescent="0.25">
      <c r="A317" s="5"/>
      <c r="B317"/>
      <c r="C317"/>
      <c r="D317"/>
      <c r="E317"/>
      <c r="F317"/>
      <c r="G317"/>
      <c r="H317"/>
      <c r="I317"/>
      <c r="J317"/>
      <c r="K317"/>
      <c r="L317"/>
      <c r="M317"/>
      <c r="N317"/>
      <c r="O317"/>
      <c r="P317"/>
      <c r="Q317"/>
      <c r="R317"/>
      <c r="S317"/>
      <c r="T317"/>
      <c r="U317"/>
      <c r="V317"/>
      <c r="W317"/>
      <c r="X317"/>
      <c r="Y317"/>
      <c r="Z317"/>
    </row>
    <row r="318" spans="1:26" s="1" customFormat="1" ht="15" x14ac:dyDescent="0.25">
      <c r="A318" s="5"/>
      <c r="B318"/>
      <c r="C318"/>
      <c r="D318"/>
      <c r="E318"/>
      <c r="F318"/>
      <c r="G318"/>
      <c r="H318"/>
      <c r="I318"/>
      <c r="J318"/>
      <c r="K318"/>
      <c r="L318"/>
      <c r="M318"/>
      <c r="N318"/>
      <c r="O318"/>
      <c r="P318"/>
      <c r="Q318"/>
      <c r="R318"/>
      <c r="S318"/>
      <c r="T318"/>
      <c r="U318"/>
      <c r="V318"/>
      <c r="W318"/>
      <c r="X318"/>
      <c r="Y318"/>
      <c r="Z318"/>
    </row>
    <row r="319" spans="1:26" s="1" customFormat="1" ht="15" x14ac:dyDescent="0.25">
      <c r="A319" s="5"/>
      <c r="B319"/>
      <c r="C319"/>
      <c r="D319"/>
      <c r="E319"/>
      <c r="F319"/>
      <c r="G319"/>
      <c r="H319"/>
      <c r="I319"/>
      <c r="J319"/>
      <c r="K319"/>
      <c r="L319"/>
      <c r="M319"/>
      <c r="N319"/>
      <c r="O319"/>
      <c r="P319"/>
      <c r="Q319"/>
      <c r="R319"/>
      <c r="S319"/>
      <c r="T319"/>
      <c r="U319"/>
      <c r="V319"/>
      <c r="W319"/>
      <c r="X319"/>
      <c r="Y319"/>
      <c r="Z319"/>
    </row>
    <row r="320" spans="1:26" s="1" customFormat="1" ht="15" x14ac:dyDescent="0.25">
      <c r="A320" s="5"/>
      <c r="B320"/>
      <c r="C320"/>
      <c r="D320"/>
      <c r="E320"/>
      <c r="F320"/>
      <c r="G320"/>
      <c r="H320"/>
      <c r="I320"/>
      <c r="J320"/>
      <c r="K320"/>
      <c r="L320"/>
      <c r="M320"/>
      <c r="N320"/>
      <c r="O320"/>
      <c r="P320"/>
      <c r="Q320"/>
      <c r="R320"/>
      <c r="S320"/>
      <c r="T320"/>
      <c r="U320"/>
      <c r="V320"/>
      <c r="W320"/>
      <c r="X320"/>
      <c r="Y320"/>
      <c r="Z320"/>
    </row>
    <row r="321" spans="1:26" s="1" customFormat="1" ht="15" x14ac:dyDescent="0.25">
      <c r="A321" s="5"/>
      <c r="B321"/>
      <c r="C321"/>
      <c r="D321"/>
      <c r="E321"/>
      <c r="F321"/>
      <c r="G321"/>
      <c r="H321"/>
      <c r="I321"/>
      <c r="J321"/>
      <c r="K321"/>
      <c r="L321"/>
      <c r="M321"/>
      <c r="N321"/>
      <c r="O321"/>
      <c r="P321"/>
      <c r="Q321"/>
      <c r="R321"/>
      <c r="S321"/>
      <c r="T321"/>
      <c r="U321"/>
      <c r="V321"/>
      <c r="W321"/>
      <c r="X321"/>
      <c r="Y321"/>
      <c r="Z321"/>
    </row>
    <row r="322" spans="1:26" s="1" customFormat="1" ht="15" x14ac:dyDescent="0.25">
      <c r="A322" s="5"/>
      <c r="B322"/>
      <c r="C322"/>
      <c r="D322"/>
      <c r="E322"/>
      <c r="F322"/>
      <c r="G322"/>
      <c r="H322"/>
      <c r="I322"/>
      <c r="J322"/>
      <c r="K322"/>
      <c r="L322"/>
      <c r="M322"/>
      <c r="N322"/>
      <c r="O322"/>
      <c r="P322"/>
      <c r="Q322"/>
      <c r="R322"/>
      <c r="S322"/>
      <c r="T322"/>
      <c r="U322"/>
      <c r="V322"/>
      <c r="W322"/>
      <c r="X322"/>
      <c r="Y322"/>
      <c r="Z322"/>
    </row>
    <row r="323" spans="1:26" s="1" customFormat="1" ht="15" x14ac:dyDescent="0.25">
      <c r="A323" s="5"/>
      <c r="B323"/>
      <c r="C323"/>
      <c r="D323"/>
      <c r="E323"/>
      <c r="F323"/>
      <c r="G323"/>
      <c r="H323"/>
      <c r="I323"/>
      <c r="J323"/>
      <c r="K323"/>
      <c r="L323"/>
      <c r="M323"/>
      <c r="N323"/>
      <c r="O323"/>
      <c r="P323"/>
      <c r="Q323"/>
      <c r="R323"/>
      <c r="S323"/>
      <c r="T323"/>
      <c r="U323"/>
      <c r="V323"/>
      <c r="W323"/>
      <c r="X323"/>
      <c r="Y323"/>
      <c r="Z323"/>
    </row>
    <row r="324" spans="1:26" s="1" customFormat="1" ht="15" x14ac:dyDescent="0.25">
      <c r="A324" s="5"/>
      <c r="B324"/>
      <c r="C324"/>
      <c r="D324"/>
      <c r="E324"/>
      <c r="F324"/>
      <c r="G324"/>
      <c r="H324"/>
      <c r="I324"/>
      <c r="J324"/>
      <c r="K324"/>
      <c r="L324"/>
      <c r="M324"/>
      <c r="N324"/>
      <c r="O324"/>
      <c r="P324"/>
      <c r="Q324"/>
      <c r="R324"/>
      <c r="S324"/>
      <c r="T324"/>
      <c r="U324"/>
      <c r="V324"/>
      <c r="W324"/>
      <c r="X324"/>
      <c r="Y324"/>
      <c r="Z324"/>
    </row>
    <row r="325" spans="1:26" s="1" customFormat="1" ht="15" x14ac:dyDescent="0.25">
      <c r="A325" s="5"/>
      <c r="B325"/>
      <c r="C325"/>
      <c r="D325"/>
      <c r="E325"/>
      <c r="F325"/>
      <c r="G325"/>
      <c r="H325"/>
      <c r="I325"/>
      <c r="J325"/>
      <c r="K325"/>
      <c r="L325"/>
      <c r="M325"/>
      <c r="N325"/>
      <c r="O325"/>
      <c r="P325"/>
      <c r="Q325"/>
      <c r="R325"/>
      <c r="S325"/>
      <c r="T325"/>
      <c r="U325"/>
      <c r="V325"/>
      <c r="W325"/>
      <c r="X325"/>
      <c r="Y325"/>
      <c r="Z325"/>
    </row>
    <row r="326" spans="1:26" s="1" customFormat="1" ht="15" x14ac:dyDescent="0.25">
      <c r="A326" s="5"/>
      <c r="B326"/>
      <c r="C326"/>
      <c r="D326"/>
      <c r="E326"/>
      <c r="F326"/>
      <c r="G326"/>
      <c r="H326"/>
      <c r="I326"/>
      <c r="J326"/>
      <c r="K326"/>
      <c r="L326"/>
      <c r="M326"/>
      <c r="N326"/>
      <c r="O326"/>
      <c r="P326"/>
      <c r="Q326"/>
      <c r="R326"/>
      <c r="S326"/>
      <c r="T326"/>
      <c r="U326"/>
      <c r="V326"/>
      <c r="W326"/>
      <c r="X326"/>
      <c r="Y326"/>
      <c r="Z326"/>
    </row>
    <row r="327" spans="1:26" s="1" customFormat="1" ht="15" x14ac:dyDescent="0.25">
      <c r="A327" s="5"/>
      <c r="B327"/>
      <c r="C327"/>
      <c r="D327"/>
      <c r="E327"/>
      <c r="F327"/>
      <c r="G327"/>
      <c r="H327"/>
      <c r="I327"/>
      <c r="J327"/>
      <c r="K327"/>
      <c r="L327"/>
      <c r="M327"/>
      <c r="N327"/>
      <c r="O327"/>
      <c r="P327"/>
      <c r="Q327"/>
      <c r="R327"/>
      <c r="S327"/>
      <c r="T327"/>
      <c r="U327"/>
      <c r="V327"/>
      <c r="W327"/>
      <c r="X327"/>
      <c r="Y327"/>
      <c r="Z327"/>
    </row>
    <row r="328" spans="1:26" s="1" customFormat="1" ht="15" x14ac:dyDescent="0.25">
      <c r="A328" s="5"/>
      <c r="B328"/>
      <c r="C328"/>
      <c r="D328"/>
      <c r="E328"/>
      <c r="F328"/>
      <c r="G328"/>
      <c r="H328"/>
      <c r="I328"/>
      <c r="J328"/>
      <c r="K328"/>
      <c r="L328"/>
      <c r="M328"/>
      <c r="N328"/>
      <c r="O328"/>
      <c r="P328"/>
      <c r="Q328"/>
      <c r="R328"/>
      <c r="S328"/>
      <c r="T328"/>
      <c r="U328"/>
      <c r="V328"/>
      <c r="W328"/>
      <c r="X328"/>
      <c r="Y328"/>
      <c r="Z328"/>
    </row>
    <row r="329" spans="1:26" s="1" customFormat="1" ht="15" x14ac:dyDescent="0.25">
      <c r="A329" s="5"/>
      <c r="B329"/>
      <c r="C329"/>
      <c r="D329"/>
      <c r="E329"/>
      <c r="F329"/>
      <c r="G329"/>
      <c r="H329"/>
      <c r="I329"/>
      <c r="J329"/>
      <c r="K329"/>
      <c r="L329"/>
      <c r="M329"/>
      <c r="N329"/>
      <c r="O329"/>
      <c r="P329"/>
      <c r="Q329"/>
      <c r="R329"/>
      <c r="S329"/>
      <c r="T329"/>
      <c r="U329"/>
      <c r="V329"/>
      <c r="W329"/>
      <c r="X329"/>
      <c r="Y329"/>
      <c r="Z329"/>
    </row>
    <row r="330" spans="1:26" s="1" customFormat="1" ht="15" x14ac:dyDescent="0.25">
      <c r="A330" s="5"/>
      <c r="B330"/>
      <c r="C330"/>
      <c r="D330"/>
      <c r="E330"/>
      <c r="F330"/>
      <c r="G330"/>
      <c r="H330"/>
      <c r="I330"/>
      <c r="J330"/>
      <c r="K330"/>
      <c r="L330"/>
      <c r="M330"/>
      <c r="N330"/>
      <c r="O330"/>
      <c r="P330"/>
      <c r="Q330"/>
      <c r="R330"/>
      <c r="S330"/>
      <c r="T330"/>
      <c r="U330"/>
      <c r="V330"/>
      <c r="W330"/>
      <c r="X330"/>
      <c r="Y330"/>
      <c r="Z330"/>
    </row>
    <row r="331" spans="1:26" s="1" customFormat="1" ht="15" x14ac:dyDescent="0.25">
      <c r="A331" s="5"/>
      <c r="B331"/>
      <c r="C331"/>
      <c r="D331"/>
      <c r="E331"/>
      <c r="F331"/>
      <c r="G331"/>
      <c r="H331"/>
      <c r="I331"/>
      <c r="J331"/>
      <c r="K331"/>
      <c r="L331"/>
      <c r="M331"/>
      <c r="N331"/>
      <c r="O331"/>
      <c r="P331"/>
      <c r="Q331"/>
      <c r="R331"/>
      <c r="S331"/>
      <c r="T331"/>
      <c r="U331"/>
      <c r="V331"/>
      <c r="W331"/>
      <c r="X331"/>
      <c r="Y331"/>
      <c r="Z331"/>
    </row>
    <row r="332" spans="1:26" s="1" customFormat="1" ht="15" x14ac:dyDescent="0.25">
      <c r="A332" s="5"/>
      <c r="B332"/>
      <c r="C332"/>
      <c r="D332"/>
      <c r="E332"/>
      <c r="F332"/>
      <c r="G332"/>
      <c r="H332"/>
      <c r="I332"/>
      <c r="J332"/>
      <c r="K332"/>
      <c r="L332"/>
      <c r="M332"/>
      <c r="N332"/>
      <c r="O332"/>
      <c r="P332"/>
      <c r="Q332"/>
      <c r="R332"/>
      <c r="S332"/>
      <c r="T332"/>
      <c r="U332"/>
      <c r="V332"/>
      <c r="W332"/>
      <c r="X332"/>
      <c r="Y332"/>
      <c r="Z332"/>
    </row>
    <row r="333" spans="1:26" s="1" customFormat="1" ht="15" x14ac:dyDescent="0.25">
      <c r="A333" s="5"/>
      <c r="B333"/>
      <c r="C333"/>
      <c r="D333"/>
      <c r="E333"/>
      <c r="F333"/>
      <c r="G333"/>
      <c r="H333"/>
      <c r="I333"/>
      <c r="J333"/>
      <c r="K333"/>
      <c r="L333"/>
      <c r="M333"/>
      <c r="N333"/>
      <c r="O333"/>
      <c r="P333"/>
      <c r="Q333"/>
      <c r="R333"/>
      <c r="S333"/>
      <c r="T333"/>
      <c r="U333"/>
      <c r="V333"/>
      <c r="W333"/>
      <c r="X333"/>
      <c r="Y333"/>
      <c r="Z333"/>
    </row>
    <row r="334" spans="1:26" s="1" customFormat="1" ht="15" x14ac:dyDescent="0.25">
      <c r="A334" s="5"/>
      <c r="B334"/>
      <c r="C334"/>
      <c r="D334"/>
      <c r="E334"/>
      <c r="F334"/>
      <c r="G334"/>
      <c r="H334"/>
      <c r="I334"/>
      <c r="J334"/>
      <c r="K334"/>
      <c r="L334"/>
      <c r="M334"/>
      <c r="N334"/>
      <c r="O334"/>
      <c r="P334"/>
      <c r="Q334"/>
      <c r="R334"/>
      <c r="S334"/>
      <c r="T334"/>
      <c r="U334"/>
      <c r="V334"/>
      <c r="W334"/>
      <c r="X334"/>
      <c r="Y334"/>
      <c r="Z334"/>
    </row>
    <row r="335" spans="1:26" s="1" customFormat="1" ht="15" x14ac:dyDescent="0.25">
      <c r="A335" s="5"/>
      <c r="B335"/>
      <c r="C335"/>
      <c r="D335"/>
      <c r="E335"/>
      <c r="F335"/>
      <c r="G335"/>
      <c r="H335"/>
      <c r="I335"/>
      <c r="J335"/>
      <c r="K335"/>
      <c r="L335"/>
      <c r="M335"/>
      <c r="N335"/>
      <c r="O335"/>
      <c r="P335"/>
      <c r="Q335"/>
      <c r="R335"/>
      <c r="S335"/>
      <c r="T335"/>
      <c r="U335"/>
      <c r="V335"/>
      <c r="W335"/>
      <c r="X335"/>
      <c r="Y335"/>
      <c r="Z335"/>
    </row>
    <row r="336" spans="1:26" s="1" customFormat="1" ht="15" x14ac:dyDescent="0.25">
      <c r="A336" s="5"/>
      <c r="B336"/>
      <c r="C336"/>
      <c r="D336"/>
      <c r="E336"/>
      <c r="F336"/>
      <c r="G336"/>
      <c r="H336"/>
      <c r="I336"/>
      <c r="J336"/>
      <c r="K336"/>
      <c r="L336"/>
      <c r="M336"/>
      <c r="N336"/>
      <c r="O336"/>
      <c r="P336"/>
      <c r="Q336"/>
      <c r="R336"/>
      <c r="S336"/>
      <c r="T336"/>
      <c r="U336"/>
      <c r="V336"/>
      <c r="W336"/>
      <c r="X336"/>
      <c r="Y336"/>
      <c r="Z336"/>
    </row>
    <row r="337" spans="1:26" s="1" customFormat="1" ht="15" x14ac:dyDescent="0.25">
      <c r="A337" s="5"/>
      <c r="B337"/>
      <c r="C337"/>
      <c r="D337"/>
      <c r="E337"/>
      <c r="F337"/>
      <c r="G337"/>
      <c r="H337"/>
      <c r="I337"/>
      <c r="J337"/>
      <c r="K337"/>
      <c r="L337"/>
      <c r="M337"/>
      <c r="N337"/>
      <c r="O337"/>
      <c r="P337"/>
      <c r="Q337"/>
      <c r="R337"/>
      <c r="S337"/>
      <c r="T337"/>
      <c r="U337"/>
      <c r="V337"/>
      <c r="W337"/>
      <c r="X337"/>
      <c r="Y337"/>
      <c r="Z337"/>
    </row>
    <row r="338" spans="1:26" s="1" customFormat="1" ht="15" x14ac:dyDescent="0.25">
      <c r="A338" s="5"/>
      <c r="B338"/>
      <c r="C338"/>
      <c r="D338"/>
      <c r="E338"/>
      <c r="F338"/>
      <c r="G338"/>
      <c r="H338"/>
      <c r="I338"/>
      <c r="J338"/>
      <c r="K338"/>
      <c r="L338"/>
      <c r="M338"/>
      <c r="N338"/>
      <c r="O338"/>
      <c r="P338"/>
      <c r="Q338"/>
      <c r="R338"/>
      <c r="S338"/>
      <c r="T338"/>
      <c r="U338"/>
      <c r="V338"/>
      <c r="W338"/>
      <c r="X338"/>
      <c r="Y338"/>
      <c r="Z338"/>
    </row>
    <row r="339" spans="1:26" s="1" customFormat="1" ht="15" x14ac:dyDescent="0.25">
      <c r="A339" s="5"/>
      <c r="B339"/>
      <c r="C339"/>
      <c r="D339"/>
      <c r="E339"/>
      <c r="F339"/>
      <c r="G339"/>
      <c r="H339"/>
      <c r="I339"/>
      <c r="J339"/>
      <c r="K339"/>
      <c r="L339"/>
      <c r="M339"/>
      <c r="N339"/>
      <c r="O339"/>
      <c r="P339"/>
      <c r="Q339"/>
      <c r="R339"/>
      <c r="S339"/>
      <c r="T339"/>
      <c r="U339"/>
      <c r="V339"/>
      <c r="W339"/>
      <c r="X339"/>
      <c r="Y339"/>
      <c r="Z339"/>
    </row>
    <row r="340" spans="1:26" s="1" customFormat="1" ht="15" x14ac:dyDescent="0.25">
      <c r="A340" s="5"/>
      <c r="B340"/>
      <c r="C340"/>
      <c r="D340"/>
      <c r="E340"/>
      <c r="F340"/>
      <c r="G340"/>
      <c r="H340"/>
      <c r="I340"/>
      <c r="J340"/>
      <c r="K340"/>
      <c r="L340"/>
      <c r="M340"/>
      <c r="N340"/>
      <c r="O340"/>
      <c r="P340"/>
      <c r="Q340"/>
      <c r="R340"/>
      <c r="S340"/>
      <c r="T340"/>
      <c r="U340"/>
      <c r="V340"/>
      <c r="W340"/>
      <c r="X340"/>
      <c r="Y340"/>
      <c r="Z340"/>
    </row>
    <row r="341" spans="1:26" s="1" customFormat="1" ht="15" x14ac:dyDescent="0.25">
      <c r="A341" s="5"/>
      <c r="B341"/>
      <c r="C341"/>
      <c r="D341"/>
      <c r="E341"/>
      <c r="F341"/>
      <c r="G341"/>
      <c r="H341"/>
      <c r="I341"/>
      <c r="J341"/>
      <c r="K341"/>
      <c r="L341"/>
      <c r="M341"/>
      <c r="N341"/>
      <c r="O341"/>
      <c r="P341"/>
      <c r="Q341"/>
      <c r="R341"/>
      <c r="S341"/>
      <c r="T341"/>
      <c r="U341"/>
      <c r="V341"/>
      <c r="W341"/>
      <c r="X341"/>
      <c r="Y341"/>
      <c r="Z341"/>
    </row>
    <row r="342" spans="1:26" s="1" customFormat="1" ht="15" x14ac:dyDescent="0.25">
      <c r="A342" s="5"/>
      <c r="B342"/>
      <c r="C342"/>
      <c r="D342"/>
      <c r="E342"/>
      <c r="F342"/>
      <c r="G342"/>
      <c r="H342"/>
      <c r="I342"/>
      <c r="J342"/>
      <c r="K342"/>
      <c r="L342"/>
      <c r="M342"/>
      <c r="N342"/>
      <c r="O342"/>
      <c r="P342"/>
      <c r="Q342"/>
      <c r="R342"/>
      <c r="S342"/>
      <c r="T342"/>
      <c r="U342"/>
      <c r="V342"/>
      <c r="W342"/>
      <c r="X342"/>
      <c r="Y342"/>
      <c r="Z342"/>
    </row>
    <row r="343" spans="1:26" s="1" customFormat="1" ht="15" x14ac:dyDescent="0.25">
      <c r="A343" s="5"/>
      <c r="B343"/>
      <c r="C343"/>
      <c r="D343"/>
      <c r="E343"/>
      <c r="F343"/>
      <c r="G343"/>
      <c r="H343"/>
      <c r="I343"/>
      <c r="J343"/>
      <c r="K343"/>
      <c r="L343"/>
      <c r="M343"/>
      <c r="N343"/>
      <c r="O343"/>
      <c r="P343"/>
      <c r="Q343"/>
      <c r="R343"/>
      <c r="S343"/>
      <c r="T343"/>
      <c r="U343"/>
      <c r="V343"/>
      <c r="W343"/>
      <c r="X343"/>
      <c r="Y343"/>
      <c r="Z343"/>
    </row>
    <row r="344" spans="1:26" s="1" customFormat="1" ht="15" x14ac:dyDescent="0.25">
      <c r="A344" s="5"/>
      <c r="B344"/>
      <c r="C344"/>
      <c r="D344"/>
      <c r="E344"/>
      <c r="F344"/>
      <c r="G344"/>
      <c r="H344"/>
      <c r="I344"/>
      <c r="J344"/>
      <c r="K344"/>
      <c r="L344"/>
      <c r="M344"/>
      <c r="N344"/>
      <c r="O344"/>
      <c r="P344"/>
      <c r="Q344"/>
      <c r="R344"/>
      <c r="S344"/>
      <c r="T344"/>
      <c r="U344"/>
      <c r="V344"/>
      <c r="W344"/>
      <c r="X344"/>
      <c r="Y344"/>
      <c r="Z344"/>
    </row>
    <row r="345" spans="1:26" s="1" customFormat="1" ht="15" x14ac:dyDescent="0.25">
      <c r="A345" s="5"/>
      <c r="B345"/>
      <c r="C345"/>
      <c r="D345"/>
      <c r="E345"/>
      <c r="F345"/>
      <c r="G345"/>
      <c r="H345"/>
      <c r="I345"/>
      <c r="J345"/>
      <c r="K345"/>
      <c r="L345"/>
      <c r="M345"/>
      <c r="N345"/>
      <c r="O345"/>
      <c r="P345"/>
      <c r="Q345"/>
      <c r="R345"/>
      <c r="S345"/>
      <c r="T345"/>
      <c r="U345"/>
      <c r="V345"/>
      <c r="W345"/>
      <c r="X345"/>
      <c r="Y345"/>
      <c r="Z345"/>
    </row>
    <row r="346" spans="1:26" s="1" customFormat="1" ht="15" x14ac:dyDescent="0.25">
      <c r="A346" s="5"/>
      <c r="B346"/>
      <c r="C346"/>
      <c r="D346"/>
      <c r="E346"/>
      <c r="F346"/>
      <c r="G346"/>
      <c r="H346"/>
      <c r="I346"/>
      <c r="J346"/>
      <c r="K346"/>
      <c r="L346"/>
      <c r="M346"/>
      <c r="N346"/>
      <c r="O346"/>
      <c r="P346"/>
      <c r="Q346"/>
      <c r="R346"/>
      <c r="S346"/>
      <c r="T346"/>
      <c r="U346"/>
      <c r="V346"/>
      <c r="W346"/>
      <c r="X346"/>
      <c r="Y346"/>
      <c r="Z346"/>
    </row>
    <row r="347" spans="1:26" s="1" customFormat="1" ht="15" x14ac:dyDescent="0.25">
      <c r="A347" s="5"/>
      <c r="B347"/>
      <c r="C347"/>
      <c r="D347"/>
      <c r="E347"/>
      <c r="F347"/>
      <c r="G347"/>
      <c r="H347"/>
      <c r="I347"/>
      <c r="J347"/>
      <c r="K347"/>
      <c r="L347"/>
      <c r="M347"/>
      <c r="N347"/>
      <c r="O347"/>
      <c r="P347"/>
      <c r="Q347"/>
      <c r="R347"/>
      <c r="S347"/>
      <c r="T347"/>
      <c r="U347"/>
      <c r="V347"/>
      <c r="W347"/>
      <c r="X347"/>
      <c r="Y347"/>
      <c r="Z347"/>
    </row>
    <row r="348" spans="1:26" s="1" customFormat="1" ht="15" x14ac:dyDescent="0.25">
      <c r="A348" s="5"/>
      <c r="B348"/>
      <c r="C348"/>
      <c r="D348"/>
      <c r="E348"/>
      <c r="F348"/>
      <c r="G348"/>
      <c r="H348"/>
      <c r="I348"/>
      <c r="J348"/>
      <c r="K348"/>
      <c r="L348"/>
      <c r="M348"/>
      <c r="N348"/>
      <c r="O348"/>
      <c r="P348"/>
      <c r="Q348"/>
      <c r="R348"/>
      <c r="S348"/>
      <c r="T348"/>
      <c r="U348"/>
      <c r="V348"/>
      <c r="W348"/>
      <c r="X348"/>
      <c r="Y348"/>
      <c r="Z348"/>
    </row>
    <row r="349" spans="1:26" s="1" customFormat="1" ht="15" x14ac:dyDescent="0.25">
      <c r="A349" s="5"/>
      <c r="B349"/>
      <c r="C349"/>
      <c r="D349"/>
      <c r="E349"/>
      <c r="F349"/>
      <c r="G349"/>
      <c r="H349"/>
      <c r="I349"/>
      <c r="J349"/>
      <c r="K349"/>
      <c r="L349"/>
      <c r="M349"/>
      <c r="N349"/>
      <c r="O349"/>
      <c r="P349"/>
      <c r="Q349"/>
      <c r="R349"/>
      <c r="S349"/>
      <c r="T349"/>
      <c r="U349"/>
      <c r="V349"/>
      <c r="W349"/>
      <c r="X349"/>
      <c r="Y349"/>
      <c r="Z349"/>
    </row>
    <row r="350" spans="1:26" s="1" customFormat="1" ht="15" x14ac:dyDescent="0.25">
      <c r="A350" s="5"/>
      <c r="B350"/>
      <c r="C350"/>
      <c r="D350"/>
      <c r="E350"/>
      <c r="F350"/>
      <c r="G350"/>
      <c r="H350"/>
      <c r="I350"/>
      <c r="J350"/>
      <c r="K350"/>
      <c r="L350"/>
      <c r="M350"/>
      <c r="N350"/>
      <c r="O350"/>
      <c r="P350"/>
      <c r="Q350"/>
      <c r="R350"/>
      <c r="S350"/>
      <c r="T350"/>
      <c r="U350"/>
      <c r="V350"/>
      <c r="W350"/>
      <c r="X350"/>
      <c r="Y350"/>
      <c r="Z350"/>
    </row>
    <row r="351" spans="1:26" s="1" customFormat="1" ht="15" x14ac:dyDescent="0.25">
      <c r="A351" s="5"/>
      <c r="B351"/>
      <c r="C351"/>
      <c r="D351"/>
      <c r="E351"/>
      <c r="F351"/>
      <c r="G351"/>
      <c r="H351"/>
      <c r="I351"/>
      <c r="J351"/>
      <c r="K351"/>
      <c r="L351"/>
      <c r="M351"/>
      <c r="N351"/>
      <c r="O351"/>
      <c r="P351"/>
      <c r="Q351"/>
      <c r="R351"/>
      <c r="S351"/>
      <c r="T351"/>
      <c r="U351"/>
      <c r="V351"/>
      <c r="W351"/>
      <c r="X351"/>
      <c r="Y351"/>
      <c r="Z351"/>
    </row>
    <row r="352" spans="1:26" s="1" customFormat="1" ht="15" x14ac:dyDescent="0.25">
      <c r="A352" s="5"/>
      <c r="B352"/>
      <c r="C352"/>
      <c r="D352"/>
      <c r="E352"/>
      <c r="F352"/>
      <c r="G352"/>
      <c r="H352"/>
      <c r="I352"/>
      <c r="J352"/>
      <c r="K352"/>
      <c r="L352"/>
      <c r="M352"/>
      <c r="N352"/>
      <c r="O352"/>
      <c r="P352"/>
      <c r="Q352"/>
      <c r="R352"/>
      <c r="S352"/>
      <c r="T352"/>
      <c r="U352"/>
      <c r="V352"/>
      <c r="W352"/>
      <c r="X352"/>
      <c r="Y352"/>
      <c r="Z352"/>
    </row>
    <row r="353" spans="1:26" s="1" customFormat="1" ht="15" x14ac:dyDescent="0.25">
      <c r="A353" s="5"/>
      <c r="B353"/>
      <c r="C353"/>
      <c r="D353"/>
      <c r="E353"/>
      <c r="F353"/>
      <c r="G353"/>
      <c r="H353"/>
      <c r="I353"/>
      <c r="J353"/>
      <c r="K353"/>
      <c r="L353"/>
      <c r="M353"/>
      <c r="N353"/>
      <c r="O353"/>
      <c r="P353"/>
      <c r="Q353"/>
      <c r="R353"/>
      <c r="S353"/>
      <c r="T353"/>
      <c r="U353"/>
      <c r="V353"/>
      <c r="W353"/>
      <c r="X353"/>
      <c r="Y353"/>
      <c r="Z353"/>
    </row>
    <row r="354" spans="1:26" s="1" customFormat="1" ht="15" x14ac:dyDescent="0.25">
      <c r="A354" s="5"/>
      <c r="B354"/>
      <c r="C354"/>
      <c r="D354"/>
      <c r="E354"/>
      <c r="F354"/>
      <c r="G354"/>
      <c r="H354"/>
      <c r="I354"/>
      <c r="J354"/>
      <c r="K354"/>
      <c r="L354"/>
      <c r="M354"/>
      <c r="N354"/>
      <c r="O354"/>
      <c r="P354"/>
      <c r="Q354"/>
      <c r="R354"/>
      <c r="S354"/>
      <c r="T354"/>
      <c r="U354"/>
      <c r="V354"/>
      <c r="W354"/>
      <c r="X354"/>
      <c r="Y354"/>
      <c r="Z354"/>
    </row>
    <row r="355" spans="1:26" s="1" customFormat="1" ht="15" x14ac:dyDescent="0.25">
      <c r="A355" s="5"/>
      <c r="B355"/>
      <c r="C355"/>
      <c r="D355"/>
      <c r="E355"/>
      <c r="F355"/>
      <c r="G355"/>
      <c r="H355"/>
      <c r="I355"/>
      <c r="J355"/>
      <c r="K355"/>
      <c r="L355"/>
      <c r="M355"/>
      <c r="N355"/>
      <c r="O355"/>
      <c r="P355"/>
      <c r="Q355"/>
      <c r="R355"/>
      <c r="S355"/>
      <c r="T355"/>
      <c r="U355"/>
      <c r="V355"/>
      <c r="W355"/>
      <c r="X355"/>
      <c r="Y355"/>
      <c r="Z355"/>
    </row>
    <row r="356" spans="1:26" s="1" customFormat="1" ht="15" x14ac:dyDescent="0.25">
      <c r="A356" s="5"/>
      <c r="B356"/>
      <c r="C356"/>
      <c r="D356"/>
      <c r="E356"/>
      <c r="F356"/>
      <c r="G356"/>
      <c r="H356"/>
      <c r="I356"/>
      <c r="J356"/>
      <c r="K356"/>
      <c r="L356"/>
      <c r="M356"/>
      <c r="N356"/>
      <c r="O356"/>
      <c r="P356"/>
      <c r="Q356"/>
      <c r="R356"/>
      <c r="S356"/>
      <c r="T356"/>
      <c r="U356"/>
      <c r="V356"/>
      <c r="W356"/>
      <c r="X356"/>
      <c r="Y356"/>
      <c r="Z356"/>
    </row>
    <row r="357" spans="1:26" s="1" customFormat="1" ht="15" x14ac:dyDescent="0.25">
      <c r="A357" s="5"/>
      <c r="B357"/>
      <c r="C357"/>
      <c r="D357"/>
      <c r="E357"/>
      <c r="F357"/>
      <c r="G357"/>
      <c r="H357"/>
      <c r="I357"/>
      <c r="J357"/>
      <c r="K357"/>
      <c r="L357"/>
      <c r="M357"/>
      <c r="N357"/>
      <c r="O357"/>
      <c r="P357"/>
      <c r="Q357"/>
      <c r="R357"/>
      <c r="S357"/>
      <c r="T357"/>
      <c r="U357"/>
      <c r="V357"/>
      <c r="W357"/>
      <c r="X357"/>
      <c r="Y357"/>
      <c r="Z357"/>
    </row>
    <row r="358" spans="1:26" s="1" customFormat="1" ht="15" x14ac:dyDescent="0.25">
      <c r="A358" s="5"/>
      <c r="B358"/>
      <c r="C358"/>
      <c r="D358"/>
      <c r="E358"/>
      <c r="F358"/>
      <c r="G358"/>
      <c r="H358"/>
      <c r="I358"/>
      <c r="J358"/>
      <c r="K358"/>
      <c r="L358"/>
      <c r="M358"/>
      <c r="N358"/>
      <c r="O358"/>
      <c r="P358"/>
      <c r="Q358"/>
      <c r="R358"/>
      <c r="S358"/>
      <c r="T358"/>
      <c r="U358"/>
      <c r="V358"/>
      <c r="W358"/>
      <c r="X358"/>
      <c r="Y358"/>
      <c r="Z358"/>
    </row>
    <row r="359" spans="1:26" s="1" customFormat="1" ht="15" x14ac:dyDescent="0.25">
      <c r="A359" s="5"/>
      <c r="B359"/>
      <c r="C359"/>
      <c r="D359"/>
      <c r="E359"/>
      <c r="F359"/>
      <c r="G359"/>
      <c r="H359"/>
      <c r="I359"/>
      <c r="J359"/>
      <c r="K359"/>
      <c r="L359"/>
      <c r="M359"/>
      <c r="N359"/>
      <c r="O359"/>
      <c r="P359"/>
      <c r="Q359"/>
      <c r="R359"/>
      <c r="S359"/>
      <c r="T359"/>
      <c r="U359"/>
      <c r="V359"/>
      <c r="W359"/>
      <c r="X359"/>
      <c r="Y359"/>
      <c r="Z359"/>
    </row>
    <row r="360" spans="1:26" s="1" customFormat="1" ht="15" x14ac:dyDescent="0.25">
      <c r="A360" s="5"/>
      <c r="B360"/>
      <c r="C360"/>
      <c r="D360"/>
      <c r="E360"/>
      <c r="F360"/>
      <c r="G360"/>
      <c r="H360"/>
      <c r="I360"/>
      <c r="J360"/>
      <c r="K360"/>
      <c r="L360"/>
      <c r="M360"/>
      <c r="N360"/>
      <c r="O360"/>
      <c r="P360"/>
      <c r="Q360"/>
      <c r="R360"/>
      <c r="S360"/>
      <c r="T360"/>
      <c r="U360"/>
      <c r="V360"/>
      <c r="W360"/>
      <c r="X360"/>
      <c r="Y360"/>
      <c r="Z360"/>
    </row>
    <row r="361" spans="1:26" s="1" customFormat="1" ht="15" x14ac:dyDescent="0.25">
      <c r="A361" s="5"/>
      <c r="B361"/>
      <c r="C361"/>
      <c r="D361"/>
      <c r="E361"/>
      <c r="F361"/>
      <c r="G361"/>
      <c r="H361"/>
      <c r="I361"/>
      <c r="J361"/>
      <c r="K361"/>
      <c r="L361"/>
      <c r="M361"/>
      <c r="N361"/>
      <c r="O361"/>
      <c r="P361"/>
      <c r="Q361"/>
      <c r="R361"/>
      <c r="S361"/>
      <c r="T361"/>
      <c r="U361"/>
      <c r="V361"/>
      <c r="W361"/>
      <c r="X361"/>
      <c r="Y361"/>
      <c r="Z361"/>
    </row>
    <row r="362" spans="1:26" s="1" customFormat="1" ht="15" x14ac:dyDescent="0.25">
      <c r="A362" s="5"/>
      <c r="B362"/>
      <c r="C362"/>
      <c r="D362"/>
      <c r="E362"/>
      <c r="F362"/>
      <c r="G362"/>
      <c r="H362"/>
      <c r="I362"/>
      <c r="J362"/>
      <c r="K362"/>
      <c r="L362"/>
      <c r="M362"/>
      <c r="N362"/>
      <c r="O362"/>
      <c r="P362"/>
      <c r="Q362"/>
      <c r="R362"/>
      <c r="S362"/>
      <c r="T362"/>
      <c r="U362"/>
      <c r="V362"/>
      <c r="W362"/>
      <c r="X362"/>
      <c r="Y362"/>
      <c r="Z362"/>
    </row>
    <row r="363" spans="1:26" s="1" customFormat="1" ht="15" x14ac:dyDescent="0.25">
      <c r="A363" s="5"/>
      <c r="B363"/>
      <c r="C363"/>
      <c r="D363"/>
      <c r="E363"/>
      <c r="F363"/>
      <c r="G363"/>
      <c r="H363"/>
      <c r="I363"/>
      <c r="J363"/>
      <c r="K363"/>
      <c r="L363"/>
      <c r="M363"/>
      <c r="N363"/>
      <c r="O363"/>
      <c r="P363"/>
      <c r="Q363"/>
      <c r="R363"/>
      <c r="S363"/>
      <c r="T363"/>
      <c r="U363"/>
      <c r="V363"/>
      <c r="W363"/>
      <c r="X363"/>
      <c r="Y363"/>
      <c r="Z363"/>
    </row>
    <row r="364" spans="1:26" s="1" customFormat="1" ht="15" x14ac:dyDescent="0.25">
      <c r="A364" s="5"/>
      <c r="B364"/>
      <c r="C364"/>
      <c r="D364"/>
      <c r="E364"/>
      <c r="F364"/>
      <c r="G364"/>
      <c r="H364"/>
      <c r="I364"/>
      <c r="J364"/>
      <c r="K364"/>
      <c r="L364"/>
      <c r="M364"/>
      <c r="N364"/>
      <c r="O364"/>
      <c r="P364"/>
      <c r="Q364"/>
      <c r="R364"/>
      <c r="S364"/>
      <c r="T364"/>
      <c r="U364"/>
      <c r="V364"/>
      <c r="W364"/>
      <c r="X364"/>
      <c r="Y364"/>
      <c r="Z364"/>
    </row>
    <row r="365" spans="1:26" s="1" customFormat="1" ht="15" x14ac:dyDescent="0.25">
      <c r="A365" s="5"/>
      <c r="B365"/>
      <c r="C365"/>
      <c r="D365"/>
      <c r="E365"/>
      <c r="F365"/>
      <c r="G365"/>
      <c r="H365"/>
      <c r="I365"/>
      <c r="J365"/>
      <c r="K365"/>
      <c r="L365"/>
      <c r="M365"/>
      <c r="N365"/>
      <c r="O365"/>
      <c r="P365"/>
      <c r="Q365"/>
      <c r="R365"/>
      <c r="S365"/>
      <c r="T365"/>
      <c r="U365"/>
      <c r="V365"/>
      <c r="W365"/>
      <c r="X365"/>
      <c r="Y365"/>
      <c r="Z365"/>
    </row>
    <row r="366" spans="1:26" s="1" customFormat="1" ht="15" x14ac:dyDescent="0.25">
      <c r="A366" s="5"/>
      <c r="B366"/>
      <c r="C366"/>
      <c r="D366"/>
      <c r="E366"/>
      <c r="F366"/>
      <c r="G366"/>
      <c r="H366"/>
      <c r="I366"/>
      <c r="J366"/>
      <c r="K366"/>
      <c r="L366"/>
      <c r="M366"/>
      <c r="N366"/>
      <c r="O366"/>
      <c r="P366"/>
      <c r="Q366"/>
      <c r="R366"/>
      <c r="S366"/>
      <c r="T366"/>
      <c r="U366"/>
      <c r="V366"/>
      <c r="W366"/>
      <c r="X366"/>
      <c r="Y366"/>
      <c r="Z366"/>
    </row>
    <row r="367" spans="1:26" s="1" customFormat="1" ht="15" x14ac:dyDescent="0.25">
      <c r="A367" s="5"/>
      <c r="B367"/>
      <c r="C367"/>
      <c r="D367"/>
      <c r="E367"/>
      <c r="F367"/>
      <c r="G367"/>
      <c r="H367"/>
      <c r="I367"/>
      <c r="J367"/>
      <c r="K367"/>
      <c r="L367"/>
      <c r="M367"/>
      <c r="N367"/>
      <c r="O367"/>
      <c r="P367"/>
      <c r="Q367"/>
      <c r="R367"/>
      <c r="S367"/>
      <c r="T367"/>
      <c r="U367"/>
      <c r="V367"/>
      <c r="W367"/>
      <c r="X367"/>
      <c r="Y367"/>
      <c r="Z367"/>
    </row>
    <row r="368" spans="1:26" s="1" customFormat="1" ht="15" x14ac:dyDescent="0.25">
      <c r="A368" s="5"/>
      <c r="B368"/>
      <c r="C368"/>
      <c r="D368"/>
      <c r="E368"/>
      <c r="F368"/>
      <c r="G368"/>
      <c r="H368"/>
      <c r="I368"/>
      <c r="J368"/>
      <c r="K368"/>
      <c r="L368"/>
      <c r="M368"/>
      <c r="N368"/>
      <c r="O368"/>
      <c r="P368"/>
      <c r="Q368"/>
      <c r="R368"/>
      <c r="S368"/>
      <c r="T368"/>
      <c r="U368"/>
      <c r="V368"/>
      <c r="W368"/>
      <c r="X368"/>
      <c r="Y368"/>
      <c r="Z368"/>
    </row>
    <row r="369" spans="1:26" s="1" customFormat="1" ht="15" x14ac:dyDescent="0.25">
      <c r="A369" s="5"/>
      <c r="B369"/>
      <c r="C369"/>
      <c r="D369"/>
      <c r="E369"/>
      <c r="F369"/>
      <c r="G369"/>
      <c r="H369"/>
      <c r="I369"/>
      <c r="J369"/>
      <c r="K369"/>
      <c r="L369"/>
      <c r="M369"/>
      <c r="N369"/>
      <c r="O369"/>
      <c r="P369"/>
      <c r="Q369"/>
      <c r="R369"/>
      <c r="S369"/>
      <c r="T369"/>
      <c r="U369"/>
      <c r="V369"/>
      <c r="W369"/>
      <c r="X369"/>
      <c r="Y369"/>
      <c r="Z369"/>
    </row>
    <row r="370" spans="1:26" s="1" customFormat="1" ht="15" x14ac:dyDescent="0.25">
      <c r="A370" s="5"/>
      <c r="B370"/>
      <c r="C370"/>
      <c r="D370"/>
      <c r="E370"/>
      <c r="F370"/>
      <c r="G370"/>
      <c r="H370"/>
      <c r="I370"/>
      <c r="J370"/>
      <c r="K370"/>
      <c r="L370"/>
      <c r="M370"/>
      <c r="N370"/>
      <c r="O370"/>
      <c r="P370"/>
      <c r="Q370"/>
      <c r="R370"/>
      <c r="S370"/>
      <c r="T370"/>
      <c r="U370"/>
      <c r="V370"/>
      <c r="W370"/>
      <c r="X370"/>
      <c r="Y370"/>
      <c r="Z370"/>
    </row>
    <row r="371" spans="1:26" s="1" customFormat="1" ht="15" x14ac:dyDescent="0.25">
      <c r="A371" s="5"/>
      <c r="B371"/>
      <c r="C371"/>
      <c r="D371"/>
      <c r="E371"/>
      <c r="F371"/>
      <c r="G371"/>
      <c r="H371"/>
      <c r="I371"/>
      <c r="J371"/>
      <c r="K371"/>
      <c r="L371"/>
      <c r="M371"/>
      <c r="N371"/>
      <c r="O371"/>
      <c r="P371"/>
      <c r="Q371"/>
      <c r="R371"/>
      <c r="S371"/>
      <c r="T371"/>
      <c r="U371"/>
      <c r="V371"/>
      <c r="W371"/>
      <c r="X371"/>
      <c r="Y371"/>
      <c r="Z371"/>
    </row>
    <row r="372" spans="1:26" s="1" customFormat="1" ht="15" x14ac:dyDescent="0.25">
      <c r="A372" s="5"/>
      <c r="B372"/>
      <c r="C372"/>
      <c r="D372"/>
      <c r="E372"/>
      <c r="F372"/>
      <c r="G372"/>
      <c r="H372"/>
      <c r="I372"/>
      <c r="J372"/>
      <c r="K372"/>
      <c r="L372"/>
      <c r="M372"/>
      <c r="N372"/>
      <c r="O372"/>
      <c r="P372"/>
      <c r="Q372"/>
      <c r="R372"/>
      <c r="S372"/>
      <c r="T372"/>
      <c r="U372"/>
      <c r="V372"/>
      <c r="W372"/>
      <c r="X372"/>
      <c r="Y372"/>
      <c r="Z372"/>
    </row>
    <row r="373" spans="1:26" s="1" customFormat="1" ht="15" x14ac:dyDescent="0.25">
      <c r="A373" s="5"/>
      <c r="B373"/>
      <c r="C373"/>
      <c r="D373"/>
      <c r="E373"/>
      <c r="F373"/>
      <c r="G373"/>
      <c r="H373"/>
      <c r="I373"/>
      <c r="J373"/>
      <c r="K373"/>
      <c r="L373"/>
      <c r="M373"/>
      <c r="N373"/>
      <c r="O373"/>
      <c r="P373"/>
      <c r="Q373"/>
      <c r="R373"/>
      <c r="S373"/>
      <c r="T373"/>
      <c r="U373"/>
      <c r="V373"/>
      <c r="W373"/>
      <c r="X373"/>
      <c r="Y373"/>
      <c r="Z373"/>
    </row>
    <row r="374" spans="1:26" s="1" customFormat="1" ht="15" x14ac:dyDescent="0.25">
      <c r="A374" s="5"/>
      <c r="B374"/>
      <c r="C374"/>
      <c r="D374"/>
      <c r="E374"/>
      <c r="F374"/>
      <c r="G374"/>
      <c r="H374"/>
      <c r="I374"/>
      <c r="J374"/>
      <c r="K374"/>
      <c r="L374"/>
      <c r="M374"/>
      <c r="N374"/>
      <c r="O374"/>
      <c r="P374"/>
      <c r="Q374"/>
      <c r="R374"/>
      <c r="S374"/>
      <c r="T374"/>
      <c r="U374"/>
      <c r="V374"/>
      <c r="W374"/>
      <c r="X374"/>
      <c r="Y374"/>
      <c r="Z374"/>
    </row>
    <row r="375" spans="1:26" s="1" customFormat="1" ht="15" x14ac:dyDescent="0.25">
      <c r="A375" s="5"/>
      <c r="B375"/>
      <c r="C375"/>
      <c r="D375"/>
      <c r="E375"/>
      <c r="F375"/>
      <c r="G375"/>
      <c r="H375"/>
      <c r="I375"/>
      <c r="J375"/>
      <c r="K375"/>
      <c r="L375"/>
      <c r="M375"/>
      <c r="N375"/>
      <c r="O375"/>
      <c r="P375"/>
      <c r="Q375"/>
      <c r="R375"/>
      <c r="S375"/>
      <c r="T375"/>
      <c r="U375"/>
      <c r="V375"/>
      <c r="W375"/>
      <c r="X375"/>
      <c r="Y375"/>
      <c r="Z375"/>
    </row>
    <row r="376" spans="1:26" s="1" customFormat="1" ht="15" x14ac:dyDescent="0.25">
      <c r="A376" s="5"/>
      <c r="B376"/>
      <c r="C376"/>
      <c r="D376"/>
      <c r="E376"/>
      <c r="F376"/>
      <c r="G376"/>
      <c r="H376"/>
      <c r="I376"/>
      <c r="J376"/>
      <c r="K376"/>
      <c r="L376"/>
      <c r="M376"/>
      <c r="N376"/>
      <c r="O376"/>
      <c r="P376"/>
      <c r="Q376"/>
      <c r="R376"/>
      <c r="S376"/>
      <c r="T376"/>
      <c r="U376"/>
      <c r="V376"/>
      <c r="W376"/>
      <c r="X376"/>
      <c r="Y376"/>
      <c r="Z376"/>
    </row>
    <row r="377" spans="1:26" s="1" customFormat="1" ht="15" x14ac:dyDescent="0.25">
      <c r="A377" s="5"/>
      <c r="B377"/>
      <c r="C377"/>
      <c r="D377"/>
      <c r="E377"/>
      <c r="F377"/>
      <c r="G377"/>
      <c r="H377"/>
      <c r="I377"/>
      <c r="J377"/>
      <c r="K377"/>
      <c r="L377"/>
      <c r="M377"/>
      <c r="N377"/>
      <c r="O377"/>
      <c r="P377"/>
      <c r="Q377"/>
      <c r="R377"/>
      <c r="S377"/>
      <c r="T377"/>
      <c r="U377"/>
      <c r="V377"/>
      <c r="W377"/>
      <c r="X377"/>
      <c r="Y377"/>
      <c r="Z377"/>
    </row>
    <row r="378" spans="1:26" s="1" customFormat="1" ht="15" x14ac:dyDescent="0.25">
      <c r="A378" s="5"/>
      <c r="B378"/>
      <c r="C378"/>
      <c r="D378"/>
      <c r="E378"/>
      <c r="F378"/>
      <c r="G378"/>
      <c r="H378"/>
      <c r="I378"/>
      <c r="J378"/>
      <c r="K378"/>
      <c r="L378"/>
      <c r="M378"/>
      <c r="N378"/>
      <c r="O378"/>
      <c r="P378"/>
      <c r="Q378"/>
      <c r="R378"/>
      <c r="S378"/>
      <c r="T378"/>
      <c r="U378"/>
      <c r="V378"/>
      <c r="W378"/>
      <c r="X378"/>
      <c r="Y378"/>
      <c r="Z378"/>
    </row>
    <row r="379" spans="1:26" s="1" customFormat="1" ht="15" x14ac:dyDescent="0.25">
      <c r="A379" s="5"/>
      <c r="B379"/>
      <c r="C379"/>
      <c r="D379"/>
      <c r="E379"/>
      <c r="F379"/>
      <c r="G379"/>
      <c r="H379"/>
      <c r="I379"/>
      <c r="J379"/>
      <c r="K379"/>
      <c r="L379"/>
      <c r="M379"/>
      <c r="N379"/>
      <c r="O379"/>
      <c r="P379"/>
      <c r="Q379"/>
      <c r="R379"/>
      <c r="S379"/>
      <c r="T379"/>
      <c r="U379"/>
      <c r="V379"/>
      <c r="W379"/>
      <c r="X379"/>
      <c r="Y379"/>
      <c r="Z379"/>
    </row>
    <row r="380" spans="1:26" s="1" customFormat="1" ht="15" x14ac:dyDescent="0.25">
      <c r="A380" s="5"/>
      <c r="B380"/>
      <c r="C380"/>
      <c r="D380"/>
      <c r="E380"/>
      <c r="F380"/>
      <c r="G380"/>
      <c r="H380"/>
      <c r="I380"/>
      <c r="J380"/>
      <c r="K380"/>
      <c r="L380"/>
      <c r="M380"/>
      <c r="N380"/>
      <c r="O380"/>
      <c r="P380"/>
      <c r="Q380"/>
      <c r="R380"/>
      <c r="S380"/>
      <c r="T380"/>
      <c r="U380"/>
      <c r="V380"/>
      <c r="W380"/>
      <c r="X380"/>
      <c r="Y380"/>
      <c r="Z380"/>
    </row>
    <row r="381" spans="1:26" s="1" customFormat="1" ht="15" x14ac:dyDescent="0.25">
      <c r="A381" s="5"/>
      <c r="B381"/>
      <c r="C381"/>
      <c r="D381"/>
      <c r="E381"/>
      <c r="F381"/>
      <c r="G381"/>
      <c r="H381"/>
      <c r="I381"/>
      <c r="J381"/>
      <c r="K381"/>
      <c r="L381"/>
      <c r="M381"/>
      <c r="N381"/>
      <c r="O381"/>
      <c r="P381"/>
      <c r="Q381"/>
      <c r="R381"/>
      <c r="S381"/>
      <c r="T381"/>
      <c r="U381"/>
      <c r="V381"/>
      <c r="W381"/>
      <c r="X381"/>
      <c r="Y381"/>
      <c r="Z381"/>
    </row>
    <row r="382" spans="1:26" s="1" customFormat="1" ht="15" x14ac:dyDescent="0.25">
      <c r="A382" s="5"/>
      <c r="B382"/>
      <c r="C382"/>
      <c r="D382"/>
      <c r="E382"/>
      <c r="F382"/>
      <c r="G382"/>
      <c r="H382"/>
      <c r="I382"/>
      <c r="J382"/>
      <c r="K382"/>
      <c r="L382"/>
      <c r="M382"/>
      <c r="N382"/>
      <c r="O382"/>
      <c r="P382"/>
      <c r="Q382"/>
      <c r="R382"/>
      <c r="S382"/>
      <c r="T382"/>
      <c r="U382"/>
      <c r="V382"/>
      <c r="W382"/>
      <c r="X382"/>
      <c r="Y382"/>
      <c r="Z382"/>
    </row>
    <row r="383" spans="1:26" s="1" customFormat="1" ht="15" x14ac:dyDescent="0.25">
      <c r="A383" s="5"/>
      <c r="B383"/>
      <c r="C383"/>
      <c r="D383"/>
      <c r="E383"/>
      <c r="F383"/>
      <c r="G383"/>
      <c r="H383"/>
      <c r="I383"/>
      <c r="J383"/>
      <c r="K383"/>
      <c r="L383"/>
      <c r="M383"/>
      <c r="N383"/>
      <c r="O383"/>
      <c r="P383"/>
      <c r="Q383"/>
      <c r="R383"/>
      <c r="S383"/>
      <c r="T383"/>
      <c r="U383"/>
      <c r="V383"/>
      <c r="W383"/>
      <c r="X383"/>
      <c r="Y383"/>
      <c r="Z383"/>
    </row>
    <row r="384" spans="1:26" s="1" customFormat="1" ht="15" x14ac:dyDescent="0.25">
      <c r="A384" s="5"/>
      <c r="B384"/>
      <c r="C384"/>
      <c r="D384"/>
      <c r="E384"/>
      <c r="F384"/>
      <c r="G384"/>
      <c r="H384"/>
      <c r="I384"/>
      <c r="J384"/>
      <c r="K384"/>
      <c r="L384"/>
      <c r="M384"/>
      <c r="N384"/>
      <c r="O384"/>
      <c r="P384"/>
      <c r="Q384"/>
      <c r="R384"/>
      <c r="S384"/>
      <c r="T384"/>
      <c r="U384"/>
      <c r="V384"/>
      <c r="W384"/>
      <c r="X384"/>
      <c r="Y384"/>
      <c r="Z384"/>
    </row>
    <row r="385" spans="1:26" s="1" customFormat="1" ht="15" x14ac:dyDescent="0.25">
      <c r="A385" s="5"/>
      <c r="B385"/>
      <c r="C385"/>
      <c r="D385"/>
      <c r="E385"/>
      <c r="F385"/>
      <c r="G385"/>
      <c r="H385"/>
      <c r="I385"/>
      <c r="J385"/>
      <c r="K385"/>
      <c r="L385"/>
      <c r="M385"/>
      <c r="N385"/>
      <c r="O385"/>
      <c r="P385"/>
      <c r="Q385"/>
      <c r="R385"/>
      <c r="S385"/>
      <c r="T385"/>
      <c r="U385"/>
      <c r="V385"/>
      <c r="W385"/>
      <c r="X385"/>
      <c r="Y385"/>
      <c r="Z385"/>
    </row>
    <row r="386" spans="1:26" s="1" customFormat="1" ht="15" x14ac:dyDescent="0.25">
      <c r="A386" s="5"/>
      <c r="B386"/>
      <c r="C386"/>
      <c r="D386"/>
      <c r="E386"/>
      <c r="F386"/>
      <c r="G386"/>
      <c r="H386"/>
      <c r="I386"/>
      <c r="J386"/>
      <c r="K386"/>
      <c r="L386"/>
      <c r="M386"/>
      <c r="N386"/>
      <c r="O386"/>
      <c r="P386"/>
      <c r="Q386"/>
      <c r="R386"/>
      <c r="S386"/>
      <c r="T386"/>
      <c r="U386"/>
      <c r="V386"/>
      <c r="W386"/>
      <c r="X386"/>
      <c r="Y386"/>
      <c r="Z386"/>
    </row>
    <row r="387" spans="1:26" s="1" customFormat="1" ht="15" x14ac:dyDescent="0.25">
      <c r="A387" s="5"/>
      <c r="B387"/>
      <c r="C387"/>
      <c r="D387"/>
      <c r="E387"/>
      <c r="F387"/>
      <c r="G387"/>
      <c r="H387"/>
      <c r="I387"/>
      <c r="J387"/>
      <c r="K387"/>
      <c r="L387"/>
      <c r="M387"/>
      <c r="N387"/>
      <c r="O387"/>
      <c r="P387"/>
      <c r="Q387"/>
      <c r="R387"/>
      <c r="S387"/>
      <c r="T387"/>
      <c r="U387"/>
      <c r="V387"/>
      <c r="W387"/>
      <c r="X387"/>
      <c r="Y387"/>
      <c r="Z387"/>
    </row>
    <row r="388" spans="1:26" s="1" customFormat="1" ht="15" x14ac:dyDescent="0.25">
      <c r="A388" s="5"/>
      <c r="B388"/>
      <c r="C388"/>
      <c r="D388"/>
      <c r="E388"/>
      <c r="F388"/>
      <c r="G388"/>
      <c r="H388"/>
      <c r="I388"/>
      <c r="J388"/>
      <c r="K388"/>
      <c r="L388"/>
      <c r="M388"/>
      <c r="N388"/>
      <c r="O388"/>
      <c r="P388"/>
      <c r="Q388"/>
      <c r="R388"/>
      <c r="S388"/>
      <c r="T388"/>
      <c r="U388"/>
      <c r="V388"/>
      <c r="W388"/>
      <c r="X388"/>
      <c r="Y388"/>
      <c r="Z388"/>
    </row>
    <row r="389" spans="1:26" s="1" customFormat="1" ht="15" x14ac:dyDescent="0.25">
      <c r="A389" s="5"/>
      <c r="B389"/>
      <c r="C389"/>
      <c r="D389"/>
      <c r="E389"/>
      <c r="F389"/>
      <c r="G389"/>
      <c r="H389"/>
      <c r="I389"/>
      <c r="J389"/>
      <c r="K389"/>
      <c r="L389"/>
      <c r="M389"/>
      <c r="N389"/>
      <c r="O389"/>
      <c r="P389"/>
      <c r="Q389"/>
      <c r="R389"/>
      <c r="S389"/>
      <c r="T389"/>
      <c r="U389"/>
      <c r="V389"/>
      <c r="W389"/>
      <c r="X389"/>
      <c r="Y389"/>
      <c r="Z389"/>
    </row>
    <row r="390" spans="1:26" s="1" customFormat="1" ht="15" x14ac:dyDescent="0.25">
      <c r="A390" s="5"/>
      <c r="B390"/>
      <c r="C390"/>
      <c r="D390"/>
      <c r="E390"/>
      <c r="F390"/>
      <c r="G390"/>
      <c r="H390"/>
      <c r="I390"/>
      <c r="J390"/>
      <c r="K390"/>
      <c r="L390"/>
      <c r="M390"/>
      <c r="N390"/>
      <c r="O390"/>
      <c r="P390"/>
      <c r="Q390"/>
      <c r="R390"/>
      <c r="S390"/>
      <c r="T390"/>
      <c r="U390"/>
      <c r="V390"/>
      <c r="W390"/>
      <c r="X390"/>
      <c r="Y390"/>
      <c r="Z390"/>
    </row>
    <row r="391" spans="1:26" s="1" customFormat="1" ht="15" x14ac:dyDescent="0.25">
      <c r="A391" s="5"/>
      <c r="B391"/>
      <c r="C391"/>
      <c r="D391"/>
      <c r="E391"/>
      <c r="F391"/>
      <c r="G391"/>
      <c r="H391"/>
      <c r="I391"/>
      <c r="J391"/>
      <c r="K391"/>
      <c r="L391"/>
      <c r="M391"/>
      <c r="N391"/>
      <c r="O391"/>
      <c r="P391"/>
      <c r="Q391"/>
      <c r="R391"/>
      <c r="S391"/>
      <c r="T391"/>
      <c r="U391"/>
      <c r="V391"/>
      <c r="W391"/>
      <c r="X391"/>
      <c r="Y391"/>
      <c r="Z391"/>
    </row>
    <row r="392" spans="1:26" s="1" customFormat="1" ht="15" x14ac:dyDescent="0.25">
      <c r="A392" s="5"/>
      <c r="B392"/>
      <c r="C392"/>
      <c r="D392"/>
      <c r="E392"/>
      <c r="F392"/>
      <c r="G392"/>
      <c r="H392"/>
      <c r="I392"/>
      <c r="J392"/>
      <c r="K392"/>
      <c r="L392"/>
      <c r="M392"/>
      <c r="N392"/>
      <c r="O392"/>
      <c r="P392"/>
      <c r="Q392"/>
      <c r="R392"/>
      <c r="S392"/>
      <c r="T392"/>
      <c r="U392"/>
      <c r="V392"/>
      <c r="W392"/>
      <c r="X392"/>
      <c r="Y392"/>
      <c r="Z392"/>
    </row>
    <row r="393" spans="1:26" s="1" customFormat="1" ht="15" x14ac:dyDescent="0.25">
      <c r="A393" s="5"/>
      <c r="B393"/>
      <c r="C393"/>
      <c r="D393"/>
      <c r="E393"/>
      <c r="F393"/>
      <c r="G393"/>
      <c r="H393"/>
      <c r="I393"/>
      <c r="J393"/>
      <c r="K393"/>
      <c r="L393"/>
      <c r="M393"/>
      <c r="N393"/>
      <c r="O393"/>
      <c r="P393"/>
      <c r="Q393"/>
      <c r="R393"/>
      <c r="S393"/>
      <c r="T393"/>
      <c r="U393"/>
      <c r="V393"/>
      <c r="W393"/>
      <c r="X393"/>
      <c r="Y393"/>
      <c r="Z393"/>
    </row>
    <row r="394" spans="1:26" s="1" customFormat="1" ht="15" x14ac:dyDescent="0.25">
      <c r="A394" s="5"/>
      <c r="B394"/>
      <c r="C394"/>
      <c r="D394"/>
      <c r="E394"/>
      <c r="F394"/>
      <c r="G394"/>
      <c r="H394"/>
      <c r="I394"/>
      <c r="J394"/>
      <c r="K394"/>
      <c r="L394"/>
      <c r="M394"/>
      <c r="N394"/>
      <c r="O394"/>
      <c r="P394"/>
      <c r="Q394"/>
      <c r="R394"/>
      <c r="S394"/>
      <c r="T394"/>
      <c r="U394"/>
      <c r="V394"/>
      <c r="W394"/>
      <c r="X394"/>
      <c r="Y394"/>
      <c r="Z394"/>
    </row>
    <row r="395" spans="1:26" s="1" customFormat="1" ht="15" x14ac:dyDescent="0.25">
      <c r="A395" s="5"/>
      <c r="B395"/>
      <c r="C395"/>
      <c r="D395"/>
      <c r="E395"/>
      <c r="F395"/>
      <c r="G395"/>
      <c r="H395"/>
      <c r="I395"/>
      <c r="J395"/>
      <c r="K395"/>
      <c r="L395"/>
      <c r="M395"/>
      <c r="N395"/>
      <c r="O395"/>
      <c r="P395"/>
      <c r="Q395"/>
      <c r="R395"/>
      <c r="S395"/>
      <c r="T395"/>
      <c r="U395"/>
      <c r="V395"/>
      <c r="W395"/>
      <c r="X395"/>
      <c r="Y395"/>
      <c r="Z395"/>
    </row>
    <row r="396" spans="1:26" s="1" customFormat="1" ht="15" x14ac:dyDescent="0.25">
      <c r="A396" s="5"/>
      <c r="B396"/>
      <c r="C396"/>
      <c r="D396"/>
      <c r="E396"/>
      <c r="F396"/>
      <c r="G396"/>
      <c r="H396"/>
      <c r="I396"/>
      <c r="J396"/>
      <c r="K396"/>
      <c r="L396"/>
      <c r="M396"/>
      <c r="N396"/>
      <c r="O396"/>
      <c r="P396"/>
      <c r="Q396"/>
      <c r="R396"/>
      <c r="S396"/>
      <c r="T396"/>
      <c r="U396"/>
      <c r="V396"/>
      <c r="W396"/>
      <c r="X396"/>
      <c r="Y396"/>
      <c r="Z396"/>
    </row>
    <row r="397" spans="1:26" s="1" customFormat="1" ht="15" x14ac:dyDescent="0.25">
      <c r="A397" s="5"/>
      <c r="B397"/>
      <c r="C397"/>
      <c r="D397"/>
      <c r="E397"/>
      <c r="F397"/>
      <c r="G397"/>
      <c r="H397"/>
      <c r="I397"/>
      <c r="J397"/>
      <c r="K397"/>
      <c r="L397"/>
      <c r="M397"/>
      <c r="N397"/>
      <c r="O397"/>
      <c r="P397"/>
      <c r="Q397"/>
      <c r="R397"/>
      <c r="S397"/>
      <c r="T397"/>
      <c r="U397"/>
      <c r="V397"/>
      <c r="W397"/>
      <c r="X397"/>
      <c r="Y397"/>
      <c r="Z397"/>
    </row>
    <row r="398" spans="1:26" s="1" customFormat="1" ht="15" x14ac:dyDescent="0.25">
      <c r="A398" s="5"/>
      <c r="B398"/>
      <c r="C398"/>
      <c r="D398"/>
      <c r="E398"/>
      <c r="F398"/>
      <c r="G398"/>
      <c r="H398"/>
      <c r="I398"/>
      <c r="J398"/>
      <c r="K398"/>
      <c r="L398"/>
      <c r="M398"/>
      <c r="N398"/>
      <c r="O398"/>
      <c r="P398"/>
      <c r="Q398"/>
      <c r="R398"/>
      <c r="S398"/>
      <c r="T398"/>
      <c r="U398"/>
      <c r="V398"/>
      <c r="W398"/>
      <c r="X398"/>
      <c r="Y398"/>
      <c r="Z398"/>
    </row>
    <row r="399" spans="1:26" s="1" customFormat="1" ht="15" x14ac:dyDescent="0.25">
      <c r="A399" s="5"/>
      <c r="B399"/>
      <c r="C399"/>
      <c r="D399"/>
      <c r="E399"/>
      <c r="F399"/>
      <c r="G399"/>
      <c r="H399"/>
      <c r="I399"/>
      <c r="J399"/>
      <c r="K399"/>
      <c r="L399"/>
      <c r="M399"/>
      <c r="N399"/>
      <c r="O399"/>
      <c r="P399"/>
      <c r="Q399"/>
      <c r="R399"/>
      <c r="S399"/>
      <c r="T399"/>
      <c r="U399"/>
      <c r="V399"/>
      <c r="W399"/>
      <c r="X399"/>
      <c r="Y399"/>
      <c r="Z399"/>
    </row>
    <row r="400" spans="1:26" s="1" customFormat="1" ht="15" x14ac:dyDescent="0.25">
      <c r="A400" s="5"/>
      <c r="B400"/>
      <c r="C400"/>
      <c r="D400"/>
      <c r="E400"/>
      <c r="F400"/>
      <c r="G400"/>
      <c r="H400"/>
      <c r="I400"/>
      <c r="J400"/>
      <c r="K400"/>
      <c r="L400"/>
      <c r="M400"/>
      <c r="N400"/>
      <c r="O400"/>
      <c r="P400"/>
      <c r="Q400"/>
      <c r="R400"/>
      <c r="S400"/>
      <c r="T400"/>
      <c r="U400"/>
      <c r="V400"/>
      <c r="W400"/>
      <c r="X400"/>
      <c r="Y400"/>
      <c r="Z400"/>
    </row>
    <row r="401" spans="1:26" s="1" customFormat="1" ht="15" x14ac:dyDescent="0.25">
      <c r="A401" s="5"/>
      <c r="B401"/>
      <c r="C401"/>
      <c r="D401"/>
      <c r="E401"/>
      <c r="F401"/>
      <c r="G401"/>
      <c r="H401"/>
      <c r="I401"/>
      <c r="J401"/>
      <c r="K401"/>
      <c r="L401"/>
      <c r="M401"/>
      <c r="N401"/>
      <c r="O401"/>
      <c r="P401"/>
      <c r="Q401"/>
      <c r="R401"/>
      <c r="S401"/>
      <c r="T401"/>
      <c r="U401"/>
      <c r="V401"/>
      <c r="W401"/>
      <c r="X401"/>
      <c r="Y401"/>
      <c r="Z401"/>
    </row>
    <row r="402" spans="1:26" s="1" customFormat="1" ht="15" x14ac:dyDescent="0.25">
      <c r="A402" s="5"/>
      <c r="B402"/>
      <c r="C402"/>
      <c r="D402"/>
      <c r="E402"/>
      <c r="F402"/>
      <c r="G402"/>
      <c r="H402"/>
      <c r="I402"/>
      <c r="J402"/>
      <c r="K402"/>
      <c r="L402"/>
      <c r="M402"/>
      <c r="N402"/>
      <c r="O402"/>
      <c r="P402"/>
      <c r="Q402"/>
      <c r="R402"/>
      <c r="S402"/>
      <c r="T402"/>
      <c r="U402"/>
      <c r="V402"/>
      <c r="W402"/>
      <c r="X402"/>
      <c r="Y402"/>
      <c r="Z402"/>
    </row>
    <row r="403" spans="1:26" s="1" customFormat="1" ht="15" x14ac:dyDescent="0.25">
      <c r="A403" s="5"/>
      <c r="B403"/>
      <c r="C403"/>
      <c r="D403"/>
      <c r="E403"/>
      <c r="F403"/>
      <c r="G403"/>
      <c r="H403"/>
      <c r="I403"/>
      <c r="J403"/>
      <c r="K403"/>
      <c r="L403"/>
      <c r="M403"/>
      <c r="N403"/>
      <c r="O403"/>
      <c r="P403"/>
      <c r="Q403"/>
      <c r="R403"/>
      <c r="S403"/>
      <c r="T403"/>
      <c r="U403"/>
      <c r="V403"/>
      <c r="W403"/>
      <c r="X403"/>
      <c r="Y403"/>
      <c r="Z403"/>
    </row>
    <row r="404" spans="1:26" s="1" customFormat="1" ht="15" x14ac:dyDescent="0.25">
      <c r="A404" s="5"/>
      <c r="B404"/>
      <c r="C404"/>
      <c r="D404"/>
      <c r="E404"/>
      <c r="F404"/>
      <c r="G404"/>
      <c r="H404"/>
      <c r="I404"/>
      <c r="J404"/>
      <c r="K404"/>
      <c r="L404"/>
      <c r="M404"/>
      <c r="N404"/>
      <c r="O404"/>
      <c r="P404"/>
      <c r="Q404"/>
      <c r="R404"/>
      <c r="S404"/>
      <c r="T404"/>
      <c r="U404"/>
      <c r="V404"/>
      <c r="W404"/>
      <c r="X404"/>
      <c r="Y404"/>
      <c r="Z404"/>
    </row>
    <row r="405" spans="1:26" s="1" customFormat="1" ht="15" x14ac:dyDescent="0.25">
      <c r="A405" s="5"/>
      <c r="B405"/>
      <c r="C405"/>
      <c r="D405"/>
      <c r="E405"/>
      <c r="F405"/>
      <c r="G405"/>
      <c r="H405"/>
      <c r="I405"/>
      <c r="J405"/>
      <c r="K405"/>
      <c r="L405"/>
      <c r="M405"/>
      <c r="N405"/>
      <c r="O405"/>
      <c r="P405"/>
      <c r="Q405"/>
      <c r="R405"/>
      <c r="S405"/>
      <c r="T405"/>
      <c r="U405"/>
      <c r="V405"/>
      <c r="W405"/>
      <c r="X405"/>
      <c r="Y405"/>
      <c r="Z405"/>
    </row>
    <row r="406" spans="1:26" s="1" customFormat="1" ht="15" x14ac:dyDescent="0.25">
      <c r="A406" s="5"/>
      <c r="B406"/>
      <c r="C406"/>
      <c r="D406"/>
      <c r="E406"/>
      <c r="F406"/>
      <c r="G406"/>
      <c r="H406"/>
      <c r="I406"/>
      <c r="J406"/>
      <c r="K406"/>
      <c r="L406"/>
      <c r="M406"/>
      <c r="N406"/>
      <c r="O406"/>
      <c r="P406"/>
      <c r="Q406"/>
      <c r="R406"/>
      <c r="S406"/>
      <c r="T406"/>
      <c r="U406"/>
      <c r="V406"/>
      <c r="W406"/>
      <c r="X406"/>
      <c r="Y406"/>
      <c r="Z406"/>
    </row>
    <row r="407" spans="1:26" s="1" customFormat="1" ht="15" x14ac:dyDescent="0.25">
      <c r="A407" s="5"/>
      <c r="B407"/>
      <c r="C407"/>
      <c r="D407"/>
      <c r="E407"/>
      <c r="F407"/>
      <c r="G407"/>
      <c r="H407"/>
      <c r="I407"/>
      <c r="J407"/>
      <c r="K407"/>
      <c r="L407"/>
      <c r="M407"/>
      <c r="N407"/>
      <c r="O407"/>
      <c r="P407"/>
      <c r="Q407"/>
      <c r="R407"/>
      <c r="S407"/>
      <c r="T407"/>
      <c r="U407"/>
      <c r="V407"/>
      <c r="W407"/>
      <c r="X407"/>
      <c r="Y407"/>
      <c r="Z407"/>
    </row>
    <row r="408" spans="1:26" s="1" customFormat="1" ht="15" x14ac:dyDescent="0.25">
      <c r="A408" s="5"/>
      <c r="B408"/>
      <c r="C408"/>
      <c r="D408"/>
      <c r="E408"/>
      <c r="F408"/>
      <c r="G408"/>
      <c r="H408"/>
      <c r="I408"/>
      <c r="J408"/>
      <c r="K408"/>
      <c r="L408"/>
      <c r="M408"/>
      <c r="N408"/>
      <c r="O408"/>
      <c r="P408"/>
      <c r="Q408"/>
      <c r="R408"/>
      <c r="S408"/>
      <c r="T408"/>
      <c r="U408"/>
      <c r="V408"/>
      <c r="W408"/>
      <c r="X408"/>
      <c r="Y408"/>
      <c r="Z408"/>
    </row>
    <row r="409" spans="1:26" s="1" customFormat="1" ht="15" x14ac:dyDescent="0.25">
      <c r="A409" s="5"/>
      <c r="B409"/>
      <c r="C409"/>
      <c r="D409"/>
      <c r="E409"/>
      <c r="F409"/>
      <c r="G409"/>
      <c r="H409"/>
      <c r="I409"/>
      <c r="J409"/>
      <c r="K409"/>
      <c r="L409"/>
      <c r="M409"/>
      <c r="N409"/>
      <c r="O409"/>
      <c r="P409"/>
      <c r="Q409"/>
      <c r="R409"/>
      <c r="S409"/>
      <c r="T409"/>
      <c r="U409"/>
      <c r="V409"/>
      <c r="W409"/>
      <c r="X409"/>
      <c r="Y409"/>
      <c r="Z409"/>
    </row>
    <row r="410" spans="1:26" s="1" customFormat="1" ht="15" x14ac:dyDescent="0.25">
      <c r="A410" s="5"/>
      <c r="B410"/>
      <c r="C410"/>
      <c r="D410"/>
      <c r="E410"/>
      <c r="F410"/>
      <c r="G410"/>
      <c r="H410"/>
      <c r="I410"/>
      <c r="J410"/>
      <c r="K410"/>
      <c r="L410"/>
      <c r="M410"/>
      <c r="N410"/>
      <c r="O410"/>
      <c r="P410"/>
      <c r="Q410"/>
      <c r="R410"/>
      <c r="S410"/>
      <c r="T410"/>
      <c r="U410"/>
      <c r="V410"/>
      <c r="W410"/>
      <c r="X410"/>
      <c r="Y410"/>
      <c r="Z410"/>
    </row>
    <row r="411" spans="1:26" s="1" customFormat="1" ht="15" x14ac:dyDescent="0.25">
      <c r="A411" s="5"/>
      <c r="B411"/>
      <c r="C411"/>
      <c r="D411"/>
      <c r="E411"/>
      <c r="F411"/>
      <c r="G411"/>
      <c r="H411"/>
      <c r="I411"/>
      <c r="J411"/>
      <c r="K411"/>
      <c r="L411"/>
      <c r="M411"/>
      <c r="N411"/>
      <c r="O411"/>
      <c r="P411"/>
      <c r="Q411"/>
      <c r="R411"/>
      <c r="S411"/>
      <c r="T411"/>
      <c r="U411"/>
      <c r="V411"/>
      <c r="W411"/>
      <c r="X411"/>
      <c r="Y411"/>
      <c r="Z411"/>
    </row>
    <row r="412" spans="1:26" s="1" customFormat="1" ht="15" x14ac:dyDescent="0.25">
      <c r="A412" s="5"/>
      <c r="B412"/>
      <c r="C412"/>
      <c r="D412"/>
      <c r="E412"/>
      <c r="F412"/>
      <c r="G412"/>
      <c r="H412"/>
      <c r="I412"/>
      <c r="J412"/>
      <c r="K412"/>
      <c r="L412"/>
      <c r="M412"/>
      <c r="N412"/>
      <c r="O412"/>
      <c r="P412"/>
      <c r="Q412"/>
      <c r="R412"/>
      <c r="S412"/>
      <c r="T412"/>
      <c r="U412"/>
      <c r="V412"/>
      <c r="W412"/>
      <c r="X412"/>
      <c r="Y412"/>
      <c r="Z412"/>
    </row>
    <row r="413" spans="1:26" s="1" customFormat="1" ht="15" x14ac:dyDescent="0.25">
      <c r="A413" s="5"/>
      <c r="B413"/>
      <c r="C413"/>
      <c r="D413"/>
      <c r="E413"/>
      <c r="F413"/>
      <c r="G413"/>
      <c r="H413"/>
      <c r="I413"/>
      <c r="J413"/>
      <c r="K413"/>
      <c r="L413"/>
      <c r="M413"/>
      <c r="N413"/>
      <c r="O413"/>
      <c r="P413"/>
      <c r="Q413"/>
      <c r="R413"/>
      <c r="S413"/>
      <c r="T413"/>
      <c r="U413"/>
      <c r="V413"/>
      <c r="W413"/>
      <c r="X413"/>
      <c r="Y413"/>
      <c r="Z413"/>
    </row>
    <row r="414" spans="1:26" s="1" customFormat="1" ht="15" x14ac:dyDescent="0.25">
      <c r="A414" s="5"/>
      <c r="B414"/>
      <c r="C414"/>
      <c r="D414"/>
      <c r="E414"/>
      <c r="F414"/>
      <c r="G414"/>
      <c r="H414"/>
      <c r="I414"/>
      <c r="J414"/>
      <c r="K414"/>
      <c r="L414"/>
      <c r="M414"/>
      <c r="N414"/>
      <c r="O414"/>
      <c r="P414"/>
      <c r="Q414"/>
      <c r="R414"/>
      <c r="S414"/>
      <c r="T414"/>
      <c r="U414"/>
      <c r="V414"/>
      <c r="W414"/>
      <c r="X414"/>
      <c r="Y414"/>
      <c r="Z414"/>
    </row>
    <row r="415" spans="1:26" s="1" customFormat="1" ht="15" x14ac:dyDescent="0.25">
      <c r="A415" s="5"/>
      <c r="B415"/>
      <c r="C415"/>
      <c r="D415"/>
      <c r="E415"/>
      <c r="F415"/>
      <c r="G415"/>
      <c r="H415"/>
      <c r="I415"/>
      <c r="J415"/>
      <c r="K415"/>
      <c r="L415"/>
      <c r="M415"/>
      <c r="N415"/>
      <c r="O415"/>
      <c r="P415"/>
      <c r="Q415"/>
      <c r="R415"/>
      <c r="S415"/>
      <c r="T415"/>
      <c r="U415"/>
      <c r="V415"/>
      <c r="W415"/>
      <c r="X415"/>
      <c r="Y415"/>
      <c r="Z415"/>
    </row>
    <row r="416" spans="1:26" s="1" customFormat="1" ht="15" x14ac:dyDescent="0.25">
      <c r="A416" s="5"/>
      <c r="B416"/>
      <c r="C416"/>
      <c r="D416"/>
      <c r="E416"/>
      <c r="F416"/>
      <c r="G416"/>
      <c r="H416"/>
      <c r="I416"/>
      <c r="J416"/>
      <c r="K416"/>
      <c r="L416"/>
      <c r="M416"/>
      <c r="N416"/>
      <c r="O416"/>
      <c r="P416"/>
      <c r="Q416"/>
      <c r="R416"/>
      <c r="S416"/>
      <c r="T416"/>
      <c r="U416"/>
      <c r="V416"/>
      <c r="W416"/>
      <c r="X416"/>
      <c r="Y416"/>
      <c r="Z416"/>
    </row>
    <row r="417" spans="1:26" s="1" customFormat="1" ht="15" x14ac:dyDescent="0.25">
      <c r="A417" s="5"/>
      <c r="B417"/>
      <c r="C417"/>
      <c r="D417"/>
      <c r="E417"/>
      <c r="F417"/>
      <c r="G417"/>
      <c r="H417"/>
      <c r="I417"/>
      <c r="J417"/>
      <c r="K417"/>
      <c r="L417"/>
      <c r="M417"/>
      <c r="N417"/>
      <c r="O417"/>
      <c r="P417"/>
      <c r="Q417"/>
      <c r="R417"/>
      <c r="S417"/>
      <c r="T417"/>
      <c r="U417"/>
      <c r="V417"/>
      <c r="W417"/>
      <c r="X417"/>
      <c r="Y417"/>
      <c r="Z417"/>
    </row>
    <row r="418" spans="1:26" s="1" customFormat="1" ht="15" x14ac:dyDescent="0.25">
      <c r="A418" s="5"/>
      <c r="B418"/>
      <c r="C418"/>
      <c r="D418"/>
      <c r="E418"/>
      <c r="F418"/>
      <c r="G418"/>
      <c r="H418"/>
      <c r="I418"/>
      <c r="J418"/>
      <c r="K418"/>
      <c r="L418"/>
      <c r="M418"/>
      <c r="N418"/>
      <c r="O418"/>
      <c r="P418"/>
      <c r="Q418"/>
      <c r="R418"/>
      <c r="S418"/>
      <c r="T418"/>
      <c r="U418"/>
      <c r="V418"/>
      <c r="W418"/>
      <c r="X418"/>
      <c r="Y418"/>
      <c r="Z418"/>
    </row>
    <row r="419" spans="1:26" s="1" customFormat="1" ht="15" x14ac:dyDescent="0.25">
      <c r="A419" s="5"/>
      <c r="B419"/>
      <c r="C419"/>
      <c r="D419"/>
      <c r="E419"/>
      <c r="F419"/>
      <c r="G419"/>
      <c r="H419"/>
      <c r="I419"/>
      <c r="J419"/>
      <c r="K419"/>
      <c r="L419"/>
      <c r="M419"/>
      <c r="N419"/>
      <c r="O419"/>
      <c r="P419"/>
      <c r="Q419"/>
      <c r="R419"/>
      <c r="S419"/>
      <c r="T419"/>
      <c r="U419"/>
      <c r="V419"/>
      <c r="W419"/>
      <c r="X419"/>
      <c r="Y419"/>
      <c r="Z419"/>
    </row>
    <row r="420" spans="1:26" s="1" customFormat="1" ht="15" x14ac:dyDescent="0.25">
      <c r="A420" s="5"/>
      <c r="B420"/>
      <c r="C420"/>
      <c r="D420"/>
      <c r="E420"/>
      <c r="F420"/>
      <c r="G420"/>
      <c r="H420"/>
      <c r="I420"/>
      <c r="J420"/>
      <c r="K420"/>
      <c r="L420"/>
      <c r="M420"/>
      <c r="N420"/>
      <c r="O420"/>
      <c r="P420"/>
      <c r="Q420"/>
      <c r="R420"/>
      <c r="S420"/>
      <c r="T420"/>
      <c r="U420"/>
      <c r="V420"/>
      <c r="W420"/>
      <c r="X420"/>
      <c r="Y420"/>
      <c r="Z420"/>
    </row>
    <row r="421" spans="1:26" s="1" customFormat="1" ht="15" x14ac:dyDescent="0.25">
      <c r="A421" s="5"/>
      <c r="B421"/>
      <c r="C421"/>
      <c r="D421"/>
      <c r="E421"/>
      <c r="F421"/>
      <c r="G421"/>
      <c r="H421"/>
      <c r="I421"/>
      <c r="J421"/>
      <c r="K421"/>
      <c r="L421"/>
      <c r="M421"/>
      <c r="N421"/>
      <c r="O421"/>
      <c r="P421"/>
      <c r="Q421"/>
      <c r="R421"/>
      <c r="S421"/>
      <c r="T421"/>
      <c r="U421"/>
      <c r="V421"/>
      <c r="W421"/>
      <c r="X421"/>
      <c r="Y421"/>
      <c r="Z421"/>
    </row>
    <row r="422" spans="1:26" s="1" customFormat="1" ht="15" x14ac:dyDescent="0.25">
      <c r="A422" s="5"/>
      <c r="B422"/>
      <c r="C422"/>
      <c r="D422"/>
      <c r="E422"/>
      <c r="F422"/>
      <c r="G422"/>
      <c r="H422"/>
      <c r="I422"/>
      <c r="J422"/>
      <c r="K422"/>
      <c r="L422"/>
      <c r="M422"/>
      <c r="N422"/>
      <c r="O422"/>
      <c r="P422"/>
      <c r="Q422"/>
      <c r="R422"/>
      <c r="S422"/>
      <c r="T422"/>
      <c r="U422"/>
      <c r="V422"/>
      <c r="W422"/>
      <c r="X422"/>
      <c r="Y422"/>
      <c r="Z422"/>
    </row>
    <row r="423" spans="1:26" s="1" customFormat="1" ht="15" x14ac:dyDescent="0.25">
      <c r="A423" s="5"/>
      <c r="B423"/>
      <c r="C423"/>
      <c r="D423"/>
      <c r="E423"/>
      <c r="F423"/>
      <c r="G423"/>
      <c r="H423"/>
      <c r="I423"/>
      <c r="J423"/>
      <c r="K423"/>
      <c r="L423"/>
      <c r="M423"/>
      <c r="N423"/>
      <c r="O423"/>
      <c r="P423"/>
      <c r="Q423"/>
      <c r="R423"/>
      <c r="S423"/>
      <c r="T423"/>
      <c r="U423"/>
      <c r="V423"/>
      <c r="W423"/>
      <c r="X423"/>
      <c r="Y423"/>
      <c r="Z423"/>
    </row>
    <row r="424" spans="1:26" s="1" customFormat="1" ht="15" x14ac:dyDescent="0.25">
      <c r="A424" s="5"/>
      <c r="B424"/>
      <c r="C424"/>
      <c r="D424"/>
      <c r="E424"/>
      <c r="F424"/>
      <c r="G424"/>
      <c r="H424"/>
      <c r="I424"/>
      <c r="J424"/>
      <c r="K424"/>
      <c r="L424"/>
      <c r="M424"/>
      <c r="N424"/>
      <c r="O424"/>
      <c r="P424"/>
      <c r="Q424"/>
      <c r="R424"/>
      <c r="S424"/>
      <c r="T424"/>
      <c r="U424"/>
      <c r="V424"/>
      <c r="W424"/>
      <c r="X424"/>
      <c r="Y424"/>
      <c r="Z424"/>
    </row>
    <row r="425" spans="1:26" s="1" customFormat="1" ht="15" x14ac:dyDescent="0.25">
      <c r="A425" s="5"/>
      <c r="B425"/>
      <c r="C425"/>
      <c r="D425"/>
      <c r="E425"/>
      <c r="F425"/>
      <c r="G425"/>
      <c r="H425"/>
      <c r="I425"/>
      <c r="J425"/>
      <c r="K425"/>
      <c r="L425"/>
      <c r="M425"/>
      <c r="N425"/>
      <c r="O425"/>
      <c r="P425"/>
      <c r="Q425"/>
      <c r="R425"/>
      <c r="S425"/>
      <c r="T425"/>
      <c r="U425"/>
      <c r="V425"/>
      <c r="W425"/>
      <c r="X425"/>
      <c r="Y425"/>
      <c r="Z425"/>
    </row>
    <row r="426" spans="1:26" s="1" customFormat="1" ht="15" x14ac:dyDescent="0.25">
      <c r="A426" s="5"/>
      <c r="B426"/>
      <c r="C426"/>
      <c r="D426"/>
      <c r="E426"/>
      <c r="F426"/>
      <c r="G426"/>
      <c r="H426"/>
      <c r="I426"/>
      <c r="J426"/>
      <c r="K426"/>
      <c r="L426"/>
      <c r="M426"/>
      <c r="N426"/>
      <c r="O426"/>
      <c r="P426"/>
      <c r="Q426"/>
      <c r="R426"/>
      <c r="S426"/>
      <c r="T426"/>
      <c r="U426"/>
      <c r="V426"/>
      <c r="W426"/>
      <c r="X426"/>
      <c r="Y426"/>
      <c r="Z426"/>
    </row>
    <row r="427" spans="1:26" s="1" customFormat="1" ht="15" x14ac:dyDescent="0.25">
      <c r="A427" s="5"/>
      <c r="B427"/>
      <c r="C427"/>
      <c r="D427"/>
      <c r="E427"/>
      <c r="F427"/>
      <c r="G427"/>
      <c r="H427"/>
      <c r="I427"/>
      <c r="J427"/>
      <c r="K427"/>
      <c r="L427"/>
      <c r="M427"/>
      <c r="N427"/>
      <c r="O427"/>
      <c r="P427"/>
      <c r="Q427"/>
      <c r="R427"/>
      <c r="S427"/>
      <c r="T427"/>
      <c r="U427"/>
      <c r="V427"/>
      <c r="W427"/>
      <c r="X427"/>
      <c r="Y427"/>
      <c r="Z427"/>
    </row>
    <row r="428" spans="1:26" s="1" customFormat="1" ht="15" x14ac:dyDescent="0.25">
      <c r="A428" s="5"/>
      <c r="B428"/>
      <c r="C428"/>
      <c r="D428"/>
      <c r="E428"/>
      <c r="F428"/>
      <c r="G428"/>
      <c r="H428"/>
      <c r="I428"/>
      <c r="J428"/>
      <c r="K428"/>
      <c r="L428"/>
      <c r="M428"/>
      <c r="N428"/>
      <c r="O428"/>
      <c r="P428"/>
      <c r="Q428"/>
      <c r="R428"/>
      <c r="S428"/>
      <c r="T428"/>
      <c r="U428"/>
      <c r="V428"/>
      <c r="W428"/>
      <c r="X428"/>
      <c r="Y428"/>
      <c r="Z428"/>
    </row>
    <row r="429" spans="1:26" s="1" customFormat="1" ht="15" x14ac:dyDescent="0.25">
      <c r="A429" s="5"/>
      <c r="B429"/>
      <c r="C429"/>
      <c r="D429"/>
      <c r="E429"/>
      <c r="F429"/>
      <c r="G429"/>
      <c r="H429"/>
      <c r="I429"/>
      <c r="J429"/>
      <c r="K429"/>
      <c r="L429"/>
      <c r="M429"/>
      <c r="N429"/>
      <c r="O429"/>
      <c r="P429"/>
      <c r="Q429"/>
      <c r="R429"/>
      <c r="S429"/>
      <c r="T429"/>
      <c r="U429"/>
      <c r="V429"/>
      <c r="W429"/>
      <c r="X429"/>
      <c r="Y429"/>
      <c r="Z429"/>
    </row>
    <row r="430" spans="1:26" s="1" customFormat="1" ht="15" x14ac:dyDescent="0.25">
      <c r="A430" s="5"/>
      <c r="B430"/>
      <c r="C430"/>
      <c r="D430"/>
      <c r="E430"/>
      <c r="F430"/>
      <c r="G430"/>
      <c r="H430"/>
      <c r="I430"/>
      <c r="J430"/>
      <c r="K430"/>
      <c r="L430"/>
      <c r="M430"/>
      <c r="N430"/>
      <c r="O430"/>
      <c r="P430"/>
      <c r="Q430"/>
      <c r="R430"/>
      <c r="S430"/>
      <c r="T430"/>
      <c r="U430"/>
      <c r="V430"/>
      <c r="W430"/>
      <c r="X430"/>
      <c r="Y430"/>
      <c r="Z430"/>
    </row>
    <row r="431" spans="1:26" s="1" customFormat="1" ht="15" x14ac:dyDescent="0.25">
      <c r="A431" s="5"/>
      <c r="B431"/>
      <c r="C431"/>
      <c r="D431"/>
      <c r="E431"/>
      <c r="F431"/>
      <c r="G431"/>
      <c r="H431"/>
      <c r="I431"/>
      <c r="J431"/>
      <c r="K431"/>
      <c r="L431"/>
      <c r="M431"/>
      <c r="N431"/>
      <c r="O431"/>
      <c r="P431"/>
      <c r="Q431"/>
      <c r="R431"/>
      <c r="S431"/>
      <c r="T431"/>
      <c r="U431"/>
      <c r="V431"/>
      <c r="W431"/>
      <c r="X431"/>
      <c r="Y431"/>
      <c r="Z431"/>
    </row>
    <row r="432" spans="1:26" s="1" customFormat="1" ht="15" x14ac:dyDescent="0.25">
      <c r="A432" s="5"/>
      <c r="B432"/>
      <c r="C432"/>
      <c r="D432"/>
      <c r="E432"/>
      <c r="F432"/>
      <c r="G432"/>
      <c r="H432"/>
      <c r="I432"/>
      <c r="J432"/>
      <c r="K432"/>
      <c r="L432"/>
      <c r="M432"/>
      <c r="N432"/>
      <c r="O432"/>
      <c r="P432"/>
      <c r="Q432"/>
      <c r="R432"/>
      <c r="S432"/>
      <c r="T432"/>
      <c r="U432"/>
      <c r="V432"/>
      <c r="W432"/>
      <c r="X432"/>
      <c r="Y432"/>
      <c r="Z432"/>
    </row>
    <row r="433" spans="1:26" s="1" customFormat="1" ht="15" x14ac:dyDescent="0.25">
      <c r="A433" s="5"/>
      <c r="B433"/>
      <c r="C433"/>
      <c r="D433"/>
      <c r="E433"/>
      <c r="F433"/>
      <c r="G433"/>
      <c r="H433"/>
      <c r="I433"/>
      <c r="J433"/>
      <c r="K433"/>
      <c r="L433"/>
      <c r="M433"/>
      <c r="N433"/>
      <c r="O433"/>
      <c r="P433"/>
      <c r="Q433"/>
      <c r="R433"/>
      <c r="S433"/>
      <c r="T433"/>
      <c r="U433"/>
      <c r="V433"/>
      <c r="W433"/>
      <c r="X433"/>
      <c r="Y433"/>
      <c r="Z433"/>
    </row>
    <row r="434" spans="1:26" s="1" customFormat="1" ht="15" x14ac:dyDescent="0.25">
      <c r="A434" s="5"/>
      <c r="B434"/>
      <c r="C434"/>
      <c r="D434"/>
      <c r="E434"/>
      <c r="F434"/>
      <c r="G434"/>
      <c r="H434"/>
      <c r="I434"/>
      <c r="J434"/>
      <c r="K434"/>
      <c r="L434"/>
      <c r="M434"/>
      <c r="N434"/>
      <c r="O434"/>
      <c r="P434"/>
      <c r="Q434"/>
      <c r="R434"/>
      <c r="S434"/>
      <c r="T434"/>
      <c r="U434"/>
      <c r="V434"/>
      <c r="W434"/>
      <c r="X434"/>
      <c r="Y434"/>
      <c r="Z434"/>
    </row>
    <row r="435" spans="1:26" s="1" customFormat="1" ht="15" x14ac:dyDescent="0.25">
      <c r="A435" s="5"/>
      <c r="B435"/>
      <c r="C435"/>
      <c r="D435"/>
      <c r="E435"/>
      <c r="F435"/>
      <c r="G435"/>
      <c r="H435"/>
      <c r="I435"/>
      <c r="J435"/>
      <c r="K435"/>
      <c r="L435"/>
      <c r="M435"/>
      <c r="N435"/>
      <c r="O435"/>
      <c r="P435"/>
      <c r="Q435"/>
      <c r="R435"/>
      <c r="S435"/>
      <c r="T435"/>
      <c r="U435"/>
      <c r="V435"/>
      <c r="W435"/>
      <c r="X435"/>
      <c r="Y435"/>
      <c r="Z435"/>
    </row>
    <row r="436" spans="1:26" s="1" customFormat="1" ht="15" x14ac:dyDescent="0.25">
      <c r="A436" s="5"/>
      <c r="B436"/>
      <c r="C436"/>
      <c r="D436"/>
      <c r="E436"/>
      <c r="F436"/>
      <c r="G436"/>
      <c r="H436"/>
      <c r="I436"/>
      <c r="J436"/>
      <c r="K436"/>
      <c r="L436"/>
      <c r="M436"/>
      <c r="N436"/>
      <c r="O436"/>
      <c r="P436"/>
      <c r="Q436"/>
      <c r="R436"/>
      <c r="S436"/>
      <c r="T436"/>
      <c r="U436"/>
      <c r="V436"/>
      <c r="W436"/>
      <c r="X436"/>
      <c r="Y436"/>
      <c r="Z436"/>
    </row>
    <row r="437" spans="1:26" s="1" customFormat="1" ht="15" x14ac:dyDescent="0.25">
      <c r="A437" s="5"/>
      <c r="B437"/>
      <c r="C437"/>
      <c r="D437"/>
      <c r="E437"/>
      <c r="F437"/>
      <c r="G437"/>
      <c r="H437"/>
      <c r="I437"/>
      <c r="J437"/>
      <c r="K437"/>
      <c r="L437"/>
      <c r="M437"/>
      <c r="N437"/>
      <c r="O437"/>
      <c r="P437"/>
      <c r="Q437"/>
      <c r="R437"/>
      <c r="S437"/>
      <c r="T437"/>
      <c r="U437"/>
      <c r="V437"/>
      <c r="W437"/>
      <c r="X437"/>
      <c r="Y437"/>
      <c r="Z437"/>
    </row>
    <row r="438" spans="1:26" s="1" customFormat="1" ht="15" x14ac:dyDescent="0.25">
      <c r="A438" s="5"/>
      <c r="B438"/>
      <c r="C438"/>
      <c r="D438"/>
      <c r="E438"/>
      <c r="F438"/>
      <c r="G438"/>
      <c r="H438"/>
      <c r="I438"/>
      <c r="J438"/>
      <c r="K438"/>
      <c r="L438"/>
      <c r="M438"/>
      <c r="N438"/>
      <c r="O438"/>
      <c r="P438"/>
      <c r="Q438"/>
      <c r="R438"/>
      <c r="S438"/>
      <c r="T438"/>
      <c r="U438"/>
      <c r="V438"/>
      <c r="W438"/>
      <c r="X438"/>
      <c r="Y438"/>
      <c r="Z438"/>
    </row>
    <row r="439" spans="1:26" s="1" customFormat="1" ht="15" x14ac:dyDescent="0.25">
      <c r="A439" s="5"/>
      <c r="B439"/>
      <c r="C439"/>
      <c r="D439"/>
      <c r="E439"/>
      <c r="F439"/>
      <c r="G439"/>
      <c r="H439"/>
      <c r="I439"/>
      <c r="J439"/>
      <c r="K439"/>
      <c r="L439"/>
      <c r="M439"/>
      <c r="N439"/>
      <c r="O439"/>
      <c r="P439"/>
      <c r="Q439"/>
      <c r="R439"/>
      <c r="S439"/>
      <c r="T439"/>
      <c r="U439"/>
      <c r="V439"/>
      <c r="W439"/>
      <c r="X439"/>
      <c r="Y439"/>
      <c r="Z439"/>
    </row>
    <row r="440" spans="1:26" s="1" customFormat="1" ht="15" x14ac:dyDescent="0.25">
      <c r="A440" s="5"/>
      <c r="B440"/>
      <c r="C440"/>
      <c r="D440"/>
      <c r="E440"/>
      <c r="F440"/>
      <c r="G440"/>
      <c r="H440"/>
      <c r="I440"/>
      <c r="J440"/>
      <c r="K440"/>
      <c r="L440"/>
      <c r="M440"/>
      <c r="N440"/>
      <c r="O440"/>
      <c r="P440"/>
      <c r="Q440"/>
      <c r="R440"/>
      <c r="S440"/>
      <c r="T440"/>
      <c r="U440"/>
      <c r="V440"/>
      <c r="W440"/>
      <c r="X440"/>
      <c r="Y440"/>
      <c r="Z440"/>
    </row>
    <row r="441" spans="1:26" s="1" customFormat="1" ht="15" x14ac:dyDescent="0.25">
      <c r="A441" s="5"/>
      <c r="B441"/>
      <c r="C441"/>
      <c r="D441"/>
      <c r="E441"/>
      <c r="F441"/>
      <c r="G441"/>
      <c r="H441"/>
      <c r="I441"/>
      <c r="J441"/>
      <c r="K441"/>
      <c r="L441"/>
      <c r="M441"/>
      <c r="N441"/>
      <c r="O441"/>
      <c r="P441"/>
      <c r="Q441"/>
      <c r="R441"/>
      <c r="S441"/>
      <c r="T441"/>
      <c r="U441"/>
      <c r="V441"/>
      <c r="W441"/>
      <c r="X441"/>
      <c r="Y441"/>
      <c r="Z441"/>
    </row>
    <row r="442" spans="1:26" s="1" customFormat="1" ht="15" x14ac:dyDescent="0.25">
      <c r="A442" s="5"/>
      <c r="B442"/>
      <c r="C442"/>
      <c r="D442"/>
      <c r="E442"/>
      <c r="F442"/>
      <c r="G442"/>
      <c r="H442"/>
      <c r="I442"/>
      <c r="J442"/>
      <c r="K442"/>
      <c r="L442"/>
      <c r="M442"/>
      <c r="N442"/>
      <c r="O442"/>
      <c r="P442"/>
      <c r="Q442"/>
      <c r="R442"/>
      <c r="S442"/>
      <c r="T442"/>
      <c r="U442"/>
      <c r="V442"/>
      <c r="W442"/>
      <c r="X442"/>
      <c r="Y442"/>
      <c r="Z442"/>
    </row>
    <row r="443" spans="1:26" s="1" customFormat="1" ht="15" x14ac:dyDescent="0.25">
      <c r="A443" s="5"/>
      <c r="B443"/>
      <c r="C443"/>
      <c r="D443"/>
      <c r="E443"/>
      <c r="F443"/>
      <c r="G443"/>
      <c r="H443"/>
      <c r="I443"/>
      <c r="J443"/>
      <c r="K443"/>
      <c r="L443"/>
      <c r="M443"/>
      <c r="N443"/>
      <c r="O443"/>
      <c r="P443"/>
      <c r="Q443"/>
      <c r="R443"/>
      <c r="S443"/>
      <c r="T443"/>
      <c r="U443"/>
      <c r="V443"/>
      <c r="W443"/>
      <c r="X443"/>
      <c r="Y443"/>
      <c r="Z443"/>
    </row>
    <row r="444" spans="1:26" s="1" customFormat="1" ht="15" x14ac:dyDescent="0.25">
      <c r="A444" s="5"/>
      <c r="B444"/>
      <c r="C444"/>
      <c r="D444"/>
      <c r="E444"/>
      <c r="F444"/>
      <c r="G444"/>
      <c r="H444"/>
      <c r="I444"/>
      <c r="J444"/>
      <c r="K444"/>
      <c r="L444"/>
      <c r="M444"/>
      <c r="N444"/>
      <c r="O444"/>
      <c r="P444"/>
      <c r="Q444"/>
      <c r="R444"/>
      <c r="S444"/>
      <c r="T444"/>
      <c r="U444"/>
      <c r="V444"/>
      <c r="W444"/>
      <c r="X444"/>
      <c r="Y444"/>
      <c r="Z444"/>
    </row>
    <row r="445" spans="1:26" s="1" customFormat="1" ht="15" x14ac:dyDescent="0.25">
      <c r="A445" s="5"/>
      <c r="B445"/>
      <c r="C445"/>
      <c r="D445"/>
      <c r="E445"/>
      <c r="F445"/>
      <c r="G445"/>
      <c r="H445"/>
      <c r="I445"/>
      <c r="J445"/>
      <c r="K445"/>
      <c r="L445"/>
      <c r="M445"/>
      <c r="N445"/>
      <c r="O445"/>
      <c r="P445"/>
      <c r="Q445"/>
      <c r="R445"/>
      <c r="S445"/>
      <c r="T445"/>
      <c r="U445"/>
      <c r="V445"/>
      <c r="W445"/>
      <c r="X445"/>
      <c r="Y445"/>
      <c r="Z445"/>
    </row>
    <row r="446" spans="1:26" s="1" customFormat="1" ht="15" x14ac:dyDescent="0.25">
      <c r="A446" s="5"/>
      <c r="B446"/>
      <c r="C446"/>
      <c r="D446"/>
      <c r="E446"/>
      <c r="F446"/>
      <c r="G446"/>
      <c r="H446"/>
      <c r="I446"/>
      <c r="J446"/>
      <c r="K446"/>
      <c r="L446"/>
      <c r="M446"/>
      <c r="N446"/>
      <c r="O446"/>
      <c r="P446"/>
      <c r="Q446"/>
      <c r="R446"/>
      <c r="S446"/>
      <c r="T446"/>
      <c r="U446"/>
      <c r="V446"/>
      <c r="W446"/>
      <c r="X446"/>
      <c r="Y446"/>
      <c r="Z446"/>
    </row>
    <row r="447" spans="1:26" s="1" customFormat="1" ht="15" x14ac:dyDescent="0.25">
      <c r="A447" s="5"/>
      <c r="B447"/>
      <c r="C447"/>
      <c r="D447"/>
      <c r="E447"/>
      <c r="F447"/>
      <c r="G447"/>
      <c r="H447"/>
      <c r="I447"/>
      <c r="J447"/>
      <c r="K447"/>
      <c r="L447"/>
      <c r="M447"/>
      <c r="N447"/>
      <c r="O447"/>
      <c r="P447"/>
      <c r="Q447"/>
      <c r="R447"/>
      <c r="S447"/>
      <c r="T447"/>
      <c r="U447"/>
      <c r="V447"/>
      <c r="W447"/>
      <c r="X447"/>
      <c r="Y447"/>
      <c r="Z447"/>
    </row>
    <row r="448" spans="1:26" s="1" customFormat="1" ht="15" x14ac:dyDescent="0.25">
      <c r="A448" s="5"/>
      <c r="B448"/>
      <c r="C448"/>
      <c r="D448"/>
      <c r="E448"/>
      <c r="F448"/>
      <c r="G448"/>
      <c r="H448"/>
      <c r="I448"/>
      <c r="J448"/>
      <c r="K448"/>
      <c r="L448"/>
      <c r="M448"/>
      <c r="N448"/>
      <c r="O448"/>
      <c r="P448"/>
      <c r="Q448"/>
      <c r="R448"/>
      <c r="S448"/>
      <c r="T448"/>
      <c r="U448"/>
      <c r="V448"/>
      <c r="W448"/>
      <c r="X448"/>
      <c r="Y448"/>
      <c r="Z448"/>
    </row>
    <row r="449" spans="1:26" s="1" customFormat="1" ht="15" x14ac:dyDescent="0.25">
      <c r="A449" s="5"/>
      <c r="B449"/>
      <c r="C449"/>
      <c r="D449"/>
      <c r="E449"/>
      <c r="F449"/>
      <c r="G449"/>
      <c r="H449"/>
      <c r="I449"/>
      <c r="J449"/>
      <c r="K449"/>
      <c r="L449"/>
      <c r="M449"/>
      <c r="N449"/>
      <c r="O449"/>
      <c r="P449"/>
      <c r="Q449"/>
      <c r="R449"/>
      <c r="S449"/>
      <c r="T449"/>
      <c r="U449"/>
      <c r="V449"/>
      <c r="W449"/>
      <c r="X449"/>
      <c r="Y449"/>
      <c r="Z449"/>
    </row>
    <row r="450" spans="1:26" s="1" customFormat="1" ht="15" x14ac:dyDescent="0.25">
      <c r="A450" s="5"/>
      <c r="B450"/>
      <c r="C450"/>
      <c r="D450"/>
      <c r="E450"/>
      <c r="F450"/>
      <c r="G450"/>
      <c r="H450"/>
      <c r="I450"/>
      <c r="J450"/>
      <c r="K450"/>
      <c r="L450"/>
      <c r="M450"/>
      <c r="N450"/>
      <c r="O450"/>
      <c r="P450"/>
      <c r="Q450"/>
      <c r="R450"/>
      <c r="S450"/>
      <c r="T450"/>
      <c r="U450"/>
      <c r="V450"/>
      <c r="W450"/>
      <c r="X450"/>
      <c r="Y450"/>
      <c r="Z450"/>
    </row>
    <row r="451" spans="1:26" s="1" customFormat="1" ht="15" x14ac:dyDescent="0.25">
      <c r="A451" s="5"/>
      <c r="B451"/>
      <c r="C451"/>
      <c r="D451"/>
      <c r="E451"/>
      <c r="F451"/>
      <c r="G451"/>
      <c r="H451"/>
      <c r="I451"/>
      <c r="J451"/>
      <c r="K451"/>
      <c r="L451"/>
      <c r="M451"/>
      <c r="N451"/>
      <c r="O451"/>
      <c r="P451"/>
      <c r="Q451"/>
      <c r="R451"/>
      <c r="S451"/>
      <c r="T451"/>
      <c r="U451"/>
      <c r="V451"/>
      <c r="W451"/>
      <c r="X451"/>
      <c r="Y451"/>
      <c r="Z451"/>
    </row>
    <row r="452" spans="1:26" s="1" customFormat="1" ht="15" x14ac:dyDescent="0.25">
      <c r="A452" s="5"/>
      <c r="B452"/>
      <c r="C452"/>
      <c r="D452"/>
      <c r="E452"/>
      <c r="F452"/>
      <c r="G452"/>
      <c r="H452"/>
      <c r="I452"/>
      <c r="J452"/>
      <c r="K452"/>
      <c r="L452"/>
      <c r="M452"/>
      <c r="N452"/>
      <c r="O452"/>
      <c r="P452"/>
      <c r="Q452"/>
      <c r="R452"/>
      <c r="S452"/>
      <c r="T452"/>
      <c r="U452"/>
      <c r="V452"/>
      <c r="W452"/>
      <c r="X452"/>
      <c r="Y452"/>
      <c r="Z452"/>
    </row>
    <row r="453" spans="1:26" s="1" customFormat="1" ht="15" x14ac:dyDescent="0.25">
      <c r="A453" s="5"/>
      <c r="B453"/>
      <c r="C453"/>
      <c r="D453"/>
      <c r="E453"/>
      <c r="F453"/>
      <c r="G453"/>
      <c r="H453"/>
      <c r="I453"/>
      <c r="J453"/>
      <c r="K453"/>
      <c r="L453"/>
      <c r="M453"/>
      <c r="N453"/>
      <c r="O453"/>
      <c r="P453"/>
      <c r="Q453"/>
      <c r="R453"/>
      <c r="S453"/>
      <c r="T453"/>
      <c r="U453"/>
      <c r="V453"/>
      <c r="W453"/>
      <c r="X453"/>
      <c r="Y453"/>
      <c r="Z453"/>
    </row>
    <row r="454" spans="1:26" s="1" customFormat="1" ht="15" x14ac:dyDescent="0.25">
      <c r="A454" s="5"/>
      <c r="B454"/>
      <c r="C454"/>
      <c r="D454"/>
      <c r="E454"/>
      <c r="F454"/>
      <c r="G454"/>
      <c r="H454"/>
      <c r="I454"/>
      <c r="J454"/>
      <c r="K454"/>
      <c r="L454"/>
      <c r="M454"/>
      <c r="N454"/>
      <c r="O454"/>
      <c r="P454"/>
      <c r="Q454"/>
      <c r="R454"/>
      <c r="S454"/>
      <c r="T454"/>
      <c r="U454"/>
      <c r="V454"/>
      <c r="W454"/>
      <c r="X454"/>
      <c r="Y454"/>
      <c r="Z454"/>
    </row>
    <row r="455" spans="1:26" s="1" customFormat="1" ht="15" x14ac:dyDescent="0.25">
      <c r="A455" s="5"/>
      <c r="B455"/>
      <c r="C455"/>
      <c r="D455"/>
      <c r="E455"/>
      <c r="F455"/>
      <c r="G455"/>
      <c r="H455"/>
      <c r="I455"/>
      <c r="J455"/>
      <c r="K455"/>
      <c r="L455"/>
      <c r="M455"/>
      <c r="N455"/>
      <c r="O455"/>
      <c r="P455"/>
      <c r="Q455"/>
      <c r="R455"/>
      <c r="S455"/>
      <c r="T455"/>
      <c r="U455"/>
      <c r="V455"/>
      <c r="W455"/>
      <c r="X455"/>
      <c r="Y455"/>
      <c r="Z455"/>
    </row>
    <row r="456" spans="1:26" s="1" customFormat="1" ht="15" x14ac:dyDescent="0.25">
      <c r="A456" s="5"/>
      <c r="B456"/>
      <c r="C456"/>
      <c r="D456"/>
      <c r="E456"/>
      <c r="F456"/>
      <c r="G456"/>
      <c r="H456"/>
      <c r="I456"/>
      <c r="J456"/>
      <c r="K456"/>
      <c r="L456"/>
      <c r="M456"/>
      <c r="N456"/>
      <c r="O456"/>
      <c r="P456"/>
      <c r="Q456"/>
      <c r="R456"/>
      <c r="S456"/>
      <c r="T456"/>
      <c r="U456"/>
      <c r="V456"/>
      <c r="W456"/>
      <c r="X456"/>
      <c r="Y456"/>
      <c r="Z456"/>
    </row>
    <row r="457" spans="1:26" s="1" customFormat="1" ht="15" x14ac:dyDescent="0.25">
      <c r="A457" s="5"/>
      <c r="B457"/>
      <c r="C457"/>
      <c r="D457"/>
      <c r="E457"/>
      <c r="F457"/>
      <c r="G457"/>
      <c r="H457"/>
      <c r="I457"/>
      <c r="J457"/>
      <c r="K457"/>
      <c r="L457"/>
      <c r="M457"/>
      <c r="N457"/>
      <c r="O457"/>
      <c r="P457"/>
      <c r="Q457"/>
      <c r="R457"/>
      <c r="S457"/>
      <c r="T457"/>
      <c r="U457"/>
      <c r="V457"/>
      <c r="W457"/>
      <c r="X457"/>
      <c r="Y457"/>
      <c r="Z457"/>
    </row>
    <row r="458" spans="1:26" s="1" customFormat="1" ht="15" x14ac:dyDescent="0.25">
      <c r="A458" s="5"/>
      <c r="B458"/>
      <c r="C458"/>
      <c r="D458"/>
      <c r="E458"/>
      <c r="F458"/>
      <c r="G458"/>
      <c r="H458"/>
      <c r="I458"/>
      <c r="J458"/>
      <c r="K458"/>
      <c r="L458"/>
      <c r="M458"/>
      <c r="N458"/>
      <c r="O458"/>
      <c r="P458"/>
      <c r="Q458"/>
      <c r="R458"/>
      <c r="S458"/>
      <c r="T458"/>
      <c r="U458"/>
      <c r="V458"/>
      <c r="W458"/>
      <c r="X458"/>
      <c r="Y458"/>
      <c r="Z458"/>
    </row>
    <row r="459" spans="1:26" s="1" customFormat="1" ht="15" x14ac:dyDescent="0.25">
      <c r="A459" s="5"/>
      <c r="B459"/>
      <c r="C459"/>
      <c r="D459"/>
      <c r="E459"/>
      <c r="F459"/>
      <c r="G459"/>
      <c r="H459"/>
      <c r="I459"/>
      <c r="J459"/>
      <c r="K459"/>
      <c r="L459"/>
      <c r="M459"/>
      <c r="N459"/>
      <c r="O459"/>
      <c r="P459"/>
      <c r="Q459"/>
      <c r="R459"/>
      <c r="S459"/>
      <c r="T459"/>
      <c r="U459"/>
      <c r="V459"/>
      <c r="W459"/>
      <c r="X459"/>
      <c r="Y459"/>
      <c r="Z459"/>
    </row>
    <row r="460" spans="1:26" s="1" customFormat="1" ht="15" x14ac:dyDescent="0.25">
      <c r="A460" s="5"/>
      <c r="B460"/>
      <c r="C460"/>
      <c r="D460"/>
      <c r="E460"/>
      <c r="F460"/>
      <c r="G460"/>
      <c r="H460"/>
      <c r="I460"/>
      <c r="J460"/>
      <c r="K460"/>
      <c r="L460"/>
      <c r="M460"/>
      <c r="N460"/>
      <c r="O460"/>
      <c r="P460"/>
      <c r="Q460"/>
      <c r="R460"/>
      <c r="S460"/>
      <c r="T460"/>
      <c r="U460"/>
      <c r="V460"/>
      <c r="W460"/>
      <c r="X460"/>
      <c r="Y460"/>
      <c r="Z460"/>
    </row>
    <row r="461" spans="1:26" s="1" customFormat="1" ht="15" x14ac:dyDescent="0.25">
      <c r="A461" s="5"/>
      <c r="B461"/>
      <c r="C461"/>
      <c r="D461"/>
      <c r="E461"/>
      <c r="F461"/>
      <c r="G461"/>
      <c r="H461"/>
      <c r="I461"/>
      <c r="J461"/>
      <c r="K461"/>
      <c r="L461"/>
      <c r="M461"/>
      <c r="N461"/>
      <c r="O461"/>
      <c r="P461"/>
      <c r="Q461"/>
      <c r="R461"/>
      <c r="S461"/>
      <c r="T461"/>
      <c r="U461"/>
      <c r="V461"/>
      <c r="W461"/>
      <c r="X461"/>
      <c r="Y461"/>
      <c r="Z461"/>
    </row>
    <row r="462" spans="1:26" s="1" customFormat="1" ht="15" x14ac:dyDescent="0.25">
      <c r="A462" s="5"/>
      <c r="B462"/>
      <c r="C462"/>
      <c r="D462"/>
      <c r="E462"/>
      <c r="F462"/>
      <c r="G462"/>
      <c r="H462"/>
      <c r="I462"/>
      <c r="J462"/>
      <c r="K462"/>
      <c r="L462"/>
      <c r="M462"/>
      <c r="N462"/>
      <c r="O462"/>
      <c r="P462"/>
      <c r="Q462"/>
      <c r="R462"/>
      <c r="S462"/>
      <c r="T462"/>
      <c r="U462"/>
      <c r="V462"/>
      <c r="W462"/>
      <c r="X462"/>
      <c r="Y462"/>
      <c r="Z462"/>
    </row>
    <row r="463" spans="1:26" s="1" customFormat="1" ht="15" x14ac:dyDescent="0.25">
      <c r="A463" s="5"/>
      <c r="B463"/>
      <c r="C463"/>
      <c r="D463"/>
      <c r="E463"/>
      <c r="F463"/>
      <c r="G463"/>
      <c r="H463"/>
      <c r="I463"/>
      <c r="J463"/>
      <c r="K463"/>
      <c r="L463"/>
      <c r="M463"/>
      <c r="N463"/>
      <c r="O463"/>
      <c r="P463"/>
      <c r="Q463"/>
      <c r="R463"/>
      <c r="S463"/>
      <c r="T463"/>
      <c r="U463"/>
      <c r="V463"/>
      <c r="W463"/>
      <c r="X463"/>
      <c r="Y463"/>
      <c r="Z463"/>
    </row>
    <row r="464" spans="1:26" s="1" customFormat="1" ht="15" x14ac:dyDescent="0.25">
      <c r="A464" s="5"/>
      <c r="B464"/>
      <c r="C464"/>
      <c r="D464"/>
      <c r="E464"/>
      <c r="F464"/>
      <c r="G464"/>
      <c r="H464"/>
      <c r="I464"/>
      <c r="J464"/>
      <c r="K464"/>
      <c r="L464"/>
      <c r="M464"/>
      <c r="N464"/>
      <c r="O464"/>
      <c r="P464"/>
      <c r="Q464"/>
      <c r="R464"/>
      <c r="S464"/>
      <c r="T464"/>
      <c r="U464"/>
      <c r="V464"/>
      <c r="W464"/>
      <c r="X464"/>
      <c r="Y464"/>
      <c r="Z464"/>
    </row>
    <row r="465" spans="1:26" s="1" customFormat="1" ht="15" x14ac:dyDescent="0.25">
      <c r="A465" s="5"/>
      <c r="B465"/>
      <c r="C465"/>
      <c r="D465"/>
      <c r="E465"/>
      <c r="F465"/>
      <c r="G465"/>
      <c r="H465"/>
      <c r="I465"/>
      <c r="J465"/>
      <c r="K465"/>
      <c r="L465"/>
      <c r="M465"/>
      <c r="N465"/>
      <c r="O465"/>
      <c r="P465"/>
      <c r="Q465"/>
      <c r="R465"/>
      <c r="S465"/>
      <c r="T465"/>
      <c r="U465"/>
      <c r="V465"/>
      <c r="W465"/>
      <c r="X465"/>
      <c r="Y465"/>
      <c r="Z465"/>
    </row>
    <row r="466" spans="1:26" s="1" customFormat="1" ht="15" x14ac:dyDescent="0.25">
      <c r="A466" s="5"/>
      <c r="B466"/>
      <c r="C466"/>
      <c r="D466"/>
      <c r="E466"/>
      <c r="F466"/>
      <c r="G466"/>
      <c r="H466"/>
      <c r="I466"/>
      <c r="J466"/>
      <c r="K466"/>
      <c r="L466"/>
      <c r="M466"/>
      <c r="N466"/>
      <c r="O466"/>
      <c r="P466"/>
      <c r="Q466"/>
      <c r="R466"/>
      <c r="S466"/>
      <c r="T466"/>
      <c r="U466"/>
      <c r="V466"/>
      <c r="W466"/>
      <c r="X466"/>
      <c r="Y466"/>
      <c r="Z466"/>
    </row>
    <row r="467" spans="1:26" s="1" customFormat="1" ht="15" x14ac:dyDescent="0.25">
      <c r="A467" s="5"/>
      <c r="B467"/>
      <c r="C467"/>
      <c r="D467"/>
      <c r="E467"/>
      <c r="F467"/>
      <c r="G467"/>
      <c r="H467"/>
      <c r="I467"/>
      <c r="J467"/>
      <c r="K467"/>
      <c r="L467"/>
      <c r="M467"/>
      <c r="N467"/>
      <c r="O467"/>
      <c r="P467"/>
      <c r="Q467"/>
      <c r="R467"/>
      <c r="S467"/>
      <c r="T467"/>
      <c r="U467"/>
      <c r="V467"/>
      <c r="W467"/>
      <c r="X467"/>
      <c r="Y467"/>
      <c r="Z467"/>
    </row>
    <row r="468" spans="1:26" s="1" customFormat="1" ht="15" x14ac:dyDescent="0.25">
      <c r="A468" s="5"/>
      <c r="B468"/>
      <c r="C468"/>
      <c r="D468"/>
      <c r="E468"/>
      <c r="F468"/>
      <c r="G468"/>
      <c r="H468"/>
      <c r="I468"/>
      <c r="J468"/>
      <c r="K468"/>
      <c r="L468"/>
      <c r="M468"/>
      <c r="N468"/>
      <c r="O468"/>
      <c r="P468"/>
      <c r="Q468"/>
      <c r="R468"/>
      <c r="S468"/>
      <c r="T468"/>
      <c r="U468"/>
      <c r="V468"/>
      <c r="W468"/>
      <c r="X468"/>
      <c r="Y468"/>
      <c r="Z468"/>
    </row>
    <row r="469" spans="1:26" s="1" customFormat="1" ht="15" x14ac:dyDescent="0.25">
      <c r="A469" s="5"/>
      <c r="B469"/>
      <c r="C469"/>
      <c r="D469"/>
      <c r="E469"/>
      <c r="F469"/>
      <c r="G469"/>
      <c r="H469"/>
      <c r="I469"/>
      <c r="J469"/>
      <c r="K469"/>
      <c r="L469"/>
      <c r="M469"/>
      <c r="N469"/>
      <c r="O469"/>
      <c r="P469"/>
      <c r="Q469"/>
      <c r="R469"/>
      <c r="S469"/>
      <c r="T469"/>
      <c r="U469"/>
      <c r="V469"/>
      <c r="W469"/>
      <c r="X469"/>
      <c r="Y469"/>
      <c r="Z469"/>
    </row>
    <row r="470" spans="1:26" s="1" customFormat="1" ht="15" x14ac:dyDescent="0.25">
      <c r="A470" s="5"/>
      <c r="B470"/>
      <c r="C470"/>
      <c r="D470"/>
      <c r="E470"/>
      <c r="F470"/>
      <c r="G470"/>
      <c r="H470"/>
      <c r="I470"/>
      <c r="J470"/>
      <c r="K470"/>
      <c r="L470"/>
      <c r="M470"/>
      <c r="N470"/>
      <c r="O470"/>
      <c r="P470"/>
      <c r="Q470"/>
      <c r="R470"/>
      <c r="S470"/>
      <c r="T470"/>
      <c r="U470"/>
      <c r="V470"/>
      <c r="W470"/>
      <c r="X470"/>
      <c r="Y470"/>
      <c r="Z470"/>
    </row>
    <row r="471" spans="1:26" s="1" customFormat="1" ht="15" x14ac:dyDescent="0.25">
      <c r="A471" s="5"/>
      <c r="B471"/>
      <c r="C471"/>
      <c r="D471"/>
      <c r="E471"/>
      <c r="F471"/>
      <c r="G471"/>
      <c r="H471"/>
      <c r="I471"/>
      <c r="J471"/>
      <c r="K471"/>
      <c r="L471"/>
      <c r="M471"/>
      <c r="N471"/>
      <c r="O471"/>
      <c r="P471"/>
      <c r="Q471"/>
      <c r="R471"/>
      <c r="S471"/>
      <c r="T471"/>
      <c r="U471"/>
      <c r="V471"/>
      <c r="W471"/>
      <c r="X471"/>
      <c r="Y471"/>
      <c r="Z471"/>
    </row>
    <row r="472" spans="1:26" s="1" customFormat="1" ht="15" x14ac:dyDescent="0.25">
      <c r="A472" s="5"/>
      <c r="B472"/>
      <c r="C472"/>
      <c r="D472"/>
      <c r="E472"/>
      <c r="F472"/>
      <c r="G472"/>
      <c r="H472"/>
      <c r="I472"/>
      <c r="J472"/>
      <c r="K472"/>
      <c r="L472"/>
      <c r="M472"/>
      <c r="N472"/>
      <c r="O472"/>
      <c r="P472"/>
      <c r="Q472"/>
      <c r="R472"/>
      <c r="S472"/>
      <c r="T472"/>
      <c r="U472"/>
      <c r="V472"/>
      <c r="W472"/>
      <c r="X472"/>
      <c r="Y472"/>
      <c r="Z472"/>
    </row>
    <row r="473" spans="1:26" s="1" customFormat="1" ht="15" x14ac:dyDescent="0.25">
      <c r="A473" s="5"/>
      <c r="B473"/>
      <c r="C473"/>
      <c r="D473"/>
      <c r="E473"/>
      <c r="F473"/>
      <c r="G473"/>
      <c r="H473"/>
      <c r="I473"/>
      <c r="J473"/>
      <c r="K473"/>
      <c r="L473"/>
      <c r="M473"/>
      <c r="N473"/>
      <c r="O473"/>
      <c r="P473"/>
      <c r="Q473"/>
      <c r="R473"/>
      <c r="S473"/>
      <c r="T473"/>
      <c r="U473"/>
      <c r="V473"/>
      <c r="W473"/>
      <c r="X473"/>
      <c r="Y473"/>
      <c r="Z473"/>
    </row>
    <row r="474" spans="1:26" s="1" customFormat="1" ht="15" x14ac:dyDescent="0.25">
      <c r="A474" s="5"/>
      <c r="B474"/>
      <c r="C474"/>
      <c r="D474"/>
      <c r="E474"/>
      <c r="F474"/>
      <c r="G474"/>
      <c r="H474"/>
      <c r="I474"/>
      <c r="J474"/>
      <c r="K474"/>
      <c r="L474"/>
      <c r="M474"/>
      <c r="N474"/>
      <c r="O474"/>
      <c r="P474"/>
      <c r="Q474"/>
      <c r="R474"/>
      <c r="S474"/>
      <c r="T474"/>
      <c r="U474"/>
      <c r="V474"/>
      <c r="W474"/>
      <c r="X474"/>
      <c r="Y474"/>
      <c r="Z474"/>
    </row>
    <row r="475" spans="1:26" s="1" customFormat="1" ht="15" x14ac:dyDescent="0.25">
      <c r="A475" s="5"/>
      <c r="B475"/>
      <c r="C475"/>
      <c r="D475"/>
      <c r="E475"/>
      <c r="F475"/>
      <c r="G475"/>
      <c r="H475"/>
      <c r="I475"/>
      <c r="J475"/>
      <c r="K475"/>
      <c r="L475"/>
      <c r="M475"/>
      <c r="N475"/>
      <c r="O475"/>
      <c r="P475"/>
      <c r="Q475"/>
      <c r="R475"/>
      <c r="S475"/>
      <c r="T475"/>
      <c r="U475"/>
      <c r="V475"/>
      <c r="W475"/>
      <c r="X475"/>
      <c r="Y475"/>
      <c r="Z475"/>
    </row>
    <row r="476" spans="1:26" s="1" customFormat="1" ht="15" x14ac:dyDescent="0.25">
      <c r="A476" s="5"/>
      <c r="B476"/>
      <c r="C476"/>
      <c r="D476"/>
      <c r="E476"/>
      <c r="F476"/>
      <c r="G476"/>
      <c r="H476"/>
      <c r="I476"/>
      <c r="J476"/>
      <c r="K476"/>
      <c r="L476"/>
      <c r="M476"/>
      <c r="N476"/>
      <c r="O476"/>
      <c r="P476"/>
      <c r="Q476"/>
      <c r="R476"/>
      <c r="S476"/>
      <c r="T476"/>
      <c r="U476"/>
      <c r="V476"/>
      <c r="W476"/>
      <c r="X476"/>
      <c r="Y476"/>
      <c r="Z476"/>
    </row>
    <row r="477" spans="1:26" s="1" customFormat="1" ht="15" x14ac:dyDescent="0.25">
      <c r="A477" s="5"/>
      <c r="B477"/>
      <c r="C477"/>
      <c r="D477"/>
      <c r="E477"/>
      <c r="F477"/>
      <c r="G477"/>
      <c r="H477"/>
      <c r="I477"/>
      <c r="J477"/>
      <c r="K477"/>
      <c r="L477"/>
      <c r="M477"/>
      <c r="N477"/>
      <c r="O477"/>
      <c r="P477"/>
      <c r="Q477"/>
      <c r="R477"/>
      <c r="S477"/>
      <c r="T477"/>
      <c r="U477"/>
      <c r="V477"/>
      <c r="W477"/>
      <c r="X477"/>
      <c r="Y477"/>
      <c r="Z477"/>
    </row>
    <row r="478" spans="1:26" s="1" customFormat="1" ht="15" x14ac:dyDescent="0.25">
      <c r="A478" s="5"/>
      <c r="B478"/>
      <c r="C478"/>
      <c r="D478"/>
      <c r="E478"/>
      <c r="F478"/>
      <c r="G478"/>
      <c r="H478"/>
      <c r="I478"/>
      <c r="J478"/>
      <c r="K478"/>
      <c r="L478"/>
      <c r="M478"/>
      <c r="N478"/>
      <c r="O478"/>
      <c r="P478"/>
      <c r="Q478"/>
      <c r="R478"/>
      <c r="S478"/>
      <c r="T478"/>
      <c r="U478"/>
      <c r="V478"/>
      <c r="W478"/>
      <c r="X478"/>
      <c r="Y478"/>
      <c r="Z478"/>
    </row>
    <row r="479" spans="1:26" s="1" customFormat="1" ht="15" x14ac:dyDescent="0.25">
      <c r="A479" s="5"/>
      <c r="B479"/>
      <c r="C479"/>
      <c r="D479"/>
      <c r="E479"/>
      <c r="F479"/>
      <c r="G479"/>
      <c r="H479"/>
      <c r="I479"/>
      <c r="J479"/>
      <c r="K479"/>
      <c r="L479"/>
      <c r="M479"/>
      <c r="N479"/>
      <c r="O479"/>
      <c r="P479"/>
      <c r="Q479"/>
      <c r="R479"/>
      <c r="S479"/>
      <c r="T479"/>
      <c r="U479"/>
      <c r="V479"/>
      <c r="W479"/>
      <c r="X479"/>
      <c r="Y479"/>
      <c r="Z479"/>
    </row>
    <row r="480" spans="1:26" s="1" customFormat="1" ht="15" x14ac:dyDescent="0.25">
      <c r="A480" s="5"/>
      <c r="B480"/>
      <c r="C480"/>
      <c r="D480"/>
      <c r="E480"/>
      <c r="F480"/>
      <c r="G480"/>
      <c r="H480"/>
      <c r="I480"/>
      <c r="J480"/>
      <c r="K480"/>
      <c r="L480"/>
      <c r="M480"/>
      <c r="N480"/>
      <c r="O480"/>
      <c r="P480"/>
      <c r="Q480"/>
      <c r="R480"/>
      <c r="S480"/>
      <c r="T480"/>
      <c r="U480"/>
      <c r="V480"/>
      <c r="W480"/>
      <c r="X480"/>
      <c r="Y480"/>
      <c r="Z480"/>
    </row>
    <row r="481" spans="1:26" s="1" customFormat="1" ht="15" x14ac:dyDescent="0.25">
      <c r="A481" s="5"/>
      <c r="B481"/>
      <c r="C481"/>
      <c r="D481"/>
      <c r="E481"/>
      <c r="F481"/>
      <c r="G481"/>
      <c r="H481"/>
      <c r="I481"/>
      <c r="J481"/>
      <c r="K481"/>
      <c r="L481"/>
      <c r="M481"/>
      <c r="N481"/>
      <c r="O481"/>
      <c r="P481"/>
      <c r="Q481"/>
      <c r="R481"/>
      <c r="S481"/>
      <c r="T481"/>
      <c r="U481"/>
      <c r="V481"/>
      <c r="W481"/>
      <c r="X481"/>
      <c r="Y481"/>
      <c r="Z481"/>
    </row>
    <row r="482" spans="1:26" s="1" customFormat="1" ht="15" x14ac:dyDescent="0.25">
      <c r="A482" s="5"/>
      <c r="B482"/>
      <c r="C482"/>
      <c r="D482"/>
      <c r="E482"/>
      <c r="F482"/>
      <c r="G482"/>
      <c r="H482"/>
      <c r="I482"/>
      <c r="J482"/>
      <c r="K482"/>
      <c r="L482"/>
      <c r="M482"/>
      <c r="N482"/>
      <c r="O482"/>
      <c r="P482"/>
      <c r="Q482"/>
      <c r="R482"/>
      <c r="S482"/>
      <c r="T482"/>
      <c r="U482"/>
      <c r="V482"/>
      <c r="W482"/>
      <c r="X482"/>
      <c r="Y482"/>
      <c r="Z482"/>
    </row>
    <row r="483" spans="1:26" s="1" customFormat="1" ht="15" x14ac:dyDescent="0.25">
      <c r="A483" s="5"/>
      <c r="B483"/>
      <c r="C483"/>
      <c r="D483"/>
      <c r="E483"/>
      <c r="F483"/>
      <c r="G483"/>
      <c r="H483"/>
      <c r="I483"/>
      <c r="J483"/>
      <c r="K483"/>
      <c r="L483"/>
      <c r="M483"/>
      <c r="N483"/>
      <c r="O483"/>
      <c r="P483"/>
      <c r="Q483"/>
      <c r="R483"/>
      <c r="S483"/>
      <c r="T483"/>
      <c r="U483"/>
      <c r="V483"/>
      <c r="W483"/>
      <c r="X483"/>
      <c r="Y483"/>
      <c r="Z483"/>
    </row>
    <row r="484" spans="1:26" s="1" customFormat="1" ht="15" x14ac:dyDescent="0.25">
      <c r="A484" s="5"/>
      <c r="B484"/>
      <c r="C484"/>
      <c r="D484"/>
      <c r="E484"/>
      <c r="F484"/>
      <c r="G484"/>
      <c r="H484"/>
      <c r="I484"/>
      <c r="J484"/>
      <c r="K484"/>
      <c r="L484"/>
      <c r="M484"/>
      <c r="N484"/>
      <c r="O484"/>
      <c r="P484"/>
      <c r="Q484"/>
      <c r="R484"/>
      <c r="S484"/>
      <c r="T484"/>
      <c r="U484"/>
      <c r="V484"/>
      <c r="W484"/>
      <c r="X484"/>
      <c r="Y484"/>
      <c r="Z484"/>
    </row>
    <row r="485" spans="1:26" s="1" customFormat="1" ht="15" x14ac:dyDescent="0.25">
      <c r="A485" s="5"/>
      <c r="B485"/>
      <c r="C485"/>
      <c r="D485"/>
      <c r="E485"/>
      <c r="F485"/>
      <c r="G485"/>
      <c r="H485"/>
      <c r="I485"/>
      <c r="J485"/>
      <c r="K485"/>
      <c r="L485"/>
      <c r="M485"/>
      <c r="N485"/>
      <c r="O485"/>
      <c r="P485"/>
      <c r="Q485"/>
      <c r="R485"/>
      <c r="S485"/>
      <c r="T485"/>
      <c r="U485"/>
      <c r="V485"/>
      <c r="W485"/>
      <c r="X485"/>
      <c r="Y485"/>
      <c r="Z485"/>
    </row>
    <row r="486" spans="1:26" s="1" customFormat="1" ht="15" x14ac:dyDescent="0.25">
      <c r="A486" s="5"/>
      <c r="B486"/>
      <c r="C486"/>
      <c r="D486"/>
      <c r="E486"/>
      <c r="F486"/>
      <c r="G486"/>
      <c r="H486"/>
      <c r="I486"/>
      <c r="J486"/>
      <c r="K486"/>
      <c r="L486"/>
      <c r="M486"/>
      <c r="N486"/>
      <c r="O486"/>
      <c r="P486"/>
      <c r="Q486"/>
      <c r="R486"/>
      <c r="S486"/>
      <c r="T486"/>
      <c r="U486"/>
      <c r="V486"/>
      <c r="W486"/>
      <c r="X486"/>
      <c r="Y486"/>
      <c r="Z486"/>
    </row>
    <row r="487" spans="1:26" s="1" customFormat="1" ht="15" x14ac:dyDescent="0.25">
      <c r="A487" s="5"/>
      <c r="B487"/>
      <c r="C487"/>
      <c r="D487"/>
      <c r="E487"/>
      <c r="F487"/>
      <c r="G487"/>
      <c r="H487"/>
      <c r="I487"/>
      <c r="J487"/>
      <c r="K487"/>
      <c r="L487"/>
      <c r="M487"/>
      <c r="N487"/>
      <c r="O487"/>
      <c r="P487"/>
      <c r="Q487"/>
      <c r="R487"/>
      <c r="S487"/>
      <c r="T487"/>
      <c r="U487"/>
      <c r="V487"/>
      <c r="W487"/>
      <c r="X487"/>
      <c r="Y487"/>
      <c r="Z487"/>
    </row>
    <row r="488" spans="1:26" s="1" customFormat="1" ht="15" x14ac:dyDescent="0.25">
      <c r="A488" s="5"/>
      <c r="B488"/>
      <c r="C488"/>
      <c r="D488"/>
      <c r="E488"/>
      <c r="F488"/>
      <c r="G488"/>
      <c r="H488"/>
      <c r="I488"/>
      <c r="J488"/>
      <c r="K488"/>
      <c r="L488"/>
      <c r="M488"/>
      <c r="N488"/>
      <c r="O488"/>
      <c r="P488"/>
      <c r="Q488"/>
      <c r="R488"/>
      <c r="S488"/>
      <c r="T488"/>
      <c r="U488"/>
      <c r="V488"/>
      <c r="W488"/>
      <c r="X488"/>
      <c r="Y488"/>
      <c r="Z488"/>
    </row>
    <row r="489" spans="1:26" s="1" customFormat="1" ht="15" x14ac:dyDescent="0.25">
      <c r="A489" s="5"/>
      <c r="B489"/>
      <c r="C489"/>
      <c r="D489"/>
      <c r="E489"/>
      <c r="F489"/>
      <c r="G489"/>
      <c r="H489"/>
      <c r="I489"/>
      <c r="J489"/>
      <c r="K489"/>
      <c r="L489"/>
      <c r="M489"/>
      <c r="N489"/>
      <c r="O489"/>
      <c r="P489"/>
      <c r="Q489"/>
      <c r="R489"/>
      <c r="S489"/>
      <c r="T489"/>
      <c r="U489"/>
      <c r="V489"/>
      <c r="W489"/>
      <c r="X489"/>
      <c r="Y489"/>
      <c r="Z489"/>
    </row>
    <row r="490" spans="1:26" s="1" customFormat="1" ht="15" x14ac:dyDescent="0.25">
      <c r="A490" s="5"/>
      <c r="B490"/>
      <c r="C490"/>
      <c r="D490"/>
      <c r="E490"/>
      <c r="F490"/>
      <c r="G490"/>
      <c r="H490"/>
      <c r="I490"/>
      <c r="J490"/>
      <c r="K490"/>
      <c r="L490"/>
      <c r="M490"/>
      <c r="N490"/>
      <c r="O490"/>
      <c r="P490"/>
      <c r="Q490"/>
      <c r="R490"/>
      <c r="S490"/>
      <c r="T490"/>
      <c r="U490"/>
      <c r="V490"/>
      <c r="W490"/>
      <c r="X490"/>
      <c r="Y490"/>
      <c r="Z490"/>
    </row>
    <row r="491" spans="1:26" s="1" customFormat="1" ht="15" x14ac:dyDescent="0.25">
      <c r="A491" s="5"/>
      <c r="B491"/>
      <c r="C491"/>
      <c r="D491"/>
      <c r="E491"/>
      <c r="F491"/>
      <c r="G491"/>
      <c r="H491"/>
      <c r="I491"/>
      <c r="J491"/>
      <c r="K491"/>
      <c r="L491"/>
      <c r="M491"/>
      <c r="N491"/>
      <c r="O491"/>
      <c r="P491"/>
      <c r="Q491"/>
      <c r="R491"/>
      <c r="S491"/>
      <c r="T491"/>
      <c r="U491"/>
      <c r="V491"/>
      <c r="W491"/>
      <c r="X491"/>
      <c r="Y491"/>
      <c r="Z491"/>
    </row>
    <row r="492" spans="1:26" s="1" customFormat="1" ht="15" x14ac:dyDescent="0.25">
      <c r="A492" s="5"/>
      <c r="B492"/>
      <c r="C492"/>
      <c r="D492"/>
      <c r="E492"/>
      <c r="F492"/>
      <c r="G492"/>
      <c r="H492"/>
      <c r="I492"/>
      <c r="J492"/>
      <c r="K492"/>
      <c r="L492"/>
      <c r="M492"/>
      <c r="N492"/>
      <c r="O492"/>
      <c r="P492"/>
      <c r="Q492"/>
      <c r="R492"/>
      <c r="S492"/>
      <c r="T492"/>
      <c r="U492"/>
      <c r="V492"/>
      <c r="W492"/>
      <c r="X492"/>
      <c r="Y492"/>
      <c r="Z492"/>
    </row>
    <row r="493" spans="1:26" s="1" customFormat="1" ht="15" x14ac:dyDescent="0.25">
      <c r="A493" s="5"/>
      <c r="B493"/>
      <c r="C493"/>
      <c r="D493"/>
      <c r="E493"/>
      <c r="F493"/>
      <c r="G493"/>
      <c r="H493"/>
      <c r="I493"/>
      <c r="J493"/>
      <c r="K493"/>
      <c r="L493"/>
      <c r="M493"/>
      <c r="N493"/>
      <c r="O493"/>
      <c r="P493"/>
      <c r="Q493"/>
      <c r="R493"/>
      <c r="S493"/>
      <c r="T493"/>
      <c r="U493"/>
      <c r="V493"/>
      <c r="W493"/>
      <c r="X493"/>
      <c r="Y493"/>
      <c r="Z493"/>
    </row>
    <row r="494" spans="1:26" s="1" customFormat="1" ht="15" x14ac:dyDescent="0.25">
      <c r="A494" s="5"/>
      <c r="B494"/>
      <c r="C494"/>
      <c r="D494"/>
      <c r="E494"/>
      <c r="F494"/>
      <c r="G494"/>
      <c r="H494"/>
      <c r="I494"/>
      <c r="J494"/>
      <c r="K494"/>
      <c r="L494"/>
      <c r="M494"/>
      <c r="N494"/>
      <c r="O494"/>
      <c r="P494"/>
      <c r="Q494"/>
      <c r="R494"/>
      <c r="S494"/>
      <c r="T494"/>
      <c r="U494"/>
      <c r="V494"/>
      <c r="W494"/>
      <c r="X494"/>
      <c r="Y494"/>
      <c r="Z494"/>
    </row>
    <row r="495" spans="1:26" s="1" customFormat="1" ht="15" x14ac:dyDescent="0.25">
      <c r="A495" s="5"/>
      <c r="B495"/>
      <c r="C495"/>
      <c r="D495"/>
      <c r="E495"/>
      <c r="F495"/>
      <c r="G495"/>
      <c r="H495"/>
      <c r="I495"/>
      <c r="J495"/>
      <c r="K495"/>
      <c r="L495"/>
      <c r="M495"/>
      <c r="N495"/>
      <c r="O495"/>
      <c r="P495"/>
      <c r="Q495"/>
      <c r="R495"/>
      <c r="S495"/>
      <c r="T495"/>
      <c r="U495"/>
      <c r="V495"/>
      <c r="W495"/>
      <c r="X495"/>
      <c r="Y495"/>
      <c r="Z495"/>
    </row>
    <row r="496" spans="1:26" s="1" customFormat="1" ht="15" x14ac:dyDescent="0.25">
      <c r="A496" s="5"/>
      <c r="B496"/>
      <c r="C496"/>
      <c r="D496"/>
      <c r="E496"/>
      <c r="F496"/>
      <c r="G496"/>
      <c r="H496"/>
      <c r="I496"/>
      <c r="J496"/>
      <c r="K496"/>
      <c r="L496"/>
      <c r="M496"/>
      <c r="N496"/>
      <c r="O496"/>
      <c r="P496"/>
      <c r="Q496"/>
      <c r="R496"/>
      <c r="S496"/>
      <c r="T496"/>
      <c r="U496"/>
      <c r="V496"/>
      <c r="W496"/>
      <c r="X496"/>
      <c r="Y496"/>
      <c r="Z496"/>
    </row>
    <row r="497" spans="1:26" s="1" customFormat="1" ht="15" x14ac:dyDescent="0.25">
      <c r="A497" s="5"/>
      <c r="B497"/>
      <c r="C497"/>
      <c r="D497"/>
      <c r="E497"/>
      <c r="F497"/>
      <c r="G497"/>
      <c r="H497"/>
      <c r="I497"/>
      <c r="J497"/>
      <c r="K497"/>
      <c r="L497"/>
      <c r="M497"/>
      <c r="N497"/>
      <c r="O497"/>
      <c r="P497"/>
      <c r="Q497"/>
      <c r="R497"/>
      <c r="S497"/>
      <c r="T497"/>
      <c r="U497"/>
      <c r="V497"/>
      <c r="W497"/>
      <c r="X497"/>
      <c r="Y497"/>
      <c r="Z497"/>
    </row>
    <row r="498" spans="1:26" s="1" customFormat="1" ht="15" x14ac:dyDescent="0.25">
      <c r="A498" s="5"/>
      <c r="B498"/>
      <c r="C498"/>
      <c r="D498"/>
      <c r="E498"/>
      <c r="F498"/>
      <c r="G498"/>
      <c r="H498"/>
      <c r="I498"/>
      <c r="J498"/>
      <c r="K498"/>
      <c r="L498"/>
      <c r="M498"/>
      <c r="N498"/>
      <c r="O498"/>
      <c r="P498"/>
      <c r="Q498"/>
      <c r="R498"/>
      <c r="S498"/>
      <c r="T498"/>
      <c r="U498"/>
      <c r="V498"/>
      <c r="W498"/>
      <c r="X498"/>
      <c r="Y498"/>
      <c r="Z498"/>
    </row>
    <row r="499" spans="1:26" s="1" customFormat="1" ht="15" x14ac:dyDescent="0.25">
      <c r="A499" s="5"/>
      <c r="B499"/>
      <c r="C499"/>
      <c r="D499"/>
      <c r="E499"/>
      <c r="F499"/>
      <c r="G499"/>
      <c r="H499"/>
      <c r="I499"/>
      <c r="J499"/>
      <c r="K499"/>
      <c r="L499"/>
      <c r="M499"/>
      <c r="N499"/>
      <c r="O499"/>
      <c r="P499"/>
      <c r="Q499"/>
      <c r="R499"/>
      <c r="S499"/>
      <c r="T499"/>
      <c r="U499"/>
      <c r="V499"/>
      <c r="W499"/>
      <c r="X499"/>
      <c r="Y499"/>
      <c r="Z499"/>
    </row>
    <row r="500" spans="1:26" s="1" customFormat="1" ht="15" x14ac:dyDescent="0.25">
      <c r="A500" s="5"/>
      <c r="B500"/>
      <c r="C500"/>
      <c r="D500"/>
      <c r="E500"/>
      <c r="F500"/>
      <c r="G500"/>
      <c r="H500"/>
      <c r="I500"/>
      <c r="J500"/>
      <c r="K500"/>
      <c r="L500"/>
      <c r="M500"/>
      <c r="N500"/>
      <c r="O500"/>
      <c r="P500"/>
      <c r="Q500"/>
      <c r="R500"/>
      <c r="S500"/>
      <c r="T500"/>
      <c r="U500"/>
      <c r="V500"/>
      <c r="W500"/>
      <c r="X500"/>
      <c r="Y500"/>
      <c r="Z500"/>
    </row>
    <row r="501" spans="1:26" s="1" customFormat="1" x14ac:dyDescent="0.2">
      <c r="A501" s="5"/>
      <c r="B501" s="34"/>
      <c r="C501" s="35"/>
      <c r="D501" s="36"/>
      <c r="E501" s="37"/>
      <c r="F501" s="37"/>
      <c r="G501" s="38"/>
      <c r="H501" s="36"/>
      <c r="I501" s="36"/>
      <c r="J501" s="36"/>
      <c r="K501" s="39"/>
      <c r="L501" s="39"/>
      <c r="M501" s="39"/>
      <c r="N501" s="40"/>
      <c r="O501" s="37"/>
      <c r="P501" s="37"/>
      <c r="Q501" s="37"/>
      <c r="R501" s="37"/>
      <c r="S501" s="37"/>
      <c r="T501" s="41"/>
      <c r="U501" s="35"/>
      <c r="V501" s="37"/>
      <c r="W501" s="42"/>
      <c r="X501" s="43"/>
      <c r="Y501" s="43"/>
    </row>
    <row r="502" spans="1:26" s="1" customFormat="1" x14ac:dyDescent="0.2">
      <c r="A502" s="5"/>
      <c r="B502" s="34"/>
      <c r="C502" s="35"/>
      <c r="D502" s="36"/>
      <c r="E502" s="37"/>
      <c r="F502" s="37"/>
      <c r="G502" s="38"/>
      <c r="H502" s="36"/>
      <c r="I502" s="36"/>
      <c r="J502" s="36"/>
      <c r="K502" s="39"/>
      <c r="L502" s="39"/>
      <c r="M502" s="39"/>
      <c r="N502" s="40"/>
      <c r="O502" s="37"/>
      <c r="P502" s="37"/>
      <c r="Q502" s="37"/>
      <c r="R502" s="37"/>
      <c r="S502" s="37"/>
      <c r="T502" s="41"/>
      <c r="U502" s="35"/>
      <c r="V502" s="37"/>
      <c r="W502" s="42"/>
      <c r="X502" s="43"/>
      <c r="Y502" s="43"/>
    </row>
    <row r="503" spans="1:26" s="1" customFormat="1" x14ac:dyDescent="0.2">
      <c r="A503" s="5"/>
      <c r="B503" s="34"/>
      <c r="C503" s="35"/>
      <c r="D503" s="36"/>
      <c r="E503" s="37"/>
      <c r="F503" s="37"/>
      <c r="G503" s="38"/>
      <c r="H503" s="36"/>
      <c r="I503" s="36"/>
      <c r="J503" s="36"/>
      <c r="K503" s="39"/>
      <c r="L503" s="39"/>
      <c r="M503" s="39"/>
      <c r="N503" s="40"/>
      <c r="O503" s="37"/>
      <c r="P503" s="37"/>
      <c r="Q503" s="37"/>
      <c r="R503" s="37"/>
      <c r="S503" s="37"/>
      <c r="T503" s="41"/>
      <c r="U503" s="35"/>
      <c r="V503" s="37"/>
      <c r="W503" s="42"/>
      <c r="X503" s="43"/>
      <c r="Y503" s="43"/>
    </row>
    <row r="504" spans="1:26" s="1" customFormat="1" x14ac:dyDescent="0.2">
      <c r="A504" s="5"/>
      <c r="B504" s="34"/>
      <c r="C504" s="35"/>
      <c r="D504" s="36"/>
      <c r="E504" s="37"/>
      <c r="F504" s="37"/>
      <c r="G504" s="38"/>
      <c r="H504" s="36"/>
      <c r="I504" s="36"/>
      <c r="J504" s="36"/>
      <c r="K504" s="39"/>
      <c r="L504" s="39"/>
      <c r="M504" s="39"/>
      <c r="N504" s="40"/>
      <c r="O504" s="37"/>
      <c r="P504" s="37"/>
      <c r="Q504" s="37"/>
      <c r="R504" s="37"/>
      <c r="S504" s="37"/>
      <c r="T504" s="41"/>
      <c r="U504" s="35"/>
      <c r="V504" s="37"/>
      <c r="W504" s="42"/>
      <c r="X504" s="43"/>
      <c r="Y504" s="43"/>
    </row>
    <row r="505" spans="1:26" s="1" customFormat="1" x14ac:dyDescent="0.2">
      <c r="A505" s="5"/>
      <c r="B505" s="34"/>
      <c r="C505" s="35"/>
      <c r="D505" s="36"/>
      <c r="E505" s="37"/>
      <c r="F505" s="37"/>
      <c r="G505" s="38"/>
      <c r="H505" s="36"/>
      <c r="I505" s="36"/>
      <c r="J505" s="36"/>
      <c r="K505" s="39"/>
      <c r="L505" s="39"/>
      <c r="M505" s="39"/>
      <c r="N505" s="40"/>
      <c r="O505" s="37"/>
      <c r="P505" s="37"/>
      <c r="Q505" s="37"/>
      <c r="R505" s="37"/>
      <c r="S505" s="37"/>
      <c r="T505" s="41"/>
      <c r="U505" s="35"/>
      <c r="V505" s="37"/>
      <c r="W505" s="42"/>
      <c r="X505" s="43"/>
      <c r="Y505" s="43"/>
    </row>
    <row r="506" spans="1:26" s="1" customFormat="1" x14ac:dyDescent="0.2">
      <c r="A506" s="5"/>
      <c r="B506" s="34"/>
      <c r="C506" s="35"/>
      <c r="D506" s="36"/>
      <c r="E506" s="37"/>
      <c r="F506" s="37"/>
      <c r="G506" s="38"/>
      <c r="H506" s="36"/>
      <c r="I506" s="36"/>
      <c r="J506" s="36"/>
      <c r="K506" s="39"/>
      <c r="L506" s="39"/>
      <c r="M506" s="39"/>
      <c r="N506" s="40"/>
      <c r="O506" s="37"/>
      <c r="P506" s="37"/>
      <c r="Q506" s="37"/>
      <c r="R506" s="37"/>
      <c r="S506" s="37"/>
      <c r="T506" s="41"/>
      <c r="U506" s="35"/>
      <c r="V506" s="37"/>
      <c r="W506" s="42"/>
      <c r="X506" s="43"/>
      <c r="Y506" s="43"/>
    </row>
    <row r="507" spans="1:26" s="1" customFormat="1" x14ac:dyDescent="0.2">
      <c r="A507" s="5"/>
      <c r="B507" s="34"/>
      <c r="C507" s="35"/>
      <c r="D507" s="36"/>
      <c r="E507" s="37"/>
      <c r="F507" s="37"/>
      <c r="G507" s="38"/>
      <c r="H507" s="36"/>
      <c r="I507" s="36"/>
      <c r="J507" s="36"/>
      <c r="K507" s="39"/>
      <c r="L507" s="39"/>
      <c r="M507" s="39"/>
      <c r="N507" s="40"/>
      <c r="O507" s="37"/>
      <c r="P507" s="37"/>
      <c r="Q507" s="37"/>
      <c r="R507" s="37"/>
      <c r="S507" s="37"/>
      <c r="T507" s="41"/>
      <c r="U507" s="35"/>
      <c r="V507" s="37"/>
      <c r="W507" s="42"/>
      <c r="X507" s="43"/>
      <c r="Y507" s="43"/>
    </row>
    <row r="508" spans="1:26" s="1" customFormat="1" x14ac:dyDescent="0.2">
      <c r="A508" s="5"/>
      <c r="B508" s="34"/>
      <c r="C508" s="35"/>
      <c r="D508" s="36"/>
      <c r="E508" s="37"/>
      <c r="F508" s="37"/>
      <c r="G508" s="38"/>
      <c r="H508" s="36"/>
      <c r="I508" s="36"/>
      <c r="J508" s="36"/>
      <c r="K508" s="39"/>
      <c r="L508" s="39"/>
      <c r="M508" s="39"/>
      <c r="N508" s="40"/>
      <c r="O508" s="37"/>
      <c r="P508" s="37"/>
      <c r="Q508" s="37"/>
      <c r="R508" s="37"/>
      <c r="S508" s="44"/>
      <c r="T508" s="41"/>
      <c r="U508" s="35"/>
      <c r="V508" s="37"/>
      <c r="W508" s="42"/>
      <c r="X508" s="43"/>
      <c r="Y508" s="43"/>
    </row>
    <row r="509" spans="1:26" s="1" customFormat="1" x14ac:dyDescent="0.2">
      <c r="A509" s="5"/>
      <c r="B509" s="34"/>
      <c r="C509" s="35"/>
      <c r="D509" s="36"/>
      <c r="E509" s="37"/>
      <c r="F509" s="37"/>
      <c r="G509" s="38"/>
      <c r="H509" s="36"/>
      <c r="I509" s="36"/>
      <c r="J509" s="36"/>
      <c r="K509" s="39"/>
      <c r="L509" s="39"/>
      <c r="M509" s="39"/>
      <c r="N509" s="40"/>
      <c r="O509" s="37"/>
      <c r="P509" s="37"/>
      <c r="Q509" s="37"/>
      <c r="R509" s="37"/>
      <c r="S509" s="37"/>
      <c r="T509" s="41"/>
      <c r="U509" s="35"/>
      <c r="V509" s="37"/>
      <c r="W509" s="42"/>
      <c r="X509" s="43"/>
      <c r="Y509" s="43"/>
    </row>
    <row r="510" spans="1:26" s="1" customFormat="1" x14ac:dyDescent="0.2">
      <c r="A510" s="5"/>
      <c r="B510" s="34"/>
      <c r="C510" s="35"/>
      <c r="D510" s="36"/>
      <c r="E510" s="37"/>
      <c r="F510" s="37"/>
      <c r="G510" s="38"/>
      <c r="H510" s="36"/>
      <c r="I510" s="36"/>
      <c r="J510" s="36"/>
      <c r="K510" s="39"/>
      <c r="L510" s="39"/>
      <c r="M510" s="39"/>
      <c r="N510" s="40"/>
      <c r="O510" s="37"/>
      <c r="P510" s="37"/>
      <c r="Q510" s="37"/>
      <c r="R510" s="37"/>
      <c r="S510" s="37"/>
      <c r="T510" s="41"/>
      <c r="U510" s="35"/>
      <c r="V510" s="37"/>
      <c r="W510" s="42"/>
      <c r="X510" s="43"/>
      <c r="Y510" s="43"/>
    </row>
    <row r="511" spans="1:26" s="1" customFormat="1" x14ac:dyDescent="0.2">
      <c r="A511" s="5"/>
      <c r="B511" s="34"/>
      <c r="C511" s="35"/>
      <c r="D511" s="36"/>
      <c r="E511" s="37"/>
      <c r="F511" s="37"/>
      <c r="G511" s="38"/>
      <c r="H511" s="36"/>
      <c r="I511" s="36"/>
      <c r="J511" s="36"/>
      <c r="K511" s="39"/>
      <c r="L511" s="39"/>
      <c r="M511" s="39"/>
      <c r="N511" s="40"/>
      <c r="O511" s="37"/>
      <c r="P511" s="37"/>
      <c r="Q511" s="37"/>
      <c r="R511" s="37"/>
      <c r="S511" s="37"/>
      <c r="T511" s="41"/>
      <c r="U511" s="35"/>
      <c r="V511" s="37"/>
      <c r="W511" s="42"/>
      <c r="X511" s="43"/>
      <c r="Y511" s="43"/>
    </row>
    <row r="512" spans="1:26" s="1" customFormat="1" x14ac:dyDescent="0.2">
      <c r="A512" s="5"/>
      <c r="B512" s="34"/>
      <c r="C512" s="35"/>
      <c r="D512" s="36"/>
      <c r="E512" s="37"/>
      <c r="F512" s="37"/>
      <c r="G512" s="38"/>
      <c r="H512" s="36"/>
      <c r="I512" s="36"/>
      <c r="J512" s="36"/>
      <c r="K512" s="39"/>
      <c r="L512" s="39"/>
      <c r="M512" s="39"/>
      <c r="N512" s="40"/>
      <c r="O512" s="37"/>
      <c r="P512" s="37"/>
      <c r="Q512" s="37"/>
      <c r="R512" s="37"/>
      <c r="S512" s="37"/>
      <c r="T512" s="41"/>
      <c r="U512" s="35"/>
      <c r="V512" s="37"/>
      <c r="W512" s="42"/>
      <c r="X512" s="43"/>
      <c r="Y512" s="43"/>
    </row>
    <row r="513" spans="1:25" s="1" customFormat="1" x14ac:dyDescent="0.2">
      <c r="A513" s="5"/>
      <c r="B513" s="34"/>
      <c r="C513" s="35"/>
      <c r="D513" s="36"/>
      <c r="E513" s="37"/>
      <c r="F513" s="37"/>
      <c r="G513" s="38"/>
      <c r="H513" s="36"/>
      <c r="I513" s="36"/>
      <c r="J513" s="36"/>
      <c r="K513" s="39"/>
      <c r="L513" s="39"/>
      <c r="M513" s="39"/>
      <c r="N513" s="40"/>
      <c r="O513" s="37"/>
      <c r="P513" s="37"/>
      <c r="Q513" s="37"/>
      <c r="R513" s="37"/>
      <c r="S513" s="37"/>
      <c r="T513" s="41"/>
      <c r="U513" s="35"/>
      <c r="V513" s="37"/>
      <c r="W513" s="42"/>
      <c r="X513" s="43"/>
      <c r="Y513" s="43"/>
    </row>
    <row r="514" spans="1:25" s="1" customFormat="1" x14ac:dyDescent="0.2">
      <c r="A514" s="5"/>
      <c r="B514" s="34"/>
      <c r="C514" s="35"/>
      <c r="D514" s="36"/>
      <c r="E514" s="37"/>
      <c r="F514" s="37"/>
      <c r="G514" s="38"/>
      <c r="H514" s="36"/>
      <c r="I514" s="36"/>
      <c r="J514" s="36"/>
      <c r="K514" s="39"/>
      <c r="L514" s="39"/>
      <c r="M514" s="39"/>
      <c r="N514" s="40"/>
      <c r="O514" s="37"/>
      <c r="P514" s="37"/>
      <c r="Q514" s="37"/>
      <c r="R514" s="37"/>
      <c r="S514" s="37"/>
      <c r="T514" s="41"/>
      <c r="U514" s="35"/>
      <c r="V514" s="37"/>
      <c r="W514" s="42"/>
      <c r="X514" s="43"/>
      <c r="Y514" s="43"/>
    </row>
    <row r="515" spans="1:25" s="1" customFormat="1" x14ac:dyDescent="0.2">
      <c r="A515" s="5"/>
      <c r="B515" s="34"/>
      <c r="C515" s="35"/>
      <c r="D515" s="36"/>
      <c r="E515" s="37"/>
      <c r="F515" s="37"/>
      <c r="G515" s="38"/>
      <c r="H515" s="36"/>
      <c r="I515" s="36"/>
      <c r="J515" s="36"/>
      <c r="K515" s="39"/>
      <c r="L515" s="39"/>
      <c r="M515" s="39"/>
      <c r="N515" s="40"/>
      <c r="O515" s="37"/>
      <c r="P515" s="37"/>
      <c r="Q515" s="37"/>
      <c r="R515" s="37"/>
      <c r="S515" s="37"/>
      <c r="T515" s="41"/>
      <c r="U515" s="35"/>
      <c r="V515" s="37"/>
      <c r="W515" s="42"/>
      <c r="X515" s="43"/>
      <c r="Y515" s="43"/>
    </row>
    <row r="516" spans="1:25" s="1" customFormat="1" x14ac:dyDescent="0.2">
      <c r="A516" s="5"/>
      <c r="B516" s="34"/>
      <c r="C516" s="35"/>
      <c r="D516" s="36"/>
      <c r="E516" s="37"/>
      <c r="F516" s="37"/>
      <c r="G516" s="38"/>
      <c r="H516" s="36"/>
      <c r="I516" s="36"/>
      <c r="J516" s="36"/>
      <c r="K516" s="39"/>
      <c r="L516" s="39"/>
      <c r="M516" s="39"/>
      <c r="N516" s="40"/>
      <c r="O516" s="37"/>
      <c r="P516" s="37"/>
      <c r="Q516" s="37"/>
      <c r="R516" s="37"/>
      <c r="S516" s="44"/>
      <c r="T516" s="41"/>
      <c r="U516" s="35"/>
      <c r="V516" s="37"/>
      <c r="W516" s="42"/>
      <c r="X516" s="43"/>
      <c r="Y516" s="43"/>
    </row>
    <row r="517" spans="1:25" s="1" customFormat="1" x14ac:dyDescent="0.2">
      <c r="A517" s="5"/>
      <c r="B517" s="34"/>
      <c r="C517" s="35"/>
      <c r="D517" s="36"/>
      <c r="E517" s="37"/>
      <c r="F517" s="37"/>
      <c r="G517" s="38"/>
      <c r="H517" s="36"/>
      <c r="I517" s="36"/>
      <c r="J517" s="36"/>
      <c r="K517" s="39"/>
      <c r="L517" s="39"/>
      <c r="M517" s="39"/>
      <c r="N517" s="40"/>
      <c r="O517" s="37"/>
      <c r="P517" s="37"/>
      <c r="Q517" s="37"/>
      <c r="R517" s="37"/>
      <c r="S517" s="37"/>
      <c r="T517" s="41"/>
      <c r="U517" s="35"/>
      <c r="V517" s="37"/>
      <c r="W517" s="42"/>
      <c r="X517" s="43"/>
      <c r="Y517" s="43"/>
    </row>
    <row r="518" spans="1:25" s="1" customFormat="1" x14ac:dyDescent="0.2">
      <c r="A518" s="5"/>
      <c r="B518" s="34"/>
      <c r="C518" s="35"/>
      <c r="D518" s="36"/>
      <c r="E518" s="37"/>
      <c r="F518" s="37"/>
      <c r="G518" s="38"/>
      <c r="H518" s="36"/>
      <c r="I518" s="36"/>
      <c r="J518" s="36"/>
      <c r="K518" s="39"/>
      <c r="L518" s="39"/>
      <c r="M518" s="39"/>
      <c r="N518" s="40"/>
      <c r="O518" s="37"/>
      <c r="P518" s="37"/>
      <c r="Q518" s="37"/>
      <c r="R518" s="37"/>
      <c r="S518" s="37"/>
      <c r="T518" s="41"/>
      <c r="U518" s="35"/>
      <c r="V518" s="37"/>
      <c r="W518" s="42"/>
      <c r="X518" s="43"/>
      <c r="Y518" s="43"/>
    </row>
    <row r="519" spans="1:25" s="1" customFormat="1" x14ac:dyDescent="0.2">
      <c r="A519" s="5"/>
      <c r="B519" s="34"/>
      <c r="C519" s="35"/>
      <c r="D519" s="36"/>
      <c r="E519" s="37"/>
      <c r="F519" s="37"/>
      <c r="G519" s="38"/>
      <c r="H519" s="36"/>
      <c r="I519" s="36"/>
      <c r="J519" s="36"/>
      <c r="K519" s="39"/>
      <c r="L519" s="39"/>
      <c r="M519" s="39"/>
      <c r="N519" s="40"/>
      <c r="O519" s="37"/>
      <c r="P519" s="37"/>
      <c r="Q519" s="37"/>
      <c r="R519" s="37"/>
      <c r="S519" s="37"/>
      <c r="T519" s="41"/>
      <c r="U519" s="35"/>
      <c r="V519" s="37"/>
      <c r="W519" s="42"/>
      <c r="X519" s="43"/>
      <c r="Y519" s="43"/>
    </row>
    <row r="520" spans="1:25" x14ac:dyDescent="0.2">
      <c r="A520" s="45"/>
      <c r="B520" s="46"/>
      <c r="C520" s="46"/>
      <c r="D520" s="46"/>
      <c r="E520" s="46"/>
      <c r="F520" s="46"/>
      <c r="G520" s="46"/>
      <c r="H520" s="46"/>
      <c r="I520" s="46"/>
      <c r="J520" s="46"/>
      <c r="K520" s="47"/>
      <c r="L520" s="47"/>
      <c r="M520" s="47"/>
      <c r="N520" s="48"/>
      <c r="O520" s="46"/>
      <c r="P520" s="46"/>
      <c r="Q520" s="46"/>
      <c r="R520" s="46"/>
      <c r="S520" s="46"/>
      <c r="T520" s="49"/>
      <c r="U520" s="46"/>
      <c r="V520" s="50"/>
      <c r="W520" s="46"/>
      <c r="X520" s="46"/>
      <c r="Y520" s="46"/>
    </row>
    <row r="521" spans="1:25" x14ac:dyDescent="0.2">
      <c r="A521" s="45"/>
      <c r="B521" s="46"/>
      <c r="C521" s="46"/>
      <c r="D521" s="46"/>
      <c r="E521" s="46"/>
      <c r="F521" s="46"/>
      <c r="G521" s="46"/>
      <c r="H521" s="46"/>
      <c r="I521" s="46"/>
      <c r="J521" s="46"/>
      <c r="K521" s="47"/>
      <c r="L521" s="47"/>
      <c r="M521" s="47"/>
      <c r="N521" s="48"/>
      <c r="O521" s="46"/>
      <c r="P521" s="46"/>
      <c r="Q521" s="46"/>
      <c r="R521" s="46"/>
      <c r="S521" s="46"/>
      <c r="T521" s="49"/>
      <c r="U521" s="46"/>
      <c r="V521" s="50"/>
      <c r="W521" s="46"/>
      <c r="X521" s="46"/>
      <c r="Y521" s="46"/>
    </row>
    <row r="522" spans="1:25" x14ac:dyDescent="0.2">
      <c r="A522" s="45"/>
      <c r="B522" s="46"/>
      <c r="C522" s="46"/>
      <c r="D522" s="46"/>
      <c r="E522" s="46"/>
      <c r="F522" s="46"/>
      <c r="G522" s="46"/>
      <c r="H522" s="46"/>
      <c r="I522" s="46"/>
      <c r="J522" s="46"/>
      <c r="K522" s="47"/>
      <c r="L522" s="47"/>
      <c r="M522" s="47"/>
      <c r="N522" s="48"/>
      <c r="O522" s="46"/>
      <c r="P522" s="46"/>
      <c r="Q522" s="46"/>
      <c r="R522" s="46"/>
      <c r="S522" s="46"/>
      <c r="T522" s="49"/>
      <c r="U522" s="46"/>
      <c r="V522" s="50"/>
      <c r="W522" s="46"/>
      <c r="X522" s="46"/>
      <c r="Y522" s="46"/>
    </row>
    <row r="523" spans="1:25" x14ac:dyDescent="0.2">
      <c r="A523" s="45"/>
      <c r="B523" s="46"/>
      <c r="C523" s="46"/>
      <c r="D523" s="46"/>
      <c r="E523" s="46"/>
      <c r="F523" s="46"/>
      <c r="G523" s="46"/>
      <c r="H523" s="46"/>
      <c r="I523" s="46"/>
      <c r="J523" s="46"/>
      <c r="K523" s="47"/>
      <c r="L523" s="47"/>
      <c r="M523" s="47"/>
      <c r="N523" s="48"/>
      <c r="O523" s="46"/>
      <c r="P523" s="46"/>
      <c r="Q523" s="46"/>
      <c r="R523" s="46"/>
      <c r="S523" s="46"/>
      <c r="T523" s="49"/>
      <c r="U523" s="46"/>
      <c r="V523" s="50"/>
      <c r="W523" s="46"/>
      <c r="X523" s="46"/>
      <c r="Y523" s="46"/>
    </row>
    <row r="524" spans="1:25" x14ac:dyDescent="0.2">
      <c r="A524" s="45"/>
      <c r="B524" s="46"/>
      <c r="C524" s="46"/>
      <c r="D524" s="46"/>
      <c r="E524" s="46"/>
      <c r="F524" s="46"/>
      <c r="G524" s="46"/>
      <c r="H524" s="46"/>
      <c r="I524" s="46"/>
      <c r="J524" s="46"/>
      <c r="K524" s="47"/>
      <c r="L524" s="47"/>
      <c r="M524" s="47"/>
      <c r="N524" s="48"/>
      <c r="O524" s="46"/>
      <c r="P524" s="46"/>
      <c r="Q524" s="46"/>
      <c r="R524" s="46"/>
      <c r="S524" s="46"/>
      <c r="T524" s="49"/>
      <c r="U524" s="46"/>
      <c r="V524" s="50"/>
      <c r="W524" s="46"/>
      <c r="X524" s="46"/>
      <c r="Y524" s="46"/>
    </row>
    <row r="525" spans="1:25" x14ac:dyDescent="0.2">
      <c r="A525" s="45"/>
      <c r="B525" s="46"/>
      <c r="C525" s="46"/>
      <c r="D525" s="46"/>
      <c r="E525" s="46"/>
      <c r="F525" s="46"/>
      <c r="G525" s="46"/>
      <c r="H525" s="46"/>
      <c r="I525" s="46"/>
      <c r="J525" s="46"/>
      <c r="K525" s="47"/>
      <c r="L525" s="47"/>
      <c r="M525" s="47"/>
      <c r="N525" s="48"/>
      <c r="O525" s="46"/>
      <c r="P525" s="46"/>
      <c r="Q525" s="46"/>
      <c r="R525" s="46"/>
      <c r="S525" s="46"/>
      <c r="T525" s="49"/>
      <c r="U525" s="46"/>
      <c r="V525" s="50"/>
      <c r="W525" s="46"/>
      <c r="X525" s="46"/>
      <c r="Y525" s="46"/>
    </row>
    <row r="526" spans="1:25" x14ac:dyDescent="0.2">
      <c r="A526" s="45"/>
      <c r="B526" s="46"/>
      <c r="C526" s="46"/>
      <c r="D526" s="46"/>
      <c r="E526" s="46"/>
      <c r="F526" s="46"/>
      <c r="G526" s="46"/>
      <c r="H526" s="46"/>
      <c r="I526" s="46"/>
      <c r="J526" s="46"/>
      <c r="K526" s="47"/>
      <c r="L526" s="47"/>
      <c r="M526" s="47"/>
      <c r="N526" s="48"/>
      <c r="O526" s="46"/>
      <c r="P526" s="46"/>
      <c r="Q526" s="46"/>
      <c r="R526" s="46"/>
      <c r="S526" s="46"/>
      <c r="T526" s="49"/>
      <c r="U526" s="46"/>
      <c r="V526" s="50"/>
      <c r="W526" s="46"/>
      <c r="X526" s="46"/>
      <c r="Y526" s="46"/>
    </row>
    <row r="527" spans="1:25" x14ac:dyDescent="0.2">
      <c r="A527" s="45"/>
      <c r="B527" s="46"/>
      <c r="C527" s="46"/>
      <c r="D527" s="46"/>
      <c r="E527" s="46"/>
      <c r="F527" s="46"/>
      <c r="G527" s="46"/>
      <c r="H527" s="46"/>
      <c r="I527" s="46"/>
      <c r="J527" s="46"/>
      <c r="K527" s="47"/>
      <c r="L527" s="47"/>
      <c r="M527" s="47"/>
      <c r="N527" s="48"/>
      <c r="O527" s="46"/>
      <c r="P527" s="46"/>
      <c r="Q527" s="46"/>
      <c r="R527" s="46"/>
      <c r="S527" s="46"/>
      <c r="T527" s="49"/>
      <c r="U527" s="46"/>
      <c r="V527" s="50"/>
      <c r="W527" s="46"/>
      <c r="X527" s="46"/>
      <c r="Y527" s="46"/>
    </row>
    <row r="528" spans="1:25" x14ac:dyDescent="0.2">
      <c r="A528" s="45"/>
      <c r="B528" s="46"/>
      <c r="C528" s="46"/>
      <c r="D528" s="46"/>
      <c r="E528" s="46"/>
      <c r="F528" s="46"/>
      <c r="G528" s="46"/>
      <c r="H528" s="46"/>
      <c r="I528" s="46"/>
      <c r="J528" s="46"/>
      <c r="K528" s="47"/>
      <c r="L528" s="47"/>
      <c r="M528" s="47"/>
      <c r="N528" s="48"/>
      <c r="O528" s="46"/>
      <c r="P528" s="46"/>
      <c r="Q528" s="46"/>
      <c r="R528" s="46"/>
      <c r="S528" s="46"/>
      <c r="T528" s="49"/>
      <c r="U528" s="46"/>
      <c r="V528" s="50"/>
      <c r="W528" s="46"/>
      <c r="X528" s="46"/>
      <c r="Y528" s="46"/>
    </row>
    <row r="529" spans="1:25" x14ac:dyDescent="0.2">
      <c r="A529" s="45"/>
      <c r="B529" s="46"/>
      <c r="C529" s="46"/>
      <c r="D529" s="46"/>
      <c r="E529" s="46"/>
      <c r="F529" s="46"/>
      <c r="G529" s="46"/>
      <c r="H529" s="46"/>
      <c r="I529" s="46"/>
      <c r="J529" s="46"/>
      <c r="K529" s="47"/>
      <c r="L529" s="47"/>
      <c r="M529" s="47"/>
      <c r="N529" s="48"/>
      <c r="O529" s="46"/>
      <c r="P529" s="46"/>
      <c r="Q529" s="46"/>
      <c r="R529" s="46"/>
      <c r="S529" s="46"/>
      <c r="T529" s="49"/>
      <c r="U529" s="46"/>
      <c r="V529" s="50"/>
      <c r="W529" s="46"/>
      <c r="X529" s="46"/>
      <c r="Y529" s="46"/>
    </row>
    <row r="530" spans="1:25" x14ac:dyDescent="0.2">
      <c r="A530" s="45"/>
      <c r="B530" s="46"/>
      <c r="C530" s="46"/>
      <c r="D530" s="46"/>
      <c r="E530" s="46"/>
      <c r="F530" s="46"/>
      <c r="G530" s="46"/>
      <c r="H530" s="46"/>
      <c r="I530" s="46"/>
      <c r="J530" s="46"/>
      <c r="K530" s="47"/>
      <c r="L530" s="47"/>
      <c r="M530" s="47"/>
      <c r="N530" s="48"/>
      <c r="O530" s="46"/>
      <c r="P530" s="46"/>
      <c r="Q530" s="46"/>
      <c r="R530" s="46"/>
      <c r="S530" s="46"/>
      <c r="T530" s="49"/>
      <c r="U530" s="46"/>
      <c r="V530" s="50"/>
      <c r="W530" s="46"/>
      <c r="X530" s="46"/>
      <c r="Y530" s="46"/>
    </row>
    <row r="531" spans="1:25" x14ac:dyDescent="0.2">
      <c r="A531" s="45"/>
      <c r="B531" s="46"/>
      <c r="C531" s="46"/>
      <c r="D531" s="46"/>
      <c r="E531" s="46"/>
      <c r="F531" s="46"/>
      <c r="G531" s="46"/>
      <c r="H531" s="46"/>
      <c r="I531" s="46"/>
      <c r="J531" s="46"/>
      <c r="K531" s="47"/>
      <c r="L531" s="47"/>
      <c r="M531" s="47"/>
      <c r="N531" s="48"/>
      <c r="O531" s="46"/>
      <c r="P531" s="46"/>
      <c r="Q531" s="46"/>
      <c r="R531" s="46"/>
      <c r="S531" s="46"/>
      <c r="T531" s="49"/>
      <c r="U531" s="46"/>
      <c r="V531" s="50"/>
      <c r="W531" s="46"/>
      <c r="X531" s="46"/>
      <c r="Y531" s="46"/>
    </row>
    <row r="532" spans="1:25" x14ac:dyDescent="0.2">
      <c r="A532" s="45"/>
      <c r="B532" s="46"/>
      <c r="C532" s="46"/>
      <c r="D532" s="46"/>
      <c r="E532" s="46"/>
      <c r="F532" s="46"/>
      <c r="G532" s="46"/>
      <c r="H532" s="46"/>
      <c r="I532" s="46"/>
      <c r="J532" s="46"/>
      <c r="K532" s="47"/>
      <c r="L532" s="47"/>
      <c r="M532" s="47"/>
      <c r="N532" s="48"/>
      <c r="O532" s="46"/>
      <c r="P532" s="46"/>
      <c r="Q532" s="46"/>
      <c r="R532" s="46"/>
      <c r="S532" s="46"/>
      <c r="T532" s="49"/>
      <c r="U532" s="46"/>
      <c r="V532" s="50"/>
      <c r="W532" s="46"/>
      <c r="X532" s="46"/>
      <c r="Y532" s="46"/>
    </row>
    <row r="533" spans="1:25" x14ac:dyDescent="0.2">
      <c r="A533" s="45"/>
      <c r="B533" s="46"/>
      <c r="C533" s="46"/>
      <c r="D533" s="46"/>
      <c r="E533" s="46"/>
      <c r="F533" s="46"/>
      <c r="G533" s="46"/>
      <c r="H533" s="46"/>
      <c r="I533" s="46"/>
      <c r="J533" s="46"/>
      <c r="K533" s="47"/>
      <c r="L533" s="47"/>
      <c r="M533" s="47"/>
      <c r="N533" s="48"/>
      <c r="O533" s="46"/>
      <c r="P533" s="46"/>
      <c r="Q533" s="46"/>
      <c r="R533" s="46"/>
      <c r="S533" s="46"/>
      <c r="T533" s="49"/>
      <c r="U533" s="46"/>
      <c r="V533" s="50"/>
      <c r="W533" s="46"/>
      <c r="X533" s="46"/>
      <c r="Y533" s="46"/>
    </row>
    <row r="534" spans="1:25" x14ac:dyDescent="0.2">
      <c r="A534" s="45"/>
      <c r="B534" s="46"/>
      <c r="C534" s="46"/>
      <c r="D534" s="46"/>
      <c r="E534" s="46"/>
      <c r="F534" s="46"/>
      <c r="G534" s="46"/>
      <c r="H534" s="46"/>
      <c r="I534" s="46"/>
      <c r="J534" s="46"/>
      <c r="K534" s="47"/>
      <c r="L534" s="47"/>
      <c r="M534" s="47"/>
      <c r="N534" s="48"/>
      <c r="O534" s="46"/>
      <c r="P534" s="46"/>
      <c r="Q534" s="46"/>
      <c r="R534" s="46"/>
      <c r="S534" s="46"/>
      <c r="T534" s="49"/>
      <c r="U534" s="46"/>
      <c r="V534" s="50"/>
      <c r="W534" s="46"/>
      <c r="X534" s="46"/>
      <c r="Y534" s="46"/>
    </row>
    <row r="535" spans="1:25" x14ac:dyDescent="0.2">
      <c r="A535" s="45"/>
      <c r="B535" s="46"/>
      <c r="C535" s="46"/>
      <c r="D535" s="46"/>
      <c r="E535" s="46"/>
      <c r="F535" s="46"/>
      <c r="G535" s="46"/>
      <c r="H535" s="46"/>
      <c r="I535" s="46"/>
      <c r="J535" s="46"/>
      <c r="K535" s="47"/>
      <c r="L535" s="47"/>
      <c r="M535" s="47"/>
      <c r="N535" s="48"/>
      <c r="O535" s="46"/>
      <c r="P535" s="46"/>
      <c r="Q535" s="46"/>
      <c r="R535" s="46"/>
      <c r="S535" s="46"/>
      <c r="T535" s="49"/>
      <c r="U535" s="46"/>
      <c r="V535" s="50"/>
      <c r="W535" s="46"/>
      <c r="X535" s="46"/>
      <c r="Y535" s="46"/>
    </row>
    <row r="536" spans="1:25" x14ac:dyDescent="0.2">
      <c r="A536" s="45"/>
      <c r="B536" s="46"/>
      <c r="C536" s="46"/>
      <c r="D536" s="46"/>
      <c r="E536" s="46"/>
      <c r="F536" s="46"/>
      <c r="G536" s="46"/>
      <c r="H536" s="46"/>
      <c r="I536" s="46"/>
      <c r="J536" s="46"/>
      <c r="K536" s="47"/>
      <c r="L536" s="47"/>
      <c r="M536" s="47"/>
      <c r="N536" s="48"/>
      <c r="O536" s="46"/>
      <c r="P536" s="46"/>
      <c r="Q536" s="46"/>
      <c r="R536" s="46"/>
      <c r="S536" s="46"/>
      <c r="T536" s="49"/>
      <c r="U536" s="46"/>
      <c r="V536" s="50"/>
      <c r="W536" s="46"/>
      <c r="X536" s="46"/>
      <c r="Y536" s="46"/>
    </row>
    <row r="537" spans="1:25" x14ac:dyDescent="0.2">
      <c r="A537" s="45"/>
      <c r="B537" s="46"/>
      <c r="C537" s="46"/>
      <c r="D537" s="46"/>
      <c r="E537" s="46"/>
      <c r="F537" s="46"/>
      <c r="G537" s="46"/>
      <c r="H537" s="46"/>
      <c r="I537" s="46"/>
      <c r="J537" s="46"/>
      <c r="K537" s="47"/>
      <c r="L537" s="47"/>
      <c r="M537" s="47"/>
      <c r="N537" s="48"/>
      <c r="O537" s="46"/>
      <c r="P537" s="46"/>
      <c r="Q537" s="46"/>
      <c r="R537" s="46"/>
      <c r="S537" s="46"/>
      <c r="T537" s="49"/>
      <c r="U537" s="46"/>
      <c r="V537" s="50"/>
      <c r="W537" s="46"/>
      <c r="X537" s="46"/>
      <c r="Y537" s="46"/>
    </row>
    <row r="538" spans="1:25" x14ac:dyDescent="0.2">
      <c r="A538" s="45"/>
      <c r="B538" s="46"/>
      <c r="C538" s="46"/>
      <c r="D538" s="46"/>
      <c r="E538" s="46"/>
      <c r="F538" s="46"/>
      <c r="G538" s="46"/>
      <c r="H538" s="46"/>
      <c r="I538" s="46"/>
      <c r="J538" s="46"/>
      <c r="K538" s="47"/>
      <c r="L538" s="47"/>
      <c r="M538" s="47"/>
      <c r="N538" s="48"/>
      <c r="O538" s="46"/>
      <c r="P538" s="46"/>
      <c r="Q538" s="46"/>
      <c r="R538" s="46"/>
      <c r="S538" s="46"/>
      <c r="T538" s="49"/>
      <c r="U538" s="46"/>
      <c r="V538" s="50"/>
      <c r="W538" s="46"/>
      <c r="X538" s="46"/>
      <c r="Y538" s="46"/>
    </row>
    <row r="539" spans="1:25" x14ac:dyDescent="0.2">
      <c r="A539" s="45"/>
      <c r="B539" s="46"/>
      <c r="C539" s="46"/>
      <c r="D539" s="46"/>
      <c r="E539" s="46"/>
      <c r="F539" s="46"/>
      <c r="G539" s="46"/>
      <c r="H539" s="46"/>
      <c r="I539" s="46"/>
      <c r="J539" s="46"/>
      <c r="K539" s="47"/>
      <c r="L539" s="47"/>
      <c r="M539" s="47"/>
      <c r="N539" s="48"/>
      <c r="O539" s="46"/>
      <c r="P539" s="46"/>
      <c r="Q539" s="46"/>
      <c r="R539" s="46"/>
      <c r="S539" s="46"/>
      <c r="T539" s="49"/>
      <c r="U539" s="46"/>
      <c r="V539" s="50"/>
      <c r="W539" s="46"/>
      <c r="X539" s="46"/>
      <c r="Y539" s="46"/>
    </row>
    <row r="540" spans="1:25" x14ac:dyDescent="0.2">
      <c r="A540" s="45"/>
      <c r="B540" s="46"/>
      <c r="C540" s="46"/>
      <c r="D540" s="46"/>
      <c r="E540" s="46"/>
      <c r="F540" s="46"/>
      <c r="G540" s="46"/>
      <c r="H540" s="46"/>
      <c r="I540" s="46"/>
      <c r="J540" s="46"/>
      <c r="K540" s="47"/>
      <c r="L540" s="47"/>
      <c r="M540" s="47"/>
      <c r="N540" s="48"/>
      <c r="O540" s="46"/>
      <c r="P540" s="46"/>
      <c r="Q540" s="46"/>
      <c r="R540" s="46"/>
      <c r="S540" s="46"/>
      <c r="T540" s="49"/>
      <c r="U540" s="46"/>
      <c r="V540" s="50"/>
      <c r="W540" s="46"/>
      <c r="X540" s="46"/>
      <c r="Y540" s="46"/>
    </row>
    <row r="541" spans="1:25" x14ac:dyDescent="0.2">
      <c r="A541" s="45"/>
      <c r="B541" s="46"/>
      <c r="C541" s="46"/>
      <c r="D541" s="46"/>
      <c r="E541" s="46"/>
      <c r="F541" s="46"/>
      <c r="G541" s="46"/>
      <c r="H541" s="46"/>
      <c r="I541" s="46"/>
      <c r="J541" s="46"/>
      <c r="K541" s="47"/>
      <c r="L541" s="47"/>
      <c r="M541" s="47"/>
      <c r="N541" s="48"/>
      <c r="O541" s="46"/>
      <c r="P541" s="46"/>
      <c r="Q541" s="46"/>
      <c r="R541" s="46"/>
      <c r="S541" s="46"/>
      <c r="T541" s="49"/>
      <c r="U541" s="46"/>
      <c r="V541" s="50"/>
      <c r="W541" s="46"/>
      <c r="X541" s="46"/>
      <c r="Y541" s="46"/>
    </row>
    <row r="542" spans="1:25" x14ac:dyDescent="0.2">
      <c r="A542" s="45"/>
      <c r="B542" s="46"/>
      <c r="C542" s="46"/>
      <c r="D542" s="46"/>
      <c r="E542" s="46"/>
      <c r="F542" s="46"/>
      <c r="G542" s="46"/>
      <c r="H542" s="46"/>
      <c r="I542" s="46"/>
      <c r="J542" s="46"/>
      <c r="K542" s="47"/>
      <c r="L542" s="47"/>
      <c r="M542" s="47"/>
      <c r="N542" s="48"/>
      <c r="O542" s="46"/>
      <c r="P542" s="46"/>
      <c r="Q542" s="46"/>
      <c r="R542" s="46"/>
      <c r="S542" s="46"/>
      <c r="T542" s="49"/>
      <c r="U542" s="46"/>
      <c r="V542" s="50"/>
      <c r="W542" s="46"/>
      <c r="X542" s="46"/>
      <c r="Y542" s="46"/>
    </row>
    <row r="543" spans="1:25" x14ac:dyDescent="0.2">
      <c r="A543" s="45"/>
      <c r="B543" s="46"/>
      <c r="C543" s="46"/>
      <c r="D543" s="46"/>
      <c r="E543" s="46"/>
      <c r="F543" s="46"/>
      <c r="G543" s="46"/>
      <c r="H543" s="46"/>
      <c r="I543" s="46"/>
      <c r="J543" s="46"/>
      <c r="K543" s="47"/>
      <c r="L543" s="47"/>
      <c r="M543" s="47"/>
      <c r="N543" s="48"/>
      <c r="O543" s="46"/>
      <c r="P543" s="46"/>
      <c r="Q543" s="46"/>
      <c r="R543" s="46"/>
      <c r="S543" s="46"/>
      <c r="T543" s="49"/>
      <c r="U543" s="46"/>
      <c r="V543" s="50"/>
      <c r="W543" s="46"/>
      <c r="X543" s="46"/>
      <c r="Y543" s="46"/>
    </row>
    <row r="544" spans="1:25" x14ac:dyDescent="0.2">
      <c r="A544" s="45"/>
      <c r="B544" s="46"/>
      <c r="C544" s="46"/>
      <c r="D544" s="46"/>
      <c r="E544" s="46"/>
      <c r="F544" s="46"/>
      <c r="G544" s="46"/>
      <c r="H544" s="46"/>
      <c r="I544" s="46"/>
      <c r="J544" s="46"/>
      <c r="K544" s="47"/>
      <c r="L544" s="47"/>
      <c r="M544" s="47"/>
      <c r="N544" s="48"/>
      <c r="O544" s="46"/>
      <c r="P544" s="46"/>
      <c r="Q544" s="46"/>
      <c r="R544" s="46"/>
      <c r="S544" s="46"/>
      <c r="T544" s="49"/>
      <c r="U544" s="46"/>
      <c r="V544" s="50"/>
      <c r="W544" s="46"/>
      <c r="X544" s="46"/>
      <c r="Y544" s="46"/>
    </row>
    <row r="545" spans="1:25" x14ac:dyDescent="0.2">
      <c r="A545" s="45"/>
      <c r="B545" s="46"/>
      <c r="C545" s="46"/>
      <c r="D545" s="46"/>
      <c r="E545" s="46"/>
      <c r="F545" s="46"/>
      <c r="G545" s="46"/>
      <c r="H545" s="46"/>
      <c r="I545" s="46"/>
      <c r="J545" s="46"/>
      <c r="K545" s="47"/>
      <c r="L545" s="47"/>
      <c r="M545" s="47"/>
      <c r="N545" s="48"/>
      <c r="O545" s="46"/>
      <c r="P545" s="46"/>
      <c r="Q545" s="46"/>
      <c r="R545" s="46"/>
      <c r="S545" s="46"/>
      <c r="T545" s="49"/>
      <c r="U545" s="46"/>
      <c r="V545" s="50"/>
      <c r="W545" s="46"/>
      <c r="X545" s="46"/>
      <c r="Y545" s="46"/>
    </row>
    <row r="546" spans="1:25" x14ac:dyDescent="0.2">
      <c r="A546" s="45"/>
      <c r="B546" s="46"/>
      <c r="C546" s="46"/>
      <c r="D546" s="46"/>
      <c r="E546" s="46"/>
      <c r="F546" s="46"/>
      <c r="G546" s="46"/>
      <c r="H546" s="46"/>
      <c r="I546" s="46"/>
      <c r="J546" s="46"/>
      <c r="K546" s="47"/>
      <c r="L546" s="47"/>
      <c r="M546" s="47"/>
      <c r="N546" s="48"/>
      <c r="O546" s="46"/>
      <c r="P546" s="46"/>
      <c r="Q546" s="46"/>
      <c r="R546" s="46"/>
      <c r="S546" s="46"/>
      <c r="T546" s="49"/>
      <c r="U546" s="46"/>
      <c r="V546" s="50"/>
      <c r="W546" s="46"/>
      <c r="X546" s="46"/>
      <c r="Y546" s="46"/>
    </row>
    <row r="547" spans="1:25" x14ac:dyDescent="0.2">
      <c r="A547" s="45"/>
      <c r="B547" s="46"/>
      <c r="C547" s="46"/>
      <c r="D547" s="46"/>
      <c r="E547" s="46"/>
      <c r="F547" s="46"/>
      <c r="G547" s="46"/>
      <c r="H547" s="46"/>
      <c r="I547" s="46"/>
      <c r="J547" s="46"/>
      <c r="K547" s="47"/>
      <c r="L547" s="47"/>
      <c r="M547" s="47"/>
      <c r="N547" s="48"/>
      <c r="O547" s="46"/>
      <c r="P547" s="46"/>
      <c r="Q547" s="46"/>
      <c r="R547" s="46"/>
      <c r="S547" s="46"/>
      <c r="T547" s="49"/>
      <c r="U547" s="46"/>
      <c r="V547" s="50"/>
      <c r="W547" s="46"/>
      <c r="X547" s="46"/>
      <c r="Y547" s="46"/>
    </row>
    <row r="548" spans="1:25" x14ac:dyDescent="0.2">
      <c r="A548" s="45"/>
      <c r="B548" s="46"/>
      <c r="C548" s="46"/>
      <c r="D548" s="46"/>
      <c r="E548" s="46"/>
      <c r="F548" s="46"/>
      <c r="G548" s="46"/>
      <c r="H548" s="46"/>
      <c r="I548" s="46"/>
      <c r="J548" s="46"/>
      <c r="K548" s="47"/>
      <c r="L548" s="47"/>
      <c r="M548" s="47"/>
      <c r="N548" s="48"/>
      <c r="O548" s="46"/>
      <c r="P548" s="46"/>
      <c r="Q548" s="46"/>
      <c r="R548" s="46"/>
      <c r="S548" s="46"/>
      <c r="T548" s="49"/>
      <c r="U548" s="46"/>
      <c r="V548" s="50"/>
      <c r="W548" s="46"/>
      <c r="X548" s="46"/>
      <c r="Y548" s="46"/>
    </row>
    <row r="549" spans="1:25" x14ac:dyDescent="0.2">
      <c r="A549" s="45"/>
      <c r="B549" s="46"/>
      <c r="C549" s="46"/>
      <c r="D549" s="46"/>
      <c r="E549" s="46"/>
      <c r="F549" s="46"/>
      <c r="G549" s="46"/>
      <c r="H549" s="46"/>
      <c r="I549" s="46"/>
      <c r="J549" s="46"/>
      <c r="K549" s="47"/>
      <c r="L549" s="47"/>
      <c r="M549" s="47"/>
      <c r="N549" s="48"/>
      <c r="O549" s="46"/>
      <c r="P549" s="46"/>
      <c r="Q549" s="46"/>
      <c r="R549" s="46"/>
      <c r="S549" s="46"/>
      <c r="T549" s="49"/>
      <c r="U549" s="46"/>
      <c r="V549" s="50"/>
      <c r="W549" s="46"/>
      <c r="X549" s="46"/>
      <c r="Y549" s="46"/>
    </row>
    <row r="550" spans="1:25" x14ac:dyDescent="0.2">
      <c r="A550" s="45"/>
      <c r="B550" s="46"/>
      <c r="C550" s="46"/>
      <c r="D550" s="46"/>
      <c r="E550" s="46"/>
      <c r="F550" s="46"/>
      <c r="G550" s="46"/>
      <c r="H550" s="46"/>
      <c r="I550" s="46"/>
      <c r="J550" s="46"/>
      <c r="K550" s="47"/>
      <c r="L550" s="47"/>
      <c r="M550" s="47"/>
      <c r="N550" s="48"/>
      <c r="O550" s="46"/>
      <c r="P550" s="46"/>
      <c r="Q550" s="46"/>
      <c r="R550" s="46"/>
      <c r="S550" s="46"/>
      <c r="T550" s="49"/>
      <c r="U550" s="46"/>
      <c r="V550" s="50"/>
      <c r="W550" s="46"/>
      <c r="X550" s="46"/>
      <c r="Y550" s="46"/>
    </row>
    <row r="551" spans="1:25" x14ac:dyDescent="0.2">
      <c r="A551" s="45"/>
      <c r="B551" s="46"/>
      <c r="C551" s="46"/>
      <c r="D551" s="46"/>
      <c r="E551" s="46"/>
      <c r="F551" s="46"/>
      <c r="G551" s="46"/>
      <c r="H551" s="46"/>
      <c r="I551" s="46"/>
      <c r="J551" s="46"/>
      <c r="K551" s="47"/>
      <c r="L551" s="47"/>
      <c r="M551" s="47"/>
      <c r="N551" s="48"/>
      <c r="O551" s="46"/>
      <c r="P551" s="46"/>
      <c r="Q551" s="46"/>
      <c r="R551" s="46"/>
      <c r="S551" s="46"/>
      <c r="T551" s="49"/>
      <c r="U551" s="46"/>
      <c r="V551" s="50"/>
      <c r="W551" s="46"/>
      <c r="X551" s="46"/>
      <c r="Y551" s="46"/>
    </row>
    <row r="552" spans="1:25" x14ac:dyDescent="0.2">
      <c r="A552" s="45"/>
      <c r="B552" s="46"/>
      <c r="C552" s="46"/>
      <c r="D552" s="46"/>
      <c r="E552" s="46"/>
      <c r="F552" s="46"/>
      <c r="G552" s="46"/>
      <c r="H552" s="46"/>
      <c r="I552" s="46"/>
      <c r="J552" s="46"/>
      <c r="K552" s="47"/>
      <c r="L552" s="47"/>
      <c r="M552" s="47"/>
      <c r="N552" s="48"/>
      <c r="O552" s="46"/>
      <c r="P552" s="46"/>
      <c r="Q552" s="46"/>
      <c r="R552" s="46"/>
      <c r="S552" s="46"/>
      <c r="T552" s="49"/>
      <c r="U552" s="46"/>
      <c r="V552" s="50"/>
      <c r="W552" s="46"/>
      <c r="X552" s="46"/>
      <c r="Y552" s="46"/>
    </row>
    <row r="553" spans="1:25" x14ac:dyDescent="0.2">
      <c r="A553" s="45"/>
      <c r="B553" s="46"/>
      <c r="C553" s="46"/>
      <c r="D553" s="46"/>
      <c r="E553" s="46"/>
      <c r="F553" s="46"/>
      <c r="G553" s="46"/>
      <c r="H553" s="46"/>
      <c r="I553" s="46"/>
      <c r="J553" s="46"/>
      <c r="K553" s="47"/>
      <c r="L553" s="47"/>
      <c r="M553" s="47"/>
      <c r="N553" s="48"/>
      <c r="O553" s="46"/>
      <c r="P553" s="46"/>
      <c r="Q553" s="46"/>
      <c r="R553" s="46"/>
      <c r="S553" s="46"/>
      <c r="T553" s="49"/>
      <c r="U553" s="46"/>
      <c r="V553" s="50"/>
      <c r="W553" s="46"/>
      <c r="X553" s="46"/>
      <c r="Y553" s="46"/>
    </row>
    <row r="554" spans="1:25" x14ac:dyDescent="0.2">
      <c r="A554" s="45"/>
      <c r="B554" s="46"/>
      <c r="C554" s="46"/>
      <c r="D554" s="46"/>
      <c r="E554" s="46"/>
      <c r="F554" s="46"/>
      <c r="G554" s="46"/>
      <c r="H554" s="46"/>
      <c r="I554" s="46"/>
      <c r="J554" s="46"/>
      <c r="K554" s="47"/>
      <c r="L554" s="47"/>
      <c r="M554" s="47"/>
      <c r="N554" s="48"/>
      <c r="O554" s="46"/>
      <c r="P554" s="46"/>
      <c r="Q554" s="46"/>
      <c r="R554" s="46"/>
      <c r="S554" s="46"/>
      <c r="T554" s="49"/>
      <c r="U554" s="46"/>
      <c r="V554" s="50"/>
      <c r="W554" s="46"/>
      <c r="X554" s="46"/>
      <c r="Y554" s="46"/>
    </row>
    <row r="555" spans="1:25" x14ac:dyDescent="0.2">
      <c r="A555" s="45"/>
      <c r="B555" s="46"/>
      <c r="C555" s="46"/>
      <c r="D555" s="46"/>
      <c r="E555" s="46"/>
      <c r="F555" s="46"/>
      <c r="G555" s="46"/>
      <c r="H555" s="46"/>
      <c r="I555" s="46"/>
      <c r="J555" s="46"/>
      <c r="K555" s="47"/>
      <c r="L555" s="47"/>
      <c r="M555" s="47"/>
      <c r="N555" s="48"/>
      <c r="O555" s="46"/>
      <c r="P555" s="46"/>
      <c r="Q555" s="46"/>
      <c r="R555" s="46"/>
      <c r="S555" s="46"/>
      <c r="T555" s="49"/>
      <c r="U555" s="46"/>
      <c r="V555" s="50"/>
      <c r="W555" s="46"/>
      <c r="X555" s="46"/>
      <c r="Y555" s="46"/>
    </row>
    <row r="556" spans="1:25" x14ac:dyDescent="0.2">
      <c r="A556" s="45"/>
      <c r="B556" s="46"/>
      <c r="C556" s="46"/>
      <c r="D556" s="46"/>
      <c r="E556" s="46"/>
      <c r="F556" s="46"/>
      <c r="G556" s="46"/>
      <c r="H556" s="46"/>
      <c r="I556" s="46"/>
      <c r="J556" s="46"/>
      <c r="K556" s="47"/>
      <c r="L556" s="47"/>
      <c r="M556" s="47"/>
      <c r="N556" s="48"/>
      <c r="O556" s="46"/>
      <c r="P556" s="46"/>
      <c r="Q556" s="46"/>
      <c r="R556" s="46"/>
      <c r="S556" s="46"/>
      <c r="T556" s="49"/>
      <c r="U556" s="46"/>
      <c r="V556" s="50"/>
      <c r="W556" s="46"/>
      <c r="X556" s="46"/>
      <c r="Y556" s="46"/>
    </row>
    <row r="557" spans="1:25" x14ac:dyDescent="0.2">
      <c r="A557" s="45"/>
      <c r="B557" s="46"/>
      <c r="C557" s="46"/>
      <c r="D557" s="46"/>
      <c r="E557" s="46"/>
      <c r="F557" s="46"/>
      <c r="G557" s="46"/>
      <c r="H557" s="46"/>
      <c r="I557" s="46"/>
      <c r="J557" s="46"/>
      <c r="K557" s="47"/>
      <c r="L557" s="47"/>
      <c r="M557" s="47"/>
      <c r="N557" s="48"/>
      <c r="O557" s="46"/>
      <c r="P557" s="46"/>
      <c r="Q557" s="46"/>
      <c r="R557" s="46"/>
      <c r="S557" s="46"/>
      <c r="T557" s="49"/>
      <c r="U557" s="46"/>
      <c r="V557" s="50"/>
      <c r="W557" s="46"/>
      <c r="X557" s="46"/>
      <c r="Y557" s="46"/>
    </row>
    <row r="558" spans="1:25" x14ac:dyDescent="0.2">
      <c r="A558" s="45"/>
      <c r="B558" s="46"/>
      <c r="C558" s="46"/>
      <c r="D558" s="46"/>
      <c r="E558" s="46"/>
      <c r="F558" s="46"/>
      <c r="G558" s="46"/>
      <c r="H558" s="46"/>
      <c r="I558" s="46"/>
      <c r="J558" s="46"/>
      <c r="K558" s="47"/>
      <c r="L558" s="47"/>
      <c r="M558" s="47"/>
      <c r="N558" s="48"/>
      <c r="O558" s="46"/>
      <c r="P558" s="46"/>
      <c r="Q558" s="46"/>
      <c r="R558" s="46"/>
      <c r="S558" s="46"/>
      <c r="T558" s="49"/>
      <c r="U558" s="46"/>
      <c r="V558" s="50"/>
      <c r="W558" s="46"/>
      <c r="X558" s="46"/>
      <c r="Y558" s="46"/>
    </row>
    <row r="559" spans="1:25" x14ac:dyDescent="0.2">
      <c r="A559" s="45"/>
      <c r="B559" s="46"/>
      <c r="C559" s="46"/>
      <c r="D559" s="46"/>
      <c r="E559" s="46"/>
      <c r="F559" s="46"/>
      <c r="G559" s="46"/>
      <c r="H559" s="46"/>
      <c r="I559" s="46"/>
      <c r="J559" s="46"/>
      <c r="K559" s="47"/>
      <c r="L559" s="47"/>
      <c r="M559" s="47"/>
      <c r="N559" s="48"/>
      <c r="O559" s="46"/>
      <c r="P559" s="46"/>
      <c r="Q559" s="46"/>
      <c r="R559" s="46"/>
      <c r="S559" s="46"/>
      <c r="T559" s="49"/>
      <c r="U559" s="46"/>
      <c r="V559" s="50"/>
      <c r="W559" s="46"/>
      <c r="X559" s="46"/>
      <c r="Y559" s="46"/>
    </row>
    <row r="560" spans="1:25" x14ac:dyDescent="0.2">
      <c r="A560" s="45"/>
      <c r="B560" s="46"/>
      <c r="C560" s="46"/>
      <c r="D560" s="46"/>
      <c r="E560" s="46"/>
      <c r="F560" s="46"/>
      <c r="G560" s="46"/>
      <c r="H560" s="46"/>
      <c r="I560" s="46"/>
      <c r="J560" s="46"/>
      <c r="K560" s="47"/>
      <c r="L560" s="47"/>
      <c r="M560" s="47"/>
      <c r="N560" s="48"/>
      <c r="O560" s="46"/>
      <c r="P560" s="46"/>
      <c r="Q560" s="46"/>
      <c r="R560" s="46"/>
      <c r="S560" s="46"/>
      <c r="T560" s="49"/>
      <c r="U560" s="46"/>
      <c r="V560" s="50"/>
      <c r="W560" s="46"/>
      <c r="X560" s="46"/>
      <c r="Y560" s="46"/>
    </row>
    <row r="561" spans="1:25" x14ac:dyDescent="0.2">
      <c r="A561" s="45"/>
      <c r="B561" s="46"/>
      <c r="C561" s="46"/>
      <c r="D561" s="46"/>
      <c r="E561" s="46"/>
      <c r="F561" s="46"/>
      <c r="G561" s="46"/>
      <c r="H561" s="46"/>
      <c r="I561" s="46"/>
      <c r="J561" s="46"/>
      <c r="K561" s="47"/>
      <c r="L561" s="47"/>
      <c r="M561" s="47"/>
      <c r="N561" s="48"/>
      <c r="O561" s="46"/>
      <c r="P561" s="46"/>
      <c r="Q561" s="46"/>
      <c r="R561" s="46"/>
      <c r="S561" s="46"/>
      <c r="T561" s="49"/>
      <c r="U561" s="46"/>
      <c r="V561" s="50"/>
      <c r="W561" s="46"/>
      <c r="X561" s="46"/>
      <c r="Y561" s="46"/>
    </row>
    <row r="562" spans="1:25" x14ac:dyDescent="0.2">
      <c r="A562" s="45"/>
      <c r="B562" s="46"/>
      <c r="C562" s="46"/>
      <c r="D562" s="46"/>
      <c r="E562" s="46"/>
      <c r="F562" s="46"/>
      <c r="G562" s="46"/>
      <c r="H562" s="46"/>
      <c r="I562" s="46"/>
      <c r="J562" s="46"/>
      <c r="K562" s="47"/>
      <c r="L562" s="47"/>
      <c r="M562" s="47"/>
      <c r="N562" s="48"/>
      <c r="O562" s="46"/>
      <c r="P562" s="46"/>
      <c r="Q562" s="46"/>
      <c r="R562" s="46"/>
      <c r="S562" s="46"/>
      <c r="T562" s="49"/>
      <c r="U562" s="46"/>
      <c r="V562" s="50"/>
      <c r="W562" s="46"/>
      <c r="X562" s="46"/>
      <c r="Y562" s="46"/>
    </row>
    <row r="563" spans="1:25" x14ac:dyDescent="0.2">
      <c r="A563" s="45"/>
      <c r="B563" s="46"/>
      <c r="C563" s="46"/>
      <c r="D563" s="46"/>
      <c r="E563" s="46"/>
      <c r="F563" s="46"/>
      <c r="G563" s="46"/>
      <c r="H563" s="46"/>
      <c r="I563" s="46"/>
      <c r="J563" s="46"/>
      <c r="K563" s="47"/>
      <c r="L563" s="47"/>
      <c r="M563" s="47"/>
      <c r="N563" s="48"/>
      <c r="O563" s="46"/>
      <c r="P563" s="46"/>
      <c r="Q563" s="46"/>
      <c r="R563" s="46"/>
      <c r="S563" s="46"/>
      <c r="T563" s="49"/>
      <c r="U563" s="46"/>
      <c r="V563" s="50"/>
      <c r="W563" s="46"/>
      <c r="X563" s="46"/>
      <c r="Y563" s="46"/>
    </row>
    <row r="564" spans="1:25" x14ac:dyDescent="0.2">
      <c r="A564" s="45"/>
      <c r="B564" s="46"/>
      <c r="C564" s="46"/>
      <c r="D564" s="46"/>
      <c r="E564" s="46"/>
      <c r="F564" s="46"/>
      <c r="G564" s="46"/>
      <c r="H564" s="46"/>
      <c r="I564" s="46"/>
      <c r="J564" s="46"/>
      <c r="K564" s="47"/>
      <c r="L564" s="47"/>
      <c r="M564" s="47"/>
      <c r="N564" s="48"/>
      <c r="O564" s="46"/>
      <c r="P564" s="46"/>
      <c r="Q564" s="46"/>
      <c r="R564" s="46"/>
      <c r="S564" s="46"/>
      <c r="T564" s="49"/>
      <c r="U564" s="46"/>
      <c r="V564" s="50"/>
      <c r="W564" s="46"/>
      <c r="X564" s="46"/>
      <c r="Y564" s="46"/>
    </row>
    <row r="565" spans="1:25" x14ac:dyDescent="0.2">
      <c r="A565" s="45"/>
      <c r="B565" s="46"/>
      <c r="C565" s="46"/>
      <c r="D565" s="46"/>
      <c r="E565" s="46"/>
      <c r="F565" s="46"/>
      <c r="G565" s="46"/>
      <c r="H565" s="46"/>
      <c r="I565" s="46"/>
      <c r="J565" s="46"/>
      <c r="K565" s="47"/>
      <c r="L565" s="47"/>
      <c r="M565" s="47"/>
      <c r="N565" s="48"/>
      <c r="O565" s="46"/>
      <c r="P565" s="46"/>
      <c r="Q565" s="46"/>
      <c r="R565" s="46"/>
      <c r="S565" s="46"/>
      <c r="T565" s="49"/>
      <c r="U565" s="46"/>
      <c r="V565" s="50"/>
      <c r="W565" s="46"/>
      <c r="X565" s="46"/>
      <c r="Y565" s="46"/>
    </row>
    <row r="566" spans="1:25" x14ac:dyDescent="0.2">
      <c r="A566" s="45"/>
      <c r="B566" s="46"/>
      <c r="C566" s="46"/>
      <c r="D566" s="46"/>
      <c r="E566" s="46"/>
      <c r="F566" s="46"/>
      <c r="G566" s="46"/>
      <c r="H566" s="46"/>
      <c r="I566" s="46"/>
      <c r="J566" s="46"/>
      <c r="K566" s="47"/>
      <c r="L566" s="47"/>
      <c r="M566" s="47"/>
      <c r="N566" s="48"/>
      <c r="O566" s="46"/>
      <c r="P566" s="46"/>
      <c r="Q566" s="46"/>
      <c r="R566" s="46"/>
      <c r="S566" s="46"/>
      <c r="T566" s="49"/>
      <c r="U566" s="46"/>
      <c r="V566" s="50"/>
      <c r="W566" s="46"/>
      <c r="X566" s="46"/>
      <c r="Y566" s="46"/>
    </row>
    <row r="567" spans="1:25" x14ac:dyDescent="0.2">
      <c r="A567" s="45"/>
      <c r="B567" s="46"/>
      <c r="C567" s="46"/>
      <c r="D567" s="46"/>
      <c r="E567" s="46"/>
      <c r="F567" s="46"/>
      <c r="G567" s="46"/>
      <c r="H567" s="46"/>
      <c r="I567" s="46"/>
      <c r="J567" s="46"/>
      <c r="K567" s="47"/>
      <c r="L567" s="47"/>
      <c r="M567" s="47"/>
      <c r="N567" s="48"/>
      <c r="O567" s="46"/>
      <c r="P567" s="46"/>
      <c r="Q567" s="46"/>
      <c r="R567" s="46"/>
      <c r="S567" s="46"/>
      <c r="T567" s="49"/>
      <c r="U567" s="46"/>
      <c r="V567" s="50"/>
      <c r="W567" s="46"/>
      <c r="X567" s="46"/>
      <c r="Y567" s="46"/>
    </row>
    <row r="568" spans="1:25" x14ac:dyDescent="0.2">
      <c r="A568" s="45"/>
      <c r="B568" s="46"/>
      <c r="C568" s="46"/>
      <c r="D568" s="46"/>
      <c r="E568" s="46"/>
      <c r="F568" s="46"/>
      <c r="G568" s="46"/>
      <c r="H568" s="46"/>
      <c r="I568" s="46"/>
      <c r="J568" s="46"/>
      <c r="K568" s="47"/>
      <c r="L568" s="47"/>
      <c r="M568" s="47"/>
      <c r="N568" s="48"/>
      <c r="O568" s="46"/>
      <c r="P568" s="46"/>
      <c r="Q568" s="46"/>
      <c r="R568" s="46"/>
      <c r="S568" s="46"/>
      <c r="T568" s="49"/>
      <c r="U568" s="46"/>
      <c r="V568" s="50"/>
      <c r="W568" s="46"/>
      <c r="X568" s="46"/>
      <c r="Y568" s="46"/>
    </row>
    <row r="569" spans="1:25" x14ac:dyDescent="0.2">
      <c r="A569" s="45"/>
      <c r="B569" s="46"/>
      <c r="C569" s="46"/>
      <c r="D569" s="46"/>
      <c r="E569" s="46"/>
      <c r="F569" s="46"/>
      <c r="G569" s="46"/>
      <c r="H569" s="46"/>
      <c r="I569" s="46"/>
      <c r="J569" s="46"/>
      <c r="K569" s="47"/>
      <c r="L569" s="47"/>
      <c r="M569" s="47"/>
      <c r="N569" s="48"/>
      <c r="O569" s="46"/>
      <c r="P569" s="46"/>
      <c r="Q569" s="46"/>
      <c r="R569" s="46"/>
      <c r="S569" s="46"/>
      <c r="T569" s="49"/>
      <c r="U569" s="46"/>
      <c r="V569" s="50"/>
      <c r="W569" s="46"/>
      <c r="X569" s="46"/>
      <c r="Y569" s="46"/>
    </row>
    <row r="570" spans="1:25" x14ac:dyDescent="0.2">
      <c r="A570" s="45"/>
      <c r="B570" s="46"/>
      <c r="C570" s="46"/>
      <c r="D570" s="46"/>
      <c r="E570" s="46"/>
      <c r="F570" s="46"/>
      <c r="G570" s="46"/>
      <c r="H570" s="46"/>
      <c r="I570" s="46"/>
      <c r="J570" s="46"/>
      <c r="K570" s="47"/>
      <c r="L570" s="47"/>
      <c r="M570" s="47"/>
      <c r="N570" s="48"/>
      <c r="O570" s="46"/>
      <c r="P570" s="46"/>
      <c r="Q570" s="46"/>
      <c r="R570" s="46"/>
      <c r="S570" s="46"/>
      <c r="T570" s="49"/>
      <c r="U570" s="46"/>
      <c r="V570" s="50"/>
      <c r="W570" s="46"/>
      <c r="X570" s="46"/>
      <c r="Y570" s="46"/>
    </row>
    <row r="571" spans="1:25" x14ac:dyDescent="0.2">
      <c r="A571" s="45"/>
      <c r="B571" s="46"/>
      <c r="C571" s="46"/>
      <c r="D571" s="46"/>
      <c r="E571" s="46"/>
      <c r="F571" s="46"/>
      <c r="G571" s="46"/>
      <c r="H571" s="46"/>
      <c r="I571" s="46"/>
      <c r="J571" s="46"/>
      <c r="K571" s="47"/>
      <c r="L571" s="47"/>
      <c r="M571" s="47"/>
      <c r="N571" s="48"/>
      <c r="O571" s="46"/>
      <c r="P571" s="46"/>
      <c r="Q571" s="46"/>
      <c r="R571" s="46"/>
      <c r="S571" s="46"/>
      <c r="T571" s="49"/>
      <c r="U571" s="46"/>
      <c r="V571" s="50"/>
      <c r="W571" s="46"/>
      <c r="X571" s="46"/>
      <c r="Y571" s="46"/>
    </row>
    <row r="572" spans="1:25" x14ac:dyDescent="0.2">
      <c r="A572" s="45"/>
      <c r="B572" s="46"/>
      <c r="C572" s="46"/>
      <c r="D572" s="46"/>
      <c r="E572" s="46"/>
      <c r="F572" s="46"/>
      <c r="G572" s="46"/>
      <c r="H572" s="46"/>
      <c r="I572" s="46"/>
      <c r="J572" s="46"/>
      <c r="K572" s="47"/>
      <c r="L572" s="47"/>
      <c r="M572" s="47"/>
      <c r="N572" s="48"/>
      <c r="O572" s="46"/>
      <c r="P572" s="46"/>
      <c r="Q572" s="46"/>
      <c r="R572" s="46"/>
      <c r="S572" s="46"/>
      <c r="T572" s="49"/>
      <c r="U572" s="46"/>
      <c r="V572" s="50"/>
      <c r="W572" s="46"/>
      <c r="X572" s="46"/>
      <c r="Y572" s="46"/>
    </row>
    <row r="573" spans="1:25" x14ac:dyDescent="0.2">
      <c r="A573" s="45"/>
      <c r="B573" s="46"/>
      <c r="C573" s="46"/>
      <c r="D573" s="46"/>
      <c r="E573" s="46"/>
      <c r="F573" s="46"/>
      <c r="G573" s="46"/>
      <c r="H573" s="46"/>
      <c r="I573" s="46"/>
      <c r="J573" s="46"/>
      <c r="K573" s="47"/>
      <c r="L573" s="47"/>
      <c r="M573" s="47"/>
      <c r="N573" s="48"/>
      <c r="O573" s="46"/>
      <c r="P573" s="46"/>
      <c r="Q573" s="46"/>
      <c r="R573" s="46"/>
      <c r="S573" s="46"/>
      <c r="T573" s="49"/>
      <c r="U573" s="46"/>
      <c r="V573" s="50"/>
      <c r="W573" s="46"/>
      <c r="X573" s="46"/>
      <c r="Y573" s="46"/>
    </row>
    <row r="574" spans="1:25" x14ac:dyDescent="0.2">
      <c r="A574" s="45"/>
      <c r="B574" s="46"/>
      <c r="C574" s="46"/>
      <c r="D574" s="46"/>
      <c r="E574" s="46"/>
      <c r="F574" s="46"/>
      <c r="G574" s="46"/>
      <c r="H574" s="46"/>
      <c r="I574" s="46"/>
      <c r="J574" s="46"/>
      <c r="K574" s="47"/>
      <c r="L574" s="47"/>
      <c r="M574" s="47"/>
      <c r="N574" s="48"/>
      <c r="O574" s="46"/>
      <c r="P574" s="46"/>
      <c r="Q574" s="46"/>
      <c r="R574" s="46"/>
      <c r="S574" s="46"/>
      <c r="T574" s="49"/>
      <c r="U574" s="46"/>
      <c r="V574" s="50"/>
      <c r="W574" s="46"/>
      <c r="X574" s="46"/>
      <c r="Y574" s="46"/>
    </row>
    <row r="575" spans="1:25" x14ac:dyDescent="0.2">
      <c r="A575" s="45"/>
      <c r="B575" s="46"/>
      <c r="C575" s="46"/>
      <c r="D575" s="46"/>
      <c r="E575" s="46"/>
      <c r="F575" s="46"/>
      <c r="G575" s="46"/>
      <c r="H575" s="46"/>
      <c r="I575" s="46"/>
      <c r="J575" s="46"/>
      <c r="K575" s="47"/>
      <c r="L575" s="47"/>
      <c r="M575" s="47"/>
      <c r="N575" s="48"/>
      <c r="O575" s="46"/>
      <c r="P575" s="46"/>
      <c r="Q575" s="46"/>
      <c r="R575" s="46"/>
      <c r="S575" s="46"/>
      <c r="T575" s="49"/>
      <c r="U575" s="46"/>
      <c r="V575" s="50"/>
      <c r="W575" s="46"/>
      <c r="X575" s="46"/>
      <c r="Y575" s="46"/>
    </row>
    <row r="576" spans="1:25" x14ac:dyDescent="0.2">
      <c r="A576" s="45"/>
      <c r="B576" s="46"/>
      <c r="C576" s="46"/>
      <c r="D576" s="46"/>
      <c r="E576" s="46"/>
      <c r="F576" s="46"/>
      <c r="G576" s="46"/>
      <c r="H576" s="46"/>
      <c r="I576" s="46"/>
      <c r="J576" s="46"/>
      <c r="K576" s="47"/>
      <c r="L576" s="47"/>
      <c r="M576" s="47"/>
      <c r="N576" s="48"/>
      <c r="O576" s="46"/>
      <c r="P576" s="46"/>
      <c r="Q576" s="46"/>
      <c r="R576" s="46"/>
      <c r="S576" s="46"/>
      <c r="T576" s="49"/>
      <c r="U576" s="46"/>
      <c r="V576" s="50"/>
      <c r="W576" s="46"/>
      <c r="X576" s="46"/>
      <c r="Y576" s="46"/>
    </row>
    <row r="577" spans="1:25" x14ac:dyDescent="0.2">
      <c r="A577" s="45"/>
      <c r="B577" s="46"/>
      <c r="C577" s="46"/>
      <c r="D577" s="46"/>
      <c r="E577" s="46"/>
      <c r="F577" s="46"/>
      <c r="G577" s="46"/>
      <c r="H577" s="46"/>
      <c r="I577" s="46"/>
      <c r="J577" s="46"/>
      <c r="K577" s="47"/>
      <c r="L577" s="47"/>
      <c r="M577" s="47"/>
      <c r="N577" s="48"/>
      <c r="O577" s="46"/>
      <c r="P577" s="46"/>
      <c r="Q577" s="46"/>
      <c r="R577" s="46"/>
      <c r="S577" s="46"/>
      <c r="T577" s="49"/>
      <c r="U577" s="46"/>
      <c r="V577" s="50"/>
      <c r="W577" s="46"/>
      <c r="X577" s="46"/>
      <c r="Y577" s="46"/>
    </row>
    <row r="578" spans="1:25" x14ac:dyDescent="0.2">
      <c r="A578" s="45"/>
      <c r="B578" s="46"/>
      <c r="C578" s="46"/>
      <c r="D578" s="46"/>
      <c r="E578" s="46"/>
      <c r="F578" s="46"/>
      <c r="G578" s="46"/>
      <c r="H578" s="46"/>
      <c r="I578" s="46"/>
      <c r="J578" s="46"/>
      <c r="K578" s="47"/>
      <c r="L578" s="47"/>
      <c r="M578" s="47"/>
      <c r="N578" s="48"/>
      <c r="O578" s="46"/>
      <c r="P578" s="46"/>
      <c r="Q578" s="46"/>
      <c r="R578" s="46"/>
      <c r="S578" s="46"/>
      <c r="T578" s="49"/>
      <c r="U578" s="46"/>
      <c r="V578" s="50"/>
      <c r="W578" s="46"/>
      <c r="X578" s="46"/>
      <c r="Y578" s="46"/>
    </row>
    <row r="579" spans="1:25" x14ac:dyDescent="0.2">
      <c r="A579" s="45"/>
      <c r="B579" s="46"/>
      <c r="C579" s="46"/>
      <c r="D579" s="46"/>
      <c r="E579" s="46"/>
      <c r="F579" s="46"/>
      <c r="G579" s="46"/>
      <c r="H579" s="46"/>
      <c r="I579" s="46"/>
      <c r="J579" s="46"/>
      <c r="K579" s="47"/>
      <c r="L579" s="47"/>
      <c r="M579" s="47"/>
      <c r="N579" s="48"/>
      <c r="O579" s="46"/>
      <c r="P579" s="46"/>
      <c r="Q579" s="46"/>
      <c r="R579" s="46"/>
      <c r="S579" s="46"/>
      <c r="T579" s="49"/>
      <c r="U579" s="46"/>
      <c r="V579" s="50"/>
      <c r="W579" s="46"/>
      <c r="X579" s="46"/>
      <c r="Y579" s="46"/>
    </row>
    <row r="580" spans="1:25" x14ac:dyDescent="0.2">
      <c r="A580" s="45"/>
      <c r="B580" s="46"/>
      <c r="C580" s="46"/>
      <c r="D580" s="46"/>
      <c r="E580" s="46"/>
      <c r="F580" s="46"/>
      <c r="G580" s="46"/>
      <c r="H580" s="46"/>
      <c r="I580" s="46"/>
      <c r="J580" s="46"/>
      <c r="K580" s="47"/>
      <c r="L580" s="47"/>
      <c r="M580" s="47"/>
      <c r="N580" s="48"/>
      <c r="O580" s="46"/>
      <c r="P580" s="46"/>
      <c r="Q580" s="46"/>
      <c r="R580" s="46"/>
      <c r="S580" s="46"/>
      <c r="T580" s="49"/>
      <c r="U580" s="46"/>
      <c r="V580" s="50"/>
      <c r="W580" s="46"/>
      <c r="X580" s="46"/>
      <c r="Y580" s="46"/>
    </row>
    <row r="581" spans="1:25" x14ac:dyDescent="0.2">
      <c r="A581" s="45"/>
      <c r="B581" s="46"/>
      <c r="C581" s="46"/>
      <c r="D581" s="46"/>
      <c r="E581" s="46"/>
      <c r="F581" s="46"/>
      <c r="G581" s="46"/>
      <c r="H581" s="46"/>
      <c r="I581" s="46"/>
      <c r="J581" s="46"/>
      <c r="K581" s="47"/>
      <c r="L581" s="47"/>
      <c r="M581" s="47"/>
      <c r="N581" s="48"/>
      <c r="O581" s="46"/>
      <c r="P581" s="46"/>
      <c r="Q581" s="46"/>
      <c r="R581" s="46"/>
      <c r="S581" s="46"/>
      <c r="T581" s="49"/>
      <c r="U581" s="46"/>
      <c r="V581" s="50"/>
      <c r="W581" s="46"/>
      <c r="X581" s="46"/>
      <c r="Y581" s="46"/>
    </row>
    <row r="582" spans="1:25" x14ac:dyDescent="0.2">
      <c r="A582" s="45"/>
      <c r="B582" s="46"/>
      <c r="C582" s="46"/>
      <c r="D582" s="46"/>
      <c r="E582" s="46"/>
      <c r="F582" s="46"/>
      <c r="G582" s="46"/>
      <c r="H582" s="46"/>
      <c r="I582" s="46"/>
      <c r="J582" s="46"/>
      <c r="K582" s="47"/>
      <c r="L582" s="47"/>
      <c r="M582" s="47"/>
      <c r="N582" s="48"/>
      <c r="O582" s="46"/>
      <c r="P582" s="46"/>
      <c r="Q582" s="46"/>
      <c r="R582" s="46"/>
      <c r="S582" s="46"/>
      <c r="T582" s="49"/>
      <c r="U582" s="46"/>
      <c r="V582" s="50"/>
      <c r="W582" s="46"/>
      <c r="X582" s="46"/>
      <c r="Y582" s="46"/>
    </row>
    <row r="583" spans="1:25" x14ac:dyDescent="0.2">
      <c r="A583" s="45"/>
      <c r="B583" s="46"/>
      <c r="C583" s="46"/>
      <c r="D583" s="46"/>
      <c r="E583" s="46"/>
      <c r="F583" s="46"/>
      <c r="G583" s="46"/>
      <c r="H583" s="46"/>
      <c r="I583" s="46"/>
      <c r="J583" s="46"/>
      <c r="K583" s="47"/>
      <c r="L583" s="47"/>
      <c r="M583" s="47"/>
      <c r="N583" s="48"/>
      <c r="O583" s="46"/>
      <c r="P583" s="46"/>
      <c r="Q583" s="46"/>
      <c r="R583" s="46"/>
      <c r="S583" s="46"/>
      <c r="T583" s="49"/>
      <c r="U583" s="46"/>
      <c r="V583" s="50"/>
      <c r="W583" s="46"/>
      <c r="X583" s="46"/>
      <c r="Y583" s="46"/>
    </row>
    <row r="584" spans="1:25" x14ac:dyDescent="0.2">
      <c r="A584" s="45"/>
      <c r="B584" s="46"/>
      <c r="C584" s="46"/>
      <c r="D584" s="46"/>
      <c r="E584" s="46"/>
      <c r="F584" s="46"/>
      <c r="G584" s="46"/>
      <c r="H584" s="46"/>
      <c r="I584" s="46"/>
      <c r="J584" s="46"/>
      <c r="K584" s="47"/>
      <c r="L584" s="47"/>
      <c r="M584" s="47"/>
      <c r="N584" s="48"/>
      <c r="O584" s="46"/>
      <c r="P584" s="46"/>
      <c r="Q584" s="46"/>
      <c r="R584" s="46"/>
      <c r="S584" s="46"/>
      <c r="T584" s="49"/>
      <c r="U584" s="46"/>
      <c r="V584" s="50"/>
      <c r="W584" s="46"/>
      <c r="X584" s="46"/>
      <c r="Y584" s="46"/>
    </row>
    <row r="585" spans="1:25" x14ac:dyDescent="0.2">
      <c r="A585" s="45"/>
      <c r="B585" s="46"/>
      <c r="C585" s="46"/>
      <c r="D585" s="46"/>
      <c r="E585" s="46"/>
      <c r="F585" s="46"/>
      <c r="G585" s="46"/>
      <c r="H585" s="46"/>
      <c r="I585" s="46"/>
      <c r="J585" s="46"/>
      <c r="K585" s="47"/>
      <c r="L585" s="47"/>
      <c r="M585" s="47"/>
      <c r="N585" s="48"/>
      <c r="O585" s="46"/>
      <c r="P585" s="46"/>
      <c r="Q585" s="46"/>
      <c r="R585" s="46"/>
      <c r="S585" s="46"/>
      <c r="T585" s="49"/>
      <c r="U585" s="46"/>
      <c r="V585" s="50"/>
      <c r="W585" s="46"/>
      <c r="X585" s="46"/>
      <c r="Y585" s="46"/>
    </row>
    <row r="586" spans="1:25" x14ac:dyDescent="0.2">
      <c r="A586" s="45"/>
      <c r="B586" s="46"/>
      <c r="C586" s="46"/>
      <c r="D586" s="46"/>
      <c r="E586" s="46"/>
      <c r="F586" s="46"/>
      <c r="G586" s="46"/>
      <c r="H586" s="46"/>
      <c r="I586" s="46"/>
      <c r="J586" s="46"/>
      <c r="K586" s="47"/>
      <c r="L586" s="47"/>
      <c r="M586" s="47"/>
      <c r="N586" s="48"/>
      <c r="O586" s="46"/>
      <c r="P586" s="46"/>
      <c r="Q586" s="46"/>
      <c r="R586" s="46"/>
      <c r="S586" s="46"/>
      <c r="T586" s="49"/>
      <c r="U586" s="46"/>
      <c r="V586" s="50"/>
      <c r="W586" s="46"/>
      <c r="X586" s="46"/>
      <c r="Y586" s="46"/>
    </row>
    <row r="587" spans="1:25" x14ac:dyDescent="0.2">
      <c r="A587" s="45"/>
      <c r="B587" s="46"/>
      <c r="C587" s="46"/>
      <c r="D587" s="46"/>
      <c r="E587" s="46"/>
      <c r="F587" s="46"/>
      <c r="G587" s="46"/>
      <c r="H587" s="46"/>
      <c r="I587" s="46"/>
      <c r="J587" s="46"/>
      <c r="K587" s="47"/>
      <c r="L587" s="47"/>
      <c r="M587" s="47"/>
      <c r="N587" s="48"/>
      <c r="O587" s="46"/>
      <c r="P587" s="46"/>
      <c r="Q587" s="46"/>
      <c r="R587" s="46"/>
      <c r="S587" s="46"/>
      <c r="T587" s="49"/>
      <c r="U587" s="46"/>
      <c r="V587" s="50"/>
      <c r="W587" s="46"/>
      <c r="X587" s="46"/>
      <c r="Y587" s="46"/>
    </row>
    <row r="588" spans="1:25" x14ac:dyDescent="0.2">
      <c r="A588" s="45"/>
      <c r="B588" s="46"/>
      <c r="C588" s="46"/>
      <c r="D588" s="46"/>
      <c r="E588" s="46"/>
      <c r="F588" s="46"/>
      <c r="G588" s="46"/>
      <c r="H588" s="46"/>
      <c r="I588" s="46"/>
      <c r="J588" s="46"/>
      <c r="K588" s="47"/>
      <c r="L588" s="47"/>
      <c r="M588" s="47"/>
      <c r="N588" s="48"/>
      <c r="O588" s="46"/>
      <c r="P588" s="46"/>
      <c r="Q588" s="46"/>
      <c r="R588" s="46"/>
      <c r="S588" s="46"/>
      <c r="T588" s="49"/>
      <c r="U588" s="46"/>
      <c r="V588" s="50"/>
      <c r="W588" s="46"/>
      <c r="X588" s="46"/>
      <c r="Y588" s="46"/>
    </row>
    <row r="589" spans="1:25" x14ac:dyDescent="0.2">
      <c r="A589" s="45"/>
      <c r="B589" s="46"/>
      <c r="C589" s="46"/>
      <c r="D589" s="46"/>
      <c r="E589" s="46"/>
      <c r="F589" s="46"/>
      <c r="G589" s="46"/>
      <c r="H589" s="46"/>
      <c r="I589" s="46"/>
      <c r="J589" s="46"/>
      <c r="K589" s="47"/>
      <c r="L589" s="47"/>
      <c r="M589" s="47"/>
      <c r="N589" s="48"/>
      <c r="O589" s="46"/>
      <c r="P589" s="46"/>
      <c r="Q589" s="46"/>
      <c r="R589" s="46"/>
      <c r="S589" s="46"/>
      <c r="T589" s="49"/>
      <c r="U589" s="46"/>
      <c r="V589" s="50"/>
      <c r="W589" s="46"/>
      <c r="X589" s="46"/>
      <c r="Y589" s="46"/>
    </row>
    <row r="590" spans="1:25" x14ac:dyDescent="0.2">
      <c r="A590" s="45"/>
      <c r="B590" s="46"/>
      <c r="C590" s="46"/>
      <c r="D590" s="46"/>
      <c r="E590" s="46"/>
      <c r="F590" s="46"/>
      <c r="G590" s="46"/>
      <c r="H590" s="46"/>
      <c r="I590" s="46"/>
      <c r="J590" s="46"/>
      <c r="K590" s="47"/>
      <c r="L590" s="47"/>
      <c r="M590" s="47"/>
      <c r="N590" s="48"/>
      <c r="O590" s="46"/>
      <c r="P590" s="46"/>
      <c r="Q590" s="46"/>
      <c r="R590" s="46"/>
      <c r="S590" s="46"/>
      <c r="T590" s="49"/>
      <c r="U590" s="46"/>
      <c r="V590" s="50"/>
      <c r="W590" s="46"/>
      <c r="X590" s="46"/>
      <c r="Y590" s="46"/>
    </row>
    <row r="591" spans="1:25" x14ac:dyDescent="0.2">
      <c r="A591" s="45"/>
      <c r="B591" s="46"/>
      <c r="C591" s="46"/>
      <c r="D591" s="46"/>
      <c r="E591" s="46"/>
      <c r="F591" s="46"/>
      <c r="G591" s="46"/>
      <c r="H591" s="46"/>
      <c r="I591" s="46"/>
      <c r="J591" s="46"/>
      <c r="K591" s="47"/>
      <c r="L591" s="47"/>
      <c r="M591" s="47"/>
      <c r="N591" s="48"/>
      <c r="O591" s="46"/>
      <c r="P591" s="46"/>
      <c r="Q591" s="46"/>
      <c r="R591" s="46"/>
      <c r="S591" s="46"/>
      <c r="T591" s="49"/>
      <c r="U591" s="46"/>
      <c r="V591" s="50"/>
      <c r="W591" s="46"/>
      <c r="X591" s="46"/>
      <c r="Y591" s="46"/>
    </row>
    <row r="592" spans="1:25" x14ac:dyDescent="0.2">
      <c r="A592" s="45"/>
      <c r="B592" s="46"/>
      <c r="C592" s="46"/>
      <c r="D592" s="46"/>
      <c r="E592" s="46"/>
      <c r="F592" s="46"/>
      <c r="G592" s="46"/>
      <c r="H592" s="46"/>
      <c r="I592" s="46"/>
      <c r="J592" s="46"/>
      <c r="K592" s="47"/>
      <c r="L592" s="47"/>
      <c r="M592" s="47"/>
      <c r="N592" s="48"/>
      <c r="O592" s="46"/>
      <c r="P592" s="46"/>
      <c r="Q592" s="46"/>
      <c r="R592" s="46"/>
      <c r="S592" s="46"/>
      <c r="T592" s="49"/>
      <c r="U592" s="46"/>
      <c r="V592" s="50"/>
      <c r="W592" s="46"/>
      <c r="X592" s="46"/>
      <c r="Y592" s="46"/>
    </row>
    <row r="593" spans="1:25" x14ac:dyDescent="0.2">
      <c r="A593" s="45"/>
      <c r="B593" s="46"/>
      <c r="C593" s="46"/>
      <c r="D593" s="46"/>
      <c r="E593" s="46"/>
      <c r="F593" s="46"/>
      <c r="G593" s="46"/>
      <c r="H593" s="46"/>
      <c r="I593" s="46"/>
      <c r="J593" s="46"/>
      <c r="K593" s="47"/>
      <c r="L593" s="47"/>
      <c r="M593" s="47"/>
      <c r="N593" s="48"/>
      <c r="O593" s="46"/>
      <c r="P593" s="46"/>
      <c r="Q593" s="46"/>
      <c r="R593" s="46"/>
      <c r="S593" s="46"/>
      <c r="T593" s="49"/>
      <c r="U593" s="46"/>
      <c r="V593" s="50"/>
      <c r="W593" s="46"/>
      <c r="X593" s="46"/>
      <c r="Y593" s="46"/>
    </row>
    <row r="594" spans="1:25" x14ac:dyDescent="0.2">
      <c r="A594" s="45"/>
      <c r="B594" s="46"/>
      <c r="C594" s="46"/>
      <c r="D594" s="46"/>
      <c r="E594" s="46"/>
      <c r="F594" s="46"/>
      <c r="G594" s="46"/>
      <c r="H594" s="46"/>
      <c r="I594" s="46"/>
      <c r="J594" s="46"/>
      <c r="K594" s="47"/>
      <c r="L594" s="47"/>
      <c r="M594" s="47"/>
      <c r="N594" s="48"/>
      <c r="O594" s="46"/>
      <c r="P594" s="46"/>
      <c r="Q594" s="46"/>
      <c r="R594" s="46"/>
      <c r="S594" s="46"/>
      <c r="T594" s="49"/>
      <c r="U594" s="46"/>
      <c r="V594" s="50"/>
      <c r="W594" s="46"/>
      <c r="X594" s="46"/>
      <c r="Y594" s="46"/>
    </row>
    <row r="595" spans="1:25" x14ac:dyDescent="0.2">
      <c r="A595" s="45"/>
      <c r="B595" s="46"/>
      <c r="C595" s="46"/>
      <c r="D595" s="46"/>
      <c r="E595" s="46"/>
      <c r="F595" s="46"/>
      <c r="G595" s="46"/>
      <c r="H595" s="46"/>
      <c r="I595" s="46"/>
      <c r="J595" s="46"/>
      <c r="K595" s="47"/>
      <c r="L595" s="47"/>
      <c r="M595" s="47"/>
      <c r="N595" s="48"/>
      <c r="O595" s="46"/>
      <c r="P595" s="46"/>
      <c r="Q595" s="46"/>
      <c r="R595" s="46"/>
      <c r="S595" s="46"/>
      <c r="T595" s="49"/>
      <c r="U595" s="46"/>
      <c r="V595" s="50"/>
      <c r="W595" s="46"/>
      <c r="X595" s="46"/>
      <c r="Y595" s="46"/>
    </row>
    <row r="596" spans="1:25" x14ac:dyDescent="0.2">
      <c r="A596" s="45"/>
      <c r="B596" s="46"/>
      <c r="C596" s="46"/>
      <c r="D596" s="46"/>
      <c r="E596" s="46"/>
      <c r="F596" s="46"/>
      <c r="G596" s="46"/>
      <c r="H596" s="46"/>
      <c r="I596" s="46"/>
      <c r="J596" s="46"/>
      <c r="K596" s="47"/>
      <c r="L596" s="47"/>
      <c r="M596" s="47"/>
      <c r="N596" s="48"/>
      <c r="O596" s="46"/>
      <c r="P596" s="46"/>
      <c r="Q596" s="46"/>
      <c r="R596" s="46"/>
      <c r="S596" s="46"/>
      <c r="T596" s="49"/>
      <c r="U596" s="46"/>
      <c r="V596" s="50"/>
      <c r="W596" s="46"/>
      <c r="X596" s="46"/>
      <c r="Y596" s="46"/>
    </row>
    <row r="597" spans="1:25" x14ac:dyDescent="0.2">
      <c r="A597" s="45"/>
      <c r="B597" s="46"/>
      <c r="C597" s="46"/>
      <c r="D597" s="46"/>
      <c r="E597" s="46"/>
      <c r="F597" s="46"/>
      <c r="G597" s="46"/>
      <c r="H597" s="46"/>
      <c r="I597" s="46"/>
      <c r="J597" s="46"/>
      <c r="K597" s="47"/>
      <c r="L597" s="47"/>
      <c r="M597" s="47"/>
      <c r="N597" s="48"/>
      <c r="O597" s="46"/>
      <c r="P597" s="46"/>
      <c r="Q597" s="46"/>
      <c r="R597" s="46"/>
      <c r="S597" s="46"/>
      <c r="T597" s="49"/>
      <c r="U597" s="46"/>
      <c r="V597" s="50"/>
      <c r="W597" s="46"/>
      <c r="X597" s="46"/>
      <c r="Y597" s="46"/>
    </row>
    <row r="598" spans="1:25" x14ac:dyDescent="0.2">
      <c r="A598" s="45"/>
      <c r="B598" s="46"/>
      <c r="C598" s="46"/>
      <c r="D598" s="46"/>
      <c r="E598" s="46"/>
      <c r="F598" s="46"/>
      <c r="G598" s="46"/>
      <c r="H598" s="46"/>
      <c r="I598" s="46"/>
      <c r="J598" s="46"/>
      <c r="K598" s="47"/>
      <c r="L598" s="47"/>
      <c r="M598" s="47"/>
      <c r="N598" s="48"/>
      <c r="O598" s="46"/>
      <c r="P598" s="46"/>
      <c r="Q598" s="46"/>
      <c r="R598" s="46"/>
      <c r="S598" s="46"/>
      <c r="T598" s="49"/>
      <c r="U598" s="46"/>
      <c r="V598" s="50"/>
      <c r="W598" s="46"/>
      <c r="X598" s="46"/>
      <c r="Y598" s="46"/>
    </row>
    <row r="599" spans="1:25" x14ac:dyDescent="0.2">
      <c r="A599" s="45"/>
      <c r="B599" s="46"/>
      <c r="C599" s="46"/>
      <c r="D599" s="46"/>
      <c r="E599" s="46"/>
      <c r="F599" s="46"/>
      <c r="G599" s="46"/>
      <c r="H599" s="46"/>
      <c r="I599" s="46"/>
      <c r="J599" s="46"/>
      <c r="K599" s="47"/>
      <c r="L599" s="47"/>
      <c r="M599" s="47"/>
      <c r="N599" s="48"/>
      <c r="O599" s="46"/>
      <c r="P599" s="46"/>
      <c r="Q599" s="46"/>
      <c r="R599" s="46"/>
      <c r="S599" s="46"/>
      <c r="T599" s="49"/>
      <c r="U599" s="46"/>
      <c r="V599" s="50"/>
      <c r="W599" s="46"/>
      <c r="X599" s="46"/>
      <c r="Y599" s="46"/>
    </row>
    <row r="600" spans="1:25" x14ac:dyDescent="0.2">
      <c r="A600" s="45"/>
      <c r="B600" s="46"/>
      <c r="C600" s="46"/>
      <c r="D600" s="46"/>
      <c r="E600" s="46"/>
      <c r="F600" s="46"/>
      <c r="G600" s="46"/>
      <c r="H600" s="46"/>
      <c r="I600" s="46"/>
      <c r="J600" s="46"/>
      <c r="K600" s="47"/>
      <c r="L600" s="47"/>
      <c r="M600" s="47"/>
      <c r="N600" s="48"/>
      <c r="O600" s="46"/>
      <c r="P600" s="46"/>
      <c r="Q600" s="46"/>
      <c r="R600" s="46"/>
      <c r="S600" s="46"/>
      <c r="T600" s="49"/>
      <c r="U600" s="46"/>
      <c r="V600" s="50"/>
      <c r="W600" s="46"/>
      <c r="X600" s="46"/>
      <c r="Y600" s="46"/>
    </row>
    <row r="601" spans="1:25" x14ac:dyDescent="0.2">
      <c r="A601" s="45"/>
      <c r="B601" s="46"/>
      <c r="C601" s="46"/>
      <c r="D601" s="46"/>
      <c r="E601" s="46"/>
      <c r="F601" s="46"/>
      <c r="G601" s="46"/>
      <c r="H601" s="46"/>
      <c r="I601" s="46"/>
      <c r="J601" s="46"/>
      <c r="K601" s="47"/>
      <c r="L601" s="47"/>
      <c r="M601" s="47"/>
      <c r="N601" s="48"/>
      <c r="O601" s="46"/>
      <c r="P601" s="46"/>
      <c r="Q601" s="46"/>
      <c r="R601" s="46"/>
      <c r="S601" s="46"/>
      <c r="T601" s="49"/>
      <c r="U601" s="46"/>
      <c r="V601" s="50"/>
      <c r="W601" s="46"/>
      <c r="X601" s="46"/>
      <c r="Y601" s="46"/>
    </row>
    <row r="602" spans="1:25" x14ac:dyDescent="0.2">
      <c r="A602" s="45"/>
      <c r="B602" s="46"/>
      <c r="C602" s="46"/>
      <c r="D602" s="46"/>
      <c r="E602" s="46"/>
      <c r="F602" s="46"/>
      <c r="G602" s="46"/>
      <c r="H602" s="46"/>
      <c r="I602" s="46"/>
      <c r="J602" s="46"/>
      <c r="K602" s="47"/>
      <c r="L602" s="47"/>
      <c r="M602" s="47"/>
      <c r="N602" s="48"/>
      <c r="O602" s="46"/>
      <c r="P602" s="46"/>
      <c r="Q602" s="46"/>
      <c r="R602" s="46"/>
      <c r="S602" s="46"/>
      <c r="T602" s="49"/>
      <c r="U602" s="46"/>
      <c r="V602" s="50"/>
      <c r="W602" s="46"/>
      <c r="X602" s="46"/>
      <c r="Y602" s="46"/>
    </row>
    <row r="603" spans="1:25" x14ac:dyDescent="0.2">
      <c r="A603" s="45"/>
      <c r="B603" s="46"/>
      <c r="C603" s="46"/>
      <c r="D603" s="46"/>
      <c r="E603" s="46"/>
      <c r="F603" s="46"/>
      <c r="G603" s="46"/>
      <c r="H603" s="46"/>
      <c r="I603" s="46"/>
      <c r="J603" s="46"/>
      <c r="K603" s="47"/>
      <c r="L603" s="47"/>
      <c r="M603" s="47"/>
      <c r="N603" s="48"/>
      <c r="O603" s="46"/>
      <c r="P603" s="46"/>
      <c r="Q603" s="46"/>
      <c r="R603" s="46"/>
      <c r="S603" s="46"/>
      <c r="T603" s="49"/>
      <c r="U603" s="46"/>
      <c r="V603" s="50"/>
      <c r="W603" s="46"/>
      <c r="X603" s="46"/>
      <c r="Y603" s="46"/>
    </row>
    <row r="604" spans="1:25" x14ac:dyDescent="0.2">
      <c r="A604" s="45"/>
      <c r="B604" s="46"/>
      <c r="C604" s="46"/>
      <c r="D604" s="46"/>
      <c r="E604" s="46"/>
      <c r="F604" s="46"/>
      <c r="G604" s="46"/>
      <c r="H604" s="46"/>
      <c r="I604" s="46"/>
      <c r="J604" s="46"/>
      <c r="K604" s="47"/>
      <c r="L604" s="47"/>
      <c r="M604" s="47"/>
      <c r="N604" s="48"/>
      <c r="O604" s="46"/>
      <c r="P604" s="46"/>
      <c r="Q604" s="46"/>
      <c r="R604" s="46"/>
      <c r="S604" s="46"/>
      <c r="T604" s="49"/>
      <c r="U604" s="46"/>
      <c r="V604" s="50"/>
      <c r="W604" s="46"/>
      <c r="X604" s="46"/>
      <c r="Y604" s="46"/>
    </row>
    <row r="605" spans="1:25" x14ac:dyDescent="0.2">
      <c r="A605" s="45"/>
      <c r="B605" s="46"/>
      <c r="C605" s="46"/>
      <c r="D605" s="46"/>
      <c r="E605" s="46"/>
      <c r="F605" s="46"/>
      <c r="G605" s="46"/>
      <c r="H605" s="46"/>
      <c r="I605" s="46"/>
      <c r="J605" s="46"/>
      <c r="K605" s="47"/>
      <c r="L605" s="47"/>
      <c r="M605" s="47"/>
      <c r="N605" s="48"/>
      <c r="O605" s="46"/>
      <c r="P605" s="46"/>
      <c r="Q605" s="46"/>
      <c r="R605" s="46"/>
      <c r="S605" s="46"/>
      <c r="T605" s="49"/>
      <c r="U605" s="46"/>
      <c r="V605" s="50"/>
      <c r="W605" s="46"/>
      <c r="X605" s="46"/>
      <c r="Y605" s="46"/>
    </row>
    <row r="606" spans="1:25" x14ac:dyDescent="0.2">
      <c r="A606" s="45"/>
      <c r="B606" s="46"/>
      <c r="C606" s="46"/>
      <c r="D606" s="46"/>
      <c r="E606" s="46"/>
      <c r="F606" s="46"/>
      <c r="G606" s="46"/>
      <c r="H606" s="46"/>
      <c r="I606" s="46"/>
      <c r="J606" s="46"/>
      <c r="K606" s="47"/>
      <c r="L606" s="47"/>
      <c r="M606" s="47"/>
      <c r="N606" s="48"/>
      <c r="O606" s="46"/>
      <c r="P606" s="46"/>
      <c r="Q606" s="46"/>
      <c r="R606" s="46"/>
      <c r="S606" s="46"/>
      <c r="T606" s="49"/>
      <c r="U606" s="46"/>
      <c r="V606" s="50"/>
      <c r="W606" s="46"/>
      <c r="X606" s="46"/>
      <c r="Y606" s="46"/>
    </row>
    <row r="607" spans="1:25" x14ac:dyDescent="0.2">
      <c r="A607" s="45"/>
      <c r="B607" s="46"/>
      <c r="C607" s="46"/>
      <c r="D607" s="46"/>
      <c r="E607" s="46"/>
      <c r="F607" s="46"/>
      <c r="G607" s="46"/>
      <c r="H607" s="46"/>
      <c r="I607" s="46"/>
      <c r="J607" s="46"/>
      <c r="K607" s="47"/>
      <c r="L607" s="47"/>
      <c r="M607" s="47"/>
      <c r="N607" s="48"/>
      <c r="O607" s="46"/>
      <c r="P607" s="46"/>
      <c r="Q607" s="46"/>
      <c r="R607" s="46"/>
      <c r="S607" s="46"/>
      <c r="T607" s="49"/>
      <c r="U607" s="46"/>
      <c r="V607" s="50"/>
      <c r="W607" s="46"/>
      <c r="X607" s="46"/>
      <c r="Y607" s="46"/>
    </row>
    <row r="608" spans="1:25" x14ac:dyDescent="0.2">
      <c r="A608" s="45"/>
      <c r="B608" s="46"/>
      <c r="C608" s="46"/>
      <c r="D608" s="46"/>
      <c r="E608" s="46"/>
      <c r="F608" s="46"/>
      <c r="G608" s="46"/>
      <c r="H608" s="46"/>
      <c r="I608" s="46"/>
      <c r="J608" s="46"/>
      <c r="K608" s="47"/>
      <c r="L608" s="47"/>
      <c r="M608" s="47"/>
      <c r="N608" s="48"/>
      <c r="O608" s="46"/>
      <c r="P608" s="46"/>
      <c r="Q608" s="46"/>
      <c r="R608" s="46"/>
      <c r="S608" s="46"/>
      <c r="T608" s="49"/>
      <c r="U608" s="46"/>
      <c r="V608" s="50"/>
      <c r="W608" s="46"/>
      <c r="X608" s="46"/>
      <c r="Y608" s="46"/>
    </row>
    <row r="609" spans="1:25" x14ac:dyDescent="0.2">
      <c r="A609" s="45"/>
      <c r="B609" s="46"/>
      <c r="C609" s="46"/>
      <c r="D609" s="46"/>
      <c r="E609" s="46"/>
      <c r="F609" s="46"/>
      <c r="G609" s="46"/>
      <c r="H609" s="46"/>
      <c r="I609" s="46"/>
      <c r="J609" s="46"/>
      <c r="K609" s="47"/>
      <c r="L609" s="47"/>
      <c r="M609" s="47"/>
      <c r="N609" s="48"/>
      <c r="O609" s="46"/>
      <c r="P609" s="46"/>
      <c r="Q609" s="46"/>
      <c r="R609" s="46"/>
      <c r="S609" s="46"/>
      <c r="T609" s="49"/>
      <c r="U609" s="46"/>
      <c r="V609" s="50"/>
      <c r="W609" s="46"/>
      <c r="X609" s="46"/>
      <c r="Y609" s="46"/>
    </row>
    <row r="610" spans="1:25" x14ac:dyDescent="0.2">
      <c r="A610" s="45"/>
      <c r="B610" s="46"/>
      <c r="C610" s="46"/>
      <c r="D610" s="46"/>
      <c r="E610" s="46"/>
      <c r="F610" s="46"/>
      <c r="G610" s="46"/>
      <c r="H610" s="46"/>
      <c r="I610" s="46"/>
      <c r="J610" s="46"/>
      <c r="K610" s="47"/>
      <c r="L610" s="47"/>
      <c r="M610" s="47"/>
      <c r="N610" s="48"/>
      <c r="O610" s="46"/>
      <c r="P610" s="46"/>
      <c r="Q610" s="46"/>
      <c r="R610" s="46"/>
      <c r="S610" s="46"/>
      <c r="T610" s="49"/>
      <c r="U610" s="46"/>
      <c r="V610" s="50"/>
      <c r="W610" s="46"/>
      <c r="X610" s="46"/>
      <c r="Y610" s="46"/>
    </row>
    <row r="611" spans="1:25" x14ac:dyDescent="0.2">
      <c r="A611" s="45"/>
      <c r="B611" s="46"/>
      <c r="C611" s="46"/>
      <c r="D611" s="46"/>
      <c r="E611" s="46"/>
      <c r="F611" s="46"/>
      <c r="G611" s="46"/>
      <c r="H611" s="46"/>
      <c r="I611" s="46"/>
      <c r="J611" s="46"/>
      <c r="K611" s="47"/>
      <c r="L611" s="47"/>
      <c r="M611" s="47"/>
      <c r="N611" s="48"/>
      <c r="O611" s="46"/>
      <c r="P611" s="46"/>
      <c r="Q611" s="46"/>
      <c r="R611" s="46"/>
      <c r="S611" s="46"/>
      <c r="T611" s="49"/>
      <c r="U611" s="46"/>
      <c r="V611" s="50"/>
      <c r="W611" s="46"/>
      <c r="X611" s="46"/>
      <c r="Y611" s="46"/>
    </row>
    <row r="612" spans="1:25" x14ac:dyDescent="0.2">
      <c r="A612" s="45"/>
      <c r="B612" s="46"/>
      <c r="C612" s="46"/>
      <c r="D612" s="46"/>
      <c r="E612" s="46"/>
      <c r="F612" s="46"/>
      <c r="G612" s="46"/>
      <c r="H612" s="46"/>
      <c r="I612" s="46"/>
      <c r="J612" s="46"/>
      <c r="K612" s="47"/>
      <c r="L612" s="47"/>
      <c r="M612" s="47"/>
      <c r="N612" s="48"/>
      <c r="O612" s="46"/>
      <c r="P612" s="46"/>
      <c r="Q612" s="46"/>
      <c r="R612" s="46"/>
      <c r="S612" s="46"/>
      <c r="T612" s="49"/>
      <c r="U612" s="46"/>
      <c r="V612" s="50"/>
      <c r="W612" s="46"/>
      <c r="X612" s="46"/>
      <c r="Y612" s="46"/>
    </row>
    <row r="613" spans="1:25" x14ac:dyDescent="0.2">
      <c r="A613" s="45"/>
      <c r="B613" s="46"/>
      <c r="C613" s="46"/>
      <c r="D613" s="46"/>
      <c r="E613" s="46"/>
      <c r="F613" s="46"/>
      <c r="G613" s="46"/>
      <c r="H613" s="46"/>
      <c r="I613" s="46"/>
      <c r="J613" s="46"/>
      <c r="K613" s="47"/>
      <c r="L613" s="47"/>
      <c r="M613" s="47"/>
      <c r="N613" s="48"/>
      <c r="O613" s="46"/>
      <c r="P613" s="46"/>
      <c r="Q613" s="46"/>
      <c r="R613" s="46"/>
      <c r="S613" s="46"/>
      <c r="T613" s="49"/>
      <c r="U613" s="46"/>
      <c r="V613" s="50"/>
      <c r="W613" s="46"/>
      <c r="X613" s="46"/>
      <c r="Y613" s="46"/>
    </row>
    <row r="614" spans="1:25" x14ac:dyDescent="0.2">
      <c r="A614" s="45"/>
      <c r="B614" s="46"/>
      <c r="C614" s="46"/>
      <c r="D614" s="46"/>
      <c r="E614" s="46"/>
      <c r="F614" s="46"/>
      <c r="G614" s="46"/>
      <c r="H614" s="46"/>
      <c r="I614" s="46"/>
      <c r="J614" s="46"/>
      <c r="K614" s="47"/>
      <c r="L614" s="47"/>
      <c r="M614" s="47"/>
      <c r="N614" s="48"/>
      <c r="O614" s="46"/>
      <c r="P614" s="46"/>
      <c r="Q614" s="46"/>
      <c r="R614" s="46"/>
      <c r="S614" s="46"/>
      <c r="T614" s="49"/>
      <c r="U614" s="46"/>
      <c r="V614" s="50"/>
      <c r="W614" s="46"/>
      <c r="X614" s="46"/>
      <c r="Y614" s="46"/>
    </row>
    <row r="615" spans="1:25" x14ac:dyDescent="0.2">
      <c r="A615" s="45"/>
      <c r="B615" s="46"/>
      <c r="C615" s="46"/>
      <c r="D615" s="46"/>
      <c r="E615" s="46"/>
      <c r="F615" s="46"/>
      <c r="G615" s="46"/>
      <c r="H615" s="46"/>
      <c r="I615" s="46"/>
      <c r="J615" s="46"/>
      <c r="K615" s="47"/>
      <c r="L615" s="47"/>
      <c r="M615" s="47"/>
      <c r="N615" s="48"/>
      <c r="O615" s="46"/>
      <c r="P615" s="46"/>
      <c r="Q615" s="46"/>
      <c r="R615" s="46"/>
      <c r="S615" s="46"/>
      <c r="T615" s="49"/>
      <c r="U615" s="46"/>
      <c r="V615" s="50"/>
      <c r="W615" s="46"/>
      <c r="X615" s="46"/>
      <c r="Y615" s="46"/>
    </row>
    <row r="616" spans="1:25" x14ac:dyDescent="0.2">
      <c r="A616" s="45"/>
      <c r="B616" s="46"/>
      <c r="C616" s="46"/>
      <c r="D616" s="46"/>
      <c r="E616" s="46"/>
      <c r="F616" s="46"/>
      <c r="G616" s="46"/>
      <c r="H616" s="46"/>
      <c r="I616" s="46"/>
      <c r="J616" s="46"/>
      <c r="K616" s="47"/>
      <c r="L616" s="47"/>
      <c r="M616" s="47"/>
      <c r="N616" s="48"/>
      <c r="O616" s="46"/>
      <c r="P616" s="46"/>
      <c r="Q616" s="46"/>
      <c r="R616" s="46"/>
      <c r="S616" s="46"/>
      <c r="T616" s="49"/>
      <c r="U616" s="46"/>
      <c r="V616" s="50"/>
      <c r="W616" s="46"/>
      <c r="X616" s="46"/>
      <c r="Y616" s="46"/>
    </row>
    <row r="617" spans="1:25" x14ac:dyDescent="0.2">
      <c r="A617" s="45"/>
      <c r="B617" s="46"/>
      <c r="C617" s="46"/>
      <c r="D617" s="46"/>
      <c r="E617" s="46"/>
      <c r="F617" s="46"/>
      <c r="G617" s="46"/>
      <c r="H617" s="46"/>
      <c r="I617" s="46"/>
      <c r="J617" s="46"/>
      <c r="K617" s="47"/>
      <c r="L617" s="47"/>
      <c r="M617" s="47"/>
      <c r="N617" s="48"/>
      <c r="O617" s="46"/>
      <c r="P617" s="46"/>
      <c r="Q617" s="46"/>
      <c r="R617" s="46"/>
      <c r="S617" s="46"/>
      <c r="T617" s="49"/>
      <c r="U617" s="46"/>
      <c r="V617" s="50"/>
      <c r="W617" s="46"/>
      <c r="X617" s="46"/>
      <c r="Y617" s="46"/>
    </row>
    <row r="618" spans="1:25" x14ac:dyDescent="0.2">
      <c r="A618" s="45"/>
      <c r="B618" s="46"/>
      <c r="C618" s="46"/>
      <c r="D618" s="46"/>
      <c r="E618" s="46"/>
      <c r="F618" s="46"/>
      <c r="G618" s="46"/>
      <c r="H618" s="46"/>
      <c r="I618" s="46"/>
      <c r="J618" s="46"/>
      <c r="K618" s="47"/>
      <c r="L618" s="47"/>
      <c r="M618" s="47"/>
      <c r="N618" s="48"/>
      <c r="O618" s="46"/>
      <c r="P618" s="46"/>
      <c r="Q618" s="46"/>
      <c r="R618" s="46"/>
      <c r="S618" s="46"/>
      <c r="T618" s="49"/>
      <c r="U618" s="46"/>
      <c r="V618" s="50"/>
      <c r="W618" s="46"/>
      <c r="X618" s="46"/>
      <c r="Y618" s="46"/>
    </row>
    <row r="619" spans="1:25" x14ac:dyDescent="0.2">
      <c r="A619" s="45"/>
      <c r="B619" s="46"/>
      <c r="C619" s="46"/>
      <c r="D619" s="46"/>
      <c r="E619" s="46"/>
      <c r="F619" s="46"/>
      <c r="G619" s="46"/>
      <c r="H619" s="46"/>
      <c r="I619" s="46"/>
      <c r="J619" s="46"/>
      <c r="K619" s="47"/>
      <c r="L619" s="47"/>
      <c r="M619" s="47"/>
      <c r="N619" s="48"/>
      <c r="O619" s="46"/>
      <c r="P619" s="46"/>
      <c r="Q619" s="46"/>
      <c r="R619" s="46"/>
      <c r="S619" s="46"/>
      <c r="T619" s="49"/>
      <c r="U619" s="46"/>
      <c r="V619" s="50"/>
      <c r="W619" s="46"/>
      <c r="X619" s="46"/>
      <c r="Y619" s="46"/>
    </row>
    <row r="620" spans="1:25" x14ac:dyDescent="0.2">
      <c r="A620" s="45"/>
      <c r="B620" s="46"/>
      <c r="C620" s="46"/>
      <c r="D620" s="46"/>
      <c r="E620" s="46"/>
      <c r="F620" s="46"/>
      <c r="G620" s="46"/>
      <c r="H620" s="46"/>
      <c r="I620" s="46"/>
      <c r="J620" s="46"/>
      <c r="K620" s="47"/>
      <c r="L620" s="47"/>
      <c r="M620" s="47"/>
      <c r="N620" s="48"/>
      <c r="O620" s="46"/>
      <c r="P620" s="46"/>
      <c r="Q620" s="46"/>
      <c r="R620" s="46"/>
      <c r="S620" s="46"/>
      <c r="T620" s="49"/>
      <c r="U620" s="46"/>
      <c r="V620" s="50"/>
      <c r="W620" s="46"/>
      <c r="X620" s="46"/>
      <c r="Y620" s="46"/>
    </row>
    <row r="621" spans="1:25" x14ac:dyDescent="0.2">
      <c r="A621" s="45"/>
      <c r="B621" s="46"/>
      <c r="C621" s="46"/>
      <c r="D621" s="46"/>
      <c r="E621" s="46"/>
      <c r="F621" s="46"/>
      <c r="G621" s="46"/>
      <c r="H621" s="46"/>
      <c r="I621" s="46"/>
      <c r="J621" s="46"/>
      <c r="K621" s="47"/>
      <c r="L621" s="47"/>
      <c r="M621" s="47"/>
      <c r="N621" s="48"/>
      <c r="O621" s="46"/>
      <c r="P621" s="46"/>
      <c r="Q621" s="46"/>
      <c r="R621" s="46"/>
      <c r="S621" s="46"/>
      <c r="T621" s="49"/>
      <c r="U621" s="46"/>
      <c r="V621" s="50"/>
      <c r="W621" s="46"/>
      <c r="X621" s="46"/>
      <c r="Y621" s="46"/>
    </row>
    <row r="622" spans="1:25" x14ac:dyDescent="0.2">
      <c r="A622" s="45"/>
      <c r="B622" s="46"/>
      <c r="C622" s="46"/>
      <c r="D622" s="46"/>
      <c r="E622" s="46"/>
      <c r="F622" s="46"/>
      <c r="G622" s="46"/>
      <c r="H622" s="46"/>
      <c r="I622" s="46"/>
      <c r="J622" s="46"/>
      <c r="K622" s="47"/>
      <c r="L622" s="47"/>
      <c r="M622" s="47"/>
      <c r="N622" s="48"/>
      <c r="O622" s="46"/>
      <c r="P622" s="46"/>
      <c r="Q622" s="46"/>
      <c r="R622" s="46"/>
      <c r="S622" s="46"/>
      <c r="T622" s="49"/>
      <c r="U622" s="46"/>
      <c r="V622" s="50"/>
      <c r="W622" s="46"/>
      <c r="X622" s="46"/>
      <c r="Y622" s="46"/>
    </row>
    <row r="623" spans="1:25" x14ac:dyDescent="0.2">
      <c r="A623" s="45"/>
      <c r="B623" s="46"/>
      <c r="C623" s="46"/>
      <c r="D623" s="46"/>
      <c r="E623" s="46"/>
      <c r="F623" s="46"/>
      <c r="G623" s="46"/>
      <c r="H623" s="46"/>
      <c r="I623" s="46"/>
      <c r="J623" s="46"/>
      <c r="K623" s="47"/>
      <c r="L623" s="47"/>
      <c r="M623" s="47"/>
      <c r="N623" s="48"/>
      <c r="O623" s="46"/>
      <c r="P623" s="46"/>
      <c r="Q623" s="46"/>
      <c r="R623" s="46"/>
      <c r="S623" s="46"/>
      <c r="T623" s="49"/>
      <c r="U623" s="46"/>
      <c r="V623" s="50"/>
      <c r="W623" s="46"/>
      <c r="X623" s="46"/>
      <c r="Y623" s="46"/>
    </row>
    <row r="624" spans="1:25" x14ac:dyDescent="0.2">
      <c r="A624" s="45"/>
      <c r="B624" s="46"/>
      <c r="C624" s="46"/>
      <c r="D624" s="46"/>
      <c r="E624" s="46"/>
      <c r="F624" s="46"/>
      <c r="G624" s="46"/>
      <c r="H624" s="46"/>
      <c r="I624" s="46"/>
      <c r="J624" s="46"/>
      <c r="K624" s="47"/>
      <c r="L624" s="47"/>
      <c r="M624" s="47"/>
      <c r="N624" s="48"/>
      <c r="O624" s="46"/>
      <c r="P624" s="46"/>
      <c r="Q624" s="46"/>
      <c r="R624" s="46"/>
      <c r="S624" s="46"/>
      <c r="T624" s="49"/>
      <c r="U624" s="46"/>
      <c r="V624" s="50"/>
      <c r="W624" s="46"/>
      <c r="X624" s="46"/>
      <c r="Y624" s="46"/>
    </row>
    <row r="625" spans="1:25" x14ac:dyDescent="0.2">
      <c r="A625" s="45"/>
      <c r="B625" s="46"/>
      <c r="C625" s="46"/>
      <c r="D625" s="46"/>
      <c r="E625" s="46"/>
      <c r="F625" s="46"/>
      <c r="G625" s="46"/>
      <c r="H625" s="46"/>
      <c r="I625" s="46"/>
      <c r="J625" s="46"/>
      <c r="K625" s="47"/>
      <c r="L625" s="47"/>
      <c r="M625" s="47"/>
      <c r="N625" s="48"/>
      <c r="O625" s="46"/>
      <c r="P625" s="46"/>
      <c r="Q625" s="46"/>
      <c r="R625" s="46"/>
      <c r="S625" s="46"/>
      <c r="T625" s="49"/>
      <c r="U625" s="46"/>
      <c r="V625" s="50"/>
      <c r="W625" s="46"/>
      <c r="X625" s="46"/>
      <c r="Y625" s="46"/>
    </row>
    <row r="626" spans="1:25" x14ac:dyDescent="0.2">
      <c r="A626" s="45"/>
      <c r="B626" s="46"/>
      <c r="C626" s="46"/>
      <c r="D626" s="46"/>
      <c r="E626" s="46"/>
      <c r="F626" s="46"/>
      <c r="G626" s="46"/>
      <c r="H626" s="46"/>
      <c r="I626" s="46"/>
      <c r="J626" s="46"/>
      <c r="K626" s="47"/>
      <c r="L626" s="47"/>
      <c r="M626" s="47"/>
      <c r="N626" s="48"/>
      <c r="O626" s="46"/>
      <c r="P626" s="46"/>
      <c r="Q626" s="46"/>
      <c r="R626" s="46"/>
      <c r="S626" s="46"/>
      <c r="T626" s="49"/>
      <c r="U626" s="46"/>
      <c r="V626" s="50"/>
      <c r="W626" s="46"/>
      <c r="X626" s="46"/>
      <c r="Y626" s="46"/>
    </row>
    <row r="627" spans="1:25" x14ac:dyDescent="0.2">
      <c r="A627" s="45"/>
      <c r="B627" s="46"/>
      <c r="C627" s="46"/>
      <c r="D627" s="46"/>
      <c r="E627" s="46"/>
      <c r="F627" s="46"/>
      <c r="G627" s="46"/>
      <c r="H627" s="46"/>
      <c r="I627" s="46"/>
      <c r="J627" s="46"/>
      <c r="K627" s="47"/>
      <c r="L627" s="47"/>
      <c r="M627" s="47"/>
      <c r="N627" s="48"/>
      <c r="O627" s="46"/>
      <c r="P627" s="46"/>
      <c r="Q627" s="46"/>
      <c r="R627" s="46"/>
      <c r="S627" s="46"/>
      <c r="T627" s="49"/>
      <c r="U627" s="46"/>
      <c r="V627" s="50"/>
      <c r="W627" s="46"/>
      <c r="X627" s="46"/>
      <c r="Y627" s="46"/>
    </row>
    <row r="628" spans="1:25" x14ac:dyDescent="0.2">
      <c r="A628" s="45"/>
      <c r="B628" s="46"/>
      <c r="C628" s="46"/>
      <c r="D628" s="46"/>
      <c r="E628" s="46"/>
      <c r="F628" s="46"/>
      <c r="G628" s="46"/>
      <c r="H628" s="46"/>
      <c r="I628" s="46"/>
      <c r="J628" s="46"/>
      <c r="K628" s="47"/>
      <c r="L628" s="47"/>
      <c r="M628" s="47"/>
      <c r="N628" s="48"/>
      <c r="O628" s="46"/>
      <c r="P628" s="46"/>
      <c r="Q628" s="46"/>
      <c r="R628" s="46"/>
      <c r="S628" s="46"/>
      <c r="T628" s="49"/>
      <c r="U628" s="46"/>
      <c r="V628" s="50"/>
      <c r="W628" s="46"/>
      <c r="X628" s="46"/>
      <c r="Y628" s="46"/>
    </row>
    <row r="629" spans="1:25" x14ac:dyDescent="0.2">
      <c r="A629" s="45"/>
      <c r="B629" s="46"/>
      <c r="C629" s="46"/>
      <c r="D629" s="46"/>
      <c r="E629" s="46"/>
      <c r="F629" s="46"/>
      <c r="G629" s="46"/>
      <c r="H629" s="46"/>
      <c r="I629" s="46"/>
      <c r="J629" s="46"/>
      <c r="K629" s="47"/>
      <c r="L629" s="47"/>
      <c r="M629" s="47"/>
      <c r="N629" s="48"/>
      <c r="O629" s="46"/>
      <c r="P629" s="46"/>
      <c r="Q629" s="46"/>
      <c r="R629" s="46"/>
      <c r="S629" s="46"/>
      <c r="T629" s="49"/>
      <c r="U629" s="46"/>
      <c r="V629" s="50"/>
      <c r="W629" s="46"/>
      <c r="X629" s="46"/>
      <c r="Y629" s="46"/>
    </row>
    <row r="630" spans="1:25" x14ac:dyDescent="0.2">
      <c r="A630" s="45"/>
      <c r="B630" s="46"/>
      <c r="C630" s="46"/>
      <c r="D630" s="46"/>
      <c r="E630" s="46"/>
      <c r="F630" s="46"/>
      <c r="G630" s="46"/>
      <c r="H630" s="46"/>
      <c r="I630" s="46"/>
      <c r="J630" s="46"/>
      <c r="K630" s="47"/>
      <c r="L630" s="47"/>
      <c r="M630" s="47"/>
      <c r="N630" s="48"/>
      <c r="O630" s="46"/>
      <c r="P630" s="46"/>
      <c r="Q630" s="46"/>
      <c r="R630" s="46"/>
      <c r="S630" s="46"/>
      <c r="T630" s="49"/>
      <c r="U630" s="46"/>
      <c r="V630" s="50"/>
      <c r="W630" s="46"/>
      <c r="X630" s="46"/>
      <c r="Y630" s="46"/>
    </row>
    <row r="631" spans="1:25" x14ac:dyDescent="0.2">
      <c r="A631" s="45"/>
      <c r="B631" s="46"/>
      <c r="C631" s="46"/>
      <c r="D631" s="46"/>
      <c r="E631" s="46"/>
      <c r="F631" s="46"/>
      <c r="G631" s="46"/>
      <c r="H631" s="46"/>
      <c r="I631" s="46"/>
      <c r="J631" s="46"/>
      <c r="K631" s="47"/>
      <c r="L631" s="47"/>
      <c r="M631" s="47"/>
      <c r="N631" s="48"/>
      <c r="O631" s="46"/>
      <c r="P631" s="46"/>
      <c r="Q631" s="46"/>
      <c r="R631" s="46"/>
      <c r="S631" s="46"/>
      <c r="T631" s="49"/>
      <c r="U631" s="46"/>
      <c r="V631" s="50"/>
      <c r="W631" s="46"/>
      <c r="X631" s="46"/>
      <c r="Y631" s="46"/>
    </row>
    <row r="632" spans="1:25" x14ac:dyDescent="0.2">
      <c r="A632" s="45"/>
      <c r="B632" s="46"/>
      <c r="C632" s="46"/>
      <c r="D632" s="46"/>
      <c r="E632" s="46"/>
      <c r="F632" s="46"/>
      <c r="G632" s="46"/>
      <c r="H632" s="46"/>
      <c r="I632" s="46"/>
      <c r="J632" s="46"/>
      <c r="K632" s="47"/>
      <c r="L632" s="47"/>
      <c r="M632" s="47"/>
      <c r="N632" s="48"/>
      <c r="O632" s="46"/>
      <c r="P632" s="46"/>
      <c r="Q632" s="46"/>
      <c r="R632" s="46"/>
      <c r="S632" s="46"/>
      <c r="T632" s="49"/>
      <c r="U632" s="46"/>
      <c r="V632" s="50"/>
      <c r="W632" s="46"/>
      <c r="X632" s="46"/>
      <c r="Y632" s="46"/>
    </row>
    <row r="633" spans="1:25" x14ac:dyDescent="0.2">
      <c r="A633" s="45"/>
      <c r="B633" s="46"/>
      <c r="C633" s="46"/>
      <c r="D633" s="46"/>
      <c r="E633" s="46"/>
      <c r="F633" s="46"/>
      <c r="G633" s="46"/>
      <c r="H633" s="46"/>
      <c r="I633" s="46"/>
      <c r="J633" s="46"/>
      <c r="K633" s="47"/>
      <c r="L633" s="47"/>
      <c r="M633" s="47"/>
      <c r="N633" s="48"/>
      <c r="O633" s="46"/>
      <c r="P633" s="46"/>
      <c r="Q633" s="46"/>
      <c r="R633" s="46"/>
      <c r="S633" s="46"/>
      <c r="T633" s="49"/>
      <c r="U633" s="46"/>
      <c r="V633" s="50"/>
      <c r="W633" s="46"/>
      <c r="X633" s="46"/>
      <c r="Y633" s="46"/>
    </row>
    <row r="634" spans="1:25" x14ac:dyDescent="0.2">
      <c r="A634" s="45"/>
      <c r="B634" s="46"/>
      <c r="C634" s="46"/>
      <c r="D634" s="46"/>
      <c r="E634" s="46"/>
      <c r="F634" s="46"/>
      <c r="G634" s="46"/>
      <c r="H634" s="46"/>
      <c r="I634" s="46"/>
      <c r="J634" s="46"/>
      <c r="K634" s="47"/>
      <c r="L634" s="47"/>
      <c r="M634" s="47"/>
      <c r="N634" s="48"/>
      <c r="O634" s="46"/>
      <c r="P634" s="46"/>
      <c r="Q634" s="46"/>
      <c r="R634" s="46"/>
      <c r="S634" s="46"/>
      <c r="T634" s="49"/>
      <c r="U634" s="46"/>
      <c r="V634" s="50"/>
      <c r="W634" s="46"/>
      <c r="X634" s="46"/>
      <c r="Y634" s="46"/>
    </row>
    <row r="635" spans="1:25" x14ac:dyDescent="0.2">
      <c r="A635" s="45"/>
      <c r="B635" s="46"/>
      <c r="C635" s="46"/>
      <c r="D635" s="46"/>
      <c r="E635" s="46"/>
      <c r="F635" s="46"/>
      <c r="G635" s="46"/>
      <c r="H635" s="46"/>
      <c r="I635" s="46"/>
      <c r="J635" s="46"/>
      <c r="K635" s="47"/>
      <c r="L635" s="47"/>
      <c r="M635" s="47"/>
      <c r="N635" s="48"/>
      <c r="O635" s="46"/>
      <c r="P635" s="46"/>
      <c r="Q635" s="46"/>
      <c r="R635" s="46"/>
      <c r="S635" s="46"/>
      <c r="T635" s="49"/>
      <c r="U635" s="46"/>
      <c r="V635" s="50"/>
      <c r="W635" s="46"/>
      <c r="X635" s="46"/>
      <c r="Y635" s="46"/>
    </row>
    <row r="636" spans="1:25" x14ac:dyDescent="0.2">
      <c r="A636" s="45"/>
      <c r="B636" s="46"/>
      <c r="C636" s="46"/>
      <c r="D636" s="46"/>
      <c r="E636" s="46"/>
      <c r="F636" s="46"/>
      <c r="G636" s="46"/>
      <c r="H636" s="46"/>
      <c r="I636" s="46"/>
      <c r="J636" s="46"/>
      <c r="K636" s="47"/>
      <c r="L636" s="47"/>
      <c r="M636" s="47"/>
      <c r="N636" s="48"/>
      <c r="O636" s="46"/>
      <c r="P636" s="46"/>
      <c r="Q636" s="46"/>
      <c r="R636" s="46"/>
      <c r="S636" s="46"/>
      <c r="T636" s="49"/>
      <c r="U636" s="46"/>
      <c r="V636" s="50"/>
      <c r="W636" s="46"/>
      <c r="X636" s="46"/>
      <c r="Y636" s="46"/>
    </row>
    <row r="637" spans="1:25" x14ac:dyDescent="0.2">
      <c r="A637" s="45"/>
      <c r="B637" s="46"/>
      <c r="C637" s="46"/>
      <c r="D637" s="46"/>
      <c r="E637" s="46"/>
      <c r="F637" s="46"/>
      <c r="G637" s="46"/>
      <c r="H637" s="46"/>
      <c r="I637" s="46"/>
      <c r="J637" s="46"/>
      <c r="K637" s="47"/>
      <c r="L637" s="47"/>
      <c r="M637" s="47"/>
      <c r="N637" s="48"/>
      <c r="O637" s="46"/>
      <c r="P637" s="46"/>
      <c r="Q637" s="46"/>
      <c r="R637" s="46"/>
      <c r="S637" s="46"/>
      <c r="T637" s="49"/>
      <c r="U637" s="46"/>
      <c r="V637" s="50"/>
      <c r="W637" s="46"/>
      <c r="X637" s="46"/>
      <c r="Y637" s="46"/>
    </row>
    <row r="638" spans="1:25" x14ac:dyDescent="0.2">
      <c r="A638" s="45"/>
      <c r="B638" s="46"/>
      <c r="C638" s="46"/>
      <c r="D638" s="46"/>
      <c r="E638" s="46"/>
      <c r="F638" s="46"/>
      <c r="G638" s="46"/>
      <c r="H638" s="46"/>
      <c r="I638" s="46"/>
      <c r="J638" s="46"/>
      <c r="K638" s="47"/>
      <c r="L638" s="47"/>
      <c r="M638" s="47"/>
      <c r="N638" s="48"/>
      <c r="O638" s="46"/>
      <c r="P638" s="46"/>
      <c r="Q638" s="46"/>
      <c r="R638" s="46"/>
      <c r="S638" s="46"/>
      <c r="T638" s="49"/>
      <c r="U638" s="46"/>
      <c r="V638" s="50"/>
      <c r="W638" s="46"/>
      <c r="X638" s="46"/>
      <c r="Y638" s="46"/>
    </row>
    <row r="639" spans="1:25" x14ac:dyDescent="0.2">
      <c r="A639" s="45"/>
      <c r="B639" s="46"/>
      <c r="C639" s="46"/>
      <c r="D639" s="46"/>
      <c r="E639" s="46"/>
      <c r="F639" s="46"/>
      <c r="G639" s="46"/>
      <c r="H639" s="46"/>
      <c r="I639" s="46"/>
      <c r="J639" s="46"/>
      <c r="K639" s="47"/>
      <c r="L639" s="47"/>
      <c r="M639" s="47"/>
      <c r="N639" s="48"/>
      <c r="O639" s="46"/>
      <c r="P639" s="46"/>
      <c r="Q639" s="46"/>
      <c r="R639" s="46"/>
      <c r="S639" s="46"/>
      <c r="T639" s="49"/>
      <c r="U639" s="46"/>
      <c r="V639" s="50"/>
      <c r="W639" s="46"/>
      <c r="X639" s="46"/>
      <c r="Y639" s="46"/>
    </row>
    <row r="640" spans="1:25" x14ac:dyDescent="0.2">
      <c r="A640" s="45"/>
      <c r="B640" s="46"/>
      <c r="C640" s="46"/>
      <c r="D640" s="46"/>
      <c r="E640" s="46"/>
      <c r="F640" s="46"/>
      <c r="G640" s="46"/>
      <c r="H640" s="46"/>
      <c r="I640" s="46"/>
      <c r="J640" s="46"/>
      <c r="K640" s="47"/>
      <c r="L640" s="47"/>
      <c r="M640" s="47"/>
      <c r="N640" s="48"/>
      <c r="O640" s="46"/>
      <c r="P640" s="46"/>
      <c r="Q640" s="46"/>
      <c r="R640" s="46"/>
      <c r="S640" s="46"/>
      <c r="T640" s="49"/>
      <c r="U640" s="46"/>
      <c r="V640" s="50"/>
      <c r="W640" s="46"/>
      <c r="X640" s="46"/>
      <c r="Y640" s="46"/>
    </row>
    <row r="641" spans="1:25" x14ac:dyDescent="0.2">
      <c r="A641" s="45"/>
      <c r="B641" s="46"/>
      <c r="C641" s="46"/>
      <c r="D641" s="46"/>
      <c r="E641" s="46"/>
      <c r="F641" s="46"/>
      <c r="G641" s="46"/>
      <c r="H641" s="46"/>
      <c r="I641" s="46"/>
      <c r="J641" s="46"/>
      <c r="K641" s="47"/>
      <c r="L641" s="47"/>
      <c r="M641" s="47"/>
      <c r="N641" s="48"/>
      <c r="O641" s="46"/>
      <c r="P641" s="46"/>
      <c r="Q641" s="46"/>
      <c r="R641" s="46"/>
      <c r="S641" s="46"/>
      <c r="T641" s="49"/>
      <c r="U641" s="46"/>
      <c r="V641" s="50"/>
      <c r="W641" s="46"/>
      <c r="X641" s="46"/>
      <c r="Y641" s="46"/>
    </row>
    <row r="642" spans="1:25" x14ac:dyDescent="0.2">
      <c r="A642" s="45"/>
      <c r="B642" s="46"/>
      <c r="C642" s="46"/>
      <c r="D642" s="46"/>
      <c r="E642" s="46"/>
      <c r="F642" s="46"/>
      <c r="G642" s="46"/>
      <c r="H642" s="46"/>
      <c r="I642" s="46"/>
      <c r="J642" s="46"/>
      <c r="K642" s="47"/>
      <c r="L642" s="47"/>
      <c r="M642" s="47"/>
      <c r="N642" s="48"/>
      <c r="O642" s="46"/>
      <c r="P642" s="46"/>
      <c r="Q642" s="46"/>
      <c r="R642" s="46"/>
      <c r="S642" s="46"/>
      <c r="T642" s="49"/>
      <c r="U642" s="46"/>
      <c r="V642" s="50"/>
      <c r="W642" s="46"/>
      <c r="X642" s="46"/>
      <c r="Y642" s="46"/>
    </row>
    <row r="643" spans="1:25" x14ac:dyDescent="0.2">
      <c r="A643" s="45"/>
      <c r="B643" s="46"/>
      <c r="C643" s="46"/>
      <c r="D643" s="46"/>
      <c r="E643" s="46"/>
      <c r="F643" s="46"/>
      <c r="G643" s="46"/>
      <c r="H643" s="46"/>
      <c r="I643" s="46"/>
      <c r="J643" s="46"/>
      <c r="K643" s="47"/>
      <c r="L643" s="47"/>
      <c r="M643" s="47"/>
      <c r="N643" s="48"/>
      <c r="O643" s="46"/>
      <c r="P643" s="46"/>
      <c r="Q643" s="46"/>
      <c r="R643" s="46"/>
      <c r="S643" s="46"/>
      <c r="T643" s="49"/>
      <c r="U643" s="46"/>
      <c r="V643" s="50"/>
      <c r="W643" s="46"/>
      <c r="X643" s="46"/>
      <c r="Y643" s="46"/>
    </row>
    <row r="644" spans="1:25" x14ac:dyDescent="0.2">
      <c r="A644" s="45"/>
      <c r="B644" s="46"/>
      <c r="C644" s="46"/>
      <c r="D644" s="46"/>
      <c r="E644" s="46"/>
      <c r="F644" s="46"/>
      <c r="G644" s="46"/>
      <c r="H644" s="46"/>
      <c r="I644" s="46"/>
      <c r="J644" s="46"/>
      <c r="K644" s="47"/>
      <c r="L644" s="47"/>
      <c r="M644" s="47"/>
      <c r="N644" s="48"/>
      <c r="O644" s="46"/>
      <c r="P644" s="46"/>
      <c r="Q644" s="46"/>
      <c r="R644" s="46"/>
      <c r="S644" s="46"/>
      <c r="T644" s="49"/>
      <c r="U644" s="46"/>
      <c r="V644" s="50"/>
      <c r="W644" s="46"/>
      <c r="X644" s="46"/>
      <c r="Y644" s="46"/>
    </row>
    <row r="645" spans="1:25" x14ac:dyDescent="0.2">
      <c r="A645" s="45"/>
      <c r="B645" s="46"/>
      <c r="C645" s="46"/>
      <c r="D645" s="46"/>
      <c r="E645" s="46"/>
      <c r="F645" s="46"/>
      <c r="G645" s="46"/>
      <c r="H645" s="46"/>
      <c r="I645" s="46"/>
      <c r="J645" s="46"/>
      <c r="K645" s="47"/>
      <c r="L645" s="47"/>
      <c r="M645" s="47"/>
      <c r="N645" s="48"/>
      <c r="O645" s="46"/>
      <c r="P645" s="46"/>
      <c r="Q645" s="46"/>
      <c r="R645" s="46"/>
      <c r="S645" s="46"/>
      <c r="T645" s="49"/>
      <c r="U645" s="46"/>
      <c r="V645" s="50"/>
      <c r="W645" s="46"/>
      <c r="X645" s="46"/>
      <c r="Y645" s="46"/>
    </row>
    <row r="646" spans="1:25" x14ac:dyDescent="0.2">
      <c r="A646" s="45"/>
      <c r="B646" s="46"/>
      <c r="C646" s="46"/>
      <c r="D646" s="46"/>
      <c r="E646" s="46"/>
      <c r="F646" s="46"/>
      <c r="G646" s="46"/>
      <c r="H646" s="46"/>
      <c r="I646" s="46"/>
      <c r="J646" s="46"/>
      <c r="K646" s="47"/>
      <c r="L646" s="47"/>
      <c r="M646" s="47"/>
      <c r="N646" s="48"/>
      <c r="O646" s="46"/>
      <c r="P646" s="46"/>
      <c r="Q646" s="46"/>
      <c r="R646" s="46"/>
      <c r="S646" s="46"/>
      <c r="T646" s="49"/>
      <c r="U646" s="46"/>
      <c r="V646" s="50"/>
      <c r="W646" s="46"/>
      <c r="X646" s="46"/>
      <c r="Y646" s="46"/>
    </row>
    <row r="647" spans="1:25" x14ac:dyDescent="0.2">
      <c r="A647" s="45"/>
      <c r="B647" s="46"/>
      <c r="C647" s="46"/>
      <c r="D647" s="46"/>
      <c r="E647" s="46"/>
      <c r="F647" s="46"/>
      <c r="G647" s="46"/>
      <c r="H647" s="46"/>
      <c r="I647" s="46"/>
      <c r="J647" s="46"/>
      <c r="K647" s="47"/>
      <c r="L647" s="47"/>
      <c r="M647" s="47"/>
      <c r="N647" s="48"/>
      <c r="O647" s="46"/>
      <c r="P647" s="46"/>
      <c r="Q647" s="46"/>
      <c r="R647" s="46"/>
      <c r="S647" s="46"/>
      <c r="T647" s="49"/>
      <c r="U647" s="46"/>
      <c r="V647" s="50"/>
      <c r="W647" s="46"/>
      <c r="X647" s="46"/>
      <c r="Y647" s="46"/>
    </row>
    <row r="648" spans="1:25" x14ac:dyDescent="0.2">
      <c r="A648" s="45"/>
      <c r="B648" s="46"/>
      <c r="C648" s="46"/>
      <c r="D648" s="46"/>
      <c r="E648" s="46"/>
      <c r="F648" s="46"/>
      <c r="G648" s="46"/>
      <c r="H648" s="46"/>
      <c r="I648" s="46"/>
      <c r="J648" s="46"/>
      <c r="K648" s="47"/>
      <c r="L648" s="47"/>
      <c r="M648" s="47"/>
      <c r="N648" s="48"/>
      <c r="O648" s="46"/>
      <c r="P648" s="46"/>
      <c r="Q648" s="46"/>
      <c r="R648" s="46"/>
      <c r="S648" s="46"/>
      <c r="T648" s="49"/>
      <c r="U648" s="46"/>
      <c r="V648" s="50"/>
      <c r="W648" s="46"/>
      <c r="X648" s="46"/>
      <c r="Y648" s="46"/>
    </row>
    <row r="649" spans="1:25" x14ac:dyDescent="0.2">
      <c r="A649" s="45"/>
      <c r="B649" s="46"/>
      <c r="C649" s="46"/>
      <c r="D649" s="46"/>
      <c r="E649" s="46"/>
      <c r="F649" s="46"/>
      <c r="G649" s="46"/>
      <c r="H649" s="46"/>
      <c r="I649" s="46"/>
      <c r="J649" s="46"/>
      <c r="K649" s="47"/>
      <c r="L649" s="47"/>
      <c r="M649" s="47"/>
      <c r="N649" s="48"/>
      <c r="O649" s="46"/>
      <c r="P649" s="46"/>
      <c r="Q649" s="46"/>
      <c r="R649" s="46"/>
      <c r="S649" s="46"/>
      <c r="T649" s="49"/>
      <c r="U649" s="46"/>
      <c r="V649" s="50"/>
      <c r="W649" s="46"/>
      <c r="X649" s="46"/>
      <c r="Y649" s="46"/>
    </row>
    <row r="650" spans="1:25" x14ac:dyDescent="0.2">
      <c r="A650" s="45"/>
      <c r="B650" s="46"/>
      <c r="C650" s="46"/>
      <c r="D650" s="46"/>
      <c r="E650" s="46"/>
      <c r="F650" s="46"/>
      <c r="G650" s="46"/>
      <c r="H650" s="46"/>
      <c r="I650" s="46"/>
      <c r="J650" s="46"/>
      <c r="K650" s="47"/>
      <c r="L650" s="47"/>
      <c r="M650" s="47"/>
      <c r="N650" s="48"/>
      <c r="O650" s="46"/>
      <c r="P650" s="46"/>
      <c r="Q650" s="46"/>
      <c r="R650" s="46"/>
      <c r="S650" s="46"/>
      <c r="T650" s="49"/>
      <c r="U650" s="46"/>
      <c r="V650" s="50"/>
      <c r="W650" s="46"/>
      <c r="X650" s="46"/>
      <c r="Y650" s="46"/>
    </row>
    <row r="651" spans="1:25" x14ac:dyDescent="0.2">
      <c r="A651" s="45"/>
      <c r="B651" s="46"/>
      <c r="C651" s="46"/>
      <c r="D651" s="46"/>
      <c r="E651" s="46"/>
      <c r="F651" s="46"/>
      <c r="G651" s="46"/>
      <c r="H651" s="46"/>
      <c r="I651" s="46"/>
      <c r="J651" s="46"/>
      <c r="K651" s="47"/>
      <c r="L651" s="47"/>
      <c r="M651" s="47"/>
      <c r="N651" s="48"/>
      <c r="O651" s="46"/>
      <c r="P651" s="46"/>
      <c r="Q651" s="46"/>
      <c r="R651" s="46"/>
      <c r="S651" s="46"/>
      <c r="T651" s="49"/>
      <c r="U651" s="46"/>
      <c r="V651" s="50"/>
      <c r="W651" s="46"/>
      <c r="X651" s="46"/>
      <c r="Y651" s="46"/>
    </row>
    <row r="652" spans="1:25" x14ac:dyDescent="0.2">
      <c r="A652" s="45"/>
      <c r="B652" s="46"/>
      <c r="C652" s="46"/>
      <c r="D652" s="46"/>
      <c r="E652" s="46"/>
      <c r="F652" s="46"/>
      <c r="G652" s="46"/>
      <c r="H652" s="46"/>
      <c r="I652" s="46"/>
      <c r="J652" s="46"/>
      <c r="K652" s="47"/>
      <c r="L652" s="47"/>
      <c r="M652" s="47"/>
      <c r="N652" s="48"/>
      <c r="O652" s="46"/>
      <c r="P652" s="46"/>
      <c r="Q652" s="46"/>
      <c r="R652" s="46"/>
      <c r="S652" s="46"/>
      <c r="T652" s="49"/>
      <c r="U652" s="46"/>
      <c r="V652" s="50"/>
      <c r="W652" s="46"/>
      <c r="X652" s="46"/>
      <c r="Y652" s="46"/>
    </row>
    <row r="653" spans="1:25" x14ac:dyDescent="0.2">
      <c r="A653" s="45"/>
      <c r="B653" s="46"/>
      <c r="C653" s="46"/>
      <c r="D653" s="46"/>
      <c r="E653" s="46"/>
      <c r="F653" s="46"/>
      <c r="G653" s="46"/>
      <c r="H653" s="46"/>
      <c r="I653" s="46"/>
      <c r="J653" s="46"/>
      <c r="K653" s="47"/>
      <c r="L653" s="47"/>
      <c r="M653" s="47"/>
      <c r="N653" s="48"/>
      <c r="O653" s="46"/>
      <c r="P653" s="46"/>
      <c r="Q653" s="46"/>
      <c r="R653" s="46"/>
      <c r="S653" s="46"/>
      <c r="T653" s="49"/>
      <c r="U653" s="46"/>
      <c r="V653" s="50"/>
      <c r="W653" s="46"/>
      <c r="X653" s="46"/>
      <c r="Y653" s="46"/>
    </row>
    <row r="654" spans="1:25" x14ac:dyDescent="0.2">
      <c r="A654" s="45"/>
      <c r="B654" s="46"/>
      <c r="C654" s="46"/>
      <c r="D654" s="46"/>
      <c r="E654" s="46"/>
      <c r="F654" s="46"/>
      <c r="G654" s="46"/>
      <c r="H654" s="46"/>
      <c r="I654" s="46"/>
      <c r="J654" s="46"/>
      <c r="K654" s="47"/>
      <c r="L654" s="47"/>
      <c r="M654" s="47"/>
      <c r="N654" s="48"/>
      <c r="O654" s="46"/>
      <c r="P654" s="46"/>
      <c r="Q654" s="46"/>
      <c r="R654" s="46"/>
      <c r="S654" s="46"/>
      <c r="T654" s="49"/>
      <c r="U654" s="46"/>
      <c r="V654" s="50"/>
      <c r="W654" s="46"/>
      <c r="X654" s="46"/>
      <c r="Y654" s="46"/>
    </row>
    <row r="655" spans="1:25" x14ac:dyDescent="0.2">
      <c r="A655" s="45"/>
      <c r="B655" s="46"/>
      <c r="C655" s="46"/>
      <c r="D655" s="46"/>
      <c r="E655" s="46"/>
      <c r="F655" s="46"/>
      <c r="G655" s="46"/>
      <c r="H655" s="46"/>
      <c r="I655" s="46"/>
      <c r="J655" s="46"/>
      <c r="K655" s="47"/>
      <c r="L655" s="47"/>
      <c r="M655" s="47"/>
      <c r="N655" s="48"/>
      <c r="O655" s="46"/>
      <c r="P655" s="46"/>
      <c r="Q655" s="46"/>
      <c r="R655" s="46"/>
      <c r="S655" s="46"/>
      <c r="T655" s="49"/>
      <c r="U655" s="46"/>
      <c r="V655" s="50"/>
      <c r="W655" s="46"/>
      <c r="X655" s="46"/>
      <c r="Y655" s="46"/>
    </row>
    <row r="656" spans="1:25" x14ac:dyDescent="0.2">
      <c r="A656" s="45"/>
      <c r="B656" s="46"/>
      <c r="C656" s="46"/>
      <c r="D656" s="46"/>
      <c r="E656" s="46"/>
      <c r="F656" s="46"/>
      <c r="G656" s="46"/>
      <c r="H656" s="46"/>
      <c r="I656" s="46"/>
      <c r="J656" s="46"/>
      <c r="K656" s="47"/>
      <c r="L656" s="47"/>
      <c r="M656" s="47"/>
      <c r="N656" s="48"/>
      <c r="O656" s="46"/>
      <c r="P656" s="46"/>
      <c r="Q656" s="46"/>
      <c r="R656" s="46"/>
      <c r="S656" s="46"/>
      <c r="T656" s="49"/>
      <c r="U656" s="46"/>
      <c r="V656" s="50"/>
      <c r="W656" s="46"/>
      <c r="X656" s="46"/>
      <c r="Y656" s="46"/>
    </row>
    <row r="657" spans="1:25" x14ac:dyDescent="0.2">
      <c r="A657" s="45"/>
      <c r="B657" s="46"/>
      <c r="C657" s="46"/>
      <c r="D657" s="46"/>
      <c r="E657" s="46"/>
      <c r="F657" s="46"/>
      <c r="G657" s="46"/>
      <c r="H657" s="46"/>
      <c r="I657" s="46"/>
      <c r="J657" s="46"/>
      <c r="K657" s="47"/>
      <c r="L657" s="47"/>
      <c r="M657" s="47"/>
      <c r="N657" s="48"/>
      <c r="O657" s="46"/>
      <c r="P657" s="46"/>
      <c r="Q657" s="46"/>
      <c r="R657" s="46"/>
      <c r="S657" s="46"/>
      <c r="T657" s="49"/>
      <c r="U657" s="46"/>
      <c r="V657" s="50"/>
      <c r="W657" s="46"/>
      <c r="X657" s="46"/>
      <c r="Y657" s="46"/>
    </row>
    <row r="658" spans="1:25" x14ac:dyDescent="0.2">
      <c r="A658" s="45"/>
      <c r="B658" s="46"/>
      <c r="C658" s="46"/>
      <c r="D658" s="46"/>
      <c r="E658" s="46"/>
      <c r="F658" s="46"/>
      <c r="G658" s="46"/>
      <c r="H658" s="46"/>
      <c r="I658" s="46"/>
      <c r="J658" s="46"/>
      <c r="K658" s="47"/>
      <c r="L658" s="47"/>
      <c r="M658" s="47"/>
      <c r="N658" s="48"/>
      <c r="O658" s="46"/>
      <c r="P658" s="46"/>
      <c r="Q658" s="46"/>
      <c r="R658" s="46"/>
      <c r="S658" s="46"/>
      <c r="T658" s="49"/>
      <c r="U658" s="46"/>
      <c r="V658" s="50"/>
      <c r="W658" s="46"/>
      <c r="X658" s="46"/>
      <c r="Y658" s="46"/>
    </row>
    <row r="659" spans="1:25" x14ac:dyDescent="0.2">
      <c r="A659" s="45"/>
      <c r="B659" s="46"/>
      <c r="C659" s="46"/>
      <c r="D659" s="46"/>
      <c r="E659" s="46"/>
      <c r="F659" s="46"/>
      <c r="G659" s="46"/>
      <c r="H659" s="46"/>
      <c r="I659" s="46"/>
      <c r="J659" s="46"/>
      <c r="K659" s="47"/>
      <c r="L659" s="47"/>
      <c r="M659" s="47"/>
      <c r="N659" s="48"/>
      <c r="O659" s="46"/>
      <c r="P659" s="46"/>
      <c r="Q659" s="46"/>
      <c r="R659" s="46"/>
      <c r="S659" s="46"/>
      <c r="T659" s="49"/>
      <c r="U659" s="46"/>
      <c r="V659" s="50"/>
      <c r="W659" s="46"/>
      <c r="X659" s="46"/>
      <c r="Y659" s="46"/>
    </row>
    <row r="660" spans="1:25" x14ac:dyDescent="0.2">
      <c r="A660" s="45"/>
      <c r="B660" s="46"/>
      <c r="C660" s="46"/>
      <c r="D660" s="46"/>
      <c r="E660" s="46"/>
      <c r="F660" s="46"/>
      <c r="G660" s="46"/>
      <c r="H660" s="46"/>
      <c r="I660" s="46"/>
      <c r="J660" s="46"/>
      <c r="K660" s="47"/>
      <c r="L660" s="47"/>
      <c r="M660" s="47"/>
      <c r="N660" s="48"/>
      <c r="O660" s="46"/>
      <c r="P660" s="46"/>
      <c r="Q660" s="46"/>
      <c r="R660" s="46"/>
      <c r="S660" s="46"/>
      <c r="T660" s="49"/>
      <c r="U660" s="46"/>
      <c r="V660" s="50"/>
      <c r="W660" s="46"/>
      <c r="X660" s="46"/>
      <c r="Y660" s="46"/>
    </row>
    <row r="661" spans="1:25" x14ac:dyDescent="0.2">
      <c r="A661" s="45"/>
      <c r="B661" s="46"/>
      <c r="C661" s="46"/>
      <c r="D661" s="46"/>
      <c r="E661" s="46"/>
      <c r="F661" s="46"/>
      <c r="G661" s="46"/>
      <c r="H661" s="46"/>
      <c r="I661" s="46"/>
      <c r="J661" s="46"/>
      <c r="K661" s="47"/>
      <c r="L661" s="47"/>
      <c r="M661" s="47"/>
      <c r="N661" s="48"/>
      <c r="O661" s="46"/>
      <c r="P661" s="46"/>
      <c r="Q661" s="46"/>
      <c r="R661" s="46"/>
      <c r="S661" s="46"/>
      <c r="T661" s="49"/>
      <c r="U661" s="46"/>
      <c r="V661" s="50"/>
      <c r="W661" s="46"/>
      <c r="X661" s="46"/>
      <c r="Y661" s="46"/>
    </row>
    <row r="662" spans="1:25" x14ac:dyDescent="0.2">
      <c r="A662" s="45"/>
      <c r="B662" s="46"/>
      <c r="C662" s="46"/>
      <c r="D662" s="46"/>
      <c r="E662" s="46"/>
      <c r="F662" s="46"/>
      <c r="G662" s="46"/>
      <c r="H662" s="46"/>
      <c r="I662" s="46"/>
      <c r="J662" s="46"/>
      <c r="K662" s="47"/>
      <c r="L662" s="47"/>
      <c r="M662" s="47"/>
      <c r="N662" s="48"/>
      <c r="O662" s="46"/>
      <c r="P662" s="46"/>
      <c r="Q662" s="46"/>
      <c r="R662" s="46"/>
      <c r="S662" s="46"/>
      <c r="T662" s="49"/>
      <c r="U662" s="46"/>
      <c r="V662" s="50"/>
      <c r="W662" s="46"/>
      <c r="X662" s="46"/>
      <c r="Y662" s="46"/>
    </row>
    <row r="663" spans="1:25" x14ac:dyDescent="0.2">
      <c r="A663" s="45"/>
      <c r="B663" s="46"/>
      <c r="C663" s="46"/>
      <c r="D663" s="46"/>
      <c r="E663" s="46"/>
      <c r="F663" s="46"/>
      <c r="G663" s="46"/>
      <c r="H663" s="46"/>
      <c r="I663" s="46"/>
      <c r="J663" s="46"/>
      <c r="K663" s="47"/>
      <c r="L663" s="47"/>
      <c r="M663" s="47"/>
      <c r="N663" s="48"/>
      <c r="O663" s="46"/>
      <c r="P663" s="46"/>
      <c r="Q663" s="46"/>
      <c r="R663" s="46"/>
      <c r="S663" s="46"/>
      <c r="T663" s="49"/>
      <c r="U663" s="46"/>
      <c r="V663" s="50"/>
      <c r="W663" s="46"/>
      <c r="X663" s="46"/>
      <c r="Y663" s="46"/>
    </row>
    <row r="664" spans="1:25" x14ac:dyDescent="0.2">
      <c r="A664" s="45"/>
      <c r="B664" s="46"/>
      <c r="C664" s="46"/>
      <c r="D664" s="46"/>
      <c r="E664" s="46"/>
      <c r="F664" s="46"/>
      <c r="G664" s="46"/>
      <c r="H664" s="46"/>
      <c r="I664" s="46"/>
      <c r="J664" s="46"/>
      <c r="K664" s="47"/>
      <c r="L664" s="47"/>
      <c r="M664" s="47"/>
      <c r="N664" s="48"/>
      <c r="O664" s="46"/>
      <c r="P664" s="46"/>
      <c r="Q664" s="46"/>
      <c r="R664" s="46"/>
      <c r="S664" s="46"/>
      <c r="T664" s="49"/>
      <c r="U664" s="46"/>
      <c r="V664" s="50"/>
      <c r="W664" s="46"/>
      <c r="X664" s="46"/>
      <c r="Y664" s="46"/>
    </row>
    <row r="665" spans="1:25" x14ac:dyDescent="0.2">
      <c r="A665" s="45"/>
      <c r="B665" s="46"/>
      <c r="C665" s="46"/>
      <c r="D665" s="46"/>
      <c r="E665" s="46"/>
      <c r="F665" s="46"/>
      <c r="G665" s="46"/>
      <c r="H665" s="46"/>
      <c r="I665" s="46"/>
      <c r="J665" s="46"/>
      <c r="K665" s="47"/>
      <c r="L665" s="47"/>
      <c r="M665" s="47"/>
      <c r="N665" s="48"/>
      <c r="O665" s="46"/>
      <c r="P665" s="46"/>
      <c r="Q665" s="46"/>
      <c r="R665" s="46"/>
      <c r="S665" s="46"/>
      <c r="T665" s="49"/>
      <c r="U665" s="46"/>
      <c r="V665" s="50"/>
      <c r="W665" s="46"/>
      <c r="X665" s="46"/>
      <c r="Y665" s="46"/>
    </row>
    <row r="666" spans="1:25" x14ac:dyDescent="0.2">
      <c r="A666" s="45"/>
      <c r="B666" s="46"/>
      <c r="C666" s="46"/>
      <c r="D666" s="46"/>
      <c r="E666" s="46"/>
      <c r="F666" s="46"/>
      <c r="G666" s="46"/>
      <c r="H666" s="46"/>
      <c r="I666" s="46"/>
      <c r="J666" s="46"/>
      <c r="K666" s="47"/>
      <c r="L666" s="47"/>
      <c r="M666" s="47"/>
      <c r="N666" s="48"/>
      <c r="O666" s="46"/>
      <c r="P666" s="46"/>
      <c r="Q666" s="46"/>
      <c r="R666" s="46"/>
      <c r="S666" s="46"/>
      <c r="T666" s="49"/>
      <c r="U666" s="46"/>
      <c r="V666" s="50"/>
      <c r="W666" s="46"/>
      <c r="X666" s="46"/>
      <c r="Y666" s="46"/>
    </row>
    <row r="667" spans="1:25" x14ac:dyDescent="0.2">
      <c r="A667" s="45"/>
      <c r="B667" s="46"/>
      <c r="C667" s="46"/>
      <c r="D667" s="46"/>
      <c r="E667" s="46"/>
      <c r="F667" s="46"/>
      <c r="G667" s="46"/>
      <c r="H667" s="46"/>
      <c r="I667" s="46"/>
      <c r="J667" s="46"/>
      <c r="K667" s="47"/>
      <c r="L667" s="47"/>
      <c r="M667" s="47"/>
      <c r="N667" s="48"/>
      <c r="O667" s="46"/>
      <c r="P667" s="46"/>
      <c r="Q667" s="46"/>
      <c r="R667" s="46"/>
      <c r="S667" s="46"/>
      <c r="T667" s="49"/>
      <c r="U667" s="46"/>
      <c r="V667" s="50"/>
      <c r="W667" s="46"/>
      <c r="X667" s="46"/>
      <c r="Y667" s="46"/>
    </row>
    <row r="668" spans="1:25" x14ac:dyDescent="0.2">
      <c r="A668" s="45"/>
      <c r="B668" s="46"/>
      <c r="C668" s="46"/>
      <c r="D668" s="46"/>
      <c r="E668" s="46"/>
      <c r="F668" s="46"/>
      <c r="G668" s="46"/>
      <c r="H668" s="46"/>
      <c r="I668" s="46"/>
      <c r="J668" s="46"/>
      <c r="K668" s="47"/>
      <c r="L668" s="47"/>
      <c r="M668" s="47"/>
      <c r="N668" s="48"/>
      <c r="O668" s="46"/>
      <c r="P668" s="46"/>
      <c r="Q668" s="46"/>
      <c r="R668" s="46"/>
      <c r="S668" s="46"/>
      <c r="T668" s="49"/>
      <c r="U668" s="46"/>
      <c r="V668" s="50"/>
      <c r="W668" s="46"/>
      <c r="X668" s="46"/>
      <c r="Y668" s="46"/>
    </row>
    <row r="669" spans="1:25" x14ac:dyDescent="0.2">
      <c r="A669" s="45"/>
      <c r="B669" s="46"/>
      <c r="C669" s="46"/>
      <c r="D669" s="46"/>
      <c r="E669" s="46"/>
      <c r="F669" s="46"/>
      <c r="G669" s="46"/>
      <c r="H669" s="46"/>
      <c r="I669" s="46"/>
      <c r="J669" s="46"/>
      <c r="K669" s="47"/>
      <c r="L669" s="47"/>
      <c r="M669" s="47"/>
      <c r="N669" s="48"/>
      <c r="O669" s="46"/>
      <c r="P669" s="46"/>
      <c r="Q669" s="46"/>
      <c r="R669" s="46"/>
      <c r="S669" s="46"/>
      <c r="T669" s="49"/>
      <c r="U669" s="46"/>
      <c r="V669" s="50"/>
      <c r="W669" s="46"/>
      <c r="X669" s="46"/>
      <c r="Y669" s="46"/>
    </row>
    <row r="670" spans="1:25" x14ac:dyDescent="0.2">
      <c r="A670" s="45"/>
      <c r="B670" s="46"/>
      <c r="C670" s="46"/>
      <c r="D670" s="46"/>
      <c r="E670" s="46"/>
      <c r="F670" s="46"/>
      <c r="G670" s="46"/>
      <c r="H670" s="46"/>
      <c r="I670" s="46"/>
      <c r="J670" s="46"/>
      <c r="K670" s="47"/>
      <c r="L670" s="47"/>
      <c r="M670" s="47"/>
      <c r="N670" s="48"/>
      <c r="O670" s="46"/>
      <c r="P670" s="46"/>
      <c r="Q670" s="46"/>
      <c r="R670" s="46"/>
      <c r="S670" s="46"/>
      <c r="T670" s="49"/>
      <c r="U670" s="46"/>
      <c r="V670" s="50"/>
      <c r="W670" s="46"/>
      <c r="X670" s="46"/>
      <c r="Y670" s="46"/>
    </row>
    <row r="671" spans="1:25" x14ac:dyDescent="0.2">
      <c r="A671" s="45"/>
      <c r="B671" s="46"/>
      <c r="C671" s="46"/>
      <c r="D671" s="46"/>
      <c r="E671" s="46"/>
      <c r="F671" s="46"/>
      <c r="G671" s="46"/>
      <c r="H671" s="46"/>
      <c r="I671" s="46"/>
      <c r="J671" s="46"/>
      <c r="K671" s="47"/>
      <c r="L671" s="47"/>
      <c r="M671" s="47"/>
      <c r="N671" s="48"/>
      <c r="O671" s="46"/>
      <c r="P671" s="46"/>
      <c r="Q671" s="46"/>
      <c r="R671" s="46"/>
      <c r="S671" s="46"/>
      <c r="T671" s="49"/>
      <c r="U671" s="46"/>
      <c r="V671" s="50"/>
      <c r="W671" s="46"/>
      <c r="X671" s="46"/>
      <c r="Y671" s="46"/>
    </row>
    <row r="672" spans="1:25" x14ac:dyDescent="0.2">
      <c r="A672" s="45"/>
      <c r="B672" s="46"/>
      <c r="C672" s="46"/>
      <c r="D672" s="46"/>
      <c r="E672" s="46"/>
      <c r="F672" s="46"/>
      <c r="G672" s="46"/>
      <c r="H672" s="46"/>
      <c r="I672" s="46"/>
      <c r="J672" s="46"/>
      <c r="K672" s="47"/>
      <c r="L672" s="47"/>
      <c r="M672" s="47"/>
      <c r="N672" s="48"/>
      <c r="O672" s="46"/>
      <c r="P672" s="46"/>
      <c r="Q672" s="46"/>
      <c r="R672" s="46"/>
      <c r="S672" s="46"/>
      <c r="T672" s="49"/>
      <c r="U672" s="46"/>
      <c r="V672" s="50"/>
      <c r="W672" s="46"/>
      <c r="X672" s="46"/>
      <c r="Y672" s="46"/>
    </row>
    <row r="673" spans="1:25" x14ac:dyDescent="0.2">
      <c r="A673" s="45"/>
      <c r="B673" s="46"/>
      <c r="C673" s="46"/>
      <c r="D673" s="46"/>
      <c r="E673" s="46"/>
      <c r="F673" s="46"/>
      <c r="G673" s="46"/>
      <c r="H673" s="46"/>
      <c r="I673" s="46"/>
      <c r="J673" s="46"/>
      <c r="K673" s="47"/>
      <c r="L673" s="47"/>
      <c r="M673" s="47"/>
      <c r="N673" s="48"/>
      <c r="O673" s="46"/>
      <c r="P673" s="46"/>
      <c r="Q673" s="46"/>
      <c r="R673" s="46"/>
      <c r="S673" s="46"/>
      <c r="T673" s="49"/>
      <c r="U673" s="46"/>
      <c r="V673" s="50"/>
      <c r="W673" s="46"/>
      <c r="X673" s="46"/>
      <c r="Y673" s="46"/>
    </row>
    <row r="674" spans="1:25" x14ac:dyDescent="0.2">
      <c r="A674" s="45"/>
      <c r="B674" s="46"/>
      <c r="C674" s="46"/>
      <c r="D674" s="46"/>
      <c r="E674" s="46"/>
      <c r="F674" s="46"/>
      <c r="G674" s="46"/>
      <c r="H674" s="46"/>
      <c r="I674" s="46"/>
      <c r="J674" s="46"/>
      <c r="K674" s="47"/>
      <c r="L674" s="47"/>
      <c r="M674" s="47"/>
      <c r="N674" s="48"/>
      <c r="O674" s="46"/>
      <c r="P674" s="46"/>
      <c r="Q674" s="46"/>
      <c r="R674" s="46"/>
      <c r="S674" s="46"/>
      <c r="T674" s="49"/>
      <c r="U674" s="46"/>
      <c r="V674" s="50"/>
      <c r="W674" s="46"/>
      <c r="X674" s="46"/>
      <c r="Y674" s="46"/>
    </row>
    <row r="675" spans="1:25" x14ac:dyDescent="0.2">
      <c r="A675" s="45"/>
      <c r="B675" s="46"/>
      <c r="C675" s="46"/>
      <c r="D675" s="46"/>
      <c r="E675" s="46"/>
      <c r="F675" s="46"/>
      <c r="G675" s="46"/>
      <c r="H675" s="46"/>
      <c r="I675" s="46"/>
      <c r="J675" s="46"/>
      <c r="K675" s="47"/>
      <c r="L675" s="47"/>
      <c r="M675" s="47"/>
      <c r="N675" s="48"/>
      <c r="O675" s="46"/>
      <c r="P675" s="46"/>
      <c r="Q675" s="46"/>
      <c r="R675" s="46"/>
      <c r="S675" s="46"/>
      <c r="T675" s="49"/>
      <c r="U675" s="46"/>
      <c r="V675" s="50"/>
      <c r="W675" s="46"/>
      <c r="X675" s="46"/>
      <c r="Y675" s="46"/>
    </row>
    <row r="676" spans="1:25" x14ac:dyDescent="0.2">
      <c r="A676" s="45"/>
      <c r="B676" s="46"/>
      <c r="C676" s="46"/>
      <c r="D676" s="46"/>
      <c r="E676" s="46"/>
      <c r="F676" s="46"/>
      <c r="G676" s="46"/>
      <c r="H676" s="46"/>
      <c r="I676" s="46"/>
      <c r="J676" s="46"/>
      <c r="K676" s="47"/>
      <c r="L676" s="47"/>
      <c r="M676" s="47"/>
      <c r="N676" s="48"/>
      <c r="O676" s="46"/>
      <c r="P676" s="46"/>
      <c r="Q676" s="46"/>
      <c r="R676" s="46"/>
      <c r="S676" s="46"/>
      <c r="T676" s="49"/>
      <c r="U676" s="46"/>
      <c r="V676" s="50"/>
      <c r="W676" s="46"/>
      <c r="X676" s="46"/>
      <c r="Y676" s="46"/>
    </row>
    <row r="677" spans="1:25" x14ac:dyDescent="0.2">
      <c r="A677" s="45"/>
      <c r="B677" s="46"/>
      <c r="C677" s="46"/>
      <c r="D677" s="46"/>
      <c r="E677" s="46"/>
      <c r="F677" s="46"/>
      <c r="G677" s="46"/>
      <c r="H677" s="46"/>
      <c r="I677" s="46"/>
      <c r="J677" s="46"/>
      <c r="K677" s="47"/>
      <c r="L677" s="47"/>
      <c r="M677" s="47"/>
      <c r="N677" s="48"/>
      <c r="O677" s="46"/>
      <c r="P677" s="46"/>
      <c r="Q677" s="46"/>
      <c r="R677" s="46"/>
      <c r="S677" s="46"/>
      <c r="T677" s="49"/>
      <c r="U677" s="46"/>
      <c r="V677" s="50"/>
      <c r="W677" s="46"/>
      <c r="X677" s="46"/>
      <c r="Y677" s="46"/>
    </row>
    <row r="678" spans="1:25" x14ac:dyDescent="0.2">
      <c r="A678" s="45"/>
      <c r="B678" s="46"/>
      <c r="C678" s="46"/>
      <c r="D678" s="46"/>
      <c r="E678" s="46"/>
      <c r="F678" s="46"/>
      <c r="G678" s="46"/>
      <c r="H678" s="46"/>
      <c r="I678" s="46"/>
      <c r="J678" s="46"/>
      <c r="K678" s="47"/>
      <c r="L678" s="47"/>
      <c r="M678" s="47"/>
      <c r="N678" s="48"/>
      <c r="O678" s="46"/>
      <c r="P678" s="46"/>
      <c r="Q678" s="46"/>
      <c r="R678" s="46"/>
      <c r="S678" s="46"/>
      <c r="T678" s="49"/>
      <c r="U678" s="46"/>
      <c r="V678" s="50"/>
      <c r="W678" s="46"/>
      <c r="X678" s="46"/>
      <c r="Y678" s="46"/>
    </row>
    <row r="679" spans="1:25" x14ac:dyDescent="0.2">
      <c r="A679" s="45"/>
      <c r="B679" s="46"/>
      <c r="C679" s="46"/>
      <c r="D679" s="46"/>
      <c r="E679" s="46"/>
      <c r="F679" s="46"/>
      <c r="G679" s="46"/>
      <c r="H679" s="46"/>
      <c r="I679" s="46"/>
      <c r="J679" s="46"/>
      <c r="K679" s="47"/>
      <c r="L679" s="47"/>
      <c r="M679" s="47"/>
      <c r="N679" s="48"/>
      <c r="O679" s="46"/>
      <c r="P679" s="46"/>
      <c r="Q679" s="46"/>
      <c r="R679" s="46"/>
      <c r="S679" s="46"/>
      <c r="T679" s="49"/>
      <c r="U679" s="46"/>
      <c r="V679" s="50"/>
      <c r="W679" s="46"/>
      <c r="X679" s="46"/>
      <c r="Y679" s="46"/>
    </row>
    <row r="680" spans="1:25" x14ac:dyDescent="0.2">
      <c r="A680" s="45"/>
      <c r="B680" s="46"/>
      <c r="C680" s="46"/>
      <c r="D680" s="46"/>
      <c r="E680" s="46"/>
      <c r="F680" s="46"/>
      <c r="G680" s="46"/>
      <c r="H680" s="46"/>
      <c r="I680" s="46"/>
      <c r="J680" s="46"/>
      <c r="K680" s="47"/>
      <c r="L680" s="47"/>
      <c r="M680" s="47"/>
      <c r="N680" s="48"/>
      <c r="O680" s="46"/>
      <c r="P680" s="46"/>
      <c r="Q680" s="46"/>
      <c r="R680" s="46"/>
      <c r="S680" s="46"/>
      <c r="T680" s="49"/>
      <c r="U680" s="46"/>
      <c r="V680" s="50"/>
      <c r="W680" s="46"/>
      <c r="X680" s="46"/>
      <c r="Y680" s="46"/>
    </row>
    <row r="681" spans="1:25" x14ac:dyDescent="0.2">
      <c r="A681" s="45"/>
      <c r="B681" s="46"/>
      <c r="C681" s="46"/>
      <c r="D681" s="46"/>
      <c r="E681" s="46"/>
      <c r="F681" s="46"/>
      <c r="G681" s="46"/>
      <c r="H681" s="46"/>
      <c r="I681" s="46"/>
      <c r="J681" s="46"/>
      <c r="K681" s="47"/>
      <c r="L681" s="47"/>
      <c r="M681" s="47"/>
      <c r="N681" s="48"/>
      <c r="O681" s="46"/>
      <c r="P681" s="46"/>
      <c r="Q681" s="46"/>
      <c r="R681" s="46"/>
      <c r="S681" s="46"/>
      <c r="T681" s="49"/>
      <c r="U681" s="46"/>
      <c r="V681" s="50"/>
      <c r="W681" s="46"/>
      <c r="X681" s="46"/>
      <c r="Y681" s="46"/>
    </row>
    <row r="682" spans="1:25" x14ac:dyDescent="0.2">
      <c r="A682" s="45"/>
      <c r="B682" s="46"/>
      <c r="C682" s="46"/>
      <c r="D682" s="46"/>
      <c r="E682" s="46"/>
      <c r="F682" s="46"/>
      <c r="G682" s="46"/>
      <c r="H682" s="46"/>
      <c r="I682" s="46"/>
      <c r="J682" s="46"/>
      <c r="K682" s="47"/>
      <c r="L682" s="47"/>
      <c r="M682" s="47"/>
      <c r="N682" s="48"/>
      <c r="O682" s="46"/>
      <c r="P682" s="46"/>
      <c r="Q682" s="46"/>
      <c r="R682" s="46"/>
      <c r="S682" s="46"/>
      <c r="T682" s="49"/>
      <c r="U682" s="46"/>
      <c r="V682" s="50"/>
      <c r="W682" s="46"/>
      <c r="X682" s="46"/>
      <c r="Y682" s="46"/>
    </row>
    <row r="683" spans="1:25" x14ac:dyDescent="0.2">
      <c r="A683" s="45"/>
      <c r="B683" s="46"/>
      <c r="C683" s="46"/>
      <c r="D683" s="46"/>
      <c r="E683" s="46"/>
      <c r="F683" s="46"/>
      <c r="G683" s="46"/>
      <c r="H683" s="46"/>
      <c r="I683" s="46"/>
      <c r="J683" s="46"/>
      <c r="K683" s="47"/>
      <c r="L683" s="47"/>
      <c r="M683" s="47"/>
      <c r="N683" s="48"/>
      <c r="O683" s="46"/>
      <c r="P683" s="46"/>
      <c r="Q683" s="46"/>
      <c r="R683" s="46"/>
      <c r="S683" s="46"/>
      <c r="T683" s="49"/>
      <c r="U683" s="46"/>
      <c r="V683" s="50"/>
      <c r="W683" s="46"/>
      <c r="X683" s="46"/>
      <c r="Y683" s="46"/>
    </row>
    <row r="684" spans="1:25" x14ac:dyDescent="0.2">
      <c r="A684" s="45"/>
      <c r="B684" s="46"/>
      <c r="C684" s="46"/>
      <c r="D684" s="46"/>
      <c r="E684" s="46"/>
      <c r="F684" s="46"/>
      <c r="G684" s="46"/>
      <c r="H684" s="46"/>
      <c r="I684" s="46"/>
      <c r="J684" s="46"/>
      <c r="K684" s="47"/>
      <c r="L684" s="47"/>
      <c r="M684" s="47"/>
      <c r="N684" s="48"/>
      <c r="O684" s="46"/>
      <c r="P684" s="46"/>
      <c r="Q684" s="46"/>
      <c r="R684" s="46"/>
      <c r="S684" s="46"/>
      <c r="T684" s="49"/>
      <c r="U684" s="46"/>
      <c r="V684" s="50"/>
      <c r="W684" s="46"/>
      <c r="X684" s="46"/>
      <c r="Y684" s="46"/>
    </row>
    <row r="685" spans="1:25" x14ac:dyDescent="0.2">
      <c r="A685" s="45"/>
      <c r="B685" s="46"/>
      <c r="C685" s="46"/>
      <c r="D685" s="46"/>
      <c r="E685" s="46"/>
      <c r="F685" s="46"/>
      <c r="G685" s="46"/>
      <c r="H685" s="46"/>
      <c r="I685" s="46"/>
      <c r="J685" s="46"/>
      <c r="K685" s="47"/>
      <c r="L685" s="47"/>
      <c r="M685" s="47"/>
      <c r="N685" s="48"/>
      <c r="O685" s="46"/>
      <c r="P685" s="46"/>
      <c r="Q685" s="46"/>
      <c r="R685" s="46"/>
      <c r="S685" s="46"/>
      <c r="T685" s="49"/>
      <c r="U685" s="46"/>
      <c r="V685" s="50"/>
      <c r="W685" s="46"/>
      <c r="X685" s="46"/>
      <c r="Y685" s="46"/>
    </row>
    <row r="686" spans="1:25" x14ac:dyDescent="0.2">
      <c r="A686" s="45"/>
      <c r="B686" s="46"/>
      <c r="C686" s="46"/>
      <c r="D686" s="46"/>
      <c r="E686" s="46"/>
      <c r="F686" s="46"/>
      <c r="G686" s="46"/>
      <c r="H686" s="46"/>
      <c r="I686" s="46"/>
      <c r="J686" s="46"/>
      <c r="K686" s="47"/>
      <c r="L686" s="47"/>
      <c r="M686" s="47"/>
      <c r="N686" s="48"/>
      <c r="O686" s="46"/>
      <c r="P686" s="46"/>
      <c r="Q686" s="46"/>
      <c r="R686" s="46"/>
      <c r="S686" s="46"/>
      <c r="T686" s="49"/>
      <c r="U686" s="46"/>
      <c r="V686" s="50"/>
      <c r="W686" s="46"/>
      <c r="X686" s="46"/>
      <c r="Y686" s="46"/>
    </row>
    <row r="687" spans="1:25" x14ac:dyDescent="0.2">
      <c r="A687" s="45"/>
      <c r="B687" s="46"/>
      <c r="C687" s="46"/>
      <c r="D687" s="46"/>
      <c r="E687" s="46"/>
      <c r="F687" s="46"/>
      <c r="G687" s="46"/>
      <c r="H687" s="46"/>
      <c r="I687" s="46"/>
      <c r="J687" s="46"/>
      <c r="K687" s="47"/>
      <c r="L687" s="47"/>
      <c r="M687" s="47"/>
      <c r="N687" s="48"/>
      <c r="O687" s="46"/>
      <c r="P687" s="46"/>
      <c r="Q687" s="46"/>
      <c r="R687" s="46"/>
      <c r="S687" s="46"/>
      <c r="T687" s="49"/>
      <c r="U687" s="46"/>
      <c r="V687" s="50"/>
      <c r="W687" s="46"/>
      <c r="X687" s="46"/>
      <c r="Y687" s="46"/>
    </row>
    <row r="688" spans="1:25" x14ac:dyDescent="0.2">
      <c r="A688" s="45"/>
      <c r="B688" s="46"/>
      <c r="C688" s="46"/>
      <c r="D688" s="46"/>
      <c r="E688" s="46"/>
      <c r="F688" s="46"/>
      <c r="G688" s="46"/>
      <c r="H688" s="46"/>
      <c r="I688" s="46"/>
      <c r="J688" s="46"/>
      <c r="K688" s="47"/>
      <c r="L688" s="47"/>
      <c r="M688" s="47"/>
      <c r="N688" s="48"/>
      <c r="O688" s="46"/>
      <c r="P688" s="46"/>
      <c r="Q688" s="46"/>
      <c r="R688" s="46"/>
      <c r="S688" s="46"/>
      <c r="T688" s="49"/>
      <c r="U688" s="46"/>
      <c r="V688" s="50"/>
      <c r="W688" s="46"/>
      <c r="X688" s="46"/>
      <c r="Y688" s="46"/>
    </row>
    <row r="689" spans="1:25" x14ac:dyDescent="0.2">
      <c r="A689" s="45"/>
      <c r="B689" s="46"/>
      <c r="C689" s="46"/>
      <c r="D689" s="46"/>
      <c r="E689" s="46"/>
      <c r="F689" s="46"/>
      <c r="G689" s="46"/>
      <c r="H689" s="46"/>
      <c r="I689" s="46"/>
      <c r="J689" s="46"/>
      <c r="K689" s="47"/>
      <c r="L689" s="47"/>
      <c r="M689" s="47"/>
      <c r="N689" s="48"/>
      <c r="O689" s="46"/>
      <c r="P689" s="46"/>
      <c r="Q689" s="46"/>
      <c r="R689" s="46"/>
      <c r="S689" s="46"/>
      <c r="T689" s="49"/>
      <c r="U689" s="46"/>
      <c r="V689" s="50"/>
      <c r="W689" s="46"/>
      <c r="X689" s="46"/>
      <c r="Y689" s="46"/>
    </row>
    <row r="690" spans="1:25" x14ac:dyDescent="0.2">
      <c r="A690" s="45"/>
      <c r="B690" s="46"/>
      <c r="C690" s="46"/>
      <c r="D690" s="46"/>
      <c r="E690" s="46"/>
      <c r="F690" s="46"/>
      <c r="G690" s="46"/>
      <c r="H690" s="46"/>
      <c r="I690" s="46"/>
      <c r="J690" s="46"/>
      <c r="K690" s="47"/>
      <c r="L690" s="47"/>
      <c r="M690" s="47"/>
      <c r="N690" s="48"/>
      <c r="O690" s="46"/>
      <c r="P690" s="46"/>
      <c r="Q690" s="46"/>
      <c r="R690" s="46"/>
      <c r="S690" s="46"/>
      <c r="T690" s="49"/>
      <c r="U690" s="46"/>
      <c r="V690" s="50"/>
      <c r="W690" s="46"/>
      <c r="X690" s="46"/>
      <c r="Y690" s="46"/>
    </row>
    <row r="691" spans="1:25" x14ac:dyDescent="0.2">
      <c r="A691" s="45"/>
      <c r="B691" s="46"/>
      <c r="C691" s="46"/>
      <c r="D691" s="46"/>
      <c r="E691" s="46"/>
      <c r="F691" s="46"/>
      <c r="G691" s="46"/>
      <c r="H691" s="46"/>
      <c r="I691" s="46"/>
      <c r="J691" s="46"/>
      <c r="K691" s="46"/>
      <c r="L691" s="46"/>
      <c r="M691" s="46"/>
      <c r="N691" s="46"/>
      <c r="O691" s="46"/>
      <c r="P691" s="46"/>
      <c r="Q691" s="46"/>
      <c r="R691" s="46"/>
      <c r="S691" s="46"/>
      <c r="T691" s="49"/>
      <c r="U691" s="46"/>
      <c r="V691" s="50"/>
      <c r="W691" s="46"/>
      <c r="X691" s="46"/>
      <c r="Y691" s="46"/>
    </row>
    <row r="692" spans="1:25" x14ac:dyDescent="0.2">
      <c r="A692" s="45"/>
      <c r="B692" s="46"/>
      <c r="C692" s="46"/>
      <c r="D692" s="46"/>
      <c r="E692" s="46"/>
      <c r="F692" s="46"/>
      <c r="G692" s="46"/>
      <c r="H692" s="46"/>
      <c r="I692" s="46"/>
      <c r="J692" s="46"/>
      <c r="K692" s="46"/>
      <c r="L692" s="46"/>
      <c r="M692" s="46"/>
      <c r="N692" s="46"/>
      <c r="O692" s="46"/>
      <c r="P692" s="46"/>
      <c r="Q692" s="46"/>
      <c r="R692" s="46"/>
      <c r="S692" s="46"/>
      <c r="T692" s="49"/>
      <c r="U692" s="46"/>
      <c r="V692" s="50"/>
      <c r="W692" s="46"/>
      <c r="X692" s="46"/>
      <c r="Y692" s="46"/>
    </row>
    <row r="693" spans="1:25" x14ac:dyDescent="0.2">
      <c r="A693" s="45"/>
      <c r="B693" s="46"/>
      <c r="C693" s="46"/>
      <c r="D693" s="46"/>
      <c r="E693" s="46"/>
      <c r="F693" s="46"/>
      <c r="G693" s="46"/>
      <c r="H693" s="46"/>
      <c r="I693" s="46"/>
      <c r="J693" s="46"/>
      <c r="K693" s="46"/>
      <c r="L693" s="46"/>
      <c r="M693" s="46"/>
      <c r="N693" s="46"/>
      <c r="O693" s="46"/>
      <c r="P693" s="46"/>
      <c r="Q693" s="46"/>
      <c r="R693" s="46"/>
      <c r="S693" s="46"/>
      <c r="T693" s="49"/>
      <c r="U693" s="46"/>
      <c r="V693" s="50"/>
      <c r="W693" s="46"/>
      <c r="X693" s="46"/>
      <c r="Y693" s="46"/>
    </row>
    <row r="694" spans="1:25" x14ac:dyDescent="0.2">
      <c r="A694" s="45"/>
      <c r="B694" s="46"/>
      <c r="C694" s="46"/>
      <c r="D694" s="46"/>
      <c r="E694" s="46"/>
      <c r="F694" s="46"/>
      <c r="G694" s="46"/>
      <c r="H694" s="46"/>
      <c r="I694" s="46"/>
      <c r="J694" s="46"/>
      <c r="K694" s="46"/>
      <c r="L694" s="46"/>
      <c r="M694" s="46"/>
      <c r="N694" s="46"/>
      <c r="O694" s="46"/>
      <c r="P694" s="46"/>
      <c r="Q694" s="46"/>
      <c r="R694" s="46"/>
      <c r="S694" s="46"/>
      <c r="T694" s="49"/>
      <c r="U694" s="46"/>
      <c r="V694" s="50"/>
      <c r="W694" s="46"/>
      <c r="X694" s="46"/>
      <c r="Y694" s="46"/>
    </row>
    <row r="695" spans="1:25" x14ac:dyDescent="0.2">
      <c r="A695" s="45"/>
      <c r="B695" s="46"/>
      <c r="C695" s="46"/>
      <c r="D695" s="46"/>
      <c r="E695" s="46"/>
      <c r="F695" s="46"/>
      <c r="G695" s="46"/>
      <c r="H695" s="46"/>
      <c r="I695" s="46"/>
      <c r="J695" s="46"/>
      <c r="K695" s="46"/>
      <c r="L695" s="46"/>
      <c r="M695" s="46"/>
      <c r="N695" s="46"/>
      <c r="O695" s="46"/>
      <c r="P695" s="46"/>
      <c r="Q695" s="46"/>
      <c r="R695" s="46"/>
      <c r="S695" s="46"/>
      <c r="T695" s="49"/>
      <c r="U695" s="46"/>
      <c r="V695" s="50"/>
      <c r="W695" s="46"/>
      <c r="X695" s="46"/>
      <c r="Y695" s="46"/>
    </row>
    <row r="696" spans="1:25" x14ac:dyDescent="0.2">
      <c r="A696" s="45"/>
      <c r="B696" s="46"/>
      <c r="C696" s="46"/>
      <c r="D696" s="46"/>
      <c r="E696" s="46"/>
      <c r="F696" s="46"/>
      <c r="G696" s="46"/>
      <c r="H696" s="46"/>
      <c r="I696" s="46"/>
      <c r="J696" s="46"/>
      <c r="K696" s="46"/>
      <c r="L696" s="46"/>
      <c r="M696" s="46"/>
      <c r="N696" s="46"/>
      <c r="O696" s="46"/>
      <c r="P696" s="46"/>
      <c r="Q696" s="46"/>
      <c r="R696" s="46"/>
      <c r="S696" s="46"/>
      <c r="T696" s="49"/>
      <c r="U696" s="46"/>
      <c r="V696" s="50"/>
      <c r="W696" s="46"/>
      <c r="X696" s="46"/>
      <c r="Y696" s="46"/>
    </row>
    <row r="697" spans="1:25" x14ac:dyDescent="0.2">
      <c r="A697" s="45"/>
      <c r="B697" s="46"/>
      <c r="C697" s="46"/>
      <c r="D697" s="46"/>
      <c r="E697" s="46"/>
      <c r="F697" s="46"/>
      <c r="G697" s="46"/>
      <c r="H697" s="46"/>
      <c r="I697" s="46"/>
      <c r="J697" s="46"/>
      <c r="K697" s="46"/>
      <c r="L697" s="46"/>
      <c r="M697" s="46"/>
      <c r="N697" s="46"/>
      <c r="O697" s="46"/>
      <c r="P697" s="46"/>
      <c r="Q697" s="46"/>
      <c r="R697" s="46"/>
      <c r="S697" s="46"/>
      <c r="T697" s="49"/>
      <c r="U697" s="46"/>
      <c r="V697" s="50"/>
      <c r="W697" s="46"/>
      <c r="X697" s="46"/>
      <c r="Y697" s="46"/>
    </row>
    <row r="698" spans="1:25" x14ac:dyDescent="0.2">
      <c r="A698" s="45"/>
      <c r="B698" s="46"/>
      <c r="C698" s="46"/>
      <c r="D698" s="46"/>
      <c r="E698" s="46"/>
      <c r="F698" s="46"/>
      <c r="G698" s="46"/>
      <c r="H698" s="46"/>
      <c r="I698" s="46"/>
      <c r="J698" s="46"/>
      <c r="K698" s="46"/>
      <c r="L698" s="46"/>
      <c r="M698" s="46"/>
      <c r="N698" s="46"/>
      <c r="O698" s="46"/>
      <c r="P698" s="46"/>
      <c r="Q698" s="46"/>
      <c r="R698" s="46"/>
      <c r="S698" s="46"/>
      <c r="T698" s="49"/>
      <c r="U698" s="46"/>
      <c r="V698" s="50"/>
      <c r="W698" s="46"/>
      <c r="X698" s="46"/>
      <c r="Y698" s="46"/>
    </row>
    <row r="699" spans="1:25" x14ac:dyDescent="0.2">
      <c r="A699" s="45"/>
      <c r="B699" s="46"/>
      <c r="C699" s="46"/>
      <c r="D699" s="46"/>
      <c r="E699" s="46"/>
      <c r="F699" s="46"/>
      <c r="G699" s="46"/>
      <c r="H699" s="46"/>
      <c r="I699" s="46"/>
      <c r="J699" s="46"/>
      <c r="K699" s="46"/>
      <c r="L699" s="46"/>
      <c r="M699" s="46"/>
      <c r="N699" s="46"/>
      <c r="O699" s="46"/>
      <c r="P699" s="46"/>
      <c r="Q699" s="46"/>
      <c r="R699" s="46"/>
      <c r="S699" s="46"/>
      <c r="T699" s="49"/>
      <c r="U699" s="46"/>
      <c r="V699" s="50"/>
      <c r="W699" s="46"/>
      <c r="X699" s="46"/>
      <c r="Y699" s="46"/>
    </row>
    <row r="700" spans="1:25" x14ac:dyDescent="0.2">
      <c r="A700" s="45"/>
      <c r="B700" s="46"/>
      <c r="C700" s="46"/>
      <c r="D700" s="46"/>
      <c r="E700" s="46"/>
      <c r="F700" s="46"/>
      <c r="G700" s="46"/>
      <c r="H700" s="46"/>
      <c r="I700" s="46"/>
      <c r="J700" s="46"/>
      <c r="K700" s="46"/>
      <c r="L700" s="46"/>
      <c r="M700" s="46"/>
      <c r="N700" s="46"/>
      <c r="O700" s="46"/>
      <c r="P700" s="46"/>
      <c r="Q700" s="46"/>
      <c r="R700" s="46"/>
      <c r="S700" s="46"/>
      <c r="T700" s="49"/>
      <c r="U700" s="46"/>
      <c r="V700" s="50"/>
      <c r="W700" s="46"/>
      <c r="X700" s="46"/>
      <c r="Y700" s="46"/>
    </row>
    <row r="701" spans="1:25" x14ac:dyDescent="0.2">
      <c r="A701" s="45"/>
      <c r="B701" s="46"/>
      <c r="C701" s="46"/>
      <c r="D701" s="46"/>
      <c r="E701" s="46"/>
      <c r="F701" s="46"/>
      <c r="G701" s="46"/>
      <c r="H701" s="46"/>
      <c r="I701" s="46"/>
      <c r="J701" s="46"/>
      <c r="K701" s="46"/>
      <c r="L701" s="46"/>
      <c r="M701" s="46"/>
      <c r="N701" s="46"/>
      <c r="O701" s="46"/>
      <c r="P701" s="46"/>
      <c r="Q701" s="46"/>
      <c r="R701" s="46"/>
      <c r="S701" s="46"/>
      <c r="T701" s="49"/>
      <c r="U701" s="46"/>
      <c r="V701" s="50"/>
      <c r="W701" s="46"/>
      <c r="X701" s="46"/>
      <c r="Y701" s="46"/>
    </row>
    <row r="702" spans="1:25" x14ac:dyDescent="0.2">
      <c r="A702" s="45"/>
      <c r="B702" s="46"/>
      <c r="C702" s="46"/>
      <c r="D702" s="46"/>
      <c r="E702" s="46"/>
      <c r="F702" s="46"/>
      <c r="G702" s="46"/>
      <c r="H702" s="46"/>
      <c r="I702" s="46"/>
      <c r="J702" s="46"/>
      <c r="K702" s="46"/>
      <c r="L702" s="46"/>
      <c r="M702" s="46"/>
      <c r="N702" s="46"/>
      <c r="O702" s="46"/>
      <c r="P702" s="46"/>
      <c r="Q702" s="46"/>
      <c r="R702" s="46"/>
      <c r="S702" s="46"/>
      <c r="T702" s="49"/>
      <c r="U702" s="46"/>
      <c r="V702" s="50"/>
      <c r="W702" s="46"/>
      <c r="X702" s="46"/>
      <c r="Y702" s="46"/>
    </row>
    <row r="703" spans="1:25" x14ac:dyDescent="0.2">
      <c r="A703" s="45"/>
      <c r="B703" s="46"/>
      <c r="C703" s="46"/>
      <c r="D703" s="46"/>
      <c r="E703" s="46"/>
      <c r="F703" s="46"/>
      <c r="G703" s="46"/>
      <c r="H703" s="46"/>
      <c r="I703" s="46"/>
      <c r="J703" s="46"/>
      <c r="K703" s="46"/>
      <c r="L703" s="46"/>
      <c r="M703" s="46"/>
      <c r="N703" s="46"/>
      <c r="O703" s="46"/>
      <c r="P703" s="46"/>
      <c r="Q703" s="46"/>
      <c r="R703" s="46"/>
      <c r="S703" s="46"/>
      <c r="T703" s="49"/>
      <c r="U703" s="46"/>
      <c r="V703" s="50"/>
      <c r="W703" s="46"/>
      <c r="X703" s="46"/>
      <c r="Y703" s="46"/>
    </row>
    <row r="704" spans="1:25" x14ac:dyDescent="0.2">
      <c r="A704" s="45"/>
      <c r="B704" s="46"/>
      <c r="C704" s="46"/>
      <c r="D704" s="46"/>
      <c r="E704" s="46"/>
      <c r="F704" s="46"/>
      <c r="G704" s="46"/>
      <c r="H704" s="46"/>
      <c r="I704" s="46"/>
      <c r="J704" s="46"/>
      <c r="K704" s="46"/>
      <c r="L704" s="46"/>
      <c r="M704" s="46"/>
      <c r="N704" s="46"/>
      <c r="O704" s="46"/>
      <c r="P704" s="46"/>
      <c r="Q704" s="46"/>
      <c r="R704" s="46"/>
      <c r="S704" s="46"/>
      <c r="T704" s="49"/>
      <c r="U704" s="46"/>
      <c r="V704" s="50"/>
      <c r="W704" s="46"/>
      <c r="X704" s="46"/>
      <c r="Y704" s="46"/>
    </row>
    <row r="705" spans="1:25" x14ac:dyDescent="0.2">
      <c r="A705" s="45"/>
      <c r="B705" s="46"/>
      <c r="C705" s="46"/>
      <c r="D705" s="46"/>
      <c r="E705" s="46"/>
      <c r="F705" s="46"/>
      <c r="G705" s="46"/>
      <c r="H705" s="46"/>
      <c r="I705" s="46"/>
      <c r="J705" s="46"/>
      <c r="K705" s="46"/>
      <c r="L705" s="46"/>
      <c r="M705" s="46"/>
      <c r="N705" s="46"/>
      <c r="O705" s="46"/>
      <c r="P705" s="46"/>
      <c r="Q705" s="46"/>
      <c r="R705" s="46"/>
      <c r="S705" s="46"/>
      <c r="T705" s="49"/>
      <c r="U705" s="46"/>
      <c r="V705" s="50"/>
      <c r="W705" s="46"/>
      <c r="X705" s="46"/>
      <c r="Y705" s="46"/>
    </row>
    <row r="706" spans="1:25" x14ac:dyDescent="0.2">
      <c r="A706" s="45"/>
      <c r="B706" s="46"/>
      <c r="C706" s="46"/>
      <c r="D706" s="46"/>
      <c r="E706" s="46"/>
      <c r="F706" s="46"/>
      <c r="G706" s="46"/>
      <c r="H706" s="46"/>
      <c r="I706" s="46"/>
      <c r="J706" s="46"/>
      <c r="K706" s="46"/>
      <c r="L706" s="46"/>
      <c r="M706" s="46"/>
      <c r="N706" s="46"/>
      <c r="O706" s="46"/>
      <c r="P706" s="46"/>
      <c r="Q706" s="46"/>
      <c r="R706" s="46"/>
      <c r="S706" s="46"/>
      <c r="T706" s="49"/>
      <c r="U706" s="46"/>
      <c r="V706" s="50"/>
      <c r="W706" s="46"/>
      <c r="X706" s="46"/>
      <c r="Y706" s="46"/>
    </row>
    <row r="707" spans="1:25" x14ac:dyDescent="0.2">
      <c r="A707" s="45"/>
      <c r="B707" s="46"/>
      <c r="C707" s="46"/>
      <c r="D707" s="46"/>
      <c r="E707" s="46"/>
      <c r="F707" s="46"/>
      <c r="G707" s="46"/>
      <c r="H707" s="46"/>
      <c r="I707" s="46"/>
      <c r="J707" s="46"/>
      <c r="K707" s="46"/>
      <c r="L707" s="46"/>
      <c r="M707" s="46"/>
      <c r="N707" s="46"/>
      <c r="O707" s="46"/>
      <c r="P707" s="46"/>
      <c r="Q707" s="46"/>
      <c r="R707" s="46"/>
      <c r="S707" s="46"/>
      <c r="T707" s="49"/>
      <c r="U707" s="46"/>
      <c r="V707" s="50"/>
      <c r="W707" s="46"/>
      <c r="X707" s="46"/>
      <c r="Y707" s="46"/>
    </row>
    <row r="708" spans="1:25" x14ac:dyDescent="0.2">
      <c r="A708" s="45"/>
      <c r="B708" s="46"/>
      <c r="C708" s="46"/>
      <c r="D708" s="46"/>
      <c r="E708" s="46"/>
      <c r="F708" s="46"/>
      <c r="G708" s="46"/>
      <c r="H708" s="46"/>
      <c r="I708" s="46"/>
      <c r="J708" s="46"/>
      <c r="K708" s="46"/>
      <c r="L708" s="46"/>
      <c r="M708" s="46"/>
      <c r="N708" s="46"/>
      <c r="O708" s="46"/>
      <c r="P708" s="46"/>
      <c r="Q708" s="46"/>
      <c r="R708" s="46"/>
      <c r="S708" s="46"/>
      <c r="T708" s="49"/>
      <c r="U708" s="46"/>
      <c r="V708" s="50"/>
      <c r="W708" s="46"/>
      <c r="X708" s="46"/>
      <c r="Y708" s="46"/>
    </row>
    <row r="709" spans="1:25" x14ac:dyDescent="0.2">
      <c r="A709" s="45"/>
      <c r="B709" s="46"/>
      <c r="C709" s="46"/>
      <c r="D709" s="46"/>
      <c r="E709" s="46"/>
      <c r="F709" s="46"/>
      <c r="G709" s="46"/>
      <c r="H709" s="46"/>
      <c r="I709" s="46"/>
      <c r="J709" s="46"/>
      <c r="K709" s="46"/>
      <c r="L709" s="46"/>
      <c r="M709" s="46"/>
      <c r="N709" s="46"/>
      <c r="O709" s="46"/>
      <c r="P709" s="46"/>
      <c r="Q709" s="46"/>
      <c r="R709" s="46"/>
      <c r="S709" s="46"/>
      <c r="T709" s="49"/>
      <c r="U709" s="46"/>
      <c r="V709" s="50"/>
      <c r="W709" s="46"/>
      <c r="X709" s="46"/>
      <c r="Y709" s="46"/>
    </row>
    <row r="710" spans="1:25" x14ac:dyDescent="0.2">
      <c r="A710" s="45"/>
      <c r="B710" s="46"/>
      <c r="C710" s="46"/>
      <c r="D710" s="46"/>
      <c r="E710" s="46"/>
      <c r="F710" s="46"/>
      <c r="G710" s="46"/>
      <c r="H710" s="46"/>
      <c r="I710" s="46"/>
      <c r="J710" s="46"/>
      <c r="K710" s="46"/>
      <c r="L710" s="46"/>
      <c r="M710" s="46"/>
      <c r="N710" s="46"/>
      <c r="O710" s="46"/>
      <c r="P710" s="46"/>
      <c r="Q710" s="46"/>
      <c r="R710" s="46"/>
      <c r="S710" s="46"/>
      <c r="T710" s="49"/>
      <c r="U710" s="46"/>
      <c r="V710" s="50"/>
      <c r="W710" s="46"/>
      <c r="X710" s="46"/>
      <c r="Y710" s="46"/>
    </row>
    <row r="711" spans="1:25" x14ac:dyDescent="0.2">
      <c r="A711" s="45"/>
      <c r="B711" s="46"/>
      <c r="C711" s="46"/>
      <c r="D711" s="46"/>
      <c r="E711" s="46"/>
      <c r="F711" s="46"/>
      <c r="G711" s="46"/>
      <c r="H711" s="46"/>
      <c r="I711" s="46"/>
      <c r="J711" s="46"/>
      <c r="K711" s="46"/>
      <c r="L711" s="46"/>
      <c r="M711" s="46"/>
      <c r="N711" s="46"/>
      <c r="O711" s="46"/>
      <c r="P711" s="46"/>
      <c r="Q711" s="46"/>
      <c r="R711" s="46"/>
      <c r="S711" s="46"/>
      <c r="T711" s="49"/>
      <c r="U711" s="46"/>
      <c r="V711" s="50"/>
      <c r="W711" s="46"/>
      <c r="X711" s="46"/>
      <c r="Y711" s="46"/>
    </row>
    <row r="712" spans="1:25" x14ac:dyDescent="0.2">
      <c r="A712" s="45"/>
      <c r="B712" s="46"/>
      <c r="C712" s="46"/>
      <c r="D712" s="46"/>
      <c r="E712" s="46"/>
      <c r="F712" s="46"/>
      <c r="G712" s="46"/>
      <c r="H712" s="46"/>
      <c r="I712" s="46"/>
      <c r="J712" s="46"/>
      <c r="K712" s="46"/>
      <c r="L712" s="46"/>
      <c r="M712" s="46"/>
      <c r="N712" s="46"/>
      <c r="O712" s="46"/>
      <c r="P712" s="46"/>
      <c r="Q712" s="46"/>
      <c r="R712" s="46"/>
      <c r="S712" s="46"/>
      <c r="T712" s="49"/>
      <c r="U712" s="46"/>
      <c r="V712" s="50"/>
      <c r="W712" s="46"/>
      <c r="X712" s="46"/>
      <c r="Y712" s="46"/>
    </row>
    <row r="713" spans="1:25" x14ac:dyDescent="0.2">
      <c r="A713" s="45"/>
      <c r="B713" s="46"/>
      <c r="C713" s="46"/>
      <c r="D713" s="46"/>
      <c r="E713" s="46"/>
      <c r="F713" s="46"/>
      <c r="G713" s="46"/>
      <c r="H713" s="46"/>
      <c r="I713" s="46"/>
      <c r="J713" s="46"/>
      <c r="K713" s="46"/>
      <c r="L713" s="46"/>
      <c r="M713" s="46"/>
      <c r="N713" s="46"/>
      <c r="O713" s="46"/>
      <c r="P713" s="46"/>
      <c r="Q713" s="46"/>
      <c r="R713" s="46"/>
      <c r="S713" s="46"/>
      <c r="T713" s="49"/>
      <c r="U713" s="46"/>
      <c r="V713" s="50"/>
      <c r="W713" s="46"/>
      <c r="X713" s="46"/>
      <c r="Y713" s="46"/>
    </row>
    <row r="714" spans="1:25" x14ac:dyDescent="0.2">
      <c r="A714" s="45"/>
      <c r="B714" s="46"/>
      <c r="C714" s="46"/>
      <c r="D714" s="46"/>
      <c r="E714" s="46"/>
      <c r="F714" s="46"/>
      <c r="G714" s="46"/>
      <c r="H714" s="46"/>
      <c r="I714" s="46"/>
      <c r="J714" s="46"/>
      <c r="K714" s="46"/>
      <c r="L714" s="46"/>
      <c r="M714" s="46"/>
      <c r="N714" s="46"/>
      <c r="O714" s="46"/>
      <c r="P714" s="46"/>
      <c r="Q714" s="46"/>
      <c r="R714" s="46"/>
      <c r="S714" s="46"/>
      <c r="T714" s="49"/>
      <c r="U714" s="46"/>
      <c r="V714" s="50"/>
      <c r="W714" s="46"/>
      <c r="X714" s="46"/>
      <c r="Y714" s="46"/>
    </row>
    <row r="715" spans="1:25" x14ac:dyDescent="0.2">
      <c r="A715" s="45"/>
      <c r="B715" s="46"/>
      <c r="C715" s="46"/>
      <c r="D715" s="46"/>
      <c r="E715" s="46"/>
      <c r="F715" s="46"/>
      <c r="G715" s="46"/>
      <c r="H715" s="46"/>
      <c r="I715" s="46"/>
      <c r="J715" s="46"/>
      <c r="K715" s="46"/>
      <c r="L715" s="46"/>
      <c r="M715" s="46"/>
      <c r="N715" s="46"/>
      <c r="O715" s="46"/>
      <c r="P715" s="46"/>
      <c r="Q715" s="46"/>
      <c r="R715" s="46"/>
      <c r="S715" s="46"/>
      <c r="T715" s="49"/>
      <c r="U715" s="46"/>
      <c r="V715" s="50"/>
      <c r="W715" s="46"/>
      <c r="X715" s="46"/>
      <c r="Y715" s="46"/>
    </row>
    <row r="716" spans="1:25" x14ac:dyDescent="0.2">
      <c r="A716" s="45"/>
      <c r="B716" s="46"/>
      <c r="C716" s="46"/>
      <c r="D716" s="46"/>
      <c r="E716" s="46"/>
      <c r="F716" s="46"/>
      <c r="G716" s="46"/>
      <c r="H716" s="46"/>
      <c r="I716" s="46"/>
      <c r="J716" s="46"/>
      <c r="K716" s="46"/>
      <c r="L716" s="46"/>
      <c r="M716" s="46"/>
      <c r="N716" s="46"/>
      <c r="O716" s="46"/>
      <c r="P716" s="46"/>
      <c r="Q716" s="46"/>
      <c r="R716" s="46"/>
      <c r="S716" s="46"/>
      <c r="T716" s="49"/>
      <c r="U716" s="46"/>
      <c r="V716" s="50"/>
      <c r="W716" s="46"/>
      <c r="X716" s="46"/>
      <c r="Y716" s="46"/>
    </row>
    <row r="717" spans="1:25" x14ac:dyDescent="0.2">
      <c r="A717" s="45"/>
      <c r="B717" s="46"/>
      <c r="C717" s="46"/>
      <c r="D717" s="46"/>
      <c r="E717" s="46"/>
      <c r="F717" s="46"/>
      <c r="G717" s="46"/>
      <c r="H717" s="46"/>
      <c r="I717" s="46"/>
      <c r="J717" s="46"/>
      <c r="K717" s="46"/>
      <c r="L717" s="46"/>
      <c r="M717" s="46"/>
      <c r="N717" s="46"/>
      <c r="O717" s="46"/>
      <c r="P717" s="46"/>
      <c r="Q717" s="46"/>
      <c r="R717" s="46"/>
      <c r="S717" s="46"/>
      <c r="T717" s="49"/>
      <c r="U717" s="46"/>
      <c r="V717" s="50"/>
      <c r="W717" s="46"/>
      <c r="X717" s="46"/>
      <c r="Y717" s="46"/>
    </row>
    <row r="718" spans="1:25" x14ac:dyDescent="0.2">
      <c r="A718" s="45"/>
      <c r="B718" s="46"/>
      <c r="C718" s="46"/>
      <c r="D718" s="46"/>
      <c r="E718" s="46"/>
      <c r="F718" s="46"/>
      <c r="G718" s="46"/>
      <c r="H718" s="46"/>
      <c r="I718" s="46"/>
      <c r="J718" s="46"/>
      <c r="K718" s="46"/>
      <c r="L718" s="46"/>
      <c r="M718" s="46"/>
      <c r="N718" s="46"/>
      <c r="O718" s="46"/>
      <c r="P718" s="46"/>
      <c r="Q718" s="46"/>
      <c r="R718" s="46"/>
      <c r="S718" s="46"/>
      <c r="T718" s="49"/>
      <c r="U718" s="46"/>
      <c r="V718" s="50"/>
      <c r="W718" s="46"/>
      <c r="X718" s="46"/>
      <c r="Y718" s="46"/>
    </row>
    <row r="719" spans="1:25" x14ac:dyDescent="0.2">
      <c r="A719" s="45"/>
      <c r="B719" s="46"/>
      <c r="C719" s="46"/>
      <c r="D719" s="46"/>
      <c r="E719" s="46"/>
      <c r="F719" s="46"/>
      <c r="G719" s="46"/>
      <c r="H719" s="46"/>
      <c r="I719" s="46"/>
      <c r="J719" s="46"/>
      <c r="K719" s="46"/>
      <c r="L719" s="46"/>
      <c r="M719" s="46"/>
      <c r="N719" s="46"/>
      <c r="O719" s="46"/>
      <c r="P719" s="46"/>
      <c r="Q719" s="46"/>
      <c r="R719" s="46"/>
      <c r="S719" s="46"/>
      <c r="T719" s="49"/>
      <c r="U719" s="46"/>
      <c r="V719" s="50"/>
      <c r="W719" s="46"/>
      <c r="X719" s="46"/>
      <c r="Y719" s="46"/>
    </row>
    <row r="720" spans="1:25" x14ac:dyDescent="0.2">
      <c r="A720" s="45"/>
      <c r="B720" s="46"/>
      <c r="C720" s="46"/>
      <c r="D720" s="46"/>
      <c r="E720" s="46"/>
      <c r="F720" s="46"/>
      <c r="G720" s="46"/>
      <c r="H720" s="46"/>
      <c r="I720" s="46"/>
      <c r="J720" s="46"/>
      <c r="K720" s="46"/>
      <c r="L720" s="46"/>
      <c r="M720" s="46"/>
      <c r="N720" s="46"/>
      <c r="O720" s="46"/>
      <c r="P720" s="46"/>
      <c r="Q720" s="46"/>
      <c r="R720" s="46"/>
      <c r="S720" s="46"/>
      <c r="T720" s="49"/>
      <c r="U720" s="46"/>
      <c r="V720" s="50"/>
      <c r="W720" s="46"/>
      <c r="X720" s="46"/>
      <c r="Y720" s="46"/>
    </row>
    <row r="721" spans="1:25" x14ac:dyDescent="0.2">
      <c r="A721" s="45"/>
      <c r="B721" s="46"/>
      <c r="C721" s="46"/>
      <c r="D721" s="46"/>
      <c r="E721" s="46"/>
      <c r="F721" s="46"/>
      <c r="G721" s="46"/>
      <c r="H721" s="46"/>
      <c r="I721" s="46"/>
      <c r="J721" s="46"/>
      <c r="K721" s="46"/>
      <c r="L721" s="46"/>
      <c r="M721" s="46"/>
      <c r="N721" s="46"/>
      <c r="O721" s="46"/>
      <c r="P721" s="46"/>
      <c r="Q721" s="46"/>
      <c r="R721" s="46"/>
      <c r="S721" s="46"/>
      <c r="T721" s="49"/>
      <c r="U721" s="46"/>
      <c r="V721" s="50"/>
      <c r="W721" s="46"/>
      <c r="X721" s="46"/>
      <c r="Y721" s="46"/>
    </row>
    <row r="722" spans="1:25" x14ac:dyDescent="0.2">
      <c r="A722" s="45"/>
      <c r="B722" s="46"/>
      <c r="C722" s="46"/>
      <c r="D722" s="46"/>
      <c r="E722" s="46"/>
      <c r="F722" s="46"/>
      <c r="G722" s="46"/>
      <c r="H722" s="46"/>
      <c r="I722" s="46"/>
      <c r="J722" s="46"/>
      <c r="K722" s="46"/>
      <c r="L722" s="46"/>
      <c r="M722" s="46"/>
      <c r="N722" s="46"/>
      <c r="O722" s="46"/>
      <c r="P722" s="46"/>
      <c r="Q722" s="46"/>
      <c r="R722" s="46"/>
      <c r="S722" s="46"/>
      <c r="T722" s="49"/>
      <c r="U722" s="46"/>
      <c r="V722" s="50"/>
      <c r="W722" s="46"/>
      <c r="X722" s="46"/>
      <c r="Y722" s="46"/>
    </row>
    <row r="723" spans="1:25" x14ac:dyDescent="0.2">
      <c r="A723" s="45"/>
      <c r="B723" s="46"/>
      <c r="C723" s="46"/>
      <c r="D723" s="46"/>
      <c r="E723" s="46"/>
      <c r="F723" s="46"/>
      <c r="G723" s="46"/>
      <c r="H723" s="46"/>
      <c r="I723" s="46"/>
      <c r="J723" s="46"/>
      <c r="K723" s="46"/>
      <c r="L723" s="46"/>
      <c r="M723" s="46"/>
      <c r="N723" s="46"/>
      <c r="O723" s="46"/>
      <c r="P723" s="46"/>
      <c r="Q723" s="46"/>
      <c r="R723" s="46"/>
      <c r="S723" s="46"/>
      <c r="T723" s="49"/>
      <c r="U723" s="46"/>
      <c r="V723" s="50"/>
      <c r="W723" s="46"/>
      <c r="X723" s="46"/>
      <c r="Y723" s="46"/>
    </row>
    <row r="724" spans="1:25" x14ac:dyDescent="0.2">
      <c r="A724" s="45"/>
      <c r="B724" s="46"/>
      <c r="C724" s="46"/>
      <c r="D724" s="46"/>
      <c r="E724" s="46"/>
      <c r="F724" s="46"/>
      <c r="G724" s="46"/>
      <c r="H724" s="46"/>
      <c r="I724" s="46"/>
      <c r="J724" s="46"/>
      <c r="K724" s="46"/>
      <c r="L724" s="46"/>
      <c r="M724" s="46"/>
      <c r="N724" s="46"/>
      <c r="O724" s="46"/>
      <c r="P724" s="46"/>
      <c r="Q724" s="46"/>
      <c r="R724" s="46"/>
      <c r="S724" s="46"/>
      <c r="T724" s="49"/>
      <c r="U724" s="46"/>
      <c r="V724" s="50"/>
      <c r="W724" s="46"/>
      <c r="X724" s="46"/>
      <c r="Y724" s="46"/>
    </row>
    <row r="725" spans="1:25" x14ac:dyDescent="0.2">
      <c r="A725" s="45"/>
      <c r="B725" s="46"/>
      <c r="C725" s="46"/>
      <c r="D725" s="46"/>
      <c r="E725" s="46"/>
      <c r="F725" s="46"/>
      <c r="G725" s="46"/>
      <c r="H725" s="46"/>
      <c r="I725" s="46"/>
      <c r="J725" s="46"/>
      <c r="K725" s="46"/>
      <c r="L725" s="46"/>
      <c r="M725" s="46"/>
      <c r="N725" s="46"/>
      <c r="O725" s="46"/>
      <c r="P725" s="46"/>
      <c r="Q725" s="46"/>
      <c r="R725" s="46"/>
      <c r="S725" s="46"/>
      <c r="T725" s="49"/>
      <c r="U725" s="46"/>
      <c r="V725" s="50"/>
      <c r="W725" s="46"/>
      <c r="X725" s="46"/>
      <c r="Y725" s="46"/>
    </row>
    <row r="726" spans="1:25" x14ac:dyDescent="0.2">
      <c r="A726" s="45"/>
      <c r="B726" s="46"/>
      <c r="C726" s="46"/>
      <c r="D726" s="46"/>
      <c r="E726" s="46"/>
      <c r="F726" s="46"/>
      <c r="G726" s="46"/>
      <c r="H726" s="46"/>
      <c r="I726" s="46"/>
      <c r="J726" s="46"/>
      <c r="K726" s="46"/>
      <c r="L726" s="46"/>
      <c r="M726" s="46"/>
      <c r="N726" s="46"/>
      <c r="O726" s="46"/>
      <c r="P726" s="46"/>
      <c r="Q726" s="46"/>
      <c r="R726" s="46"/>
      <c r="S726" s="46"/>
      <c r="T726" s="49"/>
      <c r="U726" s="46"/>
      <c r="V726" s="50"/>
      <c r="W726" s="46"/>
      <c r="X726" s="46"/>
      <c r="Y726" s="46"/>
    </row>
    <row r="727" spans="1:25" x14ac:dyDescent="0.2">
      <c r="A727" s="45"/>
      <c r="B727" s="46"/>
      <c r="C727" s="46"/>
      <c r="D727" s="46"/>
      <c r="E727" s="46"/>
      <c r="F727" s="46"/>
      <c r="G727" s="46"/>
      <c r="H727" s="46"/>
      <c r="I727" s="46"/>
      <c r="J727" s="46"/>
      <c r="K727" s="46"/>
      <c r="L727" s="46"/>
      <c r="M727" s="46"/>
      <c r="N727" s="46"/>
      <c r="O727" s="46"/>
      <c r="P727" s="46"/>
      <c r="Q727" s="46"/>
      <c r="R727" s="46"/>
      <c r="S727" s="46"/>
      <c r="T727" s="49"/>
      <c r="U727" s="46"/>
      <c r="V727" s="50"/>
      <c r="W727" s="46"/>
      <c r="X727" s="46"/>
      <c r="Y727" s="46"/>
    </row>
    <row r="728" spans="1:25" x14ac:dyDescent="0.2">
      <c r="A728" s="45"/>
      <c r="B728" s="46"/>
      <c r="C728" s="46"/>
      <c r="D728" s="46"/>
      <c r="E728" s="46"/>
      <c r="F728" s="46"/>
      <c r="G728" s="46"/>
      <c r="H728" s="46"/>
      <c r="I728" s="46"/>
      <c r="J728" s="46"/>
      <c r="K728" s="46"/>
      <c r="L728" s="46"/>
      <c r="M728" s="46"/>
      <c r="N728" s="46"/>
      <c r="O728" s="46"/>
      <c r="P728" s="46"/>
      <c r="Q728" s="46"/>
      <c r="R728" s="46"/>
      <c r="S728" s="46"/>
      <c r="T728" s="49"/>
      <c r="U728" s="46"/>
      <c r="V728" s="50"/>
      <c r="W728" s="46"/>
      <c r="X728" s="46"/>
      <c r="Y728" s="46"/>
    </row>
    <row r="729" spans="1:25" x14ac:dyDescent="0.2">
      <c r="A729" s="45"/>
      <c r="B729" s="46"/>
      <c r="C729" s="46"/>
      <c r="D729" s="46"/>
      <c r="E729" s="46"/>
      <c r="F729" s="46"/>
      <c r="G729" s="46"/>
      <c r="H729" s="46"/>
      <c r="I729" s="46"/>
      <c r="J729" s="46"/>
      <c r="K729" s="46"/>
      <c r="L729" s="46"/>
      <c r="M729" s="46"/>
      <c r="N729" s="46"/>
      <c r="O729" s="46"/>
      <c r="P729" s="46"/>
      <c r="Q729" s="46"/>
      <c r="R729" s="46"/>
      <c r="S729" s="46"/>
      <c r="T729" s="49"/>
      <c r="U729" s="46"/>
      <c r="V729" s="50"/>
      <c r="W729" s="46"/>
      <c r="X729" s="46"/>
      <c r="Y729" s="46"/>
    </row>
    <row r="730" spans="1:25" x14ac:dyDescent="0.2">
      <c r="A730" s="45"/>
      <c r="B730" s="46"/>
      <c r="C730" s="46"/>
      <c r="D730" s="46"/>
      <c r="E730" s="46"/>
      <c r="F730" s="46"/>
      <c r="G730" s="46"/>
      <c r="H730" s="46"/>
      <c r="I730" s="46"/>
      <c r="J730" s="46"/>
      <c r="K730" s="46"/>
      <c r="L730" s="46"/>
      <c r="M730" s="46"/>
      <c r="N730" s="46"/>
      <c r="O730" s="46"/>
      <c r="P730" s="46"/>
      <c r="Q730" s="46"/>
      <c r="R730" s="46"/>
      <c r="S730" s="46"/>
      <c r="T730" s="49"/>
      <c r="U730" s="46"/>
      <c r="V730" s="50"/>
      <c r="W730" s="46"/>
      <c r="X730" s="46"/>
      <c r="Y730" s="46"/>
    </row>
    <row r="731" spans="1:25" x14ac:dyDescent="0.2">
      <c r="A731" s="45"/>
      <c r="B731" s="46"/>
      <c r="C731" s="46"/>
      <c r="D731" s="46"/>
      <c r="E731" s="46"/>
      <c r="F731" s="46"/>
      <c r="G731" s="46"/>
      <c r="H731" s="46"/>
      <c r="I731" s="46"/>
      <c r="J731" s="46"/>
      <c r="K731" s="46"/>
      <c r="L731" s="46"/>
      <c r="M731" s="46"/>
      <c r="N731" s="46"/>
      <c r="O731" s="46"/>
      <c r="P731" s="46"/>
      <c r="Q731" s="46"/>
      <c r="R731" s="46"/>
      <c r="S731" s="46"/>
      <c r="T731" s="49"/>
      <c r="U731" s="46"/>
      <c r="V731" s="50"/>
      <c r="W731" s="46"/>
      <c r="X731" s="46"/>
      <c r="Y731" s="46"/>
    </row>
    <row r="732" spans="1:25" x14ac:dyDescent="0.2">
      <c r="A732" s="45"/>
      <c r="B732" s="46"/>
      <c r="C732" s="46"/>
      <c r="D732" s="46"/>
      <c r="E732" s="46"/>
      <c r="F732" s="46"/>
      <c r="G732" s="46"/>
      <c r="H732" s="46"/>
      <c r="I732" s="46"/>
      <c r="J732" s="46"/>
      <c r="K732" s="46"/>
      <c r="L732" s="46"/>
      <c r="M732" s="46"/>
      <c r="N732" s="46"/>
      <c r="O732" s="46"/>
      <c r="P732" s="46"/>
      <c r="Q732" s="46"/>
      <c r="R732" s="46"/>
      <c r="S732" s="46"/>
      <c r="T732" s="49"/>
      <c r="U732" s="46"/>
      <c r="V732" s="50"/>
      <c r="W732" s="46"/>
      <c r="X732" s="46"/>
      <c r="Y732" s="46"/>
    </row>
    <row r="733" spans="1:25" x14ac:dyDescent="0.2">
      <c r="A733" s="45"/>
      <c r="B733" s="46"/>
      <c r="C733" s="46"/>
      <c r="D733" s="46"/>
      <c r="E733" s="46"/>
      <c r="F733" s="46"/>
      <c r="G733" s="46"/>
      <c r="H733" s="46"/>
      <c r="I733" s="46"/>
      <c r="J733" s="46"/>
      <c r="K733" s="46"/>
      <c r="L733" s="46"/>
      <c r="M733" s="46"/>
      <c r="N733" s="46"/>
      <c r="O733" s="46"/>
      <c r="P733" s="46"/>
      <c r="Q733" s="46"/>
      <c r="R733" s="46"/>
      <c r="S733" s="46"/>
      <c r="T733" s="49"/>
      <c r="U733" s="46"/>
      <c r="V733" s="50"/>
      <c r="W733" s="46"/>
      <c r="X733" s="46"/>
      <c r="Y733" s="46"/>
    </row>
    <row r="734" spans="1:25" x14ac:dyDescent="0.2">
      <c r="A734" s="45"/>
      <c r="B734" s="46"/>
      <c r="C734" s="46"/>
      <c r="D734" s="46"/>
      <c r="E734" s="46"/>
      <c r="F734" s="46"/>
      <c r="G734" s="46"/>
      <c r="H734" s="46"/>
      <c r="I734" s="46"/>
      <c r="J734" s="46"/>
      <c r="K734" s="46"/>
      <c r="L734" s="46"/>
      <c r="M734" s="46"/>
      <c r="N734" s="46"/>
      <c r="O734" s="46"/>
      <c r="P734" s="46"/>
      <c r="Q734" s="46"/>
      <c r="R734" s="46"/>
      <c r="S734" s="46"/>
      <c r="T734" s="49"/>
      <c r="U734" s="46"/>
      <c r="V734" s="50"/>
      <c r="W734" s="46"/>
      <c r="X734" s="46"/>
      <c r="Y734" s="46"/>
    </row>
    <row r="735" spans="1:25" x14ac:dyDescent="0.2">
      <c r="A735" s="45"/>
      <c r="B735" s="46"/>
      <c r="C735" s="46"/>
      <c r="D735" s="46"/>
      <c r="E735" s="46"/>
      <c r="F735" s="46"/>
      <c r="G735" s="46"/>
      <c r="H735" s="46"/>
      <c r="I735" s="46"/>
      <c r="J735" s="46"/>
      <c r="K735" s="46"/>
      <c r="L735" s="46"/>
      <c r="M735" s="46"/>
      <c r="N735" s="46"/>
      <c r="O735" s="46"/>
      <c r="P735" s="46"/>
      <c r="Q735" s="46"/>
      <c r="R735" s="46"/>
      <c r="S735" s="46"/>
      <c r="T735" s="49"/>
      <c r="U735" s="46"/>
      <c r="V735" s="50"/>
      <c r="W735" s="46"/>
      <c r="X735" s="46"/>
      <c r="Y735" s="46"/>
    </row>
    <row r="736" spans="1:25" x14ac:dyDescent="0.2">
      <c r="A736" s="45"/>
      <c r="B736" s="46"/>
      <c r="C736" s="46"/>
      <c r="D736" s="46"/>
      <c r="E736" s="46"/>
      <c r="F736" s="46"/>
      <c r="G736" s="46"/>
      <c r="H736" s="46"/>
      <c r="I736" s="46"/>
      <c r="J736" s="46"/>
      <c r="K736" s="46"/>
      <c r="L736" s="46"/>
      <c r="M736" s="46"/>
      <c r="N736" s="46"/>
      <c r="O736" s="46"/>
      <c r="P736" s="46"/>
      <c r="Q736" s="46"/>
      <c r="R736" s="46"/>
      <c r="S736" s="46"/>
      <c r="T736" s="49"/>
      <c r="U736" s="46"/>
      <c r="V736" s="50"/>
      <c r="W736" s="46"/>
      <c r="X736" s="46"/>
      <c r="Y736" s="46"/>
    </row>
    <row r="737" spans="1:25" x14ac:dyDescent="0.2">
      <c r="A737" s="45"/>
      <c r="B737" s="46"/>
      <c r="C737" s="46"/>
      <c r="D737" s="46"/>
      <c r="E737" s="46"/>
      <c r="F737" s="46"/>
      <c r="G737" s="46"/>
      <c r="H737" s="46"/>
      <c r="I737" s="46"/>
      <c r="J737" s="46"/>
      <c r="K737" s="46"/>
      <c r="L737" s="46"/>
      <c r="M737" s="46"/>
      <c r="N737" s="46"/>
      <c r="O737" s="46"/>
      <c r="P737" s="46"/>
      <c r="Q737" s="46"/>
      <c r="R737" s="46"/>
      <c r="S737" s="46"/>
      <c r="T737" s="49"/>
      <c r="U737" s="46"/>
      <c r="V737" s="50"/>
      <c r="W737" s="46"/>
      <c r="X737" s="46"/>
      <c r="Y737" s="46"/>
    </row>
    <row r="738" spans="1:25" x14ac:dyDescent="0.2">
      <c r="A738" s="45"/>
      <c r="B738" s="46"/>
      <c r="C738" s="46"/>
      <c r="D738" s="46"/>
      <c r="E738" s="46"/>
      <c r="F738" s="46"/>
      <c r="G738" s="46"/>
      <c r="H738" s="46"/>
      <c r="I738" s="46"/>
      <c r="J738" s="46"/>
      <c r="K738" s="46"/>
      <c r="L738" s="46"/>
      <c r="M738" s="46"/>
      <c r="N738" s="46"/>
      <c r="O738" s="46"/>
      <c r="P738" s="46"/>
      <c r="Q738" s="46"/>
      <c r="R738" s="46"/>
      <c r="S738" s="46"/>
      <c r="T738" s="49"/>
      <c r="U738" s="46"/>
      <c r="V738" s="50"/>
      <c r="W738" s="46"/>
      <c r="X738" s="46"/>
      <c r="Y738" s="46"/>
    </row>
    <row r="739" spans="1:25" x14ac:dyDescent="0.2">
      <c r="A739" s="45"/>
      <c r="B739" s="46"/>
      <c r="C739" s="46"/>
      <c r="D739" s="46"/>
      <c r="E739" s="46"/>
      <c r="F739" s="46"/>
      <c r="G739" s="46"/>
      <c r="H739" s="46"/>
      <c r="I739" s="46"/>
      <c r="J739" s="46"/>
      <c r="K739" s="46"/>
      <c r="L739" s="46"/>
      <c r="M739" s="46"/>
      <c r="N739" s="46"/>
      <c r="O739" s="46"/>
      <c r="P739" s="46"/>
      <c r="Q739" s="46"/>
      <c r="R739" s="46"/>
      <c r="S739" s="46"/>
      <c r="T739" s="49"/>
      <c r="U739" s="46"/>
      <c r="V739" s="50"/>
      <c r="W739" s="46"/>
      <c r="X739" s="46"/>
      <c r="Y739" s="46"/>
    </row>
    <row r="740" spans="1:25" x14ac:dyDescent="0.2">
      <c r="A740" s="45"/>
      <c r="B740" s="46"/>
      <c r="C740" s="46"/>
      <c r="D740" s="46"/>
      <c r="E740" s="46"/>
      <c r="F740" s="46"/>
      <c r="G740" s="46"/>
      <c r="H740" s="46"/>
      <c r="I740" s="46"/>
      <c r="J740" s="46"/>
      <c r="K740" s="46"/>
      <c r="L740" s="46"/>
      <c r="M740" s="46"/>
      <c r="N740" s="46"/>
      <c r="O740" s="46"/>
      <c r="P740" s="46"/>
      <c r="Q740" s="46"/>
      <c r="R740" s="46"/>
      <c r="S740" s="46"/>
      <c r="T740" s="49"/>
      <c r="U740" s="46"/>
      <c r="V740" s="50"/>
      <c r="W740" s="46"/>
      <c r="X740" s="46"/>
      <c r="Y740" s="46"/>
    </row>
    <row r="741" spans="1:25" x14ac:dyDescent="0.2">
      <c r="A741" s="45"/>
      <c r="B741" s="46"/>
      <c r="C741" s="46"/>
      <c r="D741" s="46"/>
      <c r="E741" s="46"/>
      <c r="F741" s="46"/>
      <c r="G741" s="46"/>
      <c r="H741" s="46"/>
      <c r="I741" s="46"/>
      <c r="J741" s="46"/>
      <c r="K741" s="46"/>
      <c r="L741" s="46"/>
      <c r="M741" s="46"/>
      <c r="N741" s="46"/>
      <c r="O741" s="46"/>
      <c r="P741" s="46"/>
      <c r="Q741" s="46"/>
      <c r="R741" s="46"/>
      <c r="S741" s="46"/>
      <c r="T741" s="49"/>
      <c r="U741" s="46"/>
      <c r="V741" s="50"/>
      <c r="W741" s="46"/>
      <c r="X741" s="46"/>
      <c r="Y741" s="46"/>
    </row>
    <row r="742" spans="1:25" x14ac:dyDescent="0.2">
      <c r="A742" s="45"/>
      <c r="B742" s="46"/>
      <c r="C742" s="46"/>
      <c r="D742" s="46"/>
      <c r="E742" s="46"/>
      <c r="F742" s="46"/>
      <c r="G742" s="46"/>
      <c r="H742" s="46"/>
      <c r="I742" s="46"/>
      <c r="J742" s="46"/>
      <c r="K742" s="46"/>
      <c r="L742" s="46"/>
      <c r="M742" s="46"/>
      <c r="N742" s="46"/>
      <c r="O742" s="46"/>
      <c r="P742" s="46"/>
      <c r="Q742" s="46"/>
      <c r="R742" s="46"/>
      <c r="S742" s="46"/>
      <c r="T742" s="49"/>
      <c r="U742" s="46"/>
      <c r="V742" s="50"/>
      <c r="W742" s="46"/>
      <c r="X742" s="46"/>
      <c r="Y742" s="46"/>
    </row>
    <row r="743" spans="1:25" x14ac:dyDescent="0.2">
      <c r="A743" s="45"/>
      <c r="B743" s="46"/>
      <c r="C743" s="46"/>
      <c r="D743" s="46"/>
      <c r="E743" s="46"/>
      <c r="F743" s="46"/>
      <c r="G743" s="46"/>
      <c r="H743" s="46"/>
      <c r="I743" s="46"/>
      <c r="J743" s="46"/>
      <c r="K743" s="46"/>
      <c r="L743" s="46"/>
      <c r="M743" s="46"/>
      <c r="N743" s="46"/>
      <c r="O743" s="46"/>
      <c r="P743" s="46"/>
      <c r="Q743" s="46"/>
      <c r="R743" s="46"/>
      <c r="S743" s="46"/>
      <c r="T743" s="49"/>
      <c r="U743" s="46"/>
      <c r="V743" s="50"/>
      <c r="W743" s="46"/>
      <c r="X743" s="46"/>
      <c r="Y743" s="46"/>
    </row>
    <row r="744" spans="1:25" x14ac:dyDescent="0.2">
      <c r="A744" s="45"/>
      <c r="B744" s="46"/>
      <c r="C744" s="46"/>
      <c r="D744" s="46"/>
      <c r="E744" s="46"/>
      <c r="F744" s="46"/>
      <c r="G744" s="46"/>
      <c r="H744" s="46"/>
      <c r="I744" s="46"/>
      <c r="J744" s="46"/>
      <c r="K744" s="46"/>
      <c r="L744" s="46"/>
      <c r="M744" s="46"/>
      <c r="N744" s="46"/>
      <c r="O744" s="46"/>
      <c r="P744" s="46"/>
      <c r="Q744" s="46"/>
      <c r="R744" s="46"/>
      <c r="S744" s="46"/>
      <c r="T744" s="49"/>
      <c r="U744" s="46"/>
      <c r="V744" s="50"/>
      <c r="W744" s="46"/>
      <c r="X744" s="46"/>
      <c r="Y744" s="46"/>
    </row>
    <row r="745" spans="1:25" x14ac:dyDescent="0.2">
      <c r="A745" s="45"/>
      <c r="B745" s="46"/>
      <c r="C745" s="46"/>
      <c r="D745" s="46"/>
      <c r="E745" s="46"/>
      <c r="F745" s="46"/>
      <c r="G745" s="46"/>
      <c r="H745" s="46"/>
      <c r="I745" s="46"/>
      <c r="J745" s="46"/>
      <c r="K745" s="46"/>
      <c r="L745" s="46"/>
      <c r="M745" s="46"/>
      <c r="N745" s="46"/>
      <c r="O745" s="46"/>
      <c r="P745" s="46"/>
      <c r="Q745" s="46"/>
      <c r="R745" s="46"/>
      <c r="S745" s="46"/>
      <c r="T745" s="49"/>
      <c r="U745" s="46"/>
      <c r="V745" s="50"/>
      <c r="W745" s="46"/>
      <c r="X745" s="46"/>
      <c r="Y745" s="46"/>
    </row>
    <row r="746" spans="1:25" x14ac:dyDescent="0.2">
      <c r="A746" s="45"/>
      <c r="B746" s="46"/>
      <c r="C746" s="46"/>
      <c r="D746" s="46"/>
      <c r="E746" s="46"/>
      <c r="F746" s="46"/>
      <c r="G746" s="46"/>
      <c r="H746" s="46"/>
      <c r="I746" s="46"/>
      <c r="J746" s="46"/>
      <c r="K746" s="46"/>
      <c r="L746" s="46"/>
      <c r="M746" s="46"/>
      <c r="N746" s="46"/>
      <c r="O746" s="46"/>
      <c r="P746" s="46"/>
      <c r="Q746" s="46"/>
      <c r="R746" s="46"/>
      <c r="S746" s="46"/>
      <c r="T746" s="49"/>
      <c r="U746" s="46"/>
      <c r="V746" s="50"/>
      <c r="W746" s="46"/>
      <c r="X746" s="46"/>
      <c r="Y746" s="46"/>
    </row>
    <row r="747" spans="1:25" x14ac:dyDescent="0.2">
      <c r="A747" s="45"/>
      <c r="B747" s="46"/>
      <c r="C747" s="46"/>
      <c r="D747" s="46"/>
      <c r="E747" s="46"/>
      <c r="F747" s="46"/>
      <c r="G747" s="46"/>
      <c r="H747" s="46"/>
      <c r="I747" s="46"/>
      <c r="J747" s="46"/>
      <c r="K747" s="46"/>
      <c r="L747" s="46"/>
      <c r="M747" s="46"/>
      <c r="N747" s="46"/>
      <c r="O747" s="46"/>
      <c r="P747" s="46"/>
      <c r="Q747" s="46"/>
      <c r="R747" s="46"/>
      <c r="S747" s="46"/>
      <c r="T747" s="49"/>
      <c r="U747" s="46"/>
      <c r="V747" s="50"/>
      <c r="W747" s="46"/>
      <c r="X747" s="46"/>
      <c r="Y747" s="46"/>
    </row>
    <row r="748" spans="1:25" x14ac:dyDescent="0.2">
      <c r="A748" s="45"/>
      <c r="B748" s="46"/>
      <c r="C748" s="46"/>
      <c r="D748" s="46"/>
      <c r="E748" s="46"/>
      <c r="F748" s="46"/>
      <c r="G748" s="46"/>
      <c r="H748" s="46"/>
      <c r="I748" s="46"/>
      <c r="J748" s="46"/>
      <c r="K748" s="46"/>
      <c r="L748" s="46"/>
      <c r="M748" s="46"/>
      <c r="N748" s="46"/>
      <c r="O748" s="46"/>
      <c r="P748" s="46"/>
      <c r="Q748" s="46"/>
      <c r="R748" s="46"/>
      <c r="S748" s="46"/>
      <c r="T748" s="49"/>
      <c r="U748" s="46"/>
      <c r="V748" s="50"/>
      <c r="W748" s="46"/>
      <c r="X748" s="46"/>
      <c r="Y748" s="46"/>
    </row>
    <row r="749" spans="1:25" x14ac:dyDescent="0.2">
      <c r="A749" s="45"/>
      <c r="B749" s="46"/>
      <c r="C749" s="46"/>
      <c r="D749" s="46"/>
      <c r="E749" s="46"/>
      <c r="F749" s="46"/>
      <c r="G749" s="46"/>
      <c r="H749" s="46"/>
      <c r="I749" s="46"/>
      <c r="J749" s="46"/>
      <c r="K749" s="46"/>
      <c r="L749" s="46"/>
      <c r="M749" s="46"/>
      <c r="N749" s="46"/>
      <c r="O749" s="46"/>
      <c r="P749" s="46"/>
      <c r="Q749" s="46"/>
      <c r="R749" s="46"/>
      <c r="S749" s="46"/>
      <c r="T749" s="49"/>
      <c r="U749" s="46"/>
      <c r="V749" s="50"/>
      <c r="W749" s="46"/>
      <c r="X749" s="46"/>
      <c r="Y749" s="46"/>
    </row>
    <row r="750" spans="1:25" x14ac:dyDescent="0.2">
      <c r="A750" s="45"/>
      <c r="B750" s="46"/>
      <c r="C750" s="46"/>
      <c r="D750" s="46"/>
      <c r="E750" s="46"/>
      <c r="F750" s="46"/>
      <c r="G750" s="46"/>
      <c r="H750" s="46"/>
      <c r="I750" s="46"/>
      <c r="J750" s="46"/>
      <c r="K750" s="46"/>
      <c r="L750" s="46"/>
      <c r="M750" s="46"/>
      <c r="N750" s="46"/>
      <c r="O750" s="46"/>
      <c r="P750" s="46"/>
      <c r="Q750" s="46"/>
      <c r="R750" s="46"/>
      <c r="S750" s="46"/>
      <c r="T750" s="49"/>
      <c r="U750" s="46"/>
      <c r="V750" s="50"/>
      <c r="W750" s="46"/>
      <c r="X750" s="46"/>
      <c r="Y750" s="46"/>
    </row>
    <row r="751" spans="1:25" x14ac:dyDescent="0.2">
      <c r="A751" s="45"/>
      <c r="B751" s="46"/>
      <c r="C751" s="46"/>
      <c r="D751" s="46"/>
      <c r="E751" s="46"/>
      <c r="F751" s="46"/>
      <c r="G751" s="46"/>
      <c r="H751" s="46"/>
      <c r="I751" s="46"/>
      <c r="J751" s="46"/>
      <c r="K751" s="46"/>
      <c r="L751" s="46"/>
      <c r="M751" s="46"/>
      <c r="N751" s="46"/>
      <c r="O751" s="46"/>
      <c r="P751" s="46"/>
      <c r="Q751" s="46"/>
      <c r="R751" s="46"/>
      <c r="S751" s="46"/>
      <c r="T751" s="49"/>
      <c r="U751" s="46"/>
      <c r="V751" s="50"/>
      <c r="W751" s="46"/>
      <c r="X751" s="46"/>
      <c r="Y751" s="46"/>
    </row>
    <row r="752" spans="1:25" x14ac:dyDescent="0.2">
      <c r="A752" s="45"/>
      <c r="B752" s="46"/>
      <c r="C752" s="46"/>
      <c r="D752" s="46"/>
      <c r="E752" s="46"/>
      <c r="F752" s="46"/>
      <c r="G752" s="46"/>
      <c r="H752" s="46"/>
      <c r="I752" s="46"/>
      <c r="J752" s="46"/>
      <c r="K752" s="46"/>
      <c r="L752" s="46"/>
      <c r="M752" s="46"/>
      <c r="N752" s="46"/>
      <c r="O752" s="46"/>
      <c r="P752" s="46"/>
      <c r="Q752" s="46"/>
      <c r="R752" s="46"/>
      <c r="S752" s="46"/>
      <c r="T752" s="49"/>
      <c r="U752" s="46"/>
      <c r="V752" s="50"/>
      <c r="W752" s="46"/>
      <c r="X752" s="46"/>
      <c r="Y752" s="46"/>
    </row>
    <row r="753" spans="1:25" x14ac:dyDescent="0.2">
      <c r="A753" s="45"/>
      <c r="B753" s="46"/>
      <c r="C753" s="46"/>
      <c r="D753" s="46"/>
      <c r="E753" s="46"/>
      <c r="F753" s="46"/>
      <c r="G753" s="46"/>
      <c r="H753" s="46"/>
      <c r="I753" s="46"/>
      <c r="J753" s="46"/>
      <c r="K753" s="46"/>
      <c r="L753" s="46"/>
      <c r="M753" s="46"/>
      <c r="N753" s="46"/>
      <c r="O753" s="46"/>
      <c r="P753" s="46"/>
      <c r="Q753" s="46"/>
      <c r="R753" s="46"/>
      <c r="S753" s="46"/>
      <c r="T753" s="49"/>
      <c r="U753" s="46"/>
      <c r="V753" s="50"/>
      <c r="W753" s="46"/>
      <c r="X753" s="46"/>
      <c r="Y753" s="46"/>
    </row>
    <row r="754" spans="1:25" x14ac:dyDescent="0.2">
      <c r="A754" s="45"/>
      <c r="B754" s="46"/>
      <c r="C754" s="46"/>
      <c r="D754" s="46"/>
      <c r="E754" s="46"/>
      <c r="F754" s="46"/>
      <c r="G754" s="46"/>
      <c r="H754" s="46"/>
      <c r="I754" s="46"/>
      <c r="J754" s="46"/>
      <c r="K754" s="46"/>
      <c r="L754" s="46"/>
      <c r="M754" s="46"/>
      <c r="N754" s="46"/>
      <c r="O754" s="46"/>
      <c r="P754" s="46"/>
      <c r="Q754" s="46"/>
      <c r="R754" s="46"/>
      <c r="S754" s="46"/>
      <c r="T754" s="49"/>
      <c r="U754" s="46"/>
      <c r="V754" s="50"/>
      <c r="W754" s="46"/>
      <c r="X754" s="46"/>
      <c r="Y754" s="46"/>
    </row>
    <row r="755" spans="1:25" x14ac:dyDescent="0.2">
      <c r="A755" s="45"/>
      <c r="B755" s="46"/>
      <c r="C755" s="46"/>
      <c r="D755" s="46"/>
      <c r="E755" s="46"/>
      <c r="F755" s="46"/>
      <c r="G755" s="46"/>
      <c r="H755" s="46"/>
      <c r="I755" s="46"/>
      <c r="J755" s="46"/>
      <c r="K755" s="46"/>
      <c r="L755" s="46"/>
      <c r="M755" s="46"/>
      <c r="N755" s="46"/>
      <c r="O755" s="46"/>
      <c r="P755" s="46"/>
      <c r="Q755" s="46"/>
      <c r="R755" s="46"/>
      <c r="S755" s="46"/>
      <c r="T755" s="49"/>
      <c r="U755" s="46"/>
      <c r="V755" s="50"/>
      <c r="W755" s="46"/>
      <c r="X755" s="46"/>
      <c r="Y755" s="46"/>
    </row>
    <row r="756" spans="1:25" x14ac:dyDescent="0.2">
      <c r="A756" s="45"/>
      <c r="B756" s="46"/>
      <c r="C756" s="46"/>
      <c r="D756" s="46"/>
      <c r="E756" s="46"/>
      <c r="F756" s="46"/>
      <c r="G756" s="46"/>
      <c r="H756" s="46"/>
      <c r="I756" s="46"/>
      <c r="J756" s="46"/>
      <c r="K756" s="46"/>
      <c r="L756" s="46"/>
      <c r="M756" s="46"/>
      <c r="N756" s="46"/>
      <c r="O756" s="46"/>
      <c r="P756" s="46"/>
      <c r="Q756" s="46"/>
      <c r="R756" s="46"/>
      <c r="S756" s="46"/>
      <c r="T756" s="49"/>
      <c r="U756" s="46"/>
      <c r="V756" s="50"/>
      <c r="W756" s="46"/>
      <c r="X756" s="46"/>
      <c r="Y756" s="46"/>
    </row>
    <row r="757" spans="1:25" x14ac:dyDescent="0.2">
      <c r="A757" s="45"/>
      <c r="B757" s="46"/>
      <c r="C757" s="46"/>
      <c r="D757" s="46"/>
      <c r="E757" s="46"/>
      <c r="F757" s="46"/>
      <c r="G757" s="46"/>
      <c r="H757" s="46"/>
      <c r="I757" s="46"/>
      <c r="J757" s="46"/>
      <c r="K757" s="46"/>
      <c r="L757" s="46"/>
      <c r="M757" s="46"/>
      <c r="N757" s="46"/>
      <c r="O757" s="46"/>
      <c r="P757" s="46"/>
      <c r="Q757" s="46"/>
      <c r="R757" s="46"/>
      <c r="S757" s="46"/>
      <c r="T757" s="49"/>
      <c r="U757" s="46"/>
      <c r="V757" s="50"/>
      <c r="W757" s="46"/>
      <c r="X757" s="46"/>
      <c r="Y757" s="46"/>
    </row>
    <row r="758" spans="1:25" x14ac:dyDescent="0.2">
      <c r="A758" s="45"/>
      <c r="B758" s="46"/>
      <c r="C758" s="46"/>
      <c r="D758" s="46"/>
      <c r="E758" s="46"/>
      <c r="F758" s="46"/>
      <c r="G758" s="46"/>
      <c r="H758" s="46"/>
      <c r="I758" s="46"/>
      <c r="J758" s="46"/>
      <c r="K758" s="46"/>
      <c r="L758" s="46"/>
      <c r="M758" s="46"/>
      <c r="N758" s="46"/>
      <c r="O758" s="46"/>
      <c r="P758" s="46"/>
      <c r="Q758" s="46"/>
      <c r="R758" s="46"/>
      <c r="S758" s="46"/>
      <c r="T758" s="49"/>
      <c r="U758" s="46"/>
      <c r="V758" s="50"/>
      <c r="W758" s="46"/>
      <c r="X758" s="46"/>
      <c r="Y758" s="46"/>
    </row>
    <row r="759" spans="1:25" x14ac:dyDescent="0.2">
      <c r="A759" s="45"/>
      <c r="B759" s="46"/>
      <c r="C759" s="46"/>
      <c r="D759" s="46"/>
      <c r="E759" s="46"/>
      <c r="F759" s="46"/>
      <c r="G759" s="46"/>
      <c r="H759" s="46"/>
      <c r="I759" s="46"/>
      <c r="J759" s="46"/>
      <c r="K759" s="46"/>
      <c r="L759" s="46"/>
      <c r="M759" s="46"/>
      <c r="N759" s="46"/>
      <c r="O759" s="46"/>
      <c r="P759" s="46"/>
      <c r="Q759" s="46"/>
      <c r="R759" s="46"/>
      <c r="S759" s="46"/>
      <c r="T759" s="49"/>
      <c r="U759" s="46"/>
      <c r="V759" s="50"/>
      <c r="W759" s="46"/>
      <c r="X759" s="46"/>
      <c r="Y759" s="46"/>
    </row>
    <row r="760" spans="1:25" x14ac:dyDescent="0.2">
      <c r="A760" s="45"/>
      <c r="B760" s="46"/>
      <c r="C760" s="46"/>
      <c r="D760" s="46"/>
      <c r="E760" s="46"/>
      <c r="F760" s="46"/>
      <c r="G760" s="46"/>
      <c r="H760" s="46"/>
      <c r="I760" s="46"/>
      <c r="J760" s="46"/>
      <c r="K760" s="46"/>
      <c r="L760" s="46"/>
      <c r="M760" s="46"/>
      <c r="N760" s="46"/>
      <c r="O760" s="46"/>
      <c r="P760" s="46"/>
      <c r="Q760" s="46"/>
      <c r="R760" s="46"/>
      <c r="S760" s="46"/>
      <c r="T760" s="49"/>
      <c r="U760" s="46"/>
      <c r="V760" s="50"/>
      <c r="W760" s="46"/>
      <c r="X760" s="46"/>
      <c r="Y760" s="46"/>
    </row>
    <row r="761" spans="1:25" x14ac:dyDescent="0.2">
      <c r="A761" s="45"/>
      <c r="B761" s="46"/>
      <c r="C761" s="46"/>
      <c r="D761" s="46"/>
      <c r="E761" s="46"/>
      <c r="F761" s="46"/>
      <c r="G761" s="46"/>
      <c r="H761" s="46"/>
      <c r="I761" s="46"/>
      <c r="J761" s="46"/>
      <c r="K761" s="46"/>
      <c r="L761" s="46"/>
      <c r="M761" s="46"/>
      <c r="N761" s="46"/>
      <c r="O761" s="46"/>
      <c r="P761" s="46"/>
      <c r="Q761" s="46"/>
      <c r="R761" s="46"/>
      <c r="S761" s="46"/>
      <c r="T761" s="49"/>
      <c r="U761" s="46"/>
      <c r="V761" s="50"/>
      <c r="W761" s="46"/>
      <c r="X761" s="46"/>
      <c r="Y761" s="46"/>
    </row>
    <row r="762" spans="1:25" x14ac:dyDescent="0.2">
      <c r="A762" s="45"/>
      <c r="B762" s="46"/>
      <c r="C762" s="46"/>
      <c r="D762" s="46"/>
      <c r="E762" s="46"/>
      <c r="F762" s="46"/>
      <c r="G762" s="46"/>
      <c r="H762" s="46"/>
      <c r="I762" s="46"/>
      <c r="J762" s="46"/>
      <c r="K762" s="46"/>
      <c r="L762" s="46"/>
      <c r="M762" s="46"/>
      <c r="N762" s="46"/>
      <c r="O762" s="46"/>
      <c r="P762" s="46"/>
      <c r="Q762" s="46"/>
      <c r="R762" s="46"/>
      <c r="S762" s="46"/>
      <c r="T762" s="49"/>
      <c r="U762" s="46"/>
      <c r="V762" s="50"/>
      <c r="W762" s="46"/>
      <c r="X762" s="46"/>
      <c r="Y762" s="46"/>
    </row>
    <row r="763" spans="1:25" x14ac:dyDescent="0.2">
      <c r="A763" s="45"/>
      <c r="B763" s="46"/>
      <c r="C763" s="46"/>
      <c r="D763" s="46"/>
      <c r="E763" s="46"/>
      <c r="F763" s="46"/>
      <c r="G763" s="46"/>
      <c r="H763" s="46"/>
      <c r="I763" s="46"/>
      <c r="J763" s="46"/>
      <c r="K763" s="46"/>
      <c r="L763" s="46"/>
      <c r="M763" s="46"/>
      <c r="N763" s="46"/>
      <c r="O763" s="46"/>
      <c r="P763" s="46"/>
      <c r="Q763" s="46"/>
      <c r="R763" s="46"/>
      <c r="S763" s="46"/>
      <c r="T763" s="49"/>
      <c r="U763" s="46"/>
      <c r="V763" s="50"/>
      <c r="W763" s="46"/>
      <c r="X763" s="46"/>
      <c r="Y763" s="46"/>
    </row>
    <row r="764" spans="1:25" x14ac:dyDescent="0.2">
      <c r="A764" s="45"/>
      <c r="B764" s="46"/>
      <c r="C764" s="46"/>
      <c r="D764" s="46"/>
      <c r="E764" s="46"/>
      <c r="F764" s="46"/>
      <c r="G764" s="46"/>
      <c r="H764" s="46"/>
      <c r="I764" s="46"/>
      <c r="J764" s="46"/>
      <c r="K764" s="46"/>
      <c r="L764" s="46"/>
      <c r="M764" s="46"/>
      <c r="N764" s="46"/>
      <c r="O764" s="46"/>
      <c r="P764" s="46"/>
      <c r="Q764" s="46"/>
      <c r="R764" s="46"/>
      <c r="S764" s="46"/>
      <c r="T764" s="49"/>
      <c r="U764" s="46"/>
      <c r="V764" s="50"/>
      <c r="W764" s="46"/>
      <c r="X764" s="46"/>
      <c r="Y764" s="46"/>
    </row>
    <row r="765" spans="1:25" x14ac:dyDescent="0.2">
      <c r="A765" s="45"/>
      <c r="B765" s="46"/>
      <c r="C765" s="46"/>
      <c r="D765" s="46"/>
      <c r="E765" s="46"/>
      <c r="F765" s="46"/>
      <c r="G765" s="46"/>
      <c r="H765" s="46"/>
      <c r="I765" s="46"/>
      <c r="J765" s="46"/>
      <c r="K765" s="46"/>
      <c r="L765" s="46"/>
      <c r="M765" s="46"/>
      <c r="N765" s="46"/>
      <c r="O765" s="46"/>
      <c r="P765" s="46"/>
      <c r="Q765" s="46"/>
      <c r="R765" s="46"/>
      <c r="S765" s="46"/>
      <c r="T765" s="49"/>
      <c r="U765" s="46"/>
      <c r="V765" s="50"/>
      <c r="W765" s="46"/>
      <c r="X765" s="46"/>
      <c r="Y765" s="46"/>
    </row>
    <row r="766" spans="1:25" x14ac:dyDescent="0.2">
      <c r="A766" s="45"/>
      <c r="B766" s="46"/>
      <c r="C766" s="46"/>
      <c r="D766" s="46"/>
      <c r="E766" s="46"/>
      <c r="F766" s="46"/>
      <c r="G766" s="46"/>
      <c r="H766" s="46"/>
      <c r="I766" s="46"/>
      <c r="J766" s="46"/>
      <c r="K766" s="46"/>
      <c r="L766" s="46"/>
      <c r="M766" s="46"/>
      <c r="N766" s="46"/>
      <c r="O766" s="46"/>
      <c r="P766" s="46"/>
      <c r="Q766" s="46"/>
      <c r="R766" s="46"/>
      <c r="S766" s="46"/>
      <c r="T766" s="49"/>
      <c r="U766" s="46"/>
      <c r="V766" s="50"/>
      <c r="W766" s="46"/>
      <c r="X766" s="46"/>
      <c r="Y766" s="46"/>
    </row>
    <row r="767" spans="1:25" x14ac:dyDescent="0.2">
      <c r="A767" s="45"/>
      <c r="B767" s="46"/>
      <c r="C767" s="46"/>
      <c r="D767" s="46"/>
      <c r="E767" s="46"/>
      <c r="F767" s="46"/>
      <c r="G767" s="46"/>
      <c r="H767" s="46"/>
      <c r="I767" s="46"/>
      <c r="J767" s="46"/>
      <c r="K767" s="46"/>
      <c r="L767" s="46"/>
      <c r="M767" s="46"/>
      <c r="N767" s="46"/>
      <c r="O767" s="46"/>
      <c r="P767" s="46"/>
      <c r="Q767" s="46"/>
      <c r="R767" s="46"/>
      <c r="S767" s="46"/>
      <c r="T767" s="49"/>
      <c r="U767" s="46"/>
      <c r="V767" s="50"/>
      <c r="W767" s="46"/>
      <c r="X767" s="46"/>
      <c r="Y767" s="46"/>
    </row>
    <row r="768" spans="1:25" x14ac:dyDescent="0.2">
      <c r="A768" s="45"/>
      <c r="B768" s="46"/>
      <c r="C768" s="46"/>
      <c r="D768" s="46"/>
      <c r="E768" s="46"/>
      <c r="F768" s="46"/>
      <c r="G768" s="46"/>
      <c r="H768" s="46"/>
      <c r="I768" s="46"/>
      <c r="J768" s="46"/>
      <c r="K768" s="46"/>
      <c r="L768" s="46"/>
      <c r="M768" s="46"/>
      <c r="N768" s="46"/>
      <c r="O768" s="46"/>
      <c r="P768" s="46"/>
      <c r="Q768" s="46"/>
      <c r="R768" s="46"/>
      <c r="S768" s="46"/>
      <c r="T768" s="49"/>
      <c r="U768" s="46"/>
      <c r="V768" s="50"/>
      <c r="W768" s="46"/>
      <c r="X768" s="46"/>
      <c r="Y768" s="46"/>
    </row>
    <row r="769" spans="1:25" x14ac:dyDescent="0.2">
      <c r="A769" s="45"/>
      <c r="B769" s="46"/>
      <c r="C769" s="46"/>
      <c r="D769" s="46"/>
      <c r="E769" s="46"/>
      <c r="F769" s="46"/>
      <c r="G769" s="46"/>
      <c r="H769" s="46"/>
      <c r="I769" s="46"/>
      <c r="J769" s="46"/>
      <c r="K769" s="46"/>
      <c r="L769" s="46"/>
      <c r="M769" s="46"/>
      <c r="N769" s="46"/>
      <c r="O769" s="46"/>
      <c r="P769" s="46"/>
      <c r="Q769" s="46"/>
      <c r="R769" s="46"/>
      <c r="S769" s="46"/>
      <c r="T769" s="49"/>
      <c r="U769" s="46"/>
      <c r="V769" s="50"/>
      <c r="W769" s="46"/>
      <c r="X769" s="46"/>
      <c r="Y769" s="46"/>
    </row>
    <row r="770" spans="1:25" x14ac:dyDescent="0.2">
      <c r="A770" s="45"/>
      <c r="B770" s="46"/>
      <c r="C770" s="46"/>
      <c r="D770" s="46"/>
      <c r="E770" s="46"/>
      <c r="F770" s="46"/>
      <c r="G770" s="46"/>
      <c r="H770" s="46"/>
      <c r="I770" s="46"/>
      <c r="J770" s="46"/>
      <c r="K770" s="46"/>
      <c r="L770" s="46"/>
      <c r="M770" s="46"/>
      <c r="N770" s="46"/>
      <c r="O770" s="46"/>
      <c r="P770" s="46"/>
      <c r="Q770" s="46"/>
      <c r="R770" s="46"/>
      <c r="S770" s="46"/>
      <c r="T770" s="49"/>
      <c r="U770" s="46"/>
      <c r="V770" s="50"/>
      <c r="W770" s="46"/>
      <c r="X770" s="46"/>
      <c r="Y770" s="46"/>
    </row>
    <row r="771" spans="1:25" x14ac:dyDescent="0.2">
      <c r="A771" s="45"/>
      <c r="B771" s="46"/>
      <c r="C771" s="46"/>
      <c r="D771" s="46"/>
      <c r="E771" s="46"/>
      <c r="F771" s="46"/>
      <c r="G771" s="46"/>
      <c r="H771" s="46"/>
      <c r="I771" s="46"/>
      <c r="J771" s="46"/>
      <c r="K771" s="46"/>
      <c r="L771" s="46"/>
      <c r="M771" s="46"/>
      <c r="N771" s="46"/>
      <c r="O771" s="46"/>
      <c r="P771" s="46"/>
      <c r="Q771" s="46"/>
      <c r="R771" s="46"/>
      <c r="S771" s="46"/>
      <c r="T771" s="49"/>
      <c r="U771" s="46"/>
      <c r="V771" s="50"/>
      <c r="W771" s="46"/>
      <c r="X771" s="46"/>
      <c r="Y771" s="46"/>
    </row>
    <row r="772" spans="1:25" x14ac:dyDescent="0.2">
      <c r="A772" s="45"/>
      <c r="B772" s="46"/>
      <c r="C772" s="46"/>
      <c r="D772" s="46"/>
      <c r="E772" s="46"/>
      <c r="F772" s="46"/>
      <c r="G772" s="46"/>
      <c r="H772" s="46"/>
      <c r="I772" s="46"/>
      <c r="J772" s="46"/>
      <c r="K772" s="46"/>
      <c r="L772" s="46"/>
      <c r="M772" s="46"/>
      <c r="N772" s="46"/>
      <c r="O772" s="46"/>
      <c r="P772" s="46"/>
      <c r="Q772" s="46"/>
      <c r="R772" s="46"/>
      <c r="S772" s="46"/>
      <c r="T772" s="49"/>
      <c r="U772" s="46"/>
      <c r="V772" s="50"/>
      <c r="W772" s="46"/>
      <c r="X772" s="46"/>
      <c r="Y772" s="46"/>
    </row>
    <row r="773" spans="1:25" x14ac:dyDescent="0.2">
      <c r="A773" s="45"/>
      <c r="B773" s="46"/>
      <c r="C773" s="46"/>
      <c r="D773" s="46"/>
      <c r="E773" s="46"/>
      <c r="F773" s="46"/>
      <c r="G773" s="46"/>
      <c r="H773" s="46"/>
      <c r="I773" s="46"/>
      <c r="J773" s="46"/>
      <c r="K773" s="46"/>
      <c r="L773" s="46"/>
      <c r="M773" s="46"/>
      <c r="N773" s="46"/>
      <c r="O773" s="46"/>
      <c r="P773" s="46"/>
      <c r="Q773" s="46"/>
      <c r="R773" s="46"/>
      <c r="S773" s="46"/>
      <c r="T773" s="49"/>
      <c r="U773" s="46"/>
      <c r="V773" s="50"/>
      <c r="W773" s="46"/>
      <c r="X773" s="46"/>
      <c r="Y773" s="46"/>
    </row>
    <row r="774" spans="1:25" x14ac:dyDescent="0.2">
      <c r="A774" s="45"/>
      <c r="B774" s="46"/>
      <c r="C774" s="46"/>
      <c r="D774" s="46"/>
      <c r="E774" s="46"/>
      <c r="F774" s="46"/>
      <c r="G774" s="46"/>
      <c r="H774" s="46"/>
      <c r="I774" s="46"/>
      <c r="J774" s="46"/>
      <c r="K774" s="46"/>
      <c r="L774" s="46"/>
      <c r="M774" s="46"/>
      <c r="N774" s="46"/>
      <c r="O774" s="46"/>
      <c r="P774" s="46"/>
      <c r="Q774" s="46"/>
      <c r="R774" s="46"/>
      <c r="S774" s="46"/>
      <c r="T774" s="49"/>
      <c r="U774" s="46"/>
      <c r="V774" s="50"/>
      <c r="W774" s="46"/>
      <c r="X774" s="46"/>
      <c r="Y774" s="46"/>
    </row>
    <row r="775" spans="1:25" x14ac:dyDescent="0.2">
      <c r="A775" s="45"/>
      <c r="B775" s="46"/>
      <c r="C775" s="46"/>
      <c r="D775" s="46"/>
      <c r="E775" s="46"/>
      <c r="F775" s="46"/>
      <c r="G775" s="46"/>
      <c r="H775" s="46"/>
      <c r="I775" s="46"/>
      <c r="J775" s="46"/>
      <c r="K775" s="46"/>
      <c r="L775" s="46"/>
      <c r="M775" s="46"/>
      <c r="N775" s="46"/>
      <c r="O775" s="46"/>
      <c r="P775" s="46"/>
      <c r="Q775" s="46"/>
      <c r="R775" s="46"/>
      <c r="S775" s="46"/>
      <c r="T775" s="49"/>
      <c r="U775" s="46"/>
      <c r="V775" s="50"/>
      <c r="W775" s="46"/>
      <c r="X775" s="46"/>
      <c r="Y775" s="46"/>
    </row>
    <row r="776" spans="1:25" x14ac:dyDescent="0.2">
      <c r="A776" s="45"/>
      <c r="B776" s="46"/>
      <c r="C776" s="46"/>
      <c r="D776" s="46"/>
      <c r="E776" s="46"/>
      <c r="F776" s="46"/>
      <c r="G776" s="46"/>
      <c r="H776" s="46"/>
      <c r="I776" s="46"/>
      <c r="J776" s="46"/>
      <c r="K776" s="46"/>
      <c r="L776" s="46"/>
      <c r="M776" s="46"/>
      <c r="N776" s="46"/>
      <c r="O776" s="46"/>
      <c r="P776" s="46"/>
      <c r="Q776" s="46"/>
      <c r="R776" s="46"/>
      <c r="S776" s="46"/>
      <c r="T776" s="49"/>
      <c r="U776" s="46"/>
      <c r="V776" s="50"/>
      <c r="W776" s="46"/>
      <c r="X776" s="46"/>
      <c r="Y776" s="46"/>
    </row>
    <row r="777" spans="1:25" x14ac:dyDescent="0.2">
      <c r="A777" s="45"/>
      <c r="B777" s="46"/>
      <c r="C777" s="46"/>
      <c r="D777" s="46"/>
      <c r="E777" s="46"/>
      <c r="F777" s="46"/>
      <c r="G777" s="46"/>
      <c r="H777" s="46"/>
      <c r="I777" s="46"/>
      <c r="J777" s="46"/>
      <c r="K777" s="46"/>
      <c r="L777" s="46"/>
      <c r="M777" s="46"/>
      <c r="N777" s="46"/>
      <c r="O777" s="46"/>
      <c r="P777" s="46"/>
      <c r="Q777" s="46"/>
      <c r="R777" s="46"/>
      <c r="S777" s="46"/>
      <c r="T777" s="49"/>
      <c r="U777" s="46"/>
      <c r="V777" s="50"/>
      <c r="W777" s="46"/>
      <c r="X777" s="46"/>
      <c r="Y777" s="46"/>
    </row>
    <row r="778" spans="1:25" x14ac:dyDescent="0.2">
      <c r="A778" s="45"/>
      <c r="B778" s="46"/>
      <c r="C778" s="46"/>
      <c r="D778" s="46"/>
      <c r="E778" s="46"/>
      <c r="F778" s="46"/>
      <c r="G778" s="46"/>
      <c r="H778" s="46"/>
      <c r="I778" s="46"/>
      <c r="J778" s="46"/>
      <c r="K778" s="46"/>
      <c r="L778" s="46"/>
      <c r="M778" s="46"/>
      <c r="N778" s="46"/>
      <c r="O778" s="46"/>
      <c r="P778" s="46"/>
      <c r="Q778" s="46"/>
      <c r="R778" s="46"/>
      <c r="S778" s="46"/>
      <c r="T778" s="49"/>
      <c r="U778" s="46"/>
      <c r="V778" s="50"/>
      <c r="W778" s="46"/>
      <c r="X778" s="46"/>
      <c r="Y778" s="46"/>
    </row>
    <row r="779" spans="1:25" x14ac:dyDescent="0.2">
      <c r="A779" s="45"/>
      <c r="B779" s="46"/>
      <c r="C779" s="46"/>
      <c r="D779" s="46"/>
      <c r="E779" s="46"/>
      <c r="F779" s="46"/>
      <c r="G779" s="46"/>
      <c r="H779" s="46"/>
      <c r="I779" s="46"/>
      <c r="J779" s="46"/>
      <c r="K779" s="46"/>
      <c r="L779" s="46"/>
      <c r="M779" s="46"/>
      <c r="N779" s="46"/>
      <c r="O779" s="46"/>
      <c r="P779" s="46"/>
      <c r="Q779" s="46"/>
      <c r="R779" s="46"/>
      <c r="S779" s="46"/>
      <c r="T779" s="49"/>
      <c r="U779" s="46"/>
      <c r="V779" s="50"/>
      <c r="W779" s="46"/>
      <c r="X779" s="46"/>
      <c r="Y779" s="46"/>
    </row>
    <row r="780" spans="1:25" x14ac:dyDescent="0.2">
      <c r="A780" s="45"/>
      <c r="B780" s="46"/>
      <c r="C780" s="46"/>
      <c r="D780" s="46"/>
      <c r="E780" s="46"/>
      <c r="F780" s="46"/>
      <c r="G780" s="46"/>
      <c r="H780" s="46"/>
      <c r="I780" s="46"/>
      <c r="J780" s="46"/>
      <c r="K780" s="46"/>
      <c r="L780" s="46"/>
      <c r="M780" s="46"/>
      <c r="N780" s="46"/>
      <c r="O780" s="46"/>
      <c r="P780" s="46"/>
      <c r="Q780" s="46"/>
      <c r="R780" s="46"/>
      <c r="S780" s="46"/>
      <c r="T780" s="49"/>
      <c r="U780" s="46"/>
      <c r="V780" s="50"/>
      <c r="W780" s="46"/>
      <c r="X780" s="46"/>
      <c r="Y780" s="46"/>
    </row>
    <row r="781" spans="1:25" x14ac:dyDescent="0.2">
      <c r="A781" s="45"/>
      <c r="B781" s="46"/>
      <c r="C781" s="46"/>
      <c r="D781" s="46"/>
      <c r="E781" s="46"/>
      <c r="F781" s="46"/>
      <c r="G781" s="46"/>
      <c r="H781" s="46"/>
      <c r="I781" s="46"/>
      <c r="J781" s="46"/>
      <c r="K781" s="46"/>
      <c r="L781" s="46"/>
      <c r="M781" s="46"/>
      <c r="N781" s="46"/>
      <c r="O781" s="46"/>
      <c r="P781" s="46"/>
      <c r="Q781" s="46"/>
      <c r="R781" s="46"/>
      <c r="S781" s="46"/>
      <c r="T781" s="49"/>
      <c r="U781" s="46"/>
      <c r="V781" s="50"/>
      <c r="W781" s="46"/>
      <c r="X781" s="46"/>
      <c r="Y781" s="46"/>
    </row>
    <row r="782" spans="1:25" x14ac:dyDescent="0.2">
      <c r="A782" s="45"/>
      <c r="B782" s="46"/>
      <c r="C782" s="46"/>
      <c r="D782" s="46"/>
      <c r="E782" s="46"/>
      <c r="F782" s="46"/>
      <c r="G782" s="46"/>
      <c r="H782" s="46"/>
      <c r="I782" s="46"/>
      <c r="J782" s="46"/>
      <c r="K782" s="46"/>
      <c r="L782" s="46"/>
      <c r="M782" s="46"/>
      <c r="N782" s="46"/>
      <c r="O782" s="46"/>
      <c r="P782" s="46"/>
      <c r="Q782" s="46"/>
      <c r="R782" s="46"/>
      <c r="S782" s="46"/>
      <c r="T782" s="49"/>
      <c r="U782" s="46"/>
      <c r="V782" s="50"/>
      <c r="W782" s="46"/>
      <c r="X782" s="46"/>
      <c r="Y782" s="46"/>
    </row>
    <row r="783" spans="1:25" x14ac:dyDescent="0.2">
      <c r="A783" s="45"/>
      <c r="B783" s="46"/>
      <c r="C783" s="46"/>
      <c r="D783" s="46"/>
      <c r="E783" s="46"/>
      <c r="F783" s="46"/>
      <c r="G783" s="46"/>
      <c r="H783" s="46"/>
      <c r="I783" s="46"/>
      <c r="J783" s="46"/>
      <c r="K783" s="46"/>
      <c r="L783" s="46"/>
      <c r="M783" s="46"/>
      <c r="N783" s="46"/>
      <c r="O783" s="46"/>
      <c r="P783" s="46"/>
      <c r="Q783" s="46"/>
      <c r="R783" s="46"/>
      <c r="S783" s="46"/>
      <c r="T783" s="49"/>
      <c r="U783" s="46"/>
      <c r="V783" s="50"/>
      <c r="W783" s="46"/>
      <c r="X783" s="46"/>
      <c r="Y783" s="46"/>
    </row>
    <row r="784" spans="1:25" x14ac:dyDescent="0.2">
      <c r="A784" s="45"/>
      <c r="B784" s="46"/>
      <c r="C784" s="46"/>
      <c r="D784" s="46"/>
      <c r="E784" s="46"/>
      <c r="F784" s="46"/>
      <c r="G784" s="46"/>
      <c r="H784" s="46"/>
      <c r="I784" s="46"/>
      <c r="J784" s="46"/>
      <c r="K784" s="46"/>
      <c r="L784" s="46"/>
      <c r="M784" s="46"/>
      <c r="N784" s="46"/>
      <c r="O784" s="46"/>
      <c r="P784" s="46"/>
      <c r="Q784" s="46"/>
      <c r="R784" s="46"/>
      <c r="S784" s="46"/>
      <c r="T784" s="49"/>
      <c r="U784" s="46"/>
      <c r="V784" s="50"/>
      <c r="W784" s="46"/>
      <c r="X784" s="46"/>
      <c r="Y784" s="46"/>
    </row>
    <row r="785" spans="1:25" x14ac:dyDescent="0.2">
      <c r="A785" s="45"/>
      <c r="B785" s="46"/>
      <c r="C785" s="46"/>
      <c r="D785" s="46"/>
      <c r="E785" s="46"/>
      <c r="F785" s="46"/>
      <c r="G785" s="46"/>
      <c r="H785" s="46"/>
      <c r="I785" s="46"/>
      <c r="J785" s="46"/>
      <c r="K785" s="46"/>
      <c r="L785" s="46"/>
      <c r="M785" s="46"/>
      <c r="N785" s="46"/>
      <c r="O785" s="46"/>
      <c r="P785" s="46"/>
      <c r="Q785" s="46"/>
      <c r="R785" s="46"/>
      <c r="S785" s="46"/>
      <c r="T785" s="49"/>
      <c r="U785" s="46"/>
      <c r="V785" s="50"/>
      <c r="W785" s="46"/>
      <c r="X785" s="46"/>
      <c r="Y785" s="46"/>
    </row>
    <row r="786" spans="1:25" x14ac:dyDescent="0.2">
      <c r="A786" s="45"/>
      <c r="B786" s="46"/>
      <c r="C786" s="46"/>
      <c r="D786" s="46"/>
      <c r="E786" s="46"/>
      <c r="F786" s="46"/>
      <c r="G786" s="46"/>
      <c r="H786" s="46"/>
      <c r="I786" s="46"/>
      <c r="J786" s="46"/>
      <c r="K786" s="46"/>
      <c r="L786" s="46"/>
      <c r="M786" s="46"/>
      <c r="N786" s="46"/>
      <c r="O786" s="46"/>
      <c r="P786" s="46"/>
      <c r="Q786" s="46"/>
      <c r="R786" s="46"/>
      <c r="S786" s="46"/>
      <c r="T786" s="49"/>
      <c r="U786" s="46"/>
      <c r="V786" s="50"/>
      <c r="W786" s="46"/>
      <c r="X786" s="46"/>
      <c r="Y786" s="46"/>
    </row>
    <row r="787" spans="1:25" x14ac:dyDescent="0.2">
      <c r="A787" s="45"/>
      <c r="B787" s="46"/>
      <c r="C787" s="46"/>
      <c r="D787" s="46"/>
      <c r="E787" s="46"/>
      <c r="F787" s="46"/>
      <c r="G787" s="46"/>
      <c r="H787" s="46"/>
      <c r="I787" s="46"/>
      <c r="J787" s="46"/>
      <c r="K787" s="46"/>
      <c r="L787" s="46"/>
      <c r="M787" s="46"/>
      <c r="N787" s="46"/>
      <c r="O787" s="46"/>
      <c r="P787" s="46"/>
      <c r="Q787" s="46"/>
      <c r="R787" s="46"/>
      <c r="S787" s="46"/>
      <c r="T787" s="49"/>
      <c r="U787" s="46"/>
      <c r="V787" s="50"/>
      <c r="W787" s="46"/>
      <c r="X787" s="46"/>
      <c r="Y787" s="46"/>
    </row>
    <row r="788" spans="1:25" x14ac:dyDescent="0.2">
      <c r="A788" s="45"/>
      <c r="B788" s="46"/>
      <c r="C788" s="46"/>
      <c r="D788" s="46"/>
      <c r="E788" s="46"/>
      <c r="F788" s="46"/>
      <c r="G788" s="46"/>
      <c r="H788" s="46"/>
      <c r="I788" s="46"/>
      <c r="J788" s="46"/>
      <c r="K788" s="46"/>
      <c r="L788" s="46"/>
      <c r="M788" s="46"/>
      <c r="N788" s="46"/>
      <c r="O788" s="46"/>
      <c r="P788" s="46"/>
      <c r="Q788" s="46"/>
      <c r="R788" s="46"/>
      <c r="S788" s="46"/>
      <c r="T788" s="49"/>
      <c r="U788" s="46"/>
      <c r="V788" s="50"/>
      <c r="W788" s="46"/>
      <c r="X788" s="46"/>
      <c r="Y788" s="46"/>
    </row>
    <row r="789" spans="1:25" x14ac:dyDescent="0.2">
      <c r="A789" s="45"/>
      <c r="B789" s="46"/>
      <c r="C789" s="46"/>
      <c r="D789" s="46"/>
      <c r="E789" s="46"/>
      <c r="F789" s="46"/>
      <c r="G789" s="46"/>
      <c r="H789" s="46"/>
      <c r="I789" s="46"/>
      <c r="J789" s="46"/>
      <c r="K789" s="46"/>
      <c r="L789" s="46"/>
      <c r="M789" s="46"/>
      <c r="N789" s="46"/>
      <c r="O789" s="46"/>
      <c r="P789" s="46"/>
      <c r="Q789" s="46"/>
      <c r="R789" s="46"/>
      <c r="S789" s="46"/>
      <c r="T789" s="49"/>
      <c r="U789" s="46"/>
      <c r="V789" s="50"/>
      <c r="W789" s="46"/>
      <c r="X789" s="46"/>
      <c r="Y789" s="46"/>
    </row>
    <row r="790" spans="1:25" x14ac:dyDescent="0.2">
      <c r="A790" s="45"/>
      <c r="B790" s="46"/>
      <c r="C790" s="46"/>
      <c r="D790" s="46"/>
      <c r="E790" s="46"/>
      <c r="F790" s="46"/>
      <c r="G790" s="46"/>
      <c r="H790" s="46"/>
      <c r="I790" s="46"/>
      <c r="J790" s="46"/>
      <c r="K790" s="46"/>
      <c r="L790" s="46"/>
      <c r="M790" s="46"/>
      <c r="N790" s="46"/>
      <c r="O790" s="46"/>
      <c r="P790" s="46"/>
      <c r="Q790" s="46"/>
      <c r="R790" s="46"/>
      <c r="S790" s="46"/>
      <c r="T790" s="49"/>
      <c r="U790" s="46"/>
      <c r="V790" s="50"/>
      <c r="W790" s="46"/>
      <c r="X790" s="46"/>
      <c r="Y790" s="46"/>
    </row>
    <row r="791" spans="1:25" x14ac:dyDescent="0.2">
      <c r="A791" s="45"/>
      <c r="B791" s="46"/>
      <c r="C791" s="46"/>
      <c r="D791" s="46"/>
      <c r="E791" s="46"/>
      <c r="F791" s="46"/>
      <c r="G791" s="46"/>
      <c r="H791" s="46"/>
      <c r="I791" s="46"/>
      <c r="J791" s="46"/>
      <c r="K791" s="46"/>
      <c r="L791" s="46"/>
      <c r="M791" s="46"/>
      <c r="N791" s="46"/>
      <c r="O791" s="46"/>
      <c r="P791" s="46"/>
      <c r="Q791" s="46"/>
      <c r="R791" s="46"/>
      <c r="S791" s="46"/>
      <c r="T791" s="49"/>
      <c r="U791" s="46"/>
      <c r="V791" s="50"/>
      <c r="W791" s="46"/>
      <c r="X791" s="46"/>
      <c r="Y791" s="46"/>
    </row>
    <row r="792" spans="1:25" x14ac:dyDescent="0.2">
      <c r="A792" s="45"/>
      <c r="B792" s="46"/>
      <c r="C792" s="46"/>
      <c r="D792" s="46"/>
      <c r="E792" s="46"/>
      <c r="F792" s="46"/>
      <c r="G792" s="46"/>
      <c r="H792" s="46"/>
      <c r="I792" s="46"/>
      <c r="J792" s="46"/>
      <c r="K792" s="46"/>
      <c r="L792" s="46"/>
      <c r="M792" s="46"/>
      <c r="N792" s="46"/>
      <c r="O792" s="46"/>
      <c r="P792" s="46"/>
      <c r="Q792" s="46"/>
      <c r="R792" s="46"/>
      <c r="S792" s="46"/>
      <c r="T792" s="49"/>
      <c r="U792" s="46"/>
      <c r="V792" s="50"/>
      <c r="W792" s="46"/>
      <c r="X792" s="46"/>
      <c r="Y792" s="46"/>
    </row>
    <row r="793" spans="1:25" x14ac:dyDescent="0.2">
      <c r="A793" s="45"/>
      <c r="B793" s="46"/>
      <c r="C793" s="46"/>
      <c r="D793" s="46"/>
      <c r="E793" s="46"/>
      <c r="F793" s="46"/>
      <c r="G793" s="46"/>
      <c r="H793" s="46"/>
      <c r="I793" s="46"/>
      <c r="J793" s="46"/>
      <c r="K793" s="46"/>
      <c r="L793" s="46"/>
      <c r="M793" s="46"/>
      <c r="N793" s="46"/>
      <c r="O793" s="46"/>
      <c r="P793" s="46"/>
      <c r="Q793" s="46"/>
      <c r="R793" s="46"/>
      <c r="S793" s="46"/>
      <c r="T793" s="49"/>
      <c r="U793" s="46"/>
      <c r="V793" s="50"/>
      <c r="W793" s="46"/>
      <c r="X793" s="46"/>
      <c r="Y793" s="46"/>
    </row>
    <row r="794" spans="1:25" x14ac:dyDescent="0.2">
      <c r="A794" s="45"/>
      <c r="B794" s="46"/>
      <c r="C794" s="46"/>
      <c r="D794" s="46"/>
      <c r="E794" s="46"/>
      <c r="F794" s="46"/>
      <c r="G794" s="46"/>
      <c r="H794" s="46"/>
      <c r="I794" s="46"/>
      <c r="J794" s="46"/>
      <c r="K794" s="46"/>
      <c r="L794" s="46"/>
      <c r="M794" s="46"/>
      <c r="N794" s="46"/>
      <c r="O794" s="46"/>
      <c r="P794" s="46"/>
      <c r="Q794" s="46"/>
      <c r="R794" s="46"/>
      <c r="S794" s="46"/>
      <c r="T794" s="49"/>
      <c r="U794" s="46"/>
      <c r="V794" s="50"/>
      <c r="W794" s="46"/>
      <c r="X794" s="46"/>
      <c r="Y794" s="46"/>
    </row>
    <row r="795" spans="1:25" x14ac:dyDescent="0.2">
      <c r="A795" s="45"/>
      <c r="B795" s="46"/>
      <c r="C795" s="46"/>
      <c r="D795" s="46"/>
      <c r="E795" s="46"/>
      <c r="F795" s="46"/>
      <c r="G795" s="46"/>
      <c r="H795" s="46"/>
      <c r="I795" s="46"/>
      <c r="J795" s="46"/>
      <c r="K795" s="46"/>
      <c r="L795" s="46"/>
      <c r="M795" s="46"/>
      <c r="N795" s="46"/>
      <c r="O795" s="46"/>
      <c r="P795" s="46"/>
      <c r="Q795" s="46"/>
      <c r="R795" s="46"/>
      <c r="S795" s="46"/>
      <c r="T795" s="49"/>
      <c r="U795" s="46"/>
      <c r="V795" s="50"/>
      <c r="W795" s="46"/>
      <c r="X795" s="46"/>
      <c r="Y795" s="46"/>
    </row>
    <row r="796" spans="1:25" x14ac:dyDescent="0.2">
      <c r="A796" s="45"/>
      <c r="B796" s="46"/>
      <c r="C796" s="46"/>
      <c r="D796" s="46"/>
      <c r="E796" s="46"/>
      <c r="F796" s="46"/>
      <c r="G796" s="46"/>
      <c r="H796" s="46"/>
      <c r="I796" s="46"/>
      <c r="J796" s="46"/>
      <c r="K796" s="46"/>
      <c r="L796" s="46"/>
      <c r="M796" s="46"/>
      <c r="N796" s="46"/>
      <c r="O796" s="46"/>
      <c r="P796" s="46"/>
      <c r="Q796" s="46"/>
      <c r="R796" s="46"/>
      <c r="S796" s="46"/>
      <c r="T796" s="49"/>
      <c r="U796" s="46"/>
      <c r="V796" s="50"/>
      <c r="W796" s="46"/>
      <c r="X796" s="46"/>
      <c r="Y796" s="46"/>
    </row>
    <row r="797" spans="1:25" x14ac:dyDescent="0.2">
      <c r="A797" s="45"/>
      <c r="B797" s="46"/>
      <c r="C797" s="46"/>
      <c r="D797" s="46"/>
      <c r="E797" s="46"/>
      <c r="F797" s="46"/>
      <c r="G797" s="46"/>
      <c r="H797" s="46"/>
      <c r="I797" s="46"/>
      <c r="J797" s="46"/>
      <c r="K797" s="46"/>
      <c r="L797" s="46"/>
      <c r="M797" s="46"/>
      <c r="N797" s="46"/>
      <c r="O797" s="46"/>
      <c r="P797" s="46"/>
      <c r="Q797" s="46"/>
      <c r="R797" s="46"/>
      <c r="S797" s="46"/>
      <c r="T797" s="49"/>
      <c r="U797" s="46"/>
      <c r="V797" s="50"/>
      <c r="W797" s="46"/>
      <c r="X797" s="46"/>
      <c r="Y797" s="46"/>
    </row>
    <row r="798" spans="1:25" x14ac:dyDescent="0.2">
      <c r="A798" s="45"/>
      <c r="B798" s="46"/>
      <c r="C798" s="46"/>
      <c r="D798" s="46"/>
      <c r="E798" s="46"/>
      <c r="F798" s="46"/>
      <c r="G798" s="46"/>
      <c r="H798" s="46"/>
      <c r="I798" s="46"/>
      <c r="J798" s="46"/>
      <c r="K798" s="46"/>
      <c r="L798" s="46"/>
      <c r="M798" s="46"/>
      <c r="N798" s="46"/>
      <c r="O798" s="46"/>
      <c r="P798" s="46"/>
      <c r="Q798" s="46"/>
      <c r="R798" s="46"/>
      <c r="S798" s="46"/>
      <c r="T798" s="49"/>
      <c r="U798" s="46"/>
      <c r="V798" s="50"/>
      <c r="W798" s="46"/>
      <c r="X798" s="46"/>
      <c r="Y798" s="46"/>
    </row>
    <row r="799" spans="1:25" x14ac:dyDescent="0.2">
      <c r="A799" s="45"/>
      <c r="B799" s="46"/>
      <c r="C799" s="46"/>
      <c r="D799" s="46"/>
      <c r="E799" s="46"/>
      <c r="F799" s="46"/>
      <c r="G799" s="46"/>
      <c r="H799" s="46"/>
      <c r="I799" s="46"/>
      <c r="J799" s="46"/>
      <c r="K799" s="46"/>
      <c r="L799" s="46"/>
      <c r="M799" s="46"/>
      <c r="N799" s="46"/>
      <c r="O799" s="46"/>
      <c r="P799" s="46"/>
      <c r="Q799" s="46"/>
      <c r="R799" s="46"/>
      <c r="S799" s="46"/>
      <c r="T799" s="49"/>
      <c r="U799" s="46"/>
      <c r="V799" s="50"/>
      <c r="W799" s="46"/>
      <c r="X799" s="46"/>
      <c r="Y799" s="46"/>
    </row>
    <row r="800" spans="1:25" x14ac:dyDescent="0.2">
      <c r="A800" s="45"/>
      <c r="B800" s="46"/>
      <c r="C800" s="46"/>
      <c r="D800" s="46"/>
      <c r="E800" s="46"/>
      <c r="F800" s="46"/>
      <c r="G800" s="46"/>
      <c r="H800" s="46"/>
      <c r="I800" s="46"/>
      <c r="J800" s="46"/>
      <c r="K800" s="46"/>
      <c r="L800" s="46"/>
      <c r="M800" s="46"/>
      <c r="N800" s="46"/>
      <c r="O800" s="46"/>
      <c r="P800" s="46"/>
      <c r="Q800" s="46"/>
      <c r="R800" s="46"/>
      <c r="S800" s="46"/>
      <c r="T800" s="49"/>
      <c r="U800" s="46"/>
      <c r="V800" s="50"/>
      <c r="W800" s="46"/>
      <c r="X800" s="46"/>
      <c r="Y800" s="46"/>
    </row>
    <row r="801" spans="1:25" x14ac:dyDescent="0.2">
      <c r="A801" s="45"/>
      <c r="B801" s="46"/>
      <c r="C801" s="46"/>
      <c r="D801" s="46"/>
      <c r="E801" s="46"/>
      <c r="F801" s="46"/>
      <c r="G801" s="46"/>
      <c r="H801" s="46"/>
      <c r="I801" s="46"/>
      <c r="J801" s="46"/>
      <c r="K801" s="46"/>
      <c r="L801" s="46"/>
      <c r="M801" s="46"/>
      <c r="N801" s="46"/>
      <c r="O801" s="46"/>
      <c r="P801" s="46"/>
      <c r="Q801" s="46"/>
      <c r="R801" s="46"/>
      <c r="S801" s="46"/>
      <c r="T801" s="49"/>
      <c r="U801" s="46"/>
      <c r="V801" s="50"/>
      <c r="W801" s="46"/>
      <c r="X801" s="46"/>
      <c r="Y801" s="46"/>
    </row>
    <row r="802" spans="1:25" x14ac:dyDescent="0.2">
      <c r="A802" s="45"/>
      <c r="B802" s="46"/>
      <c r="C802" s="46"/>
      <c r="D802" s="46"/>
      <c r="E802" s="46"/>
      <c r="F802" s="46"/>
      <c r="G802" s="46"/>
      <c r="H802" s="46"/>
      <c r="I802" s="46"/>
      <c r="J802" s="46"/>
      <c r="K802" s="46"/>
      <c r="L802" s="46"/>
      <c r="M802" s="46"/>
      <c r="N802" s="46"/>
      <c r="O802" s="46"/>
      <c r="P802" s="46"/>
      <c r="Q802" s="46"/>
      <c r="R802" s="46"/>
      <c r="S802" s="46"/>
      <c r="T802" s="49"/>
      <c r="U802" s="46"/>
      <c r="V802" s="50"/>
      <c r="W802" s="46"/>
      <c r="X802" s="46"/>
      <c r="Y802" s="46"/>
    </row>
    <row r="803" spans="1:25" x14ac:dyDescent="0.2">
      <c r="A803" s="45"/>
      <c r="B803" s="46"/>
      <c r="C803" s="46"/>
      <c r="D803" s="46"/>
      <c r="E803" s="46"/>
      <c r="F803" s="46"/>
      <c r="G803" s="46"/>
      <c r="H803" s="46"/>
      <c r="I803" s="46"/>
      <c r="J803" s="46"/>
      <c r="K803" s="46"/>
      <c r="L803" s="46"/>
      <c r="M803" s="46"/>
      <c r="N803" s="46"/>
      <c r="O803" s="46"/>
      <c r="P803" s="46"/>
      <c r="Q803" s="46"/>
      <c r="R803" s="46"/>
      <c r="S803" s="46"/>
      <c r="T803" s="49"/>
      <c r="U803" s="46"/>
      <c r="V803" s="50"/>
      <c r="W803" s="46"/>
      <c r="X803" s="46"/>
      <c r="Y803" s="46"/>
    </row>
    <row r="804" spans="1:25" x14ac:dyDescent="0.2">
      <c r="A804" s="45"/>
      <c r="B804" s="46"/>
      <c r="C804" s="46"/>
      <c r="D804" s="46"/>
      <c r="E804" s="46"/>
      <c r="F804" s="46"/>
      <c r="G804" s="46"/>
      <c r="H804" s="46"/>
      <c r="I804" s="46"/>
      <c r="J804" s="46"/>
      <c r="K804" s="46"/>
      <c r="L804" s="46"/>
      <c r="M804" s="46"/>
      <c r="N804" s="46"/>
      <c r="O804" s="46"/>
      <c r="P804" s="46"/>
      <c r="Q804" s="46"/>
      <c r="R804" s="46"/>
      <c r="S804" s="46"/>
      <c r="T804" s="49"/>
      <c r="U804" s="46"/>
      <c r="V804" s="50"/>
      <c r="W804" s="46"/>
      <c r="X804" s="46"/>
      <c r="Y804" s="46"/>
    </row>
    <row r="805" spans="1:25" x14ac:dyDescent="0.2">
      <c r="A805" s="45"/>
      <c r="B805" s="46"/>
      <c r="C805" s="46"/>
      <c r="D805" s="46"/>
      <c r="E805" s="46"/>
      <c r="F805" s="46"/>
      <c r="G805" s="46"/>
      <c r="H805" s="46"/>
      <c r="I805" s="46"/>
      <c r="J805" s="46"/>
      <c r="K805" s="46"/>
      <c r="L805" s="46"/>
      <c r="M805" s="46"/>
      <c r="N805" s="46"/>
      <c r="O805" s="46"/>
      <c r="P805" s="46"/>
      <c r="Q805" s="46"/>
      <c r="R805" s="46"/>
      <c r="S805" s="46"/>
      <c r="T805" s="49"/>
      <c r="U805" s="46"/>
      <c r="V805" s="50"/>
      <c r="W805" s="46"/>
      <c r="X805" s="46"/>
      <c r="Y805" s="46"/>
    </row>
    <row r="806" spans="1:25" x14ac:dyDescent="0.2">
      <c r="A806" s="45"/>
      <c r="B806" s="46"/>
      <c r="C806" s="46"/>
      <c r="D806" s="46"/>
      <c r="E806" s="46"/>
      <c r="F806" s="46"/>
      <c r="G806" s="46"/>
      <c r="H806" s="46"/>
      <c r="I806" s="46"/>
      <c r="J806" s="46"/>
      <c r="K806" s="46"/>
      <c r="L806" s="46"/>
      <c r="M806" s="46"/>
      <c r="N806" s="46"/>
      <c r="O806" s="46"/>
      <c r="P806" s="46"/>
      <c r="Q806" s="46"/>
      <c r="R806" s="46"/>
      <c r="S806" s="46"/>
      <c r="T806" s="49"/>
      <c r="U806" s="46"/>
      <c r="V806" s="50"/>
      <c r="W806" s="46"/>
      <c r="X806" s="46"/>
      <c r="Y806" s="46"/>
    </row>
    <row r="807" spans="1:25" x14ac:dyDescent="0.2">
      <c r="A807" s="45"/>
      <c r="B807" s="46"/>
      <c r="C807" s="46"/>
      <c r="D807" s="46"/>
      <c r="E807" s="46"/>
      <c r="F807" s="46"/>
      <c r="G807" s="46"/>
      <c r="H807" s="46"/>
      <c r="I807" s="46"/>
      <c r="J807" s="46"/>
      <c r="K807" s="46"/>
      <c r="L807" s="46"/>
      <c r="M807" s="46"/>
      <c r="N807" s="46"/>
      <c r="O807" s="46"/>
      <c r="P807" s="46"/>
      <c r="Q807" s="46"/>
      <c r="R807" s="46"/>
      <c r="S807" s="46"/>
      <c r="T807" s="49"/>
      <c r="U807" s="46"/>
      <c r="V807" s="50"/>
      <c r="W807" s="46"/>
      <c r="X807" s="46"/>
      <c r="Y807" s="46"/>
    </row>
    <row r="808" spans="1:25" x14ac:dyDescent="0.2">
      <c r="A808" s="45"/>
      <c r="B808" s="46"/>
      <c r="C808" s="46"/>
      <c r="D808" s="46"/>
      <c r="E808" s="46"/>
      <c r="F808" s="46"/>
      <c r="G808" s="46"/>
      <c r="H808" s="46"/>
      <c r="I808" s="46"/>
      <c r="J808" s="46"/>
      <c r="K808" s="46"/>
      <c r="L808" s="46"/>
      <c r="M808" s="46"/>
      <c r="N808" s="46"/>
      <c r="O808" s="46"/>
      <c r="P808" s="46"/>
      <c r="Q808" s="46"/>
      <c r="R808" s="46"/>
      <c r="S808" s="46"/>
      <c r="T808" s="49"/>
      <c r="U808" s="46"/>
      <c r="V808" s="50"/>
      <c r="W808" s="46"/>
      <c r="X808" s="46"/>
      <c r="Y808" s="46"/>
    </row>
    <row r="809" spans="1:25" x14ac:dyDescent="0.2">
      <c r="A809" s="45"/>
      <c r="B809" s="46"/>
      <c r="C809" s="46"/>
      <c r="D809" s="46"/>
      <c r="E809" s="46"/>
      <c r="F809" s="46"/>
      <c r="G809" s="46"/>
      <c r="H809" s="46"/>
      <c r="I809" s="46"/>
      <c r="J809" s="46"/>
      <c r="K809" s="46"/>
      <c r="L809" s="46"/>
      <c r="M809" s="46"/>
      <c r="N809" s="46"/>
      <c r="O809" s="46"/>
      <c r="P809" s="46"/>
      <c r="Q809" s="46"/>
      <c r="R809" s="46"/>
      <c r="S809" s="46"/>
      <c r="T809" s="49"/>
      <c r="U809" s="46"/>
      <c r="V809" s="50"/>
      <c r="W809" s="46"/>
      <c r="X809" s="46"/>
      <c r="Y809" s="46"/>
    </row>
    <row r="810" spans="1:25" x14ac:dyDescent="0.2">
      <c r="A810" s="45"/>
      <c r="B810" s="46"/>
      <c r="C810" s="46"/>
      <c r="D810" s="46"/>
      <c r="E810" s="46"/>
      <c r="F810" s="46"/>
      <c r="G810" s="46"/>
      <c r="H810" s="46"/>
      <c r="I810" s="46"/>
      <c r="J810" s="46"/>
      <c r="K810" s="46"/>
      <c r="L810" s="46"/>
      <c r="M810" s="46"/>
      <c r="N810" s="46"/>
      <c r="O810" s="46"/>
      <c r="P810" s="46"/>
      <c r="Q810" s="46"/>
      <c r="R810" s="46"/>
      <c r="S810" s="46"/>
      <c r="T810" s="49"/>
      <c r="U810" s="46"/>
      <c r="V810" s="50"/>
      <c r="W810" s="46"/>
      <c r="X810" s="46"/>
      <c r="Y810" s="46"/>
    </row>
    <row r="811" spans="1:25" x14ac:dyDescent="0.2">
      <c r="A811" s="45"/>
      <c r="B811" s="46"/>
      <c r="C811" s="46"/>
      <c r="D811" s="46"/>
      <c r="E811" s="46"/>
      <c r="F811" s="46"/>
      <c r="G811" s="46"/>
      <c r="H811" s="46"/>
      <c r="I811" s="46"/>
      <c r="J811" s="46"/>
      <c r="K811" s="46"/>
      <c r="L811" s="46"/>
      <c r="M811" s="46"/>
      <c r="N811" s="46"/>
      <c r="O811" s="46"/>
      <c r="P811" s="46"/>
      <c r="Q811" s="46"/>
      <c r="R811" s="46"/>
      <c r="S811" s="46"/>
      <c r="T811" s="49"/>
      <c r="U811" s="46"/>
      <c r="V811" s="50"/>
      <c r="W811" s="46"/>
      <c r="X811" s="46"/>
      <c r="Y811" s="46"/>
    </row>
    <row r="812" spans="1:25" x14ac:dyDescent="0.2">
      <c r="A812" s="45"/>
      <c r="B812" s="46"/>
      <c r="C812" s="46"/>
      <c r="D812" s="46"/>
      <c r="E812" s="46"/>
      <c r="F812" s="46"/>
      <c r="G812" s="46"/>
      <c r="H812" s="46"/>
      <c r="I812" s="46"/>
      <c r="J812" s="46"/>
      <c r="K812" s="46"/>
      <c r="L812" s="46"/>
      <c r="M812" s="46"/>
      <c r="N812" s="46"/>
      <c r="O812" s="46"/>
      <c r="P812" s="46"/>
      <c r="Q812" s="46"/>
      <c r="R812" s="46"/>
      <c r="S812" s="46"/>
      <c r="T812" s="49"/>
      <c r="U812" s="46"/>
      <c r="V812" s="50"/>
      <c r="W812" s="46"/>
      <c r="X812" s="46"/>
      <c r="Y812" s="46"/>
    </row>
    <row r="813" spans="1:25" x14ac:dyDescent="0.2">
      <c r="A813" s="45"/>
      <c r="B813" s="46"/>
      <c r="C813" s="46"/>
      <c r="D813" s="46"/>
      <c r="E813" s="46"/>
      <c r="F813" s="46"/>
      <c r="G813" s="46"/>
      <c r="H813" s="46"/>
      <c r="I813" s="46"/>
      <c r="J813" s="46"/>
      <c r="K813" s="46"/>
      <c r="L813" s="46"/>
      <c r="M813" s="46"/>
      <c r="N813" s="46"/>
      <c r="O813" s="46"/>
      <c r="P813" s="46"/>
      <c r="Q813" s="46"/>
      <c r="R813" s="46"/>
      <c r="S813" s="46"/>
      <c r="T813" s="49"/>
      <c r="U813" s="46"/>
      <c r="V813" s="50"/>
      <c r="W813" s="46"/>
      <c r="X813" s="46"/>
      <c r="Y813" s="46"/>
    </row>
    <row r="814" spans="1:25" x14ac:dyDescent="0.2">
      <c r="A814" s="45"/>
      <c r="B814" s="46"/>
      <c r="C814" s="46"/>
      <c r="D814" s="46"/>
      <c r="E814" s="46"/>
      <c r="F814" s="46"/>
      <c r="G814" s="46"/>
      <c r="H814" s="46"/>
      <c r="I814" s="46"/>
      <c r="J814" s="46"/>
      <c r="K814" s="46"/>
      <c r="L814" s="46"/>
      <c r="M814" s="46"/>
      <c r="N814" s="46"/>
      <c r="O814" s="46"/>
      <c r="P814" s="46"/>
      <c r="Q814" s="46"/>
      <c r="R814" s="46"/>
      <c r="S814" s="46"/>
      <c r="T814" s="49"/>
      <c r="U814" s="46"/>
      <c r="V814" s="50"/>
      <c r="W814" s="46"/>
      <c r="X814" s="46"/>
      <c r="Y814" s="46"/>
    </row>
    <row r="815" spans="1:25" x14ac:dyDescent="0.2">
      <c r="A815" s="45"/>
      <c r="B815" s="46"/>
      <c r="C815" s="46"/>
      <c r="D815" s="46"/>
      <c r="E815" s="46"/>
      <c r="F815" s="46"/>
      <c r="G815" s="46"/>
      <c r="H815" s="46"/>
      <c r="I815" s="46"/>
      <c r="J815" s="46"/>
      <c r="K815" s="46"/>
      <c r="L815" s="46"/>
      <c r="M815" s="46"/>
      <c r="N815" s="46"/>
      <c r="O815" s="46"/>
      <c r="P815" s="46"/>
      <c r="Q815" s="46"/>
      <c r="R815" s="46"/>
      <c r="S815" s="46"/>
      <c r="T815" s="49"/>
      <c r="U815" s="46"/>
      <c r="V815" s="50"/>
      <c r="W815" s="46"/>
      <c r="X815" s="46"/>
      <c r="Y815" s="46"/>
    </row>
    <row r="816" spans="1:25" x14ac:dyDescent="0.2">
      <c r="A816" s="45"/>
      <c r="B816" s="46"/>
      <c r="C816" s="46"/>
      <c r="D816" s="46"/>
      <c r="E816" s="46"/>
      <c r="F816" s="46"/>
      <c r="G816" s="46"/>
      <c r="H816" s="46"/>
      <c r="I816" s="46"/>
      <c r="J816" s="46"/>
      <c r="K816" s="46"/>
      <c r="L816" s="46"/>
      <c r="M816" s="46"/>
      <c r="N816" s="46"/>
      <c r="O816" s="46"/>
      <c r="P816" s="46"/>
      <c r="Q816" s="46"/>
      <c r="R816" s="46"/>
      <c r="S816" s="46"/>
      <c r="T816" s="49"/>
      <c r="U816" s="46"/>
      <c r="V816" s="50"/>
      <c r="W816" s="46"/>
      <c r="X816" s="46"/>
      <c r="Y816" s="46"/>
    </row>
    <row r="817" spans="1:25" x14ac:dyDescent="0.2">
      <c r="A817" s="45"/>
      <c r="B817" s="46"/>
      <c r="C817" s="46"/>
      <c r="D817" s="46"/>
      <c r="E817" s="46"/>
      <c r="F817" s="46"/>
      <c r="G817" s="46"/>
      <c r="H817" s="46"/>
      <c r="I817" s="46"/>
      <c r="J817" s="46"/>
      <c r="K817" s="46"/>
      <c r="L817" s="46"/>
      <c r="M817" s="46"/>
      <c r="N817" s="46"/>
      <c r="O817" s="46"/>
      <c r="P817" s="46"/>
      <c r="Q817" s="46"/>
      <c r="R817" s="46"/>
      <c r="S817" s="46"/>
      <c r="T817" s="49"/>
      <c r="U817" s="46"/>
      <c r="V817" s="50"/>
      <c r="W817" s="46"/>
      <c r="X817" s="46"/>
      <c r="Y817" s="46"/>
    </row>
    <row r="818" spans="1:25" x14ac:dyDescent="0.2">
      <c r="A818" s="45"/>
      <c r="B818" s="46"/>
      <c r="C818" s="46"/>
      <c r="D818" s="46"/>
      <c r="E818" s="46"/>
      <c r="F818" s="46"/>
      <c r="G818" s="46"/>
      <c r="H818" s="46"/>
      <c r="I818" s="46"/>
      <c r="J818" s="46"/>
      <c r="K818" s="46"/>
      <c r="L818" s="46"/>
      <c r="M818" s="46"/>
      <c r="N818" s="46"/>
      <c r="O818" s="46"/>
      <c r="P818" s="46"/>
      <c r="Q818" s="46"/>
      <c r="R818" s="46"/>
      <c r="S818" s="46"/>
      <c r="T818" s="49"/>
      <c r="U818" s="46"/>
      <c r="V818" s="50"/>
      <c r="W818" s="46"/>
      <c r="X818" s="46"/>
      <c r="Y818" s="46"/>
    </row>
    <row r="819" spans="1:25" x14ac:dyDescent="0.2">
      <c r="A819" s="45"/>
      <c r="B819" s="46"/>
      <c r="C819" s="46"/>
      <c r="D819" s="46"/>
      <c r="E819" s="46"/>
      <c r="F819" s="46"/>
      <c r="G819" s="46"/>
      <c r="H819" s="46"/>
      <c r="I819" s="46"/>
      <c r="J819" s="46"/>
      <c r="K819" s="46"/>
      <c r="L819" s="46"/>
      <c r="M819" s="46"/>
      <c r="N819" s="46"/>
      <c r="O819" s="46"/>
      <c r="P819" s="46"/>
      <c r="Q819" s="46"/>
      <c r="R819" s="46"/>
      <c r="S819" s="46"/>
      <c r="T819" s="49"/>
      <c r="U819" s="46"/>
      <c r="V819" s="50"/>
      <c r="W819" s="46"/>
      <c r="X819" s="46"/>
      <c r="Y819" s="46"/>
    </row>
    <row r="820" spans="1:25" x14ac:dyDescent="0.2">
      <c r="A820" s="45"/>
      <c r="B820" s="46"/>
      <c r="C820" s="46"/>
      <c r="D820" s="46"/>
      <c r="E820" s="46"/>
      <c r="F820" s="46"/>
      <c r="G820" s="46"/>
      <c r="H820" s="46"/>
      <c r="I820" s="46"/>
      <c r="J820" s="46"/>
      <c r="K820" s="46"/>
      <c r="L820" s="46"/>
      <c r="M820" s="46"/>
      <c r="N820" s="46"/>
      <c r="O820" s="46"/>
      <c r="P820" s="46"/>
      <c r="Q820" s="46"/>
      <c r="R820" s="46"/>
      <c r="S820" s="46"/>
      <c r="T820" s="49"/>
      <c r="U820" s="46"/>
      <c r="V820" s="50"/>
      <c r="W820" s="46"/>
      <c r="X820" s="46"/>
      <c r="Y820" s="46"/>
    </row>
    <row r="821" spans="1:25" x14ac:dyDescent="0.2">
      <c r="A821" s="45"/>
      <c r="B821" s="46"/>
      <c r="C821" s="46"/>
      <c r="D821" s="46"/>
      <c r="E821" s="46"/>
      <c r="F821" s="46"/>
      <c r="G821" s="46"/>
      <c r="H821" s="46"/>
      <c r="I821" s="46"/>
      <c r="J821" s="46"/>
      <c r="K821" s="46"/>
      <c r="L821" s="46"/>
      <c r="M821" s="46"/>
      <c r="N821" s="46"/>
      <c r="O821" s="46"/>
      <c r="P821" s="46"/>
      <c r="Q821" s="46"/>
      <c r="R821" s="46"/>
      <c r="S821" s="46"/>
      <c r="T821" s="49"/>
      <c r="U821" s="46"/>
      <c r="V821" s="50"/>
      <c r="W821" s="46"/>
      <c r="X821" s="46"/>
      <c r="Y821" s="46"/>
    </row>
    <row r="822" spans="1:25" x14ac:dyDescent="0.2">
      <c r="A822" s="45"/>
      <c r="B822" s="46"/>
      <c r="C822" s="46"/>
      <c r="D822" s="46"/>
      <c r="E822" s="46"/>
      <c r="F822" s="46"/>
      <c r="G822" s="46"/>
      <c r="H822" s="46"/>
      <c r="I822" s="46"/>
      <c r="J822" s="46"/>
      <c r="K822" s="46"/>
      <c r="L822" s="46"/>
      <c r="M822" s="46"/>
      <c r="N822" s="46"/>
      <c r="O822" s="46"/>
      <c r="P822" s="46"/>
      <c r="Q822" s="46"/>
      <c r="R822" s="46"/>
      <c r="S822" s="46"/>
      <c r="T822" s="49"/>
      <c r="U822" s="46"/>
      <c r="V822" s="50"/>
      <c r="W822" s="46"/>
      <c r="X822" s="46"/>
      <c r="Y822" s="46"/>
    </row>
    <row r="823" spans="1:25" x14ac:dyDescent="0.2">
      <c r="A823" s="45"/>
      <c r="B823" s="46"/>
      <c r="C823" s="46"/>
      <c r="D823" s="46"/>
      <c r="E823" s="46"/>
      <c r="F823" s="46"/>
      <c r="G823" s="46"/>
      <c r="H823" s="46"/>
      <c r="I823" s="46"/>
      <c r="J823" s="46"/>
      <c r="K823" s="46"/>
      <c r="L823" s="46"/>
      <c r="M823" s="46"/>
      <c r="N823" s="46"/>
      <c r="O823" s="46"/>
      <c r="P823" s="46"/>
      <c r="Q823" s="46"/>
      <c r="R823" s="46"/>
      <c r="S823" s="46"/>
      <c r="T823" s="49"/>
      <c r="U823" s="46"/>
      <c r="V823" s="50"/>
      <c r="W823" s="46"/>
      <c r="X823" s="46"/>
      <c r="Y823" s="46"/>
    </row>
    <row r="824" spans="1:25" x14ac:dyDescent="0.2">
      <c r="A824" s="45"/>
      <c r="B824" s="46"/>
      <c r="C824" s="46"/>
      <c r="D824" s="46"/>
      <c r="E824" s="46"/>
      <c r="F824" s="46"/>
      <c r="G824" s="46"/>
      <c r="H824" s="46"/>
      <c r="I824" s="46"/>
      <c r="J824" s="46"/>
      <c r="K824" s="46"/>
      <c r="L824" s="46"/>
      <c r="M824" s="46"/>
      <c r="N824" s="46"/>
      <c r="O824" s="46"/>
      <c r="P824" s="46"/>
      <c r="Q824" s="46"/>
      <c r="R824" s="46"/>
      <c r="S824" s="46"/>
      <c r="T824" s="49"/>
      <c r="U824" s="46"/>
      <c r="V824" s="50"/>
      <c r="W824" s="46"/>
      <c r="X824" s="46"/>
      <c r="Y824" s="46"/>
    </row>
    <row r="825" spans="1:25" x14ac:dyDescent="0.2">
      <c r="A825" s="45"/>
      <c r="B825" s="46"/>
      <c r="C825" s="46"/>
      <c r="D825" s="46"/>
      <c r="E825" s="46"/>
      <c r="F825" s="46"/>
      <c r="G825" s="46"/>
      <c r="H825" s="46"/>
      <c r="I825" s="46"/>
      <c r="J825" s="46"/>
      <c r="K825" s="46"/>
      <c r="L825" s="46"/>
      <c r="M825" s="46"/>
      <c r="N825" s="46"/>
      <c r="O825" s="46"/>
      <c r="P825" s="46"/>
      <c r="Q825" s="46"/>
      <c r="R825" s="46"/>
      <c r="S825" s="46"/>
      <c r="T825" s="49"/>
      <c r="U825" s="46"/>
      <c r="V825" s="50"/>
      <c r="W825" s="46"/>
      <c r="X825" s="46"/>
      <c r="Y825" s="46"/>
    </row>
    <row r="826" spans="1:25" x14ac:dyDescent="0.2">
      <c r="A826" s="45"/>
      <c r="B826" s="46"/>
      <c r="C826" s="46"/>
      <c r="D826" s="46"/>
      <c r="E826" s="46"/>
      <c r="F826" s="46"/>
      <c r="G826" s="46"/>
      <c r="H826" s="46"/>
      <c r="I826" s="46"/>
      <c r="J826" s="46"/>
      <c r="K826" s="46"/>
      <c r="L826" s="46"/>
      <c r="M826" s="46"/>
      <c r="N826" s="46"/>
      <c r="O826" s="46"/>
      <c r="P826" s="46"/>
      <c r="Q826" s="46"/>
      <c r="R826" s="46"/>
      <c r="S826" s="46"/>
      <c r="T826" s="49"/>
      <c r="U826" s="46"/>
      <c r="V826" s="50"/>
      <c r="W826" s="46"/>
      <c r="X826" s="46"/>
      <c r="Y826" s="46"/>
    </row>
    <row r="827" spans="1:25" x14ac:dyDescent="0.2">
      <c r="A827" s="45"/>
      <c r="B827" s="46"/>
      <c r="C827" s="46"/>
      <c r="D827" s="46"/>
      <c r="E827" s="46"/>
      <c r="F827" s="46"/>
      <c r="G827" s="46"/>
      <c r="H827" s="46"/>
      <c r="I827" s="46"/>
      <c r="J827" s="46"/>
      <c r="K827" s="46"/>
      <c r="L827" s="46"/>
      <c r="M827" s="46"/>
      <c r="N827" s="46"/>
      <c r="O827" s="46"/>
      <c r="P827" s="46"/>
      <c r="Q827" s="46"/>
      <c r="R827" s="46"/>
      <c r="S827" s="46"/>
      <c r="T827" s="49"/>
      <c r="U827" s="46"/>
      <c r="V827" s="50"/>
      <c r="W827" s="46"/>
      <c r="X827" s="46"/>
      <c r="Y827" s="46"/>
    </row>
    <row r="828" spans="1:25" x14ac:dyDescent="0.2">
      <c r="A828" s="45"/>
      <c r="B828" s="46"/>
      <c r="C828" s="46"/>
      <c r="D828" s="46"/>
      <c r="E828" s="46"/>
      <c r="F828" s="46"/>
      <c r="G828" s="46"/>
      <c r="H828" s="46"/>
      <c r="I828" s="46"/>
      <c r="J828" s="46"/>
      <c r="K828" s="46"/>
      <c r="L828" s="46"/>
      <c r="M828" s="46"/>
      <c r="N828" s="46"/>
      <c r="O828" s="46"/>
      <c r="P828" s="46"/>
      <c r="Q828" s="46"/>
      <c r="R828" s="46"/>
      <c r="S828" s="46"/>
      <c r="T828" s="49"/>
      <c r="U828" s="46"/>
      <c r="V828" s="50"/>
      <c r="W828" s="46"/>
      <c r="X828" s="46"/>
      <c r="Y828" s="46"/>
    </row>
    <row r="829" spans="1:25" x14ac:dyDescent="0.2">
      <c r="A829" s="45"/>
      <c r="B829" s="46"/>
      <c r="C829" s="46"/>
      <c r="D829" s="46"/>
      <c r="E829" s="46"/>
      <c r="F829" s="46"/>
      <c r="G829" s="46"/>
      <c r="H829" s="46"/>
      <c r="I829" s="46"/>
      <c r="J829" s="46"/>
      <c r="K829" s="46"/>
      <c r="L829" s="46"/>
      <c r="M829" s="46"/>
      <c r="N829" s="46"/>
      <c r="O829" s="46"/>
      <c r="P829" s="46"/>
      <c r="Q829" s="46"/>
      <c r="R829" s="46"/>
      <c r="S829" s="46"/>
      <c r="T829" s="49"/>
      <c r="U829" s="46"/>
      <c r="V829" s="50"/>
      <c r="W829" s="46"/>
      <c r="X829" s="46"/>
      <c r="Y829" s="46"/>
    </row>
    <row r="830" spans="1:25" x14ac:dyDescent="0.2">
      <c r="A830" s="45"/>
      <c r="B830" s="46"/>
      <c r="C830" s="46"/>
      <c r="D830" s="46"/>
      <c r="E830" s="46"/>
      <c r="F830" s="46"/>
      <c r="G830" s="46"/>
      <c r="H830" s="46"/>
      <c r="I830" s="46"/>
      <c r="J830" s="46"/>
      <c r="K830" s="46"/>
      <c r="L830" s="46"/>
      <c r="M830" s="46"/>
      <c r="N830" s="46"/>
      <c r="O830" s="46"/>
      <c r="P830" s="46"/>
      <c r="Q830" s="46"/>
      <c r="R830" s="46"/>
      <c r="S830" s="46"/>
      <c r="T830" s="49"/>
      <c r="U830" s="46"/>
      <c r="V830" s="50"/>
      <c r="W830" s="46"/>
      <c r="X830" s="46"/>
      <c r="Y830" s="46"/>
    </row>
    <row r="831" spans="1:25" x14ac:dyDescent="0.2">
      <c r="A831" s="45"/>
      <c r="B831" s="46"/>
      <c r="C831" s="46"/>
      <c r="D831" s="46"/>
      <c r="E831" s="46"/>
      <c r="F831" s="46"/>
      <c r="G831" s="46"/>
      <c r="H831" s="46"/>
      <c r="I831" s="46"/>
      <c r="J831" s="46"/>
      <c r="K831" s="46"/>
      <c r="L831" s="46"/>
      <c r="M831" s="46"/>
      <c r="N831" s="46"/>
      <c r="O831" s="46"/>
      <c r="P831" s="46"/>
      <c r="Q831" s="46"/>
      <c r="R831" s="46"/>
      <c r="S831" s="46"/>
      <c r="T831" s="49"/>
      <c r="U831" s="46"/>
      <c r="V831" s="50"/>
      <c r="W831" s="46"/>
      <c r="X831" s="46"/>
      <c r="Y831" s="46"/>
    </row>
    <row r="832" spans="1:25" x14ac:dyDescent="0.2">
      <c r="A832" s="45"/>
      <c r="B832" s="46"/>
      <c r="C832" s="46"/>
      <c r="D832" s="46"/>
      <c r="E832" s="46"/>
      <c r="F832" s="46"/>
      <c r="G832" s="46"/>
      <c r="H832" s="46"/>
      <c r="I832" s="46"/>
      <c r="J832" s="46"/>
      <c r="K832" s="46"/>
      <c r="L832" s="46"/>
      <c r="M832" s="46"/>
      <c r="N832" s="46"/>
      <c r="O832" s="46"/>
      <c r="P832" s="46"/>
      <c r="Q832" s="46"/>
      <c r="R832" s="46"/>
      <c r="S832" s="46"/>
      <c r="T832" s="49"/>
      <c r="U832" s="46"/>
      <c r="V832" s="50"/>
      <c r="W832" s="46"/>
      <c r="X832" s="46"/>
      <c r="Y832" s="46"/>
    </row>
    <row r="833" spans="1:25" x14ac:dyDescent="0.2">
      <c r="A833" s="45"/>
      <c r="B833" s="46"/>
      <c r="C833" s="46"/>
      <c r="D833" s="46"/>
      <c r="E833" s="46"/>
      <c r="F833" s="46"/>
      <c r="G833" s="46"/>
      <c r="H833" s="46"/>
      <c r="I833" s="46"/>
      <c r="J833" s="46"/>
      <c r="K833" s="46"/>
      <c r="L833" s="46"/>
      <c r="M833" s="46"/>
      <c r="N833" s="46"/>
      <c r="O833" s="46"/>
      <c r="P833" s="46"/>
      <c r="Q833" s="46"/>
      <c r="R833" s="46"/>
      <c r="S833" s="46"/>
      <c r="T833" s="49"/>
      <c r="U833" s="46"/>
      <c r="V833" s="50"/>
      <c r="W833" s="46"/>
      <c r="X833" s="46"/>
      <c r="Y833" s="46"/>
    </row>
    <row r="834" spans="1:25" x14ac:dyDescent="0.2">
      <c r="A834" s="45"/>
      <c r="B834" s="46"/>
      <c r="C834" s="46"/>
      <c r="D834" s="46"/>
      <c r="E834" s="46"/>
      <c r="F834" s="46"/>
      <c r="G834" s="46"/>
      <c r="H834" s="46"/>
      <c r="I834" s="46"/>
      <c r="J834" s="46"/>
      <c r="K834" s="46"/>
      <c r="L834" s="46"/>
      <c r="M834" s="46"/>
      <c r="N834" s="46"/>
      <c r="O834" s="46"/>
      <c r="P834" s="46"/>
      <c r="Q834" s="46"/>
      <c r="R834" s="46"/>
      <c r="S834" s="46"/>
      <c r="T834" s="49"/>
      <c r="U834" s="46"/>
      <c r="V834" s="50"/>
      <c r="W834" s="46"/>
      <c r="X834" s="46"/>
      <c r="Y834" s="46"/>
    </row>
    <row r="835" spans="1:25" x14ac:dyDescent="0.2">
      <c r="A835" s="45"/>
      <c r="B835" s="46"/>
      <c r="C835" s="46"/>
      <c r="D835" s="46"/>
      <c r="E835" s="46"/>
      <c r="F835" s="46"/>
      <c r="G835" s="46"/>
      <c r="H835" s="46"/>
      <c r="I835" s="46"/>
      <c r="J835" s="46"/>
      <c r="K835" s="46"/>
      <c r="L835" s="46"/>
      <c r="M835" s="46"/>
      <c r="N835" s="46"/>
      <c r="O835" s="46"/>
      <c r="P835" s="46"/>
      <c r="Q835" s="46"/>
      <c r="R835" s="46"/>
      <c r="S835" s="46"/>
      <c r="T835" s="49"/>
      <c r="U835" s="46"/>
      <c r="V835" s="50"/>
      <c r="W835" s="46"/>
      <c r="X835" s="46"/>
      <c r="Y835" s="46"/>
    </row>
    <row r="836" spans="1:25" x14ac:dyDescent="0.2">
      <c r="A836" s="45"/>
      <c r="B836" s="46"/>
      <c r="C836" s="46"/>
      <c r="D836" s="46"/>
      <c r="E836" s="46"/>
      <c r="F836" s="46"/>
      <c r="G836" s="46"/>
      <c r="H836" s="46"/>
      <c r="I836" s="46"/>
      <c r="J836" s="46"/>
      <c r="K836" s="46"/>
      <c r="L836" s="46"/>
      <c r="M836" s="46"/>
      <c r="N836" s="46"/>
      <c r="O836" s="46"/>
      <c r="P836" s="46"/>
      <c r="Q836" s="46"/>
      <c r="R836" s="46"/>
      <c r="S836" s="46"/>
      <c r="T836" s="49"/>
      <c r="U836" s="46"/>
      <c r="V836" s="50"/>
      <c r="W836" s="46"/>
      <c r="X836" s="46"/>
      <c r="Y836" s="46"/>
    </row>
    <row r="837" spans="1:25" x14ac:dyDescent="0.2">
      <c r="A837" s="45"/>
      <c r="B837" s="46"/>
      <c r="C837" s="46"/>
      <c r="D837" s="46"/>
      <c r="E837" s="46"/>
      <c r="F837" s="46"/>
      <c r="G837" s="46"/>
      <c r="H837" s="46"/>
      <c r="I837" s="46"/>
      <c r="J837" s="46"/>
      <c r="K837" s="46"/>
      <c r="L837" s="46"/>
      <c r="M837" s="46"/>
      <c r="N837" s="46"/>
      <c r="O837" s="46"/>
      <c r="P837" s="46"/>
      <c r="Q837" s="46"/>
      <c r="R837" s="46"/>
      <c r="S837" s="46"/>
      <c r="T837" s="49"/>
      <c r="U837" s="46"/>
      <c r="V837" s="50"/>
      <c r="W837" s="46"/>
      <c r="X837" s="46"/>
      <c r="Y837" s="46"/>
    </row>
    <row r="838" spans="1:25" x14ac:dyDescent="0.2">
      <c r="A838" s="45"/>
      <c r="B838" s="46"/>
      <c r="C838" s="46"/>
      <c r="D838" s="46"/>
      <c r="E838" s="46"/>
      <c r="F838" s="46"/>
      <c r="G838" s="46"/>
      <c r="H838" s="46"/>
      <c r="I838" s="46"/>
      <c r="J838" s="46"/>
      <c r="K838" s="46"/>
      <c r="L838" s="46"/>
      <c r="M838" s="46"/>
      <c r="N838" s="46"/>
      <c r="O838" s="46"/>
      <c r="P838" s="46"/>
      <c r="Q838" s="46"/>
      <c r="R838" s="46"/>
      <c r="S838" s="46"/>
      <c r="T838" s="49"/>
      <c r="U838" s="46"/>
      <c r="V838" s="50"/>
      <c r="W838" s="46"/>
      <c r="X838" s="46"/>
      <c r="Y838" s="46"/>
    </row>
    <row r="839" spans="1:25" x14ac:dyDescent="0.2">
      <c r="A839" s="45"/>
      <c r="B839" s="46"/>
      <c r="C839" s="46"/>
      <c r="D839" s="46"/>
      <c r="E839" s="46"/>
      <c r="F839" s="46"/>
      <c r="G839" s="46"/>
      <c r="H839" s="46"/>
      <c r="I839" s="46"/>
      <c r="J839" s="46"/>
      <c r="K839" s="46"/>
      <c r="L839" s="46"/>
      <c r="M839" s="46"/>
      <c r="N839" s="46"/>
      <c r="O839" s="46"/>
      <c r="P839" s="46"/>
      <c r="Q839" s="46"/>
      <c r="R839" s="46"/>
      <c r="S839" s="46"/>
      <c r="T839" s="49"/>
      <c r="U839" s="46"/>
      <c r="V839" s="50"/>
      <c r="W839" s="46"/>
      <c r="X839" s="46"/>
      <c r="Y839" s="46"/>
    </row>
    <row r="840" spans="1:25" x14ac:dyDescent="0.2">
      <c r="A840" s="45"/>
      <c r="B840" s="46"/>
      <c r="C840" s="46"/>
      <c r="D840" s="46"/>
      <c r="E840" s="46"/>
      <c r="F840" s="46"/>
      <c r="G840" s="46"/>
      <c r="H840" s="46"/>
      <c r="I840" s="46"/>
      <c r="J840" s="46"/>
      <c r="K840" s="46"/>
      <c r="L840" s="46"/>
      <c r="M840" s="46"/>
      <c r="N840" s="46"/>
      <c r="O840" s="46"/>
      <c r="P840" s="46"/>
      <c r="Q840" s="46"/>
      <c r="R840" s="46"/>
      <c r="S840" s="46"/>
      <c r="T840" s="49"/>
      <c r="U840" s="46"/>
      <c r="V840" s="50"/>
      <c r="W840" s="46"/>
      <c r="X840" s="46"/>
      <c r="Y840" s="46"/>
    </row>
    <row r="841" spans="1:25" x14ac:dyDescent="0.2">
      <c r="A841" s="45"/>
      <c r="B841" s="46"/>
      <c r="C841" s="46"/>
      <c r="D841" s="46"/>
      <c r="E841" s="46"/>
      <c r="F841" s="46"/>
      <c r="G841" s="46"/>
      <c r="H841" s="46"/>
      <c r="I841" s="46"/>
      <c r="J841" s="46"/>
      <c r="K841" s="46"/>
      <c r="L841" s="46"/>
      <c r="M841" s="46"/>
      <c r="N841" s="46"/>
      <c r="O841" s="46"/>
      <c r="P841" s="46"/>
      <c r="Q841" s="46"/>
      <c r="R841" s="46"/>
      <c r="S841" s="46"/>
      <c r="T841" s="49"/>
      <c r="U841" s="46"/>
      <c r="V841" s="50"/>
      <c r="W841" s="46"/>
      <c r="X841" s="46"/>
      <c r="Y841" s="46"/>
    </row>
    <row r="842" spans="1:25" x14ac:dyDescent="0.2">
      <c r="A842" s="45"/>
      <c r="B842" s="46"/>
      <c r="C842" s="46"/>
      <c r="D842" s="46"/>
      <c r="E842" s="46"/>
      <c r="F842" s="46"/>
      <c r="G842" s="46"/>
      <c r="H842" s="46"/>
      <c r="I842" s="46"/>
      <c r="J842" s="46"/>
      <c r="K842" s="46"/>
      <c r="L842" s="46"/>
      <c r="M842" s="46"/>
      <c r="N842" s="46"/>
      <c r="O842" s="46"/>
      <c r="P842" s="46"/>
      <c r="Q842" s="46"/>
      <c r="R842" s="46"/>
      <c r="S842" s="46"/>
      <c r="T842" s="49"/>
      <c r="U842" s="46"/>
      <c r="V842" s="50"/>
      <c r="W842" s="46"/>
      <c r="X842" s="46"/>
      <c r="Y842" s="46"/>
    </row>
    <row r="843" spans="1:25" x14ac:dyDescent="0.2">
      <c r="A843" s="45"/>
      <c r="B843" s="46"/>
      <c r="C843" s="46"/>
      <c r="D843" s="46"/>
      <c r="E843" s="46"/>
      <c r="F843" s="46"/>
      <c r="G843" s="46"/>
      <c r="H843" s="46"/>
      <c r="I843" s="46"/>
      <c r="J843" s="46"/>
      <c r="K843" s="46"/>
      <c r="L843" s="46"/>
      <c r="M843" s="46"/>
      <c r="N843" s="46"/>
      <c r="O843" s="46"/>
      <c r="P843" s="46"/>
      <c r="Q843" s="46"/>
      <c r="R843" s="46"/>
      <c r="S843" s="46"/>
      <c r="T843" s="49"/>
      <c r="U843" s="46"/>
      <c r="V843" s="50"/>
      <c r="W843" s="46"/>
      <c r="X843" s="46"/>
      <c r="Y843" s="46"/>
    </row>
    <row r="844" spans="1:25" x14ac:dyDescent="0.2">
      <c r="A844" s="45"/>
      <c r="B844" s="46"/>
      <c r="C844" s="46"/>
      <c r="D844" s="46"/>
      <c r="E844" s="46"/>
      <c r="F844" s="46"/>
      <c r="G844" s="46"/>
      <c r="H844" s="46"/>
      <c r="I844" s="46"/>
      <c r="J844" s="46"/>
      <c r="K844" s="46"/>
      <c r="L844" s="46"/>
      <c r="M844" s="46"/>
      <c r="N844" s="46"/>
      <c r="O844" s="46"/>
      <c r="P844" s="46"/>
      <c r="Q844" s="46"/>
      <c r="R844" s="46"/>
      <c r="S844" s="46"/>
      <c r="T844" s="49"/>
      <c r="U844" s="46"/>
      <c r="V844" s="50"/>
      <c r="W844" s="46"/>
      <c r="X844" s="46"/>
      <c r="Y844" s="46"/>
    </row>
    <row r="845" spans="1:25" x14ac:dyDescent="0.2">
      <c r="A845" s="45"/>
      <c r="B845" s="46"/>
      <c r="C845" s="46"/>
      <c r="D845" s="46"/>
      <c r="E845" s="46"/>
      <c r="F845" s="46"/>
      <c r="G845" s="46"/>
      <c r="H845" s="46"/>
      <c r="I845" s="46"/>
      <c r="J845" s="46"/>
      <c r="K845" s="46"/>
      <c r="L845" s="46"/>
      <c r="M845" s="46"/>
      <c r="N845" s="46"/>
      <c r="O845" s="46"/>
      <c r="P845" s="46"/>
      <c r="Q845" s="46"/>
      <c r="R845" s="46"/>
      <c r="S845" s="46"/>
      <c r="T845" s="49"/>
      <c r="U845" s="46"/>
      <c r="V845" s="50"/>
      <c r="W845" s="46"/>
      <c r="X845" s="46"/>
      <c r="Y845" s="46"/>
    </row>
    <row r="846" spans="1:25" x14ac:dyDescent="0.2">
      <c r="A846" s="45"/>
      <c r="B846" s="46"/>
      <c r="C846" s="46"/>
      <c r="D846" s="46"/>
      <c r="E846" s="46"/>
      <c r="F846" s="46"/>
      <c r="G846" s="46"/>
      <c r="H846" s="46"/>
      <c r="I846" s="46"/>
      <c r="J846" s="46"/>
      <c r="K846" s="46"/>
      <c r="L846" s="46"/>
      <c r="M846" s="46"/>
      <c r="N846" s="46"/>
      <c r="O846" s="46"/>
      <c r="P846" s="46"/>
      <c r="Q846" s="46"/>
      <c r="R846" s="46"/>
      <c r="S846" s="46"/>
      <c r="T846" s="49"/>
      <c r="U846" s="46"/>
      <c r="V846" s="50"/>
      <c r="W846" s="46"/>
      <c r="X846" s="46"/>
      <c r="Y846" s="46"/>
    </row>
    <row r="847" spans="1:25" x14ac:dyDescent="0.2">
      <c r="A847" s="45"/>
      <c r="B847" s="46"/>
      <c r="C847" s="46"/>
      <c r="D847" s="46"/>
      <c r="E847" s="46"/>
      <c r="F847" s="46"/>
      <c r="G847" s="46"/>
      <c r="H847" s="46"/>
      <c r="I847" s="46"/>
      <c r="J847" s="46"/>
      <c r="K847" s="46"/>
      <c r="L847" s="46"/>
      <c r="M847" s="46"/>
      <c r="N847" s="46"/>
      <c r="O847" s="46"/>
      <c r="P847" s="46"/>
      <c r="Q847" s="46"/>
      <c r="R847" s="46"/>
      <c r="S847" s="46"/>
      <c r="T847" s="49"/>
      <c r="U847" s="46"/>
      <c r="V847" s="50"/>
      <c r="W847" s="46"/>
      <c r="X847" s="46"/>
      <c r="Y847" s="46"/>
    </row>
    <row r="848" spans="1:25" x14ac:dyDescent="0.2">
      <c r="A848" s="45"/>
      <c r="B848" s="46"/>
      <c r="C848" s="46"/>
      <c r="D848" s="46"/>
      <c r="E848" s="46"/>
      <c r="F848" s="46"/>
      <c r="G848" s="46"/>
      <c r="H848" s="46"/>
      <c r="I848" s="46"/>
      <c r="J848" s="46"/>
      <c r="K848" s="46"/>
      <c r="L848" s="46"/>
      <c r="M848" s="46"/>
      <c r="N848" s="46"/>
      <c r="O848" s="46"/>
      <c r="P848" s="46"/>
      <c r="Q848" s="46"/>
      <c r="R848" s="46"/>
      <c r="S848" s="46"/>
      <c r="T848" s="49"/>
      <c r="U848" s="46"/>
      <c r="V848" s="50"/>
      <c r="W848" s="46"/>
      <c r="X848" s="46"/>
      <c r="Y848" s="46"/>
    </row>
    <row r="849" spans="1:25" x14ac:dyDescent="0.2">
      <c r="A849" s="45"/>
      <c r="B849" s="46"/>
      <c r="C849" s="46"/>
      <c r="D849" s="46"/>
      <c r="E849" s="46"/>
      <c r="F849" s="46"/>
      <c r="G849" s="46"/>
      <c r="H849" s="46"/>
      <c r="I849" s="46"/>
      <c r="J849" s="46"/>
      <c r="K849" s="46"/>
      <c r="L849" s="46"/>
      <c r="M849" s="46"/>
      <c r="N849" s="46"/>
      <c r="O849" s="46"/>
      <c r="P849" s="46"/>
      <c r="Q849" s="46"/>
      <c r="R849" s="46"/>
      <c r="S849" s="46"/>
      <c r="T849" s="49"/>
      <c r="U849" s="46"/>
      <c r="V849" s="50"/>
      <c r="W849" s="46"/>
      <c r="X849" s="46"/>
      <c r="Y849" s="46"/>
    </row>
    <row r="850" spans="1:25" x14ac:dyDescent="0.2">
      <c r="A850" s="45"/>
      <c r="B850" s="46"/>
      <c r="C850" s="46"/>
      <c r="D850" s="46"/>
      <c r="E850" s="46"/>
      <c r="F850" s="46"/>
      <c r="G850" s="46"/>
      <c r="H850" s="46"/>
      <c r="I850" s="46"/>
      <c r="J850" s="46"/>
      <c r="K850" s="46"/>
      <c r="L850" s="46"/>
      <c r="M850" s="46"/>
      <c r="N850" s="46"/>
      <c r="O850" s="46"/>
      <c r="P850" s="46"/>
      <c r="Q850" s="46"/>
      <c r="R850" s="46"/>
      <c r="S850" s="46"/>
      <c r="T850" s="49"/>
      <c r="U850" s="46"/>
      <c r="V850" s="50"/>
      <c r="W850" s="46"/>
      <c r="X850" s="46"/>
      <c r="Y850" s="46"/>
    </row>
    <row r="851" spans="1:25" x14ac:dyDescent="0.2">
      <c r="A851" s="45"/>
      <c r="B851" s="46"/>
      <c r="C851" s="46"/>
      <c r="D851" s="46"/>
      <c r="E851" s="46"/>
      <c r="F851" s="46"/>
      <c r="G851" s="46"/>
      <c r="H851" s="46"/>
      <c r="I851" s="46"/>
      <c r="J851" s="46"/>
      <c r="K851" s="46"/>
      <c r="L851" s="46"/>
      <c r="M851" s="46"/>
      <c r="N851" s="46"/>
      <c r="O851" s="46"/>
      <c r="P851" s="46"/>
      <c r="Q851" s="46"/>
      <c r="R851" s="46"/>
      <c r="S851" s="46"/>
      <c r="T851" s="49"/>
      <c r="U851" s="46"/>
      <c r="V851" s="50"/>
      <c r="W851" s="46"/>
      <c r="X851" s="46"/>
      <c r="Y851" s="46"/>
    </row>
    <row r="852" spans="1:25" x14ac:dyDescent="0.2">
      <c r="A852" s="45"/>
      <c r="B852" s="46"/>
      <c r="C852" s="46"/>
      <c r="D852" s="46"/>
      <c r="E852" s="46"/>
      <c r="F852" s="46"/>
      <c r="G852" s="46"/>
      <c r="H852" s="46"/>
      <c r="I852" s="46"/>
      <c r="J852" s="46"/>
      <c r="K852" s="46"/>
      <c r="L852" s="46"/>
      <c r="M852" s="46"/>
      <c r="N852" s="46"/>
      <c r="O852" s="46"/>
      <c r="P852" s="46"/>
      <c r="Q852" s="46"/>
      <c r="R852" s="46"/>
      <c r="S852" s="46"/>
      <c r="T852" s="49"/>
      <c r="U852" s="46"/>
      <c r="V852" s="50"/>
      <c r="W852" s="46"/>
      <c r="X852" s="46"/>
      <c r="Y852" s="46"/>
    </row>
    <row r="853" spans="1:25" x14ac:dyDescent="0.2">
      <c r="A853" s="45"/>
      <c r="B853" s="46"/>
      <c r="C853" s="46"/>
      <c r="D853" s="46"/>
      <c r="E853" s="46"/>
      <c r="F853" s="46"/>
      <c r="G853" s="46"/>
      <c r="H853" s="46"/>
      <c r="I853" s="46"/>
      <c r="J853" s="46"/>
      <c r="K853" s="46"/>
      <c r="L853" s="46"/>
      <c r="M853" s="46"/>
      <c r="N853" s="46"/>
      <c r="O853" s="46"/>
      <c r="P853" s="46"/>
      <c r="Q853" s="46"/>
      <c r="R853" s="46"/>
      <c r="S853" s="46"/>
      <c r="T853" s="49"/>
      <c r="U853" s="46"/>
      <c r="V853" s="50"/>
      <c r="W853" s="46"/>
      <c r="X853" s="46"/>
      <c r="Y853" s="46"/>
    </row>
    <row r="854" spans="1:25" x14ac:dyDescent="0.2">
      <c r="A854" s="45"/>
      <c r="B854" s="46"/>
      <c r="C854" s="46"/>
      <c r="D854" s="46"/>
      <c r="E854" s="46"/>
      <c r="F854" s="46"/>
      <c r="G854" s="46"/>
      <c r="H854" s="46"/>
      <c r="I854" s="46"/>
      <c r="J854" s="46"/>
      <c r="K854" s="46"/>
      <c r="L854" s="46"/>
      <c r="M854" s="46"/>
      <c r="N854" s="46"/>
      <c r="O854" s="46"/>
      <c r="P854" s="46"/>
      <c r="Q854" s="46"/>
      <c r="R854" s="46"/>
      <c r="S854" s="46"/>
      <c r="T854" s="49"/>
      <c r="U854" s="46"/>
      <c r="V854" s="50"/>
      <c r="W854" s="46"/>
      <c r="X854" s="46"/>
      <c r="Y854" s="46"/>
    </row>
    <row r="855" spans="1:25" x14ac:dyDescent="0.2">
      <c r="A855" s="45"/>
      <c r="B855" s="46"/>
      <c r="C855" s="46"/>
      <c r="D855" s="46"/>
      <c r="E855" s="46"/>
      <c r="F855" s="46"/>
      <c r="G855" s="46"/>
      <c r="H855" s="46"/>
      <c r="I855" s="46"/>
      <c r="J855" s="46"/>
      <c r="K855" s="46"/>
      <c r="L855" s="46"/>
      <c r="M855" s="46"/>
      <c r="N855" s="46"/>
      <c r="O855" s="46"/>
      <c r="P855" s="46"/>
      <c r="Q855" s="46"/>
      <c r="R855" s="46"/>
      <c r="S855" s="46"/>
      <c r="T855" s="49"/>
      <c r="U855" s="46"/>
      <c r="V855" s="50"/>
      <c r="W855" s="46"/>
      <c r="X855" s="46"/>
      <c r="Y855" s="46"/>
    </row>
    <row r="856" spans="1:25" x14ac:dyDescent="0.2">
      <c r="A856" s="45"/>
      <c r="B856" s="46"/>
      <c r="C856" s="46"/>
      <c r="D856" s="46"/>
      <c r="E856" s="46"/>
      <c r="F856" s="46"/>
      <c r="G856" s="46"/>
      <c r="H856" s="46"/>
      <c r="I856" s="46"/>
      <c r="J856" s="46"/>
      <c r="K856" s="46"/>
      <c r="L856" s="46"/>
      <c r="M856" s="46"/>
      <c r="N856" s="46"/>
      <c r="O856" s="46"/>
      <c r="P856" s="46"/>
      <c r="Q856" s="46"/>
      <c r="R856" s="46"/>
      <c r="S856" s="46"/>
      <c r="T856" s="49"/>
      <c r="U856" s="46"/>
      <c r="V856" s="50"/>
      <c r="W856" s="46"/>
      <c r="X856" s="46"/>
      <c r="Y856" s="46"/>
    </row>
    <row r="857" spans="1:25" x14ac:dyDescent="0.2">
      <c r="A857" s="45"/>
      <c r="B857" s="46"/>
      <c r="C857" s="46"/>
      <c r="D857" s="46"/>
      <c r="E857" s="46"/>
      <c r="F857" s="46"/>
      <c r="G857" s="46"/>
      <c r="H857" s="46"/>
      <c r="I857" s="46"/>
      <c r="J857" s="46"/>
      <c r="K857" s="46"/>
      <c r="L857" s="46"/>
      <c r="M857" s="46"/>
      <c r="N857" s="46"/>
      <c r="O857" s="46"/>
      <c r="P857" s="46"/>
      <c r="Q857" s="46"/>
      <c r="R857" s="46"/>
      <c r="S857" s="46"/>
      <c r="T857" s="49"/>
      <c r="U857" s="46"/>
      <c r="V857" s="50"/>
      <c r="W857" s="46"/>
      <c r="X857" s="46"/>
      <c r="Y857" s="46"/>
    </row>
    <row r="858" spans="1:25" x14ac:dyDescent="0.2">
      <c r="A858" s="45"/>
      <c r="B858" s="46"/>
      <c r="C858" s="46"/>
      <c r="D858" s="46"/>
      <c r="E858" s="46"/>
      <c r="F858" s="46"/>
      <c r="G858" s="46"/>
      <c r="H858" s="46"/>
      <c r="I858" s="46"/>
      <c r="J858" s="46"/>
      <c r="K858" s="46"/>
      <c r="L858" s="46"/>
      <c r="M858" s="46"/>
      <c r="N858" s="46"/>
      <c r="O858" s="46"/>
      <c r="P858" s="46"/>
      <c r="Q858" s="46"/>
      <c r="R858" s="46"/>
      <c r="S858" s="46"/>
      <c r="T858" s="49"/>
      <c r="U858" s="46"/>
      <c r="V858" s="50"/>
      <c r="W858" s="46"/>
      <c r="X858" s="46"/>
      <c r="Y858" s="46"/>
    </row>
    <row r="859" spans="1:25" x14ac:dyDescent="0.2">
      <c r="A859" s="45"/>
      <c r="B859" s="46"/>
      <c r="C859" s="46"/>
      <c r="D859" s="46"/>
      <c r="E859" s="46"/>
      <c r="F859" s="46"/>
      <c r="G859" s="46"/>
      <c r="H859" s="46"/>
      <c r="I859" s="46"/>
      <c r="J859" s="46"/>
      <c r="K859" s="46"/>
      <c r="L859" s="46"/>
      <c r="M859" s="46"/>
      <c r="N859" s="46"/>
      <c r="O859" s="46"/>
      <c r="P859" s="46"/>
      <c r="Q859" s="46"/>
      <c r="R859" s="46"/>
      <c r="S859" s="46"/>
      <c r="T859" s="49"/>
      <c r="U859" s="46"/>
      <c r="V859" s="50"/>
      <c r="W859" s="46"/>
      <c r="X859" s="46"/>
      <c r="Y859" s="46"/>
    </row>
    <row r="860" spans="1:25" x14ac:dyDescent="0.2">
      <c r="A860" s="45"/>
      <c r="B860" s="46"/>
      <c r="C860" s="46"/>
      <c r="D860" s="46"/>
      <c r="E860" s="46"/>
      <c r="F860" s="46"/>
      <c r="G860" s="46"/>
      <c r="H860" s="46"/>
      <c r="I860" s="46"/>
      <c r="J860" s="46"/>
      <c r="K860" s="46"/>
      <c r="L860" s="46"/>
      <c r="M860" s="46"/>
      <c r="N860" s="46"/>
      <c r="O860" s="46"/>
      <c r="P860" s="46"/>
      <c r="Q860" s="46"/>
      <c r="R860" s="46"/>
      <c r="S860" s="46"/>
      <c r="T860" s="49"/>
      <c r="U860" s="46"/>
      <c r="V860" s="50"/>
      <c r="W860" s="46"/>
      <c r="X860" s="46"/>
      <c r="Y860" s="46"/>
    </row>
    <row r="861" spans="1:25" x14ac:dyDescent="0.2">
      <c r="A861" s="45"/>
      <c r="B861" s="46"/>
      <c r="C861" s="46"/>
      <c r="D861" s="46"/>
      <c r="E861" s="46"/>
      <c r="F861" s="46"/>
      <c r="G861" s="46"/>
      <c r="H861" s="46"/>
      <c r="I861" s="46"/>
      <c r="J861" s="46"/>
      <c r="K861" s="46"/>
      <c r="L861" s="46"/>
      <c r="M861" s="46"/>
      <c r="N861" s="46"/>
      <c r="O861" s="46"/>
      <c r="P861" s="46"/>
      <c r="Q861" s="46"/>
      <c r="R861" s="46"/>
      <c r="S861" s="46"/>
      <c r="T861" s="49"/>
      <c r="U861" s="46"/>
      <c r="V861" s="50"/>
      <c r="W861" s="46"/>
      <c r="X861" s="46"/>
      <c r="Y861" s="46"/>
    </row>
    <row r="862" spans="1:25" x14ac:dyDescent="0.2">
      <c r="A862" s="45"/>
      <c r="B862" s="46"/>
      <c r="C862" s="46"/>
      <c r="D862" s="46"/>
      <c r="E862" s="46"/>
      <c r="F862" s="46"/>
      <c r="G862" s="46"/>
      <c r="H862" s="46"/>
      <c r="I862" s="46"/>
      <c r="J862" s="46"/>
      <c r="K862" s="46"/>
      <c r="L862" s="46"/>
      <c r="M862" s="46"/>
      <c r="N862" s="46"/>
      <c r="O862" s="46"/>
      <c r="P862" s="46"/>
      <c r="Q862" s="46"/>
      <c r="R862" s="46"/>
      <c r="S862" s="46"/>
      <c r="T862" s="49"/>
      <c r="U862" s="46"/>
      <c r="V862" s="50"/>
      <c r="W862" s="46"/>
      <c r="X862" s="46"/>
      <c r="Y862" s="46"/>
    </row>
    <row r="863" spans="1:25" x14ac:dyDescent="0.2">
      <c r="A863" s="45"/>
      <c r="B863" s="46"/>
      <c r="C863" s="46"/>
      <c r="D863" s="46"/>
      <c r="E863" s="46"/>
      <c r="F863" s="46"/>
      <c r="G863" s="46"/>
      <c r="H863" s="46"/>
      <c r="I863" s="46"/>
      <c r="J863" s="46"/>
      <c r="K863" s="46"/>
      <c r="L863" s="46"/>
      <c r="M863" s="46"/>
      <c r="N863" s="46"/>
      <c r="O863" s="46"/>
      <c r="P863" s="46"/>
      <c r="Q863" s="46"/>
      <c r="R863" s="46"/>
      <c r="S863" s="46"/>
      <c r="T863" s="49"/>
      <c r="U863" s="46"/>
      <c r="V863" s="50"/>
      <c r="W863" s="46"/>
      <c r="X863" s="46"/>
      <c r="Y863" s="46"/>
    </row>
    <row r="864" spans="1:25" x14ac:dyDescent="0.2">
      <c r="A864" s="45"/>
      <c r="B864" s="46"/>
      <c r="C864" s="46"/>
      <c r="D864" s="46"/>
      <c r="E864" s="46"/>
      <c r="F864" s="46"/>
      <c r="G864" s="46"/>
      <c r="H864" s="46"/>
      <c r="I864" s="46"/>
      <c r="J864" s="46"/>
      <c r="K864" s="46"/>
      <c r="L864" s="46"/>
      <c r="M864" s="46"/>
      <c r="N864" s="46"/>
      <c r="O864" s="46"/>
      <c r="P864" s="46"/>
      <c r="Q864" s="46"/>
      <c r="R864" s="46"/>
      <c r="S864" s="46"/>
      <c r="T864" s="49"/>
      <c r="U864" s="46"/>
      <c r="V864" s="50"/>
      <c r="W864" s="46"/>
      <c r="X864" s="46"/>
      <c r="Y864" s="46"/>
    </row>
    <row r="865" spans="1:25" x14ac:dyDescent="0.2">
      <c r="A865" s="45"/>
      <c r="B865" s="46"/>
      <c r="C865" s="46"/>
      <c r="D865" s="46"/>
      <c r="E865" s="46"/>
      <c r="F865" s="46"/>
      <c r="G865" s="46"/>
      <c r="H865" s="46"/>
      <c r="I865" s="46"/>
      <c r="J865" s="46"/>
      <c r="K865" s="46"/>
      <c r="L865" s="46"/>
      <c r="M865" s="46"/>
      <c r="N865" s="46"/>
      <c r="O865" s="46"/>
      <c r="P865" s="46"/>
      <c r="Q865" s="46"/>
      <c r="R865" s="46"/>
      <c r="S865" s="46"/>
      <c r="T865" s="49"/>
      <c r="U865" s="46"/>
      <c r="V865" s="50"/>
      <c r="W865" s="46"/>
      <c r="X865" s="46"/>
      <c r="Y865" s="46"/>
    </row>
    <row r="866" spans="1:25" x14ac:dyDescent="0.2">
      <c r="A866" s="45"/>
      <c r="B866" s="46"/>
      <c r="C866" s="46"/>
      <c r="D866" s="46"/>
      <c r="E866" s="46"/>
      <c r="F866" s="46"/>
      <c r="G866" s="46"/>
      <c r="H866" s="46"/>
      <c r="I866" s="46"/>
      <c r="J866" s="46"/>
      <c r="K866" s="46"/>
      <c r="L866" s="46"/>
      <c r="M866" s="46"/>
      <c r="N866" s="46"/>
      <c r="O866" s="46"/>
      <c r="P866" s="46"/>
      <c r="Q866" s="46"/>
      <c r="R866" s="46"/>
      <c r="S866" s="46"/>
      <c r="T866" s="49"/>
      <c r="U866" s="46"/>
      <c r="V866" s="50"/>
      <c r="W866" s="46"/>
      <c r="X866" s="46"/>
      <c r="Y866" s="46"/>
    </row>
    <row r="867" spans="1:25" x14ac:dyDescent="0.2">
      <c r="A867" s="45"/>
      <c r="B867" s="46"/>
      <c r="C867" s="46"/>
      <c r="D867" s="46"/>
      <c r="E867" s="46"/>
      <c r="F867" s="46"/>
      <c r="G867" s="46"/>
      <c r="H867" s="46"/>
      <c r="I867" s="46"/>
      <c r="J867" s="46"/>
      <c r="K867" s="46"/>
      <c r="L867" s="46"/>
      <c r="M867" s="46"/>
      <c r="N867" s="46"/>
      <c r="O867" s="46"/>
      <c r="P867" s="46"/>
      <c r="Q867" s="46"/>
      <c r="R867" s="46"/>
      <c r="S867" s="46"/>
      <c r="T867" s="49"/>
      <c r="U867" s="46"/>
      <c r="V867" s="50"/>
      <c r="W867" s="46"/>
      <c r="X867" s="46"/>
      <c r="Y867" s="46"/>
    </row>
    <row r="868" spans="1:25" x14ac:dyDescent="0.2">
      <c r="A868" s="45"/>
      <c r="B868" s="46"/>
      <c r="C868" s="46"/>
      <c r="D868" s="46"/>
      <c r="E868" s="46"/>
      <c r="F868" s="46"/>
      <c r="G868" s="46"/>
      <c r="H868" s="46"/>
      <c r="I868" s="46"/>
      <c r="J868" s="46"/>
      <c r="K868" s="46"/>
      <c r="L868" s="46"/>
      <c r="M868" s="46"/>
      <c r="N868" s="46"/>
      <c r="O868" s="46"/>
      <c r="P868" s="46"/>
      <c r="Q868" s="46"/>
      <c r="R868" s="46"/>
      <c r="S868" s="46"/>
      <c r="T868" s="49"/>
      <c r="U868" s="46"/>
      <c r="V868" s="50"/>
      <c r="W868" s="46"/>
      <c r="X868" s="46"/>
      <c r="Y868" s="46"/>
    </row>
    <row r="869" spans="1:25" x14ac:dyDescent="0.2">
      <c r="A869" s="45"/>
      <c r="B869" s="46"/>
      <c r="C869" s="46"/>
      <c r="D869" s="46"/>
      <c r="E869" s="46"/>
      <c r="F869" s="46"/>
      <c r="G869" s="46"/>
      <c r="H869" s="46"/>
      <c r="I869" s="46"/>
      <c r="J869" s="46"/>
      <c r="K869" s="46"/>
      <c r="L869" s="46"/>
      <c r="M869" s="46"/>
      <c r="N869" s="46"/>
      <c r="O869" s="46"/>
      <c r="P869" s="46"/>
      <c r="Q869" s="46"/>
      <c r="R869" s="46"/>
      <c r="S869" s="46"/>
      <c r="T869" s="49"/>
      <c r="U869" s="46"/>
      <c r="V869" s="50"/>
      <c r="W869" s="46"/>
      <c r="X869" s="46"/>
      <c r="Y869" s="46"/>
    </row>
    <row r="870" spans="1:25" x14ac:dyDescent="0.2">
      <c r="A870" s="45"/>
      <c r="B870" s="46"/>
      <c r="C870" s="46"/>
      <c r="D870" s="46"/>
      <c r="E870" s="46"/>
      <c r="F870" s="46"/>
      <c r="G870" s="46"/>
      <c r="H870" s="46"/>
      <c r="I870" s="46"/>
      <c r="J870" s="46"/>
      <c r="K870" s="46"/>
      <c r="L870" s="46"/>
      <c r="M870" s="46"/>
      <c r="N870" s="46"/>
      <c r="O870" s="46"/>
      <c r="P870" s="46"/>
      <c r="Q870" s="46"/>
      <c r="R870" s="46"/>
      <c r="S870" s="46"/>
      <c r="T870" s="49"/>
      <c r="U870" s="46"/>
      <c r="V870" s="50"/>
      <c r="W870" s="46"/>
      <c r="X870" s="46"/>
      <c r="Y870" s="46"/>
    </row>
    <row r="871" spans="1:25" x14ac:dyDescent="0.2">
      <c r="A871" s="45"/>
      <c r="B871" s="46"/>
      <c r="C871" s="46"/>
      <c r="D871" s="46"/>
      <c r="E871" s="46"/>
      <c r="F871" s="46"/>
      <c r="G871" s="46"/>
      <c r="H871" s="46"/>
      <c r="I871" s="46"/>
      <c r="J871" s="46"/>
      <c r="K871" s="46"/>
      <c r="L871" s="46"/>
      <c r="M871" s="46"/>
      <c r="N871" s="46"/>
      <c r="O871" s="46"/>
      <c r="P871" s="46"/>
      <c r="Q871" s="46"/>
      <c r="R871" s="46"/>
      <c r="S871" s="46"/>
      <c r="T871" s="49"/>
      <c r="U871" s="46"/>
      <c r="V871" s="50"/>
      <c r="W871" s="46"/>
      <c r="X871" s="46"/>
      <c r="Y871" s="46"/>
    </row>
    <row r="872" spans="1:25" x14ac:dyDescent="0.2">
      <c r="A872" s="45"/>
      <c r="B872" s="46"/>
      <c r="C872" s="46"/>
      <c r="D872" s="46"/>
      <c r="E872" s="46"/>
      <c r="F872" s="46"/>
      <c r="G872" s="46"/>
      <c r="H872" s="46"/>
      <c r="I872" s="46"/>
      <c r="J872" s="46"/>
      <c r="K872" s="46"/>
      <c r="L872" s="46"/>
      <c r="M872" s="46"/>
      <c r="N872" s="46"/>
      <c r="O872" s="46"/>
      <c r="P872" s="46"/>
      <c r="Q872" s="46"/>
      <c r="R872" s="46"/>
      <c r="S872" s="46"/>
      <c r="T872" s="49"/>
      <c r="U872" s="46"/>
      <c r="V872" s="50"/>
      <c r="W872" s="46"/>
      <c r="X872" s="46"/>
      <c r="Y872" s="46"/>
    </row>
    <row r="873" spans="1:25" x14ac:dyDescent="0.2">
      <c r="A873" s="45"/>
      <c r="B873" s="46"/>
      <c r="C873" s="46"/>
      <c r="D873" s="46"/>
      <c r="E873" s="46"/>
      <c r="F873" s="46"/>
      <c r="G873" s="46"/>
      <c r="H873" s="46"/>
      <c r="I873" s="46"/>
      <c r="J873" s="46"/>
      <c r="K873" s="46"/>
      <c r="L873" s="46"/>
      <c r="M873" s="46"/>
      <c r="N873" s="46"/>
      <c r="O873" s="46"/>
      <c r="P873" s="46"/>
      <c r="Q873" s="46"/>
      <c r="R873" s="46"/>
      <c r="S873" s="46"/>
      <c r="T873" s="49"/>
      <c r="U873" s="46"/>
      <c r="V873" s="50"/>
      <c r="W873" s="46"/>
      <c r="X873" s="46"/>
      <c r="Y873" s="46"/>
    </row>
    <row r="874" spans="1:25" x14ac:dyDescent="0.2">
      <c r="A874" s="45"/>
      <c r="B874" s="46"/>
      <c r="C874" s="46"/>
      <c r="D874" s="46"/>
      <c r="E874" s="46"/>
      <c r="F874" s="46"/>
      <c r="G874" s="46"/>
      <c r="H874" s="46"/>
      <c r="I874" s="46"/>
      <c r="J874" s="46"/>
      <c r="K874" s="46"/>
      <c r="L874" s="46"/>
      <c r="M874" s="46"/>
      <c r="N874" s="46"/>
      <c r="O874" s="46"/>
      <c r="P874" s="46"/>
      <c r="Q874" s="46"/>
      <c r="R874" s="46"/>
      <c r="S874" s="46"/>
      <c r="T874" s="49"/>
      <c r="U874" s="46"/>
      <c r="V874" s="50"/>
      <c r="W874" s="46"/>
      <c r="X874" s="46"/>
      <c r="Y874" s="46"/>
    </row>
    <row r="875" spans="1:25" x14ac:dyDescent="0.2">
      <c r="A875" s="45"/>
      <c r="B875" s="46"/>
      <c r="C875" s="46"/>
      <c r="D875" s="46"/>
      <c r="E875" s="46"/>
      <c r="F875" s="46"/>
      <c r="G875" s="46"/>
      <c r="H875" s="46"/>
      <c r="I875" s="46"/>
      <c r="J875" s="46"/>
      <c r="K875" s="46"/>
      <c r="L875" s="46"/>
      <c r="M875" s="46"/>
      <c r="N875" s="46"/>
      <c r="O875" s="46"/>
      <c r="P875" s="46"/>
      <c r="Q875" s="46"/>
      <c r="R875" s="46"/>
      <c r="S875" s="46"/>
      <c r="T875" s="49"/>
      <c r="U875" s="46"/>
      <c r="V875" s="50"/>
      <c r="W875" s="46"/>
      <c r="X875" s="46"/>
      <c r="Y875" s="46"/>
    </row>
    <row r="876" spans="1:25" x14ac:dyDescent="0.2">
      <c r="A876" s="45"/>
      <c r="B876" s="46"/>
      <c r="C876" s="46"/>
      <c r="D876" s="46"/>
      <c r="E876" s="46"/>
      <c r="F876" s="46"/>
      <c r="G876" s="46"/>
      <c r="H876" s="46"/>
      <c r="I876" s="46"/>
      <c r="J876" s="46"/>
      <c r="K876" s="46"/>
      <c r="L876" s="46"/>
      <c r="M876" s="46"/>
      <c r="N876" s="46"/>
      <c r="O876" s="46"/>
      <c r="P876" s="46"/>
      <c r="Q876" s="46"/>
      <c r="R876" s="46"/>
      <c r="S876" s="46"/>
      <c r="T876" s="49"/>
      <c r="U876" s="46"/>
      <c r="V876" s="50"/>
      <c r="W876" s="46"/>
      <c r="X876" s="46"/>
      <c r="Y876" s="46"/>
    </row>
    <row r="877" spans="1:25" x14ac:dyDescent="0.2">
      <c r="A877" s="45"/>
      <c r="B877" s="46"/>
      <c r="C877" s="46"/>
      <c r="D877" s="46"/>
      <c r="E877" s="46"/>
      <c r="F877" s="46"/>
      <c r="G877" s="46"/>
      <c r="H877" s="46"/>
      <c r="I877" s="46"/>
      <c r="J877" s="46"/>
      <c r="K877" s="46"/>
      <c r="L877" s="46"/>
      <c r="M877" s="46"/>
      <c r="N877" s="46"/>
      <c r="O877" s="46"/>
      <c r="P877" s="46"/>
      <c r="Q877" s="46"/>
      <c r="R877" s="46"/>
      <c r="S877" s="46"/>
      <c r="T877" s="49"/>
      <c r="U877" s="46"/>
      <c r="V877" s="50"/>
      <c r="W877" s="46"/>
      <c r="X877" s="46"/>
      <c r="Y877" s="46"/>
    </row>
    <row r="878" spans="1:25" x14ac:dyDescent="0.2">
      <c r="A878" s="45"/>
      <c r="B878" s="46"/>
      <c r="C878" s="46"/>
      <c r="D878" s="46"/>
      <c r="E878" s="46"/>
      <c r="F878" s="46"/>
      <c r="G878" s="46"/>
      <c r="H878" s="46"/>
      <c r="I878" s="46"/>
      <c r="J878" s="46"/>
      <c r="K878" s="46"/>
      <c r="L878" s="46"/>
      <c r="M878" s="46"/>
      <c r="N878" s="46"/>
      <c r="O878" s="46"/>
      <c r="P878" s="46"/>
      <c r="Q878" s="46"/>
      <c r="R878" s="46"/>
      <c r="S878" s="46"/>
      <c r="T878" s="49"/>
      <c r="U878" s="46"/>
      <c r="V878" s="50"/>
      <c r="W878" s="46"/>
      <c r="X878" s="46"/>
      <c r="Y878" s="46"/>
    </row>
    <row r="879" spans="1:25" x14ac:dyDescent="0.2">
      <c r="A879" s="45"/>
      <c r="B879" s="46"/>
      <c r="C879" s="46"/>
      <c r="D879" s="46"/>
      <c r="E879" s="46"/>
      <c r="F879" s="46"/>
      <c r="G879" s="46"/>
      <c r="H879" s="46"/>
      <c r="I879" s="46"/>
      <c r="J879" s="46"/>
      <c r="K879" s="46"/>
      <c r="L879" s="46"/>
      <c r="M879" s="46"/>
      <c r="N879" s="46"/>
      <c r="O879" s="46"/>
      <c r="P879" s="46"/>
      <c r="Q879" s="46"/>
      <c r="R879" s="46"/>
      <c r="S879" s="46"/>
      <c r="T879" s="49"/>
      <c r="U879" s="46"/>
      <c r="V879" s="50"/>
      <c r="W879" s="46"/>
      <c r="X879" s="46"/>
      <c r="Y879" s="46"/>
    </row>
    <row r="880" spans="1:25" x14ac:dyDescent="0.2">
      <c r="A880" s="45"/>
      <c r="B880" s="46"/>
      <c r="C880" s="46"/>
      <c r="D880" s="46"/>
      <c r="E880" s="46"/>
      <c r="F880" s="46"/>
      <c r="G880" s="46"/>
      <c r="H880" s="46"/>
      <c r="I880" s="46"/>
      <c r="J880" s="46"/>
      <c r="K880" s="46"/>
      <c r="L880" s="46"/>
      <c r="M880" s="46"/>
      <c r="N880" s="46"/>
      <c r="O880" s="46"/>
      <c r="P880" s="46"/>
      <c r="Q880" s="46"/>
      <c r="R880" s="46"/>
      <c r="S880" s="46"/>
      <c r="T880" s="49"/>
      <c r="U880" s="46"/>
      <c r="V880" s="50"/>
      <c r="W880" s="46"/>
      <c r="X880" s="46"/>
      <c r="Y880" s="46"/>
    </row>
    <row r="881" spans="1:25" x14ac:dyDescent="0.2">
      <c r="A881" s="45"/>
      <c r="B881" s="46"/>
      <c r="C881" s="46"/>
      <c r="D881" s="46"/>
      <c r="E881" s="46"/>
      <c r="F881" s="46"/>
      <c r="G881" s="46"/>
      <c r="H881" s="46"/>
      <c r="I881" s="46"/>
      <c r="J881" s="46"/>
      <c r="K881" s="46"/>
      <c r="L881" s="46"/>
      <c r="M881" s="46"/>
      <c r="N881" s="46"/>
      <c r="O881" s="46"/>
      <c r="P881" s="46"/>
      <c r="Q881" s="46"/>
      <c r="R881" s="46"/>
      <c r="S881" s="46"/>
      <c r="T881" s="49"/>
      <c r="U881" s="46"/>
      <c r="V881" s="50"/>
      <c r="W881" s="46"/>
      <c r="X881" s="46"/>
      <c r="Y881" s="46"/>
    </row>
    <row r="882" spans="1:25" x14ac:dyDescent="0.2">
      <c r="A882" s="45"/>
      <c r="B882" s="46"/>
      <c r="C882" s="46"/>
      <c r="D882" s="46"/>
      <c r="E882" s="46"/>
      <c r="F882" s="46"/>
      <c r="G882" s="46"/>
      <c r="H882" s="46"/>
      <c r="I882" s="46"/>
      <c r="J882" s="46"/>
      <c r="K882" s="46"/>
      <c r="L882" s="46"/>
      <c r="M882" s="46"/>
      <c r="N882" s="46"/>
      <c r="O882" s="46"/>
      <c r="P882" s="46"/>
      <c r="Q882" s="46"/>
      <c r="R882" s="46"/>
      <c r="S882" s="46"/>
      <c r="T882" s="49"/>
      <c r="U882" s="46"/>
      <c r="V882" s="50"/>
      <c r="W882" s="46"/>
      <c r="X882" s="46"/>
      <c r="Y882" s="46"/>
    </row>
    <row r="883" spans="1:25" x14ac:dyDescent="0.2">
      <c r="A883" s="45"/>
      <c r="B883" s="46"/>
      <c r="C883" s="46"/>
      <c r="D883" s="46"/>
      <c r="E883" s="46"/>
      <c r="F883" s="46"/>
      <c r="G883" s="46"/>
      <c r="H883" s="46"/>
      <c r="I883" s="46"/>
      <c r="J883" s="46"/>
      <c r="K883" s="46"/>
      <c r="L883" s="46"/>
      <c r="M883" s="46"/>
      <c r="N883" s="46"/>
      <c r="O883" s="46"/>
      <c r="P883" s="46"/>
      <c r="Q883" s="46"/>
      <c r="R883" s="46"/>
      <c r="S883" s="46"/>
      <c r="T883" s="49"/>
      <c r="U883" s="46"/>
      <c r="V883" s="50"/>
      <c r="W883" s="46"/>
      <c r="X883" s="46"/>
      <c r="Y883" s="46"/>
    </row>
    <row r="884" spans="1:25" x14ac:dyDescent="0.2">
      <c r="A884" s="45"/>
      <c r="B884" s="46"/>
      <c r="C884" s="46"/>
      <c r="D884" s="46"/>
      <c r="E884" s="46"/>
      <c r="F884" s="46"/>
      <c r="G884" s="46"/>
      <c r="H884" s="46"/>
      <c r="I884" s="46"/>
      <c r="J884" s="46"/>
      <c r="K884" s="46"/>
      <c r="L884" s="46"/>
      <c r="M884" s="46"/>
      <c r="N884" s="46"/>
      <c r="O884" s="46"/>
      <c r="P884" s="46"/>
      <c r="Q884" s="46"/>
      <c r="R884" s="46"/>
      <c r="S884" s="46"/>
      <c r="T884" s="49"/>
      <c r="U884" s="46"/>
      <c r="V884" s="50"/>
      <c r="W884" s="46"/>
      <c r="X884" s="46"/>
      <c r="Y884" s="46"/>
    </row>
    <row r="885" spans="1:25" x14ac:dyDescent="0.2">
      <c r="A885" s="45"/>
      <c r="B885" s="46"/>
      <c r="C885" s="46"/>
      <c r="D885" s="46"/>
      <c r="E885" s="46"/>
      <c r="F885" s="46"/>
      <c r="G885" s="46"/>
      <c r="H885" s="46"/>
      <c r="I885" s="46"/>
      <c r="J885" s="46"/>
      <c r="K885" s="46"/>
      <c r="L885" s="46"/>
      <c r="M885" s="46"/>
      <c r="N885" s="46"/>
      <c r="O885" s="46"/>
      <c r="P885" s="46"/>
      <c r="Q885" s="46"/>
      <c r="R885" s="46"/>
      <c r="S885" s="46"/>
      <c r="T885" s="49"/>
      <c r="U885" s="46"/>
      <c r="V885" s="50"/>
      <c r="W885" s="46"/>
      <c r="X885" s="46"/>
      <c r="Y885" s="46"/>
    </row>
    <row r="886" spans="1:25" x14ac:dyDescent="0.2">
      <c r="A886" s="45"/>
      <c r="B886" s="46"/>
      <c r="C886" s="46"/>
      <c r="D886" s="46"/>
      <c r="E886" s="46"/>
      <c r="F886" s="46"/>
      <c r="G886" s="46"/>
      <c r="H886" s="46"/>
      <c r="I886" s="46"/>
      <c r="J886" s="46"/>
      <c r="K886" s="46"/>
      <c r="L886" s="46"/>
      <c r="M886" s="46"/>
      <c r="N886" s="46"/>
      <c r="O886" s="46"/>
      <c r="P886" s="46"/>
      <c r="Q886" s="46"/>
      <c r="R886" s="46"/>
      <c r="S886" s="46"/>
      <c r="T886" s="49"/>
      <c r="U886" s="46"/>
      <c r="V886" s="50"/>
      <c r="W886" s="46"/>
      <c r="X886" s="46"/>
      <c r="Y886" s="46"/>
    </row>
    <row r="887" spans="1:25" x14ac:dyDescent="0.2">
      <c r="A887" s="45"/>
      <c r="B887" s="46"/>
      <c r="C887" s="46"/>
      <c r="D887" s="46"/>
      <c r="E887" s="46"/>
      <c r="F887" s="46"/>
      <c r="G887" s="46"/>
      <c r="H887" s="46"/>
      <c r="I887" s="46"/>
      <c r="J887" s="46"/>
      <c r="K887" s="46"/>
      <c r="L887" s="46"/>
      <c r="M887" s="46"/>
      <c r="N887" s="46"/>
      <c r="O887" s="46"/>
      <c r="P887" s="46"/>
      <c r="Q887" s="46"/>
      <c r="R887" s="46"/>
      <c r="S887" s="46"/>
      <c r="T887" s="49"/>
      <c r="U887" s="46"/>
      <c r="V887" s="50"/>
      <c r="W887" s="46"/>
      <c r="X887" s="46"/>
      <c r="Y887" s="46"/>
    </row>
    <row r="888" spans="1:25" x14ac:dyDescent="0.2">
      <c r="A888" s="45"/>
      <c r="B888" s="46"/>
      <c r="C888" s="46"/>
      <c r="D888" s="46"/>
      <c r="E888" s="46"/>
      <c r="F888" s="46"/>
      <c r="G888" s="46"/>
      <c r="H888" s="46"/>
      <c r="I888" s="46"/>
      <c r="J888" s="46"/>
      <c r="K888" s="46"/>
      <c r="L888" s="46"/>
      <c r="M888" s="46"/>
      <c r="N888" s="46"/>
      <c r="O888" s="46"/>
      <c r="P888" s="46"/>
      <c r="Q888" s="46"/>
      <c r="R888" s="46"/>
      <c r="S888" s="46"/>
      <c r="T888" s="49"/>
      <c r="U888" s="46"/>
      <c r="V888" s="50"/>
      <c r="W888" s="46"/>
      <c r="X888" s="46"/>
      <c r="Y888" s="46"/>
    </row>
    <row r="889" spans="1:25" x14ac:dyDescent="0.2">
      <c r="A889" s="45"/>
      <c r="B889" s="46"/>
      <c r="C889" s="46"/>
      <c r="D889" s="46"/>
      <c r="E889" s="46"/>
      <c r="F889" s="46"/>
      <c r="G889" s="46"/>
      <c r="H889" s="46"/>
      <c r="I889" s="46"/>
      <c r="J889" s="46"/>
      <c r="K889" s="46"/>
      <c r="L889" s="46"/>
      <c r="M889" s="46"/>
      <c r="N889" s="46"/>
      <c r="O889" s="46"/>
      <c r="P889" s="46"/>
      <c r="Q889" s="46"/>
      <c r="R889" s="46"/>
      <c r="S889" s="46"/>
      <c r="T889" s="49"/>
      <c r="U889" s="46"/>
      <c r="V889" s="50"/>
      <c r="W889" s="46"/>
      <c r="X889" s="46"/>
      <c r="Y889" s="46"/>
    </row>
    <row r="890" spans="1:25" x14ac:dyDescent="0.2">
      <c r="A890" s="45"/>
      <c r="B890" s="46"/>
      <c r="C890" s="46"/>
      <c r="D890" s="46"/>
      <c r="E890" s="46"/>
      <c r="F890" s="46"/>
      <c r="G890" s="46"/>
      <c r="H890" s="46"/>
      <c r="I890" s="46"/>
      <c r="J890" s="46"/>
      <c r="K890" s="46"/>
      <c r="L890" s="46"/>
      <c r="M890" s="46"/>
      <c r="N890" s="46"/>
      <c r="O890" s="46"/>
      <c r="P890" s="46"/>
      <c r="Q890" s="46"/>
      <c r="R890" s="46"/>
      <c r="S890" s="46"/>
      <c r="T890" s="49"/>
      <c r="U890" s="46"/>
      <c r="V890" s="50"/>
      <c r="W890" s="46"/>
      <c r="X890" s="46"/>
      <c r="Y890" s="46"/>
    </row>
    <row r="891" spans="1:25" x14ac:dyDescent="0.2">
      <c r="A891" s="45"/>
      <c r="B891" s="46"/>
      <c r="C891" s="46"/>
      <c r="D891" s="46"/>
      <c r="E891" s="46"/>
      <c r="F891" s="46"/>
      <c r="G891" s="46"/>
      <c r="H891" s="46"/>
      <c r="I891" s="46"/>
      <c r="J891" s="46"/>
      <c r="K891" s="46"/>
      <c r="L891" s="46"/>
      <c r="M891" s="46"/>
      <c r="N891" s="46"/>
      <c r="O891" s="46"/>
      <c r="P891" s="46"/>
      <c r="Q891" s="46"/>
      <c r="R891" s="46"/>
      <c r="S891" s="46"/>
      <c r="T891" s="49"/>
      <c r="U891" s="46"/>
      <c r="V891" s="50"/>
      <c r="W891" s="46"/>
      <c r="X891" s="46"/>
      <c r="Y891" s="46"/>
    </row>
    <row r="892" spans="1:25" x14ac:dyDescent="0.2">
      <c r="A892" s="45"/>
      <c r="B892" s="46"/>
      <c r="C892" s="46"/>
      <c r="D892" s="46"/>
      <c r="E892" s="46"/>
      <c r="F892" s="46"/>
      <c r="G892" s="46"/>
      <c r="H892" s="46"/>
      <c r="I892" s="46"/>
      <c r="J892" s="46"/>
      <c r="K892" s="46"/>
      <c r="L892" s="46"/>
      <c r="M892" s="46"/>
      <c r="N892" s="46"/>
      <c r="O892" s="46"/>
      <c r="P892" s="46"/>
      <c r="Q892" s="46"/>
      <c r="R892" s="46"/>
      <c r="S892" s="46"/>
      <c r="T892" s="49"/>
      <c r="U892" s="46"/>
      <c r="V892" s="50"/>
      <c r="W892" s="46"/>
      <c r="X892" s="46"/>
      <c r="Y892" s="46"/>
    </row>
    <row r="893" spans="1:25" x14ac:dyDescent="0.2">
      <c r="A893" s="45"/>
      <c r="B893" s="46"/>
      <c r="C893" s="46"/>
      <c r="D893" s="46"/>
      <c r="E893" s="46"/>
      <c r="F893" s="46"/>
      <c r="G893" s="46"/>
      <c r="H893" s="46"/>
      <c r="I893" s="46"/>
      <c r="J893" s="46"/>
      <c r="K893" s="46"/>
      <c r="L893" s="46"/>
      <c r="M893" s="46"/>
      <c r="N893" s="46"/>
      <c r="O893" s="46"/>
      <c r="P893" s="46"/>
      <c r="Q893" s="46"/>
      <c r="R893" s="46"/>
      <c r="S893" s="46"/>
      <c r="T893" s="49"/>
      <c r="U893" s="46"/>
      <c r="V893" s="50"/>
      <c r="W893" s="46"/>
      <c r="X893" s="46"/>
      <c r="Y893" s="46"/>
    </row>
    <row r="894" spans="1:25" x14ac:dyDescent="0.2">
      <c r="A894" s="45"/>
      <c r="B894" s="46"/>
      <c r="C894" s="46"/>
      <c r="D894" s="46"/>
      <c r="E894" s="46"/>
      <c r="F894" s="46"/>
      <c r="G894" s="46"/>
      <c r="H894" s="46"/>
      <c r="I894" s="46"/>
      <c r="J894" s="46"/>
      <c r="K894" s="46"/>
      <c r="L894" s="46"/>
      <c r="M894" s="46"/>
      <c r="N894" s="46"/>
      <c r="O894" s="46"/>
      <c r="P894" s="46"/>
      <c r="Q894" s="46"/>
      <c r="R894" s="46"/>
      <c r="S894" s="46"/>
      <c r="T894" s="49"/>
      <c r="U894" s="46"/>
      <c r="V894" s="50"/>
      <c r="W894" s="46"/>
      <c r="X894" s="46"/>
      <c r="Y894" s="46"/>
    </row>
    <row r="895" spans="1:25" x14ac:dyDescent="0.2">
      <c r="A895" s="45"/>
      <c r="B895" s="46"/>
      <c r="C895" s="46"/>
      <c r="D895" s="46"/>
      <c r="E895" s="46"/>
      <c r="F895" s="46"/>
      <c r="G895" s="46"/>
      <c r="H895" s="46"/>
      <c r="I895" s="46"/>
      <c r="J895" s="46"/>
      <c r="K895" s="46"/>
      <c r="L895" s="46"/>
      <c r="M895" s="46"/>
      <c r="N895" s="46"/>
      <c r="O895" s="46"/>
      <c r="P895" s="46"/>
      <c r="Q895" s="46"/>
      <c r="R895" s="46"/>
      <c r="S895" s="46"/>
      <c r="T895" s="49"/>
      <c r="U895" s="46"/>
      <c r="V895" s="50"/>
      <c r="W895" s="46"/>
      <c r="X895" s="46"/>
      <c r="Y895" s="46"/>
    </row>
    <row r="896" spans="1:25" x14ac:dyDescent="0.2">
      <c r="A896" s="45"/>
      <c r="B896" s="46"/>
      <c r="C896" s="46"/>
      <c r="D896" s="46"/>
      <c r="E896" s="46"/>
      <c r="F896" s="46"/>
      <c r="G896" s="46"/>
      <c r="H896" s="46"/>
      <c r="I896" s="46"/>
      <c r="J896" s="46"/>
      <c r="K896" s="46"/>
      <c r="L896" s="46"/>
      <c r="M896" s="46"/>
      <c r="N896" s="46"/>
      <c r="O896" s="46"/>
      <c r="P896" s="46"/>
      <c r="Q896" s="46"/>
      <c r="R896" s="46"/>
      <c r="S896" s="46"/>
      <c r="T896" s="49"/>
      <c r="U896" s="46"/>
      <c r="V896" s="50"/>
      <c r="W896" s="46"/>
      <c r="X896" s="46"/>
      <c r="Y896" s="46"/>
    </row>
    <row r="897" spans="1:25" x14ac:dyDescent="0.2">
      <c r="A897" s="45"/>
      <c r="B897" s="46"/>
      <c r="C897" s="46"/>
      <c r="D897" s="46"/>
      <c r="E897" s="46"/>
      <c r="F897" s="46"/>
      <c r="G897" s="46"/>
      <c r="H897" s="46"/>
      <c r="I897" s="46"/>
      <c r="J897" s="46"/>
      <c r="K897" s="46"/>
      <c r="L897" s="46"/>
      <c r="M897" s="46"/>
      <c r="N897" s="46"/>
      <c r="O897" s="46"/>
      <c r="P897" s="46"/>
      <c r="Q897" s="46"/>
      <c r="R897" s="46"/>
      <c r="S897" s="46"/>
      <c r="T897" s="49"/>
      <c r="U897" s="46"/>
      <c r="V897" s="50"/>
      <c r="W897" s="46"/>
      <c r="X897" s="46"/>
      <c r="Y897" s="46"/>
    </row>
    <row r="898" spans="1:25" x14ac:dyDescent="0.2">
      <c r="A898" s="45"/>
      <c r="B898" s="46"/>
      <c r="C898" s="46"/>
      <c r="D898" s="46"/>
      <c r="E898" s="46"/>
      <c r="F898" s="46"/>
      <c r="G898" s="46"/>
      <c r="H898" s="46"/>
      <c r="I898" s="46"/>
      <c r="J898" s="46"/>
      <c r="K898" s="46"/>
      <c r="L898" s="46"/>
      <c r="M898" s="46"/>
      <c r="N898" s="46"/>
      <c r="O898" s="46"/>
      <c r="P898" s="46"/>
      <c r="Q898" s="46"/>
      <c r="R898" s="46"/>
      <c r="S898" s="46"/>
      <c r="T898" s="49"/>
      <c r="U898" s="46"/>
      <c r="V898" s="50"/>
      <c r="W898" s="46"/>
      <c r="X898" s="46"/>
      <c r="Y898" s="46"/>
    </row>
    <row r="899" spans="1:25" x14ac:dyDescent="0.2">
      <c r="A899" s="45"/>
      <c r="B899" s="46"/>
      <c r="C899" s="46"/>
      <c r="D899" s="46"/>
      <c r="E899" s="46"/>
      <c r="F899" s="46"/>
      <c r="G899" s="46"/>
      <c r="H899" s="46"/>
      <c r="I899" s="46"/>
      <c r="J899" s="46"/>
      <c r="K899" s="46"/>
      <c r="L899" s="46"/>
      <c r="M899" s="46"/>
      <c r="N899" s="46"/>
      <c r="O899" s="46"/>
      <c r="P899" s="46"/>
      <c r="Q899" s="46"/>
      <c r="R899" s="46"/>
      <c r="S899" s="46"/>
      <c r="T899" s="49"/>
      <c r="U899" s="46"/>
      <c r="V899" s="50"/>
      <c r="W899" s="46"/>
      <c r="X899" s="46"/>
      <c r="Y899" s="46"/>
    </row>
    <row r="900" spans="1:25" x14ac:dyDescent="0.2">
      <c r="A900" s="45"/>
      <c r="B900" s="46"/>
      <c r="C900" s="46"/>
      <c r="D900" s="46"/>
      <c r="E900" s="46"/>
      <c r="F900" s="46"/>
      <c r="G900" s="46"/>
      <c r="H900" s="46"/>
      <c r="I900" s="46"/>
      <c r="J900" s="46"/>
      <c r="K900" s="46"/>
      <c r="L900" s="46"/>
      <c r="M900" s="46"/>
      <c r="N900" s="46"/>
      <c r="O900" s="46"/>
      <c r="P900" s="46"/>
      <c r="Q900" s="46"/>
      <c r="R900" s="46"/>
      <c r="S900" s="46"/>
      <c r="T900" s="49"/>
      <c r="U900" s="46"/>
      <c r="V900" s="50"/>
      <c r="W900" s="46"/>
      <c r="X900" s="46"/>
      <c r="Y900" s="46"/>
    </row>
    <row r="901" spans="1:25" x14ac:dyDescent="0.2">
      <c r="A901" s="45"/>
      <c r="B901" s="46"/>
      <c r="C901" s="46"/>
      <c r="D901" s="46"/>
      <c r="E901" s="46"/>
      <c r="F901" s="46"/>
      <c r="G901" s="46"/>
      <c r="H901" s="46"/>
      <c r="I901" s="46"/>
      <c r="J901" s="46"/>
      <c r="K901" s="46"/>
      <c r="L901" s="46"/>
      <c r="M901" s="46"/>
      <c r="N901" s="46"/>
      <c r="O901" s="46"/>
      <c r="P901" s="46"/>
      <c r="Q901" s="46"/>
      <c r="R901" s="46"/>
      <c r="S901" s="46"/>
      <c r="T901" s="49"/>
      <c r="U901" s="46"/>
      <c r="V901" s="50"/>
      <c r="W901" s="46"/>
      <c r="X901" s="46"/>
      <c r="Y901" s="46"/>
    </row>
    <row r="902" spans="1:25" x14ac:dyDescent="0.2">
      <c r="A902" s="45"/>
      <c r="B902" s="46"/>
      <c r="C902" s="46"/>
      <c r="D902" s="46"/>
      <c r="E902" s="46"/>
      <c r="F902" s="46"/>
      <c r="G902" s="46"/>
      <c r="H902" s="46"/>
      <c r="I902" s="46"/>
      <c r="J902" s="46"/>
      <c r="K902" s="46"/>
      <c r="L902" s="46"/>
      <c r="M902" s="46"/>
      <c r="N902" s="46"/>
      <c r="O902" s="46"/>
      <c r="P902" s="46"/>
      <c r="Q902" s="46"/>
      <c r="R902" s="46"/>
      <c r="S902" s="46"/>
      <c r="T902" s="49"/>
      <c r="U902" s="46"/>
      <c r="V902" s="50"/>
      <c r="W902" s="46"/>
      <c r="X902" s="46"/>
      <c r="Y902" s="46"/>
    </row>
    <row r="903" spans="1:25" x14ac:dyDescent="0.2">
      <c r="A903" s="45"/>
      <c r="B903" s="46"/>
      <c r="C903" s="46"/>
      <c r="D903" s="46"/>
      <c r="E903" s="46"/>
      <c r="F903" s="46"/>
      <c r="G903" s="46"/>
      <c r="H903" s="46"/>
      <c r="I903" s="46"/>
      <c r="J903" s="46"/>
      <c r="K903" s="46"/>
      <c r="L903" s="46"/>
      <c r="M903" s="46"/>
      <c r="N903" s="46"/>
      <c r="O903" s="46"/>
      <c r="P903" s="46"/>
      <c r="Q903" s="46"/>
      <c r="R903" s="46"/>
      <c r="S903" s="46"/>
      <c r="T903" s="49"/>
      <c r="U903" s="46"/>
      <c r="V903" s="50"/>
      <c r="W903" s="46"/>
      <c r="X903" s="46"/>
      <c r="Y903" s="46"/>
    </row>
    <row r="904" spans="1:25" x14ac:dyDescent="0.2">
      <c r="A904" s="45"/>
      <c r="B904" s="46"/>
      <c r="C904" s="46"/>
      <c r="D904" s="46"/>
      <c r="E904" s="46"/>
      <c r="F904" s="46"/>
      <c r="G904" s="46"/>
      <c r="H904" s="46"/>
      <c r="I904" s="46"/>
      <c r="J904" s="46"/>
      <c r="K904" s="46"/>
      <c r="L904" s="46"/>
      <c r="M904" s="46"/>
      <c r="N904" s="46"/>
      <c r="O904" s="46"/>
      <c r="P904" s="46"/>
      <c r="Q904" s="46"/>
      <c r="R904" s="46"/>
      <c r="S904" s="46"/>
      <c r="T904" s="49"/>
      <c r="U904" s="46"/>
      <c r="V904" s="50"/>
      <c r="W904" s="46"/>
      <c r="X904" s="46"/>
      <c r="Y904" s="46"/>
    </row>
    <row r="905" spans="1:25" x14ac:dyDescent="0.2">
      <c r="A905" s="45"/>
      <c r="B905" s="46"/>
      <c r="C905" s="46"/>
      <c r="D905" s="46"/>
      <c r="E905" s="46"/>
      <c r="F905" s="46"/>
      <c r="G905" s="46"/>
      <c r="H905" s="46"/>
      <c r="I905" s="46"/>
      <c r="J905" s="46"/>
      <c r="K905" s="46"/>
      <c r="L905" s="46"/>
      <c r="M905" s="46"/>
      <c r="N905" s="46"/>
      <c r="O905" s="46"/>
      <c r="P905" s="46"/>
      <c r="Q905" s="46"/>
      <c r="R905" s="46"/>
      <c r="S905" s="46"/>
      <c r="T905" s="49"/>
      <c r="U905" s="46"/>
      <c r="V905" s="50"/>
      <c r="W905" s="46"/>
      <c r="X905" s="46"/>
      <c r="Y905" s="46"/>
    </row>
    <row r="906" spans="1:25" x14ac:dyDescent="0.2">
      <c r="A906" s="45"/>
      <c r="B906" s="46"/>
      <c r="C906" s="46"/>
      <c r="D906" s="46"/>
      <c r="E906" s="46"/>
      <c r="F906" s="46"/>
      <c r="G906" s="46"/>
      <c r="H906" s="46"/>
      <c r="I906" s="46"/>
      <c r="J906" s="46"/>
      <c r="K906" s="46"/>
      <c r="L906" s="46"/>
      <c r="M906" s="46"/>
      <c r="N906" s="46"/>
      <c r="O906" s="46"/>
      <c r="P906" s="46"/>
      <c r="Q906" s="46"/>
      <c r="R906" s="46"/>
      <c r="S906" s="46"/>
      <c r="T906" s="49"/>
      <c r="U906" s="46"/>
      <c r="V906" s="50"/>
      <c r="W906" s="46"/>
      <c r="X906" s="46"/>
      <c r="Y906" s="46"/>
    </row>
    <row r="907" spans="1:25" x14ac:dyDescent="0.2">
      <c r="A907" s="45"/>
      <c r="B907" s="46"/>
      <c r="C907" s="46"/>
      <c r="D907" s="46"/>
      <c r="E907" s="46"/>
      <c r="F907" s="46"/>
      <c r="G907" s="46"/>
      <c r="H907" s="46"/>
      <c r="I907" s="46"/>
      <c r="J907" s="46"/>
      <c r="K907" s="46"/>
      <c r="L907" s="46"/>
      <c r="M907" s="46"/>
      <c r="N907" s="46"/>
      <c r="O907" s="46"/>
      <c r="P907" s="46"/>
      <c r="Q907" s="46"/>
      <c r="R907" s="46"/>
      <c r="S907" s="46"/>
      <c r="T907" s="49"/>
      <c r="U907" s="46"/>
      <c r="V907" s="50"/>
      <c r="W907" s="46"/>
      <c r="X907" s="46"/>
      <c r="Y907" s="46"/>
    </row>
    <row r="908" spans="1:25" x14ac:dyDescent="0.2">
      <c r="A908" s="45"/>
      <c r="B908" s="46"/>
      <c r="C908" s="46"/>
      <c r="D908" s="46"/>
      <c r="E908" s="46"/>
      <c r="F908" s="46"/>
      <c r="G908" s="46"/>
      <c r="H908" s="46"/>
      <c r="I908" s="46"/>
      <c r="J908" s="46"/>
      <c r="K908" s="46"/>
      <c r="L908" s="46"/>
      <c r="M908" s="46"/>
      <c r="N908" s="46"/>
      <c r="O908" s="46"/>
      <c r="P908" s="46"/>
      <c r="Q908" s="46"/>
      <c r="R908" s="46"/>
      <c r="S908" s="46"/>
      <c r="T908" s="49"/>
      <c r="U908" s="46"/>
      <c r="V908" s="50"/>
      <c r="W908" s="46"/>
      <c r="X908" s="46"/>
      <c r="Y908" s="46"/>
    </row>
    <row r="909" spans="1:25" x14ac:dyDescent="0.2">
      <c r="A909" s="45"/>
      <c r="B909" s="46"/>
      <c r="C909" s="46"/>
      <c r="D909" s="46"/>
      <c r="E909" s="46"/>
      <c r="F909" s="46"/>
      <c r="G909" s="46"/>
      <c r="H909" s="46"/>
      <c r="I909" s="46"/>
      <c r="J909" s="46"/>
      <c r="K909" s="46"/>
      <c r="L909" s="46"/>
      <c r="M909" s="46"/>
      <c r="N909" s="46"/>
      <c r="O909" s="46"/>
      <c r="P909" s="46"/>
      <c r="Q909" s="46"/>
      <c r="R909" s="46"/>
      <c r="S909" s="46"/>
      <c r="T909" s="49"/>
      <c r="U909" s="46"/>
      <c r="V909" s="50"/>
      <c r="W909" s="46"/>
      <c r="X909" s="46"/>
      <c r="Y909" s="46"/>
    </row>
    <row r="910" spans="1:25" x14ac:dyDescent="0.2">
      <c r="A910" s="45"/>
      <c r="B910" s="46"/>
      <c r="C910" s="46"/>
      <c r="D910" s="46"/>
      <c r="E910" s="46"/>
      <c r="F910" s="46"/>
      <c r="G910" s="46"/>
      <c r="H910" s="46"/>
      <c r="I910" s="46"/>
      <c r="J910" s="46"/>
      <c r="K910" s="46"/>
      <c r="L910" s="46"/>
      <c r="M910" s="46"/>
      <c r="N910" s="46"/>
      <c r="O910" s="46"/>
      <c r="P910" s="46"/>
      <c r="Q910" s="46"/>
      <c r="R910" s="46"/>
      <c r="S910" s="46"/>
      <c r="T910" s="49"/>
      <c r="U910" s="46"/>
      <c r="V910" s="50"/>
      <c r="W910" s="46"/>
      <c r="X910" s="46"/>
      <c r="Y910" s="46"/>
    </row>
    <row r="911" spans="1:25" x14ac:dyDescent="0.2">
      <c r="A911" s="45"/>
      <c r="B911" s="46"/>
      <c r="C911" s="46"/>
      <c r="D911" s="46"/>
      <c r="E911" s="46"/>
      <c r="F911" s="46"/>
      <c r="G911" s="46"/>
      <c r="H911" s="46"/>
      <c r="I911" s="46"/>
      <c r="J911" s="46"/>
      <c r="K911" s="46"/>
      <c r="L911" s="46"/>
      <c r="M911" s="46"/>
      <c r="N911" s="46"/>
      <c r="O911" s="46"/>
      <c r="P911" s="46"/>
      <c r="Q911" s="46"/>
      <c r="R911" s="46"/>
      <c r="S911" s="46"/>
      <c r="T911" s="49"/>
      <c r="U911" s="46"/>
      <c r="V911" s="50"/>
      <c r="W911" s="46"/>
      <c r="X911" s="46"/>
      <c r="Y911" s="46"/>
    </row>
    <row r="912" spans="1:25" x14ac:dyDescent="0.2">
      <c r="A912" s="45"/>
      <c r="B912" s="46"/>
      <c r="C912" s="46"/>
      <c r="D912" s="46"/>
      <c r="E912" s="46"/>
      <c r="F912" s="46"/>
      <c r="G912" s="46"/>
      <c r="H912" s="46"/>
      <c r="I912" s="46"/>
      <c r="J912" s="46"/>
      <c r="K912" s="46"/>
      <c r="L912" s="46"/>
      <c r="M912" s="46"/>
      <c r="N912" s="46"/>
      <c r="O912" s="46"/>
      <c r="P912" s="46"/>
      <c r="Q912" s="46"/>
      <c r="R912" s="46"/>
      <c r="S912" s="46"/>
      <c r="T912" s="49"/>
      <c r="U912" s="46"/>
      <c r="V912" s="50"/>
      <c r="W912" s="46"/>
      <c r="X912" s="46"/>
      <c r="Y912" s="46"/>
    </row>
    <row r="913" spans="1:25" x14ac:dyDescent="0.2">
      <c r="A913" s="45"/>
      <c r="B913" s="46"/>
      <c r="C913" s="46"/>
      <c r="D913" s="46"/>
      <c r="E913" s="46"/>
      <c r="F913" s="46"/>
      <c r="G913" s="46"/>
      <c r="H913" s="46"/>
      <c r="I913" s="46"/>
      <c r="J913" s="46"/>
      <c r="K913" s="46"/>
      <c r="L913" s="46"/>
      <c r="M913" s="46"/>
      <c r="N913" s="46"/>
      <c r="O913" s="46"/>
      <c r="P913" s="46"/>
      <c r="Q913" s="46"/>
      <c r="R913" s="46"/>
      <c r="S913" s="46"/>
      <c r="T913" s="49"/>
      <c r="U913" s="46"/>
      <c r="V913" s="50"/>
      <c r="W913" s="46"/>
      <c r="X913" s="46"/>
      <c r="Y913" s="46"/>
    </row>
    <row r="914" spans="1:25" x14ac:dyDescent="0.2">
      <c r="A914" s="45"/>
      <c r="B914" s="46"/>
      <c r="C914" s="46"/>
      <c r="D914" s="46"/>
      <c r="E914" s="46"/>
      <c r="F914" s="46"/>
      <c r="G914" s="46"/>
      <c r="H914" s="46"/>
      <c r="I914" s="46"/>
      <c r="J914" s="46"/>
      <c r="K914" s="46"/>
      <c r="L914" s="46"/>
      <c r="M914" s="46"/>
      <c r="N914" s="46"/>
      <c r="O914" s="46"/>
      <c r="P914" s="46"/>
      <c r="Q914" s="46"/>
      <c r="R914" s="46"/>
      <c r="S914" s="46"/>
      <c r="T914" s="49"/>
      <c r="U914" s="46"/>
      <c r="V914" s="50"/>
      <c r="W914" s="46"/>
      <c r="X914" s="46"/>
      <c r="Y914" s="46"/>
    </row>
    <row r="915" spans="1:25" x14ac:dyDescent="0.2">
      <c r="A915" s="45"/>
      <c r="B915" s="46"/>
      <c r="C915" s="46"/>
      <c r="D915" s="46"/>
      <c r="E915" s="46"/>
      <c r="F915" s="46"/>
      <c r="G915" s="46"/>
      <c r="H915" s="46"/>
      <c r="I915" s="46"/>
      <c r="J915" s="46"/>
      <c r="K915" s="46"/>
      <c r="L915" s="46"/>
      <c r="M915" s="46"/>
      <c r="N915" s="46"/>
      <c r="O915" s="46"/>
      <c r="P915" s="46"/>
      <c r="Q915" s="46"/>
      <c r="R915" s="46"/>
      <c r="S915" s="46"/>
      <c r="T915" s="49"/>
      <c r="U915" s="46"/>
      <c r="V915" s="50"/>
      <c r="W915" s="46"/>
      <c r="X915" s="46"/>
      <c r="Y915" s="46"/>
    </row>
    <row r="916" spans="1:25" x14ac:dyDescent="0.2">
      <c r="A916" s="45"/>
      <c r="B916" s="46"/>
      <c r="C916" s="46"/>
      <c r="D916" s="46"/>
      <c r="E916" s="46"/>
      <c r="F916" s="46"/>
      <c r="G916" s="46"/>
      <c r="H916" s="46"/>
      <c r="I916" s="46"/>
      <c r="J916" s="46"/>
      <c r="K916" s="46"/>
      <c r="L916" s="46"/>
      <c r="M916" s="46"/>
      <c r="N916" s="46"/>
      <c r="O916" s="46"/>
      <c r="P916" s="46"/>
      <c r="Q916" s="46"/>
      <c r="R916" s="46"/>
      <c r="S916" s="46"/>
      <c r="T916" s="49"/>
      <c r="U916" s="46"/>
      <c r="V916" s="50"/>
      <c r="W916" s="46"/>
      <c r="X916" s="46"/>
      <c r="Y916" s="46"/>
    </row>
    <row r="917" spans="1:25" x14ac:dyDescent="0.2">
      <c r="A917" s="45"/>
      <c r="B917" s="46"/>
      <c r="C917" s="46"/>
      <c r="D917" s="46"/>
      <c r="E917" s="46"/>
      <c r="F917" s="46"/>
      <c r="G917" s="46"/>
      <c r="H917" s="46"/>
      <c r="I917" s="46"/>
      <c r="J917" s="46"/>
      <c r="K917" s="46"/>
      <c r="L917" s="46"/>
      <c r="M917" s="46"/>
      <c r="N917" s="46"/>
      <c r="O917" s="46"/>
      <c r="P917" s="46"/>
      <c r="Q917" s="46"/>
      <c r="R917" s="46"/>
      <c r="S917" s="46"/>
      <c r="T917" s="49"/>
      <c r="U917" s="46"/>
      <c r="V917" s="50"/>
      <c r="W917" s="46"/>
      <c r="X917" s="46"/>
      <c r="Y917" s="46"/>
    </row>
    <row r="918" spans="1:25" x14ac:dyDescent="0.2">
      <c r="A918" s="45"/>
      <c r="B918" s="46"/>
      <c r="C918" s="46"/>
      <c r="D918" s="46"/>
      <c r="E918" s="46"/>
      <c r="F918" s="46"/>
      <c r="G918" s="46"/>
      <c r="H918" s="46"/>
      <c r="I918" s="46"/>
      <c r="J918" s="46"/>
      <c r="K918" s="46"/>
      <c r="L918" s="46"/>
      <c r="M918" s="46"/>
      <c r="N918" s="46"/>
      <c r="O918" s="46"/>
      <c r="P918" s="46"/>
      <c r="Q918" s="46"/>
      <c r="R918" s="46"/>
      <c r="S918" s="46"/>
      <c r="T918" s="49"/>
      <c r="U918" s="46"/>
      <c r="V918" s="50"/>
      <c r="W918" s="46"/>
      <c r="X918" s="46"/>
      <c r="Y918" s="46"/>
    </row>
    <row r="919" spans="1:25" x14ac:dyDescent="0.2">
      <c r="A919" s="45"/>
      <c r="B919" s="46"/>
      <c r="C919" s="46"/>
      <c r="D919" s="46"/>
      <c r="E919" s="46"/>
      <c r="F919" s="46"/>
      <c r="G919" s="46"/>
      <c r="H919" s="46"/>
      <c r="I919" s="46"/>
      <c r="J919" s="46"/>
      <c r="K919" s="46"/>
      <c r="L919" s="46"/>
      <c r="M919" s="46"/>
      <c r="N919" s="46"/>
      <c r="O919" s="46"/>
      <c r="P919" s="46"/>
      <c r="Q919" s="46"/>
      <c r="R919" s="46"/>
      <c r="S919" s="46"/>
      <c r="T919" s="49"/>
      <c r="U919" s="46"/>
      <c r="V919" s="50"/>
      <c r="W919" s="46"/>
      <c r="X919" s="46"/>
      <c r="Y919" s="46"/>
    </row>
    <row r="920" spans="1:25" x14ac:dyDescent="0.2">
      <c r="A920" s="45"/>
      <c r="B920" s="46"/>
      <c r="C920" s="46"/>
      <c r="D920" s="46"/>
      <c r="E920" s="46"/>
      <c r="F920" s="46"/>
      <c r="G920" s="46"/>
      <c r="H920" s="46"/>
      <c r="I920" s="46"/>
      <c r="J920" s="46"/>
      <c r="K920" s="46"/>
      <c r="L920" s="46"/>
      <c r="M920" s="46"/>
      <c r="N920" s="46"/>
      <c r="O920" s="46"/>
      <c r="P920" s="46"/>
      <c r="Q920" s="46"/>
      <c r="R920" s="46"/>
      <c r="S920" s="46"/>
      <c r="T920" s="49"/>
      <c r="U920" s="46"/>
      <c r="V920" s="50"/>
      <c r="W920" s="46"/>
      <c r="X920" s="46"/>
      <c r="Y920" s="46"/>
    </row>
    <row r="921" spans="1:25" x14ac:dyDescent="0.2">
      <c r="A921" s="45"/>
      <c r="B921" s="46"/>
      <c r="C921" s="46"/>
      <c r="D921" s="46"/>
      <c r="E921" s="46"/>
      <c r="F921" s="46"/>
      <c r="G921" s="46"/>
      <c r="H921" s="46"/>
      <c r="I921" s="46"/>
      <c r="J921" s="46"/>
      <c r="K921" s="46"/>
      <c r="L921" s="46"/>
      <c r="M921" s="46"/>
      <c r="N921" s="46"/>
      <c r="O921" s="46"/>
      <c r="P921" s="46"/>
      <c r="Q921" s="46"/>
      <c r="R921" s="46"/>
      <c r="S921" s="46"/>
      <c r="T921" s="49"/>
      <c r="U921" s="46"/>
      <c r="V921" s="50"/>
      <c r="W921" s="46"/>
      <c r="X921" s="46"/>
      <c r="Y921" s="46"/>
    </row>
    <row r="922" spans="1:25" x14ac:dyDescent="0.2">
      <c r="A922" s="45"/>
      <c r="B922" s="46"/>
      <c r="C922" s="46"/>
      <c r="D922" s="46"/>
      <c r="E922" s="46"/>
      <c r="F922" s="46"/>
      <c r="G922" s="46"/>
      <c r="H922" s="46"/>
      <c r="I922" s="46"/>
      <c r="J922" s="46"/>
      <c r="K922" s="46"/>
      <c r="L922" s="46"/>
      <c r="M922" s="46"/>
      <c r="N922" s="46"/>
      <c r="O922" s="46"/>
      <c r="P922" s="46"/>
      <c r="Q922" s="46"/>
      <c r="R922" s="46"/>
      <c r="S922" s="46"/>
      <c r="T922" s="49"/>
      <c r="U922" s="46"/>
      <c r="V922" s="50"/>
      <c r="W922" s="46"/>
      <c r="X922" s="46"/>
      <c r="Y922" s="46"/>
    </row>
    <row r="923" spans="1:25" x14ac:dyDescent="0.2">
      <c r="A923" s="45"/>
      <c r="B923" s="46"/>
      <c r="C923" s="46"/>
      <c r="D923" s="46"/>
      <c r="E923" s="46"/>
      <c r="F923" s="46"/>
      <c r="G923" s="46"/>
      <c r="H923" s="46"/>
      <c r="I923" s="46"/>
      <c r="J923" s="46"/>
      <c r="K923" s="46"/>
      <c r="L923" s="46"/>
      <c r="M923" s="46"/>
      <c r="N923" s="46"/>
      <c r="O923" s="46"/>
      <c r="P923" s="46"/>
      <c r="Q923" s="46"/>
      <c r="R923" s="46"/>
      <c r="S923" s="46"/>
      <c r="T923" s="49"/>
      <c r="U923" s="46"/>
      <c r="V923" s="50"/>
      <c r="W923" s="46"/>
      <c r="X923" s="46"/>
      <c r="Y923" s="46"/>
    </row>
    <row r="924" spans="1:25" x14ac:dyDescent="0.2">
      <c r="A924" s="45"/>
      <c r="B924" s="46"/>
      <c r="C924" s="46"/>
      <c r="D924" s="46"/>
      <c r="E924" s="46"/>
      <c r="F924" s="46"/>
      <c r="G924" s="46"/>
      <c r="H924" s="46"/>
      <c r="I924" s="46"/>
      <c r="J924" s="46"/>
      <c r="K924" s="46"/>
      <c r="L924" s="46"/>
      <c r="M924" s="46"/>
      <c r="N924" s="46"/>
      <c r="O924" s="46"/>
      <c r="P924" s="46"/>
      <c r="Q924" s="46"/>
      <c r="R924" s="46"/>
      <c r="S924" s="46"/>
      <c r="T924" s="49"/>
      <c r="U924" s="46"/>
      <c r="V924" s="50"/>
      <c r="W924" s="46"/>
      <c r="X924" s="46"/>
      <c r="Y924" s="46"/>
    </row>
    <row r="925" spans="1:25" x14ac:dyDescent="0.2">
      <c r="A925" s="45"/>
      <c r="B925" s="46"/>
      <c r="C925" s="46"/>
      <c r="D925" s="46"/>
      <c r="E925" s="46"/>
      <c r="F925" s="46"/>
      <c r="G925" s="46"/>
      <c r="H925" s="46"/>
      <c r="I925" s="46"/>
      <c r="J925" s="46"/>
      <c r="K925" s="46"/>
      <c r="L925" s="46"/>
      <c r="M925" s="46"/>
      <c r="N925" s="46"/>
      <c r="O925" s="46"/>
      <c r="P925" s="46"/>
      <c r="Q925" s="46"/>
      <c r="R925" s="46"/>
      <c r="S925" s="46"/>
      <c r="T925" s="49"/>
      <c r="U925" s="46"/>
      <c r="V925" s="50"/>
      <c r="W925" s="46"/>
      <c r="X925" s="46"/>
      <c r="Y925" s="46"/>
    </row>
    <row r="926" spans="1:25" x14ac:dyDescent="0.2">
      <c r="A926" s="45"/>
      <c r="B926" s="46"/>
      <c r="C926" s="46"/>
      <c r="D926" s="46"/>
      <c r="E926" s="46"/>
      <c r="F926" s="46"/>
      <c r="G926" s="46"/>
      <c r="H926" s="46"/>
      <c r="I926" s="46"/>
      <c r="J926" s="46"/>
      <c r="K926" s="46"/>
      <c r="L926" s="46"/>
      <c r="M926" s="46"/>
      <c r="N926" s="46"/>
      <c r="O926" s="46"/>
      <c r="P926" s="46"/>
      <c r="Q926" s="46"/>
      <c r="R926" s="46"/>
      <c r="S926" s="46"/>
      <c r="T926" s="49"/>
      <c r="U926" s="46"/>
      <c r="V926" s="50"/>
      <c r="W926" s="46"/>
      <c r="X926" s="46"/>
      <c r="Y926" s="46"/>
    </row>
    <row r="927" spans="1:25" x14ac:dyDescent="0.2">
      <c r="A927" s="45"/>
      <c r="B927" s="46"/>
      <c r="C927" s="46"/>
      <c r="D927" s="46"/>
      <c r="E927" s="46"/>
      <c r="F927" s="46"/>
      <c r="G927" s="46"/>
      <c r="H927" s="46"/>
      <c r="I927" s="46"/>
      <c r="J927" s="46"/>
      <c r="K927" s="46"/>
      <c r="L927" s="46"/>
      <c r="M927" s="46"/>
      <c r="N927" s="46"/>
      <c r="O927" s="46"/>
      <c r="P927" s="46"/>
      <c r="Q927" s="46"/>
      <c r="R927" s="46"/>
      <c r="S927" s="46"/>
      <c r="T927" s="49"/>
      <c r="U927" s="46"/>
      <c r="V927" s="50"/>
      <c r="W927" s="46"/>
      <c r="X927" s="46"/>
      <c r="Y927" s="46"/>
    </row>
    <row r="928" spans="1:25" x14ac:dyDescent="0.2">
      <c r="A928" s="45"/>
      <c r="B928" s="46"/>
      <c r="C928" s="46"/>
      <c r="D928" s="46"/>
      <c r="E928" s="46"/>
      <c r="F928" s="46"/>
      <c r="G928" s="46"/>
      <c r="H928" s="46"/>
      <c r="I928" s="46"/>
      <c r="J928" s="46"/>
      <c r="K928" s="46"/>
      <c r="L928" s="46"/>
      <c r="M928" s="46"/>
      <c r="N928" s="46"/>
      <c r="O928" s="46"/>
      <c r="P928" s="46"/>
      <c r="Q928" s="46"/>
      <c r="R928" s="46"/>
      <c r="S928" s="46"/>
      <c r="T928" s="49"/>
      <c r="U928" s="46"/>
      <c r="V928" s="50"/>
      <c r="W928" s="46"/>
      <c r="X928" s="46"/>
      <c r="Y928" s="46"/>
    </row>
    <row r="929" spans="1:25" x14ac:dyDescent="0.2">
      <c r="A929" s="45"/>
      <c r="B929" s="46"/>
      <c r="C929" s="46"/>
      <c r="D929" s="46"/>
      <c r="E929" s="46"/>
      <c r="F929" s="46"/>
      <c r="G929" s="46"/>
      <c r="H929" s="46"/>
      <c r="I929" s="46"/>
      <c r="J929" s="46"/>
      <c r="K929" s="46"/>
      <c r="L929" s="46"/>
      <c r="M929" s="46"/>
      <c r="N929" s="46"/>
      <c r="O929" s="46"/>
      <c r="P929" s="46"/>
      <c r="Q929" s="46"/>
      <c r="R929" s="46"/>
      <c r="S929" s="46"/>
      <c r="T929" s="49"/>
      <c r="U929" s="46"/>
      <c r="V929" s="50"/>
      <c r="W929" s="46"/>
      <c r="X929" s="46"/>
      <c r="Y929" s="46"/>
    </row>
    <row r="930" spans="1:25" x14ac:dyDescent="0.2">
      <c r="A930" s="45"/>
      <c r="B930" s="46"/>
      <c r="C930" s="46"/>
      <c r="D930" s="46"/>
      <c r="E930" s="46"/>
      <c r="F930" s="46"/>
      <c r="G930" s="46"/>
      <c r="H930" s="46"/>
      <c r="I930" s="46"/>
      <c r="J930" s="46"/>
      <c r="K930" s="46"/>
      <c r="L930" s="46"/>
      <c r="M930" s="46"/>
      <c r="N930" s="46"/>
      <c r="O930" s="46"/>
      <c r="P930" s="46"/>
      <c r="Q930" s="46"/>
      <c r="R930" s="46"/>
      <c r="S930" s="46"/>
      <c r="T930" s="49"/>
      <c r="U930" s="46"/>
      <c r="V930" s="50"/>
      <c r="W930" s="46"/>
      <c r="X930" s="46"/>
      <c r="Y930" s="46"/>
    </row>
    <row r="931" spans="1:25" x14ac:dyDescent="0.2">
      <c r="A931" s="45"/>
      <c r="B931" s="46"/>
      <c r="C931" s="46"/>
      <c r="D931" s="46"/>
      <c r="E931" s="46"/>
      <c r="F931" s="46"/>
      <c r="G931" s="46"/>
      <c r="H931" s="46"/>
      <c r="I931" s="46"/>
      <c r="J931" s="46"/>
      <c r="K931" s="46"/>
      <c r="L931" s="46"/>
      <c r="M931" s="46"/>
      <c r="N931" s="46"/>
      <c r="O931" s="46"/>
      <c r="P931" s="46"/>
      <c r="Q931" s="46"/>
      <c r="R931" s="46"/>
      <c r="S931" s="46"/>
      <c r="T931" s="49"/>
      <c r="U931" s="46"/>
      <c r="V931" s="50"/>
      <c r="W931" s="46"/>
      <c r="X931" s="46"/>
      <c r="Y931" s="46"/>
    </row>
    <row r="932" spans="1:25" x14ac:dyDescent="0.2">
      <c r="A932" s="45"/>
      <c r="B932" s="46"/>
      <c r="C932" s="46"/>
      <c r="D932" s="46"/>
      <c r="E932" s="46"/>
      <c r="F932" s="46"/>
      <c r="G932" s="46"/>
      <c r="H932" s="46"/>
      <c r="I932" s="46"/>
      <c r="J932" s="46"/>
      <c r="K932" s="46"/>
      <c r="L932" s="46"/>
      <c r="M932" s="46"/>
      <c r="N932" s="46"/>
      <c r="O932" s="46"/>
      <c r="P932" s="46"/>
      <c r="Q932" s="46"/>
      <c r="R932" s="46"/>
      <c r="S932" s="46"/>
      <c r="T932" s="49"/>
      <c r="U932" s="46"/>
      <c r="V932" s="50"/>
      <c r="W932" s="46"/>
      <c r="X932" s="46"/>
      <c r="Y932" s="46"/>
    </row>
    <row r="933" spans="1:25" x14ac:dyDescent="0.2">
      <c r="A933" s="45"/>
      <c r="B933" s="46"/>
      <c r="C933" s="46"/>
      <c r="D933" s="46"/>
      <c r="E933" s="46"/>
      <c r="F933" s="46"/>
      <c r="G933" s="46"/>
      <c r="H933" s="46"/>
      <c r="I933" s="46"/>
      <c r="J933" s="46"/>
      <c r="K933" s="46"/>
      <c r="L933" s="46"/>
      <c r="M933" s="46"/>
      <c r="N933" s="46"/>
      <c r="O933" s="46"/>
      <c r="P933" s="46"/>
      <c r="Q933" s="46"/>
      <c r="R933" s="46"/>
      <c r="S933" s="46"/>
      <c r="T933" s="49"/>
      <c r="U933" s="46"/>
      <c r="V933" s="50"/>
      <c r="W933" s="46"/>
      <c r="X933" s="46"/>
      <c r="Y933" s="46"/>
    </row>
    <row r="934" spans="1:25" x14ac:dyDescent="0.2">
      <c r="A934" s="45"/>
      <c r="B934" s="46"/>
      <c r="C934" s="46"/>
      <c r="D934" s="46"/>
      <c r="E934" s="46"/>
      <c r="F934" s="46"/>
      <c r="G934" s="46"/>
      <c r="H934" s="46"/>
      <c r="I934" s="46"/>
      <c r="J934" s="46"/>
      <c r="K934" s="46"/>
      <c r="L934" s="46"/>
      <c r="M934" s="46"/>
      <c r="N934" s="46"/>
      <c r="O934" s="46"/>
      <c r="P934" s="46"/>
      <c r="Q934" s="46"/>
      <c r="R934" s="46"/>
      <c r="S934" s="46"/>
      <c r="T934" s="49"/>
      <c r="U934" s="46"/>
      <c r="V934" s="50"/>
      <c r="W934" s="46"/>
      <c r="X934" s="46"/>
      <c r="Y934" s="46"/>
    </row>
    <row r="935" spans="1:25" x14ac:dyDescent="0.2">
      <c r="A935" s="45"/>
      <c r="B935" s="46"/>
      <c r="C935" s="46"/>
      <c r="D935" s="46"/>
      <c r="E935" s="46"/>
      <c r="F935" s="46"/>
      <c r="G935" s="46"/>
      <c r="H935" s="46"/>
      <c r="I935" s="46"/>
      <c r="J935" s="46"/>
      <c r="K935" s="46"/>
      <c r="L935" s="46"/>
      <c r="M935" s="46"/>
      <c r="N935" s="46"/>
      <c r="O935" s="46"/>
      <c r="P935" s="46"/>
      <c r="Q935" s="46"/>
      <c r="R935" s="46"/>
      <c r="S935" s="46"/>
      <c r="T935" s="49"/>
      <c r="U935" s="46"/>
      <c r="V935" s="50"/>
      <c r="W935" s="46"/>
      <c r="X935" s="46"/>
      <c r="Y935" s="46"/>
    </row>
    <row r="936" spans="1:25" x14ac:dyDescent="0.2">
      <c r="A936" s="45"/>
      <c r="B936" s="46"/>
      <c r="C936" s="46"/>
      <c r="D936" s="46"/>
      <c r="E936" s="46"/>
      <c r="F936" s="46"/>
      <c r="G936" s="46"/>
      <c r="H936" s="46"/>
      <c r="I936" s="46"/>
      <c r="J936" s="46"/>
      <c r="K936" s="46"/>
      <c r="L936" s="46"/>
      <c r="M936" s="46"/>
      <c r="N936" s="46"/>
      <c r="O936" s="46"/>
      <c r="P936" s="46"/>
      <c r="Q936" s="46"/>
      <c r="R936" s="46"/>
      <c r="S936" s="46"/>
      <c r="T936" s="49"/>
      <c r="U936" s="46"/>
      <c r="V936" s="50"/>
      <c r="W936" s="46"/>
      <c r="X936" s="46"/>
      <c r="Y936" s="46"/>
    </row>
    <row r="937" spans="1:25" x14ac:dyDescent="0.2">
      <c r="A937" s="45"/>
      <c r="B937" s="46"/>
      <c r="C937" s="46"/>
      <c r="D937" s="46"/>
      <c r="E937" s="46"/>
      <c r="F937" s="46"/>
      <c r="G937" s="46"/>
      <c r="H937" s="46"/>
      <c r="I937" s="46"/>
      <c r="J937" s="46"/>
      <c r="K937" s="46"/>
      <c r="L937" s="46"/>
      <c r="M937" s="46"/>
      <c r="N937" s="46"/>
      <c r="O937" s="46"/>
      <c r="P937" s="46"/>
      <c r="Q937" s="46"/>
      <c r="R937" s="46"/>
      <c r="S937" s="46"/>
      <c r="T937" s="49"/>
      <c r="U937" s="46"/>
      <c r="V937" s="50"/>
      <c r="W937" s="46"/>
      <c r="X937" s="46"/>
      <c r="Y937" s="46"/>
    </row>
    <row r="938" spans="1:25" x14ac:dyDescent="0.2">
      <c r="A938" s="45"/>
      <c r="B938" s="46"/>
      <c r="C938" s="46"/>
      <c r="D938" s="46"/>
      <c r="E938" s="46"/>
      <c r="F938" s="46"/>
      <c r="G938" s="46"/>
      <c r="H938" s="46"/>
      <c r="I938" s="46"/>
      <c r="J938" s="46"/>
      <c r="K938" s="46"/>
      <c r="L938" s="46"/>
      <c r="M938" s="46"/>
      <c r="N938" s="46"/>
      <c r="O938" s="46"/>
      <c r="P938" s="46"/>
      <c r="Q938" s="46"/>
      <c r="R938" s="46"/>
      <c r="S938" s="46"/>
      <c r="T938" s="49"/>
      <c r="U938" s="46"/>
      <c r="V938" s="50"/>
      <c r="W938" s="46"/>
      <c r="X938" s="46"/>
      <c r="Y938" s="46"/>
    </row>
    <row r="939" spans="1:25" x14ac:dyDescent="0.2">
      <c r="A939" s="45"/>
      <c r="B939" s="46"/>
      <c r="C939" s="46"/>
      <c r="D939" s="46"/>
      <c r="E939" s="46"/>
      <c r="F939" s="46"/>
      <c r="G939" s="46"/>
      <c r="H939" s="46"/>
      <c r="I939" s="46"/>
      <c r="J939" s="46"/>
      <c r="K939" s="46"/>
      <c r="L939" s="46"/>
      <c r="M939" s="46"/>
      <c r="N939" s="46"/>
      <c r="O939" s="46"/>
      <c r="P939" s="46"/>
      <c r="Q939" s="46"/>
      <c r="R939" s="46"/>
      <c r="S939" s="46"/>
      <c r="T939" s="49"/>
      <c r="U939" s="46"/>
      <c r="V939" s="50"/>
      <c r="W939" s="46"/>
      <c r="X939" s="46"/>
      <c r="Y939" s="46"/>
    </row>
    <row r="940" spans="1:25" x14ac:dyDescent="0.2">
      <c r="A940" s="45"/>
      <c r="B940" s="46"/>
      <c r="C940" s="46"/>
      <c r="D940" s="46"/>
      <c r="E940" s="46"/>
      <c r="F940" s="46"/>
      <c r="G940" s="46"/>
      <c r="H940" s="46"/>
      <c r="I940" s="46"/>
      <c r="J940" s="46"/>
      <c r="K940" s="46"/>
      <c r="L940" s="46"/>
      <c r="M940" s="46"/>
      <c r="N940" s="46"/>
      <c r="O940" s="46"/>
      <c r="P940" s="46"/>
      <c r="Q940" s="46"/>
      <c r="R940" s="46"/>
      <c r="S940" s="46"/>
      <c r="T940" s="49"/>
      <c r="U940" s="46"/>
      <c r="V940" s="50"/>
      <c r="W940" s="46"/>
      <c r="X940" s="46"/>
      <c r="Y940" s="46"/>
    </row>
    <row r="941" spans="1:25" x14ac:dyDescent="0.2">
      <c r="A941" s="45"/>
      <c r="B941" s="46"/>
      <c r="C941" s="46"/>
      <c r="D941" s="46"/>
      <c r="E941" s="46"/>
      <c r="F941" s="46"/>
      <c r="G941" s="46"/>
      <c r="H941" s="46"/>
      <c r="I941" s="46"/>
      <c r="J941" s="46"/>
      <c r="K941" s="46"/>
      <c r="L941" s="46"/>
      <c r="M941" s="46"/>
      <c r="N941" s="46"/>
      <c r="O941" s="46"/>
      <c r="P941" s="46"/>
      <c r="Q941" s="46"/>
      <c r="R941" s="46"/>
      <c r="S941" s="46"/>
      <c r="T941" s="49"/>
      <c r="U941" s="46"/>
      <c r="V941" s="50"/>
      <c r="W941" s="46"/>
      <c r="X941" s="46"/>
      <c r="Y941" s="46"/>
    </row>
    <row r="942" spans="1:25" x14ac:dyDescent="0.2">
      <c r="A942" s="45"/>
      <c r="B942" s="46"/>
      <c r="C942" s="46"/>
      <c r="D942" s="46"/>
      <c r="E942" s="46"/>
      <c r="F942" s="46"/>
      <c r="G942" s="46"/>
      <c r="H942" s="46"/>
      <c r="I942" s="46"/>
      <c r="J942" s="46"/>
      <c r="K942" s="46"/>
      <c r="L942" s="46"/>
      <c r="M942" s="46"/>
      <c r="N942" s="46"/>
      <c r="O942" s="46"/>
      <c r="P942" s="46"/>
      <c r="Q942" s="46"/>
      <c r="R942" s="46"/>
      <c r="S942" s="46"/>
      <c r="T942" s="49"/>
      <c r="U942" s="46"/>
      <c r="V942" s="50"/>
      <c r="W942" s="46"/>
      <c r="X942" s="46"/>
      <c r="Y942" s="46"/>
    </row>
    <row r="943" spans="1:25" x14ac:dyDescent="0.2">
      <c r="A943" s="45"/>
      <c r="B943" s="46"/>
      <c r="C943" s="46"/>
      <c r="D943" s="46"/>
      <c r="E943" s="46"/>
      <c r="F943" s="46"/>
      <c r="G943" s="46"/>
      <c r="H943" s="46"/>
      <c r="I943" s="46"/>
      <c r="J943" s="46"/>
      <c r="K943" s="46"/>
      <c r="L943" s="46"/>
      <c r="M943" s="46"/>
      <c r="N943" s="46"/>
      <c r="O943" s="46"/>
      <c r="P943" s="46"/>
      <c r="Q943" s="46"/>
      <c r="R943" s="46"/>
      <c r="S943" s="46"/>
      <c r="T943" s="49"/>
      <c r="U943" s="46"/>
      <c r="V943" s="50"/>
      <c r="W943" s="46"/>
      <c r="X943" s="46"/>
      <c r="Y943" s="46"/>
    </row>
    <row r="944" spans="1:25" x14ac:dyDescent="0.2">
      <c r="A944" s="45"/>
      <c r="B944" s="46"/>
      <c r="C944" s="46"/>
      <c r="D944" s="46"/>
      <c r="E944" s="46"/>
      <c r="F944" s="46"/>
      <c r="G944" s="46"/>
      <c r="H944" s="46"/>
      <c r="I944" s="46"/>
      <c r="J944" s="46"/>
      <c r="K944" s="46"/>
      <c r="L944" s="46"/>
      <c r="M944" s="46"/>
      <c r="N944" s="46"/>
      <c r="O944" s="46"/>
      <c r="P944" s="46"/>
      <c r="Q944" s="46"/>
      <c r="R944" s="46"/>
      <c r="S944" s="46"/>
      <c r="T944" s="49"/>
      <c r="U944" s="46"/>
      <c r="V944" s="50"/>
      <c r="W944" s="46"/>
      <c r="X944" s="46"/>
      <c r="Y944" s="46"/>
    </row>
    <row r="945" spans="1:25" x14ac:dyDescent="0.2">
      <c r="A945" s="45"/>
      <c r="B945" s="46"/>
      <c r="C945" s="46"/>
      <c r="D945" s="46"/>
      <c r="E945" s="46"/>
      <c r="F945" s="46"/>
      <c r="G945" s="46"/>
      <c r="H945" s="46"/>
      <c r="I945" s="46"/>
      <c r="J945" s="46"/>
      <c r="K945" s="46"/>
      <c r="L945" s="46"/>
      <c r="M945" s="46"/>
      <c r="N945" s="46"/>
      <c r="O945" s="46"/>
      <c r="P945" s="46"/>
      <c r="Q945" s="46"/>
      <c r="R945" s="46"/>
      <c r="S945" s="46"/>
      <c r="T945" s="49"/>
      <c r="U945" s="46"/>
      <c r="V945" s="50"/>
      <c r="W945" s="46"/>
      <c r="X945" s="46"/>
      <c r="Y945" s="46"/>
    </row>
    <row r="946" spans="1:25" x14ac:dyDescent="0.2">
      <c r="A946" s="45"/>
      <c r="B946" s="46"/>
      <c r="C946" s="46"/>
      <c r="D946" s="46"/>
      <c r="E946" s="46"/>
      <c r="F946" s="46"/>
      <c r="G946" s="46"/>
      <c r="H946" s="46"/>
      <c r="I946" s="46"/>
      <c r="J946" s="46"/>
      <c r="K946" s="46"/>
      <c r="L946" s="46"/>
      <c r="M946" s="46"/>
      <c r="N946" s="46"/>
      <c r="O946" s="46"/>
      <c r="P946" s="46"/>
      <c r="Q946" s="46"/>
      <c r="R946" s="46"/>
      <c r="S946" s="46"/>
      <c r="T946" s="49"/>
      <c r="U946" s="46"/>
      <c r="V946" s="50"/>
      <c r="W946" s="46"/>
      <c r="X946" s="46"/>
      <c r="Y946" s="46"/>
    </row>
    <row r="947" spans="1:25" x14ac:dyDescent="0.2">
      <c r="A947" s="45"/>
      <c r="B947" s="46"/>
      <c r="C947" s="46"/>
      <c r="D947" s="46"/>
      <c r="E947" s="46"/>
      <c r="F947" s="46"/>
      <c r="G947" s="46"/>
      <c r="H947" s="46"/>
      <c r="I947" s="46"/>
      <c r="J947" s="46"/>
      <c r="K947" s="46"/>
      <c r="L947" s="46"/>
      <c r="M947" s="46"/>
      <c r="N947" s="46"/>
      <c r="O947" s="46"/>
      <c r="P947" s="46"/>
      <c r="Q947" s="46"/>
      <c r="R947" s="46"/>
      <c r="S947" s="46"/>
      <c r="T947" s="49"/>
      <c r="U947" s="46"/>
      <c r="V947" s="50"/>
      <c r="W947" s="46"/>
      <c r="X947" s="46"/>
      <c r="Y947" s="46"/>
    </row>
    <row r="948" spans="1:25" x14ac:dyDescent="0.2">
      <c r="A948" s="45"/>
      <c r="B948" s="46"/>
      <c r="C948" s="46"/>
      <c r="D948" s="46"/>
      <c r="E948" s="46"/>
      <c r="F948" s="46"/>
      <c r="G948" s="46"/>
      <c r="H948" s="46"/>
      <c r="I948" s="46"/>
      <c r="J948" s="46"/>
      <c r="K948" s="46"/>
      <c r="L948" s="46"/>
      <c r="M948" s="46"/>
      <c r="N948" s="46"/>
      <c r="O948" s="46"/>
      <c r="P948" s="46"/>
      <c r="Q948" s="46"/>
      <c r="R948" s="46"/>
      <c r="S948" s="46"/>
      <c r="T948" s="49"/>
      <c r="U948" s="46"/>
      <c r="V948" s="50"/>
      <c r="W948" s="46"/>
      <c r="X948" s="46"/>
      <c r="Y948" s="46"/>
    </row>
    <row r="949" spans="1:25" x14ac:dyDescent="0.2">
      <c r="A949" s="45"/>
      <c r="B949" s="46"/>
      <c r="C949" s="46"/>
      <c r="D949" s="46"/>
      <c r="E949" s="46"/>
      <c r="F949" s="46"/>
      <c r="G949" s="46"/>
      <c r="H949" s="46"/>
      <c r="I949" s="46"/>
      <c r="J949" s="46"/>
      <c r="K949" s="46"/>
      <c r="L949" s="46"/>
      <c r="M949" s="46"/>
      <c r="N949" s="46"/>
      <c r="O949" s="46"/>
      <c r="P949" s="46"/>
      <c r="Q949" s="46"/>
      <c r="R949" s="46"/>
      <c r="S949" s="46"/>
      <c r="T949" s="49"/>
      <c r="U949" s="46"/>
      <c r="V949" s="50"/>
      <c r="W949" s="46"/>
      <c r="X949" s="46"/>
      <c r="Y949" s="46"/>
    </row>
    <row r="950" spans="1:25" x14ac:dyDescent="0.2">
      <c r="A950" s="45"/>
      <c r="B950" s="46"/>
      <c r="C950" s="46"/>
      <c r="D950" s="46"/>
      <c r="E950" s="46"/>
      <c r="F950" s="46"/>
      <c r="G950" s="46"/>
      <c r="H950" s="46"/>
      <c r="I950" s="46"/>
      <c r="J950" s="46"/>
      <c r="K950" s="46"/>
      <c r="L950" s="46"/>
      <c r="M950" s="46"/>
      <c r="N950" s="46"/>
      <c r="O950" s="46"/>
      <c r="P950" s="46"/>
      <c r="Q950" s="46"/>
      <c r="R950" s="46"/>
      <c r="S950" s="46"/>
      <c r="T950" s="49"/>
      <c r="U950" s="46"/>
      <c r="V950" s="50"/>
      <c r="W950" s="46"/>
      <c r="X950" s="46"/>
      <c r="Y950" s="46"/>
    </row>
    <row r="951" spans="1:25" x14ac:dyDescent="0.2">
      <c r="A951" s="45"/>
      <c r="B951" s="46"/>
      <c r="C951" s="46"/>
      <c r="D951" s="46"/>
      <c r="E951" s="46"/>
      <c r="F951" s="46"/>
      <c r="G951" s="46"/>
      <c r="H951" s="46"/>
      <c r="I951" s="46"/>
      <c r="J951" s="46"/>
      <c r="K951" s="46"/>
      <c r="L951" s="46"/>
      <c r="M951" s="46"/>
      <c r="N951" s="46"/>
      <c r="O951" s="46"/>
      <c r="P951" s="46"/>
      <c r="Q951" s="46"/>
      <c r="R951" s="46"/>
      <c r="S951" s="46"/>
      <c r="T951" s="49"/>
      <c r="U951" s="46"/>
      <c r="V951" s="50"/>
      <c r="W951" s="46"/>
      <c r="X951" s="46"/>
      <c r="Y951" s="46"/>
    </row>
    <row r="952" spans="1:25" x14ac:dyDescent="0.2">
      <c r="A952" s="45"/>
      <c r="B952" s="46"/>
      <c r="C952" s="46"/>
      <c r="D952" s="46"/>
      <c r="E952" s="46"/>
      <c r="F952" s="46"/>
      <c r="G952" s="46"/>
      <c r="H952" s="46"/>
      <c r="I952" s="46"/>
      <c r="J952" s="46"/>
      <c r="K952" s="46"/>
      <c r="L952" s="46"/>
      <c r="M952" s="46"/>
      <c r="N952" s="46"/>
      <c r="O952" s="46"/>
      <c r="P952" s="46"/>
      <c r="Q952" s="46"/>
      <c r="R952" s="46"/>
      <c r="S952" s="46"/>
      <c r="T952" s="49"/>
      <c r="U952" s="46"/>
      <c r="V952" s="50"/>
      <c r="W952" s="46"/>
      <c r="X952" s="46"/>
      <c r="Y952" s="46"/>
    </row>
    <row r="953" spans="1:25" x14ac:dyDescent="0.2">
      <c r="A953" s="45"/>
      <c r="B953" s="46"/>
      <c r="C953" s="46"/>
      <c r="D953" s="46"/>
      <c r="E953" s="46"/>
      <c r="F953" s="46"/>
      <c r="G953" s="46"/>
      <c r="H953" s="46"/>
      <c r="I953" s="46"/>
      <c r="J953" s="46"/>
      <c r="K953" s="46"/>
      <c r="L953" s="46"/>
      <c r="M953" s="46"/>
      <c r="N953" s="46"/>
      <c r="O953" s="46"/>
      <c r="P953" s="46"/>
      <c r="Q953" s="46"/>
      <c r="R953" s="46"/>
      <c r="S953" s="46"/>
      <c r="T953" s="49"/>
      <c r="U953" s="46"/>
      <c r="V953" s="50"/>
      <c r="W953" s="46"/>
      <c r="X953" s="46"/>
      <c r="Y953" s="46"/>
    </row>
    <row r="954" spans="1:25" x14ac:dyDescent="0.2">
      <c r="A954" s="45"/>
      <c r="B954" s="46"/>
      <c r="C954" s="46"/>
      <c r="D954" s="46"/>
      <c r="E954" s="46"/>
      <c r="F954" s="46"/>
      <c r="G954" s="46"/>
      <c r="H954" s="46"/>
      <c r="I954" s="46"/>
      <c r="J954" s="46"/>
      <c r="K954" s="46"/>
      <c r="L954" s="46"/>
      <c r="M954" s="46"/>
      <c r="N954" s="46"/>
      <c r="O954" s="46"/>
      <c r="P954" s="46"/>
      <c r="Q954" s="46"/>
      <c r="R954" s="46"/>
      <c r="S954" s="46"/>
      <c r="T954" s="49"/>
      <c r="U954" s="46"/>
      <c r="V954" s="50"/>
      <c r="W954" s="46"/>
      <c r="X954" s="46"/>
      <c r="Y954" s="46"/>
    </row>
    <row r="955" spans="1:25" x14ac:dyDescent="0.2">
      <c r="A955" s="45"/>
      <c r="B955" s="46"/>
      <c r="C955" s="46"/>
      <c r="D955" s="46"/>
      <c r="E955" s="46"/>
      <c r="F955" s="46"/>
      <c r="G955" s="46"/>
      <c r="H955" s="46"/>
      <c r="I955" s="46"/>
      <c r="J955" s="46"/>
      <c r="K955" s="46"/>
      <c r="L955" s="46"/>
      <c r="M955" s="46"/>
      <c r="N955" s="46"/>
      <c r="O955" s="46"/>
      <c r="P955" s="46"/>
      <c r="Q955" s="46"/>
      <c r="R955" s="46"/>
      <c r="S955" s="46"/>
      <c r="T955" s="49"/>
      <c r="U955" s="46"/>
      <c r="V955" s="50"/>
      <c r="W955" s="46"/>
      <c r="X955" s="46"/>
      <c r="Y955" s="46"/>
    </row>
    <row r="956" spans="1:25" x14ac:dyDescent="0.2">
      <c r="A956" s="45"/>
      <c r="B956" s="46"/>
      <c r="C956" s="46"/>
      <c r="D956" s="46"/>
      <c r="E956" s="46"/>
      <c r="F956" s="46"/>
      <c r="G956" s="46"/>
      <c r="H956" s="46"/>
      <c r="I956" s="46"/>
      <c r="J956" s="46"/>
      <c r="K956" s="46"/>
      <c r="L956" s="46"/>
      <c r="M956" s="46"/>
      <c r="N956" s="46"/>
      <c r="O956" s="46"/>
      <c r="P956" s="46"/>
      <c r="Q956" s="46"/>
      <c r="R956" s="46"/>
      <c r="S956" s="46"/>
      <c r="T956" s="49"/>
      <c r="U956" s="46"/>
      <c r="V956" s="50"/>
      <c r="W956" s="46"/>
      <c r="X956" s="46"/>
      <c r="Y956" s="46"/>
    </row>
    <row r="957" spans="1:25" x14ac:dyDescent="0.2">
      <c r="A957" s="45"/>
      <c r="B957" s="46"/>
      <c r="C957" s="46"/>
      <c r="D957" s="46"/>
      <c r="E957" s="46"/>
      <c r="F957" s="46"/>
      <c r="G957" s="46"/>
      <c r="H957" s="46"/>
      <c r="I957" s="46"/>
      <c r="J957" s="46"/>
      <c r="K957" s="46"/>
      <c r="L957" s="46"/>
      <c r="M957" s="46"/>
      <c r="N957" s="46"/>
      <c r="O957" s="46"/>
      <c r="P957" s="46"/>
      <c r="Q957" s="46"/>
      <c r="R957" s="46"/>
      <c r="S957" s="46"/>
      <c r="T957" s="49"/>
      <c r="U957" s="46"/>
      <c r="V957" s="50"/>
      <c r="W957" s="46"/>
      <c r="X957" s="46"/>
      <c r="Y957" s="46"/>
    </row>
    <row r="958" spans="1:25" x14ac:dyDescent="0.2">
      <c r="A958" s="45"/>
      <c r="B958" s="46"/>
      <c r="C958" s="46"/>
      <c r="D958" s="46"/>
      <c r="E958" s="46"/>
      <c r="F958" s="46"/>
      <c r="G958" s="46"/>
      <c r="H958" s="46"/>
      <c r="I958" s="46"/>
      <c r="J958" s="46"/>
      <c r="K958" s="46"/>
      <c r="L958" s="46"/>
      <c r="M958" s="46"/>
      <c r="N958" s="46"/>
      <c r="O958" s="46"/>
      <c r="P958" s="46"/>
      <c r="Q958" s="46"/>
      <c r="R958" s="46"/>
      <c r="S958" s="46"/>
      <c r="T958" s="49"/>
      <c r="U958" s="46"/>
      <c r="V958" s="50"/>
      <c r="W958" s="46"/>
      <c r="X958" s="46"/>
      <c r="Y958" s="46"/>
    </row>
    <row r="959" spans="1:25" x14ac:dyDescent="0.2">
      <c r="A959" s="45"/>
      <c r="B959" s="46"/>
      <c r="C959" s="46"/>
      <c r="D959" s="46"/>
      <c r="E959" s="46"/>
      <c r="F959" s="46"/>
      <c r="G959" s="46"/>
      <c r="H959" s="46"/>
      <c r="I959" s="46"/>
      <c r="J959" s="46"/>
      <c r="K959" s="46"/>
      <c r="L959" s="46"/>
      <c r="M959" s="46"/>
      <c r="N959" s="46"/>
      <c r="O959" s="46"/>
      <c r="P959" s="46"/>
      <c r="Q959" s="46"/>
      <c r="R959" s="46"/>
      <c r="S959" s="46"/>
      <c r="T959" s="49"/>
      <c r="U959" s="46"/>
      <c r="V959" s="50"/>
      <c r="W959" s="46"/>
      <c r="X959" s="46"/>
      <c r="Y959" s="46"/>
    </row>
    <row r="960" spans="1:25" x14ac:dyDescent="0.2">
      <c r="A960" s="45"/>
      <c r="B960" s="46"/>
      <c r="C960" s="46"/>
      <c r="D960" s="46"/>
      <c r="E960" s="46"/>
      <c r="F960" s="46"/>
      <c r="G960" s="46"/>
      <c r="H960" s="46"/>
      <c r="I960" s="46"/>
      <c r="J960" s="46"/>
      <c r="K960" s="46"/>
      <c r="L960" s="46"/>
      <c r="M960" s="46"/>
      <c r="N960" s="46"/>
      <c r="O960" s="46"/>
      <c r="P960" s="46"/>
      <c r="Q960" s="46"/>
      <c r="R960" s="46"/>
      <c r="S960" s="46"/>
      <c r="T960" s="49"/>
      <c r="U960" s="46"/>
      <c r="V960" s="50"/>
      <c r="W960" s="46"/>
      <c r="X960" s="46"/>
      <c r="Y960" s="46"/>
    </row>
    <row r="961" spans="1:25" x14ac:dyDescent="0.2">
      <c r="A961" s="45"/>
      <c r="B961" s="46"/>
      <c r="C961" s="46"/>
      <c r="D961" s="46"/>
      <c r="E961" s="46"/>
      <c r="F961" s="46"/>
      <c r="G961" s="46"/>
      <c r="H961" s="46"/>
      <c r="I961" s="46"/>
      <c r="J961" s="46"/>
      <c r="K961" s="46"/>
      <c r="L961" s="46"/>
      <c r="M961" s="46"/>
      <c r="N961" s="46"/>
      <c r="O961" s="46"/>
      <c r="P961" s="46"/>
      <c r="Q961" s="46"/>
      <c r="R961" s="46"/>
      <c r="S961" s="46"/>
      <c r="T961" s="49"/>
      <c r="U961" s="46"/>
      <c r="V961" s="50"/>
      <c r="W961" s="46"/>
      <c r="X961" s="46"/>
      <c r="Y961" s="46"/>
    </row>
    <row r="962" spans="1:25" x14ac:dyDescent="0.2">
      <c r="A962" s="45"/>
      <c r="B962" s="46"/>
      <c r="C962" s="46"/>
      <c r="D962" s="46"/>
      <c r="E962" s="46"/>
      <c r="F962" s="46"/>
      <c r="G962" s="46"/>
      <c r="H962" s="46"/>
      <c r="I962" s="46"/>
      <c r="J962" s="46"/>
      <c r="K962" s="46"/>
      <c r="L962" s="46"/>
      <c r="M962" s="46"/>
      <c r="N962" s="46"/>
      <c r="O962" s="46"/>
      <c r="P962" s="46"/>
      <c r="Q962" s="46"/>
      <c r="R962" s="46"/>
      <c r="S962" s="46"/>
      <c r="T962" s="49"/>
      <c r="U962" s="46"/>
      <c r="V962" s="50"/>
      <c r="W962" s="46"/>
      <c r="X962" s="46"/>
      <c r="Y962" s="46"/>
    </row>
    <row r="963" spans="1:25" x14ac:dyDescent="0.2">
      <c r="A963" s="45"/>
      <c r="B963" s="46"/>
      <c r="C963" s="46"/>
      <c r="D963" s="46"/>
      <c r="E963" s="46"/>
      <c r="F963" s="46"/>
      <c r="G963" s="46"/>
      <c r="H963" s="46"/>
      <c r="I963" s="46"/>
      <c r="J963" s="46"/>
      <c r="K963" s="46"/>
      <c r="L963" s="46"/>
      <c r="M963" s="46"/>
      <c r="N963" s="46"/>
      <c r="O963" s="46"/>
      <c r="P963" s="46"/>
      <c r="Q963" s="46"/>
      <c r="R963" s="46"/>
      <c r="S963" s="46"/>
      <c r="T963" s="49"/>
      <c r="U963" s="46"/>
      <c r="V963" s="50"/>
      <c r="W963" s="46"/>
      <c r="X963" s="46"/>
      <c r="Y963" s="46"/>
    </row>
    <row r="964" spans="1:25" x14ac:dyDescent="0.2">
      <c r="A964" s="45"/>
      <c r="B964" s="46"/>
      <c r="C964" s="46"/>
      <c r="D964" s="46"/>
      <c r="E964" s="46"/>
      <c r="F964" s="46"/>
      <c r="G964" s="46"/>
      <c r="H964" s="46"/>
      <c r="I964" s="46"/>
      <c r="J964" s="46"/>
      <c r="K964" s="46"/>
      <c r="L964" s="46"/>
      <c r="M964" s="46"/>
      <c r="N964" s="46"/>
      <c r="O964" s="46"/>
      <c r="P964" s="46"/>
      <c r="Q964" s="46"/>
      <c r="R964" s="46"/>
      <c r="S964" s="46"/>
      <c r="T964" s="49"/>
      <c r="U964" s="46"/>
      <c r="V964" s="50"/>
      <c r="W964" s="46"/>
      <c r="X964" s="46"/>
      <c r="Y964" s="46"/>
    </row>
    <row r="965" spans="1:25" x14ac:dyDescent="0.2">
      <c r="A965" s="45"/>
      <c r="B965" s="46"/>
      <c r="C965" s="46"/>
      <c r="D965" s="46"/>
      <c r="E965" s="46"/>
      <c r="F965" s="46"/>
      <c r="G965" s="46"/>
      <c r="H965" s="46"/>
      <c r="I965" s="46"/>
      <c r="J965" s="46"/>
      <c r="K965" s="46"/>
      <c r="L965" s="46"/>
      <c r="M965" s="46"/>
      <c r="N965" s="46"/>
      <c r="O965" s="46"/>
      <c r="P965" s="46"/>
      <c r="Q965" s="46"/>
      <c r="R965" s="46"/>
      <c r="S965" s="46"/>
      <c r="T965" s="49"/>
      <c r="U965" s="46"/>
      <c r="V965" s="50"/>
      <c r="W965" s="46"/>
      <c r="X965" s="46"/>
      <c r="Y965" s="46"/>
    </row>
    <row r="966" spans="1:25" x14ac:dyDescent="0.2">
      <c r="A966" s="45"/>
      <c r="B966" s="46"/>
      <c r="C966" s="46"/>
      <c r="D966" s="46"/>
      <c r="E966" s="46"/>
      <c r="F966" s="46"/>
      <c r="G966" s="46"/>
      <c r="H966" s="46"/>
      <c r="I966" s="46"/>
      <c r="J966" s="46"/>
      <c r="K966" s="46"/>
      <c r="L966" s="46"/>
      <c r="M966" s="46"/>
      <c r="N966" s="46"/>
      <c r="O966" s="46"/>
      <c r="P966" s="46"/>
      <c r="Q966" s="46"/>
      <c r="R966" s="46"/>
      <c r="S966" s="46"/>
      <c r="T966" s="49"/>
      <c r="U966" s="46"/>
      <c r="V966" s="50"/>
      <c r="W966" s="46"/>
      <c r="X966" s="46"/>
      <c r="Y966" s="46"/>
    </row>
    <row r="967" spans="1:25" x14ac:dyDescent="0.2">
      <c r="A967" s="45"/>
      <c r="B967" s="46"/>
      <c r="C967" s="46"/>
      <c r="D967" s="46"/>
      <c r="E967" s="46"/>
      <c r="F967" s="46"/>
      <c r="G967" s="46"/>
      <c r="H967" s="46"/>
      <c r="I967" s="46"/>
      <c r="J967" s="46"/>
      <c r="K967" s="46"/>
      <c r="L967" s="46"/>
      <c r="M967" s="46"/>
      <c r="N967" s="46"/>
      <c r="O967" s="46"/>
      <c r="P967" s="46"/>
      <c r="Q967" s="46"/>
      <c r="R967" s="46"/>
      <c r="S967" s="46"/>
      <c r="T967" s="49"/>
      <c r="U967" s="46"/>
      <c r="V967" s="50"/>
      <c r="W967" s="46"/>
      <c r="X967" s="46"/>
      <c r="Y967" s="46"/>
    </row>
    <row r="968" spans="1:25" x14ac:dyDescent="0.2">
      <c r="A968" s="45"/>
      <c r="B968" s="46"/>
      <c r="C968" s="46"/>
      <c r="D968" s="46"/>
      <c r="E968" s="46"/>
      <c r="F968" s="46"/>
      <c r="G968" s="46"/>
      <c r="H968" s="46"/>
      <c r="I968" s="46"/>
      <c r="J968" s="46"/>
      <c r="K968" s="46"/>
      <c r="L968" s="46"/>
      <c r="M968" s="46"/>
      <c r="N968" s="46"/>
      <c r="O968" s="46"/>
      <c r="P968" s="46"/>
      <c r="Q968" s="46"/>
      <c r="R968" s="46"/>
      <c r="S968" s="46"/>
      <c r="T968" s="49"/>
      <c r="U968" s="46"/>
      <c r="V968" s="50"/>
      <c r="W968" s="46"/>
      <c r="X968" s="46"/>
      <c r="Y968" s="46"/>
    </row>
    <row r="969" spans="1:25" x14ac:dyDescent="0.2">
      <c r="A969" s="45"/>
      <c r="B969" s="46"/>
      <c r="C969" s="46"/>
      <c r="D969" s="46"/>
      <c r="E969" s="46"/>
      <c r="F969" s="46"/>
      <c r="G969" s="46"/>
      <c r="H969" s="46"/>
      <c r="I969" s="46"/>
      <c r="J969" s="46"/>
      <c r="K969" s="46"/>
      <c r="L969" s="46"/>
      <c r="M969" s="46"/>
      <c r="N969" s="46"/>
      <c r="O969" s="46"/>
      <c r="P969" s="46"/>
      <c r="Q969" s="46"/>
      <c r="R969" s="46"/>
      <c r="S969" s="46"/>
      <c r="T969" s="49"/>
      <c r="U969" s="46"/>
      <c r="V969" s="50"/>
      <c r="W969" s="46"/>
      <c r="X969" s="46"/>
      <c r="Y969" s="46"/>
    </row>
    <row r="970" spans="1:25" x14ac:dyDescent="0.2">
      <c r="A970" s="45"/>
      <c r="B970" s="46"/>
      <c r="C970" s="46"/>
      <c r="D970" s="46"/>
      <c r="E970" s="46"/>
      <c r="F970" s="46"/>
      <c r="G970" s="46"/>
      <c r="H970" s="46"/>
      <c r="I970" s="46"/>
      <c r="J970" s="46"/>
      <c r="K970" s="46"/>
      <c r="L970" s="46"/>
      <c r="M970" s="46"/>
      <c r="N970" s="46"/>
      <c r="O970" s="46"/>
      <c r="P970" s="46"/>
      <c r="Q970" s="46"/>
      <c r="R970" s="46"/>
      <c r="S970" s="46"/>
      <c r="T970" s="49"/>
      <c r="U970" s="46"/>
      <c r="V970" s="50"/>
      <c r="W970" s="46"/>
      <c r="X970" s="46"/>
      <c r="Y970" s="46"/>
    </row>
    <row r="971" spans="1:25" x14ac:dyDescent="0.2">
      <c r="A971" s="45"/>
      <c r="B971" s="46"/>
      <c r="C971" s="46"/>
      <c r="D971" s="46"/>
      <c r="E971" s="46"/>
      <c r="F971" s="46"/>
      <c r="G971" s="46"/>
      <c r="H971" s="46"/>
      <c r="I971" s="46"/>
      <c r="J971" s="46"/>
      <c r="K971" s="46"/>
      <c r="L971" s="46"/>
      <c r="M971" s="46"/>
      <c r="N971" s="46"/>
      <c r="O971" s="46"/>
      <c r="P971" s="46"/>
      <c r="Q971" s="46"/>
      <c r="R971" s="46"/>
      <c r="S971" s="46"/>
      <c r="T971" s="49"/>
      <c r="U971" s="46"/>
      <c r="V971" s="50"/>
      <c r="W971" s="46"/>
      <c r="X971" s="46"/>
      <c r="Y971" s="46"/>
    </row>
    <row r="972" spans="1:25" x14ac:dyDescent="0.2">
      <c r="A972" s="45"/>
      <c r="B972" s="46"/>
      <c r="C972" s="46"/>
      <c r="D972" s="46"/>
      <c r="E972" s="46"/>
      <c r="F972" s="46"/>
      <c r="G972" s="46"/>
      <c r="H972" s="46"/>
      <c r="I972" s="46"/>
      <c r="J972" s="46"/>
      <c r="K972" s="46"/>
      <c r="L972" s="46"/>
      <c r="M972" s="46"/>
      <c r="N972" s="46"/>
      <c r="O972" s="46"/>
      <c r="P972" s="46"/>
      <c r="Q972" s="46"/>
      <c r="R972" s="46"/>
      <c r="S972" s="46"/>
      <c r="T972" s="49"/>
      <c r="U972" s="46"/>
      <c r="V972" s="50"/>
      <c r="W972" s="46"/>
      <c r="X972" s="46"/>
      <c r="Y972" s="46"/>
    </row>
    <row r="973" spans="1:25" x14ac:dyDescent="0.2">
      <c r="A973" s="45"/>
      <c r="B973" s="46"/>
      <c r="C973" s="46"/>
      <c r="D973" s="46"/>
      <c r="E973" s="46"/>
      <c r="F973" s="46"/>
      <c r="G973" s="46"/>
      <c r="H973" s="46"/>
      <c r="I973" s="46"/>
      <c r="J973" s="46"/>
      <c r="K973" s="46"/>
      <c r="L973" s="46"/>
      <c r="M973" s="46"/>
      <c r="N973" s="46"/>
      <c r="O973" s="46"/>
      <c r="P973" s="46"/>
      <c r="Q973" s="46"/>
      <c r="R973" s="46"/>
      <c r="S973" s="46"/>
      <c r="T973" s="49"/>
      <c r="U973" s="46"/>
      <c r="V973" s="50"/>
      <c r="W973" s="46"/>
      <c r="X973" s="46"/>
      <c r="Y973" s="46"/>
    </row>
    <row r="974" spans="1:25" x14ac:dyDescent="0.2">
      <c r="A974" s="45"/>
      <c r="B974" s="46"/>
      <c r="C974" s="46"/>
      <c r="D974" s="46"/>
      <c r="E974" s="46"/>
      <c r="F974" s="46"/>
      <c r="G974" s="46"/>
      <c r="H974" s="46"/>
      <c r="I974" s="46"/>
      <c r="J974" s="46"/>
      <c r="K974" s="46"/>
      <c r="L974" s="46"/>
      <c r="M974" s="46"/>
      <c r="N974" s="46"/>
      <c r="O974" s="46"/>
      <c r="P974" s="46"/>
      <c r="Q974" s="46"/>
      <c r="R974" s="46"/>
      <c r="S974" s="46"/>
      <c r="T974" s="49"/>
      <c r="U974" s="46"/>
      <c r="V974" s="50"/>
      <c r="W974" s="46"/>
      <c r="X974" s="46"/>
      <c r="Y974" s="46"/>
    </row>
    <row r="975" spans="1:25" x14ac:dyDescent="0.2">
      <c r="A975" s="45"/>
      <c r="B975" s="46"/>
      <c r="C975" s="46"/>
      <c r="D975" s="46"/>
      <c r="E975" s="46"/>
      <c r="F975" s="46"/>
      <c r="G975" s="46"/>
      <c r="H975" s="46"/>
      <c r="I975" s="46"/>
      <c r="J975" s="46"/>
      <c r="K975" s="46"/>
      <c r="L975" s="46"/>
      <c r="M975" s="46"/>
      <c r="N975" s="46"/>
      <c r="O975" s="46"/>
      <c r="P975" s="46"/>
      <c r="Q975" s="46"/>
      <c r="R975" s="46"/>
      <c r="S975" s="46"/>
      <c r="T975" s="49"/>
      <c r="U975" s="46"/>
      <c r="V975" s="50"/>
      <c r="W975" s="46"/>
      <c r="X975" s="46"/>
      <c r="Y975" s="46"/>
    </row>
    <row r="976" spans="1:25" x14ac:dyDescent="0.2">
      <c r="A976" s="45"/>
      <c r="B976" s="46"/>
      <c r="C976" s="46"/>
      <c r="D976" s="46"/>
      <c r="E976" s="46"/>
      <c r="F976" s="46"/>
      <c r="G976" s="46"/>
      <c r="H976" s="46"/>
      <c r="I976" s="46"/>
      <c r="J976" s="46"/>
      <c r="K976" s="46"/>
      <c r="L976" s="46"/>
      <c r="M976" s="46"/>
      <c r="N976" s="46"/>
      <c r="O976" s="46"/>
      <c r="P976" s="46"/>
      <c r="Q976" s="46"/>
      <c r="R976" s="46"/>
      <c r="S976" s="46"/>
      <c r="T976" s="49"/>
      <c r="U976" s="46"/>
      <c r="V976" s="50"/>
      <c r="W976" s="46"/>
      <c r="X976" s="46"/>
      <c r="Y976" s="46"/>
    </row>
    <row r="977" spans="1:25" x14ac:dyDescent="0.2">
      <c r="A977" s="45"/>
      <c r="B977" s="46"/>
      <c r="C977" s="46"/>
      <c r="D977" s="46"/>
      <c r="E977" s="46"/>
      <c r="F977" s="46"/>
      <c r="G977" s="46"/>
      <c r="H977" s="46"/>
      <c r="I977" s="46"/>
      <c r="J977" s="46"/>
      <c r="K977" s="46"/>
      <c r="L977" s="46"/>
      <c r="M977" s="46"/>
      <c r="N977" s="46"/>
      <c r="O977" s="46"/>
      <c r="P977" s="46"/>
      <c r="Q977" s="46"/>
      <c r="R977" s="46"/>
      <c r="S977" s="46"/>
      <c r="T977" s="49"/>
      <c r="U977" s="46"/>
      <c r="V977" s="50"/>
      <c r="W977" s="46"/>
      <c r="X977" s="46"/>
      <c r="Y977" s="46"/>
    </row>
    <row r="978" spans="1:25" x14ac:dyDescent="0.2">
      <c r="A978" s="45"/>
      <c r="B978" s="46"/>
      <c r="C978" s="46"/>
      <c r="D978" s="46"/>
      <c r="E978" s="46"/>
      <c r="F978" s="46"/>
      <c r="G978" s="46"/>
      <c r="H978" s="46"/>
      <c r="I978" s="46"/>
      <c r="J978" s="46"/>
      <c r="K978" s="46"/>
      <c r="L978" s="46"/>
      <c r="M978" s="46"/>
      <c r="N978" s="46"/>
      <c r="O978" s="46"/>
      <c r="P978" s="46"/>
      <c r="Q978" s="46"/>
      <c r="R978" s="46"/>
      <c r="S978" s="46"/>
      <c r="T978" s="49"/>
      <c r="U978" s="46"/>
      <c r="V978" s="50"/>
      <c r="W978" s="46"/>
      <c r="X978" s="46"/>
      <c r="Y978" s="46"/>
    </row>
    <row r="979" spans="1:25" x14ac:dyDescent="0.2">
      <c r="A979" s="45"/>
      <c r="B979" s="46"/>
      <c r="C979" s="46"/>
      <c r="D979" s="46"/>
      <c r="E979" s="46"/>
      <c r="F979" s="46"/>
      <c r="G979" s="46"/>
      <c r="H979" s="46"/>
      <c r="I979" s="46"/>
      <c r="J979" s="46"/>
      <c r="K979" s="46"/>
      <c r="L979" s="46"/>
      <c r="M979" s="46"/>
      <c r="N979" s="46"/>
      <c r="O979" s="46"/>
      <c r="P979" s="46"/>
      <c r="Q979" s="46"/>
      <c r="R979" s="46"/>
      <c r="S979" s="46"/>
      <c r="T979" s="49"/>
      <c r="U979" s="46"/>
      <c r="V979" s="50"/>
      <c r="W979" s="46"/>
      <c r="X979" s="46"/>
      <c r="Y979" s="46"/>
    </row>
    <row r="980" spans="1:25" x14ac:dyDescent="0.2">
      <c r="A980" s="45"/>
      <c r="B980" s="46"/>
      <c r="C980" s="46"/>
      <c r="D980" s="46"/>
      <c r="E980" s="46"/>
      <c r="F980" s="46"/>
      <c r="G980" s="46"/>
      <c r="H980" s="46"/>
      <c r="I980" s="46"/>
      <c r="J980" s="46"/>
      <c r="K980" s="46"/>
      <c r="L980" s="46"/>
      <c r="M980" s="46"/>
      <c r="N980" s="46"/>
      <c r="O980" s="46"/>
      <c r="P980" s="46"/>
      <c r="Q980" s="46"/>
      <c r="R980" s="46"/>
      <c r="S980" s="46"/>
      <c r="T980" s="49"/>
      <c r="U980" s="46"/>
      <c r="V980" s="50"/>
      <c r="W980" s="46"/>
      <c r="X980" s="46"/>
      <c r="Y980" s="46"/>
    </row>
    <row r="981" spans="1:25" x14ac:dyDescent="0.2">
      <c r="A981" s="45"/>
      <c r="B981" s="46"/>
      <c r="C981" s="46"/>
      <c r="D981" s="46"/>
      <c r="E981" s="46"/>
      <c r="F981" s="46"/>
      <c r="G981" s="46"/>
      <c r="H981" s="46"/>
      <c r="I981" s="46"/>
      <c r="J981" s="46"/>
      <c r="K981" s="46"/>
      <c r="L981" s="46"/>
      <c r="M981" s="46"/>
      <c r="N981" s="46"/>
      <c r="O981" s="46"/>
      <c r="P981" s="46"/>
      <c r="Q981" s="46"/>
      <c r="R981" s="46"/>
      <c r="S981" s="46"/>
      <c r="T981" s="49"/>
      <c r="U981" s="46"/>
      <c r="V981" s="50"/>
      <c r="W981" s="46"/>
      <c r="X981" s="46"/>
      <c r="Y981" s="46"/>
    </row>
    <row r="982" spans="1:25" x14ac:dyDescent="0.2">
      <c r="A982" s="45"/>
      <c r="B982" s="46"/>
      <c r="C982" s="46"/>
      <c r="D982" s="46"/>
      <c r="E982" s="46"/>
      <c r="F982" s="46"/>
      <c r="G982" s="46"/>
      <c r="H982" s="46"/>
      <c r="I982" s="46"/>
      <c r="J982" s="46"/>
      <c r="K982" s="46"/>
      <c r="L982" s="46"/>
      <c r="M982" s="46"/>
      <c r="N982" s="46"/>
      <c r="O982" s="46"/>
      <c r="P982" s="46"/>
      <c r="Q982" s="46"/>
      <c r="R982" s="46"/>
      <c r="S982" s="46"/>
      <c r="T982" s="49"/>
      <c r="U982" s="46"/>
      <c r="V982" s="50"/>
      <c r="W982" s="46"/>
      <c r="X982" s="46"/>
      <c r="Y982" s="46"/>
    </row>
    <row r="983" spans="1:25" x14ac:dyDescent="0.2">
      <c r="A983" s="45"/>
      <c r="B983" s="46"/>
      <c r="C983" s="46"/>
      <c r="D983" s="46"/>
      <c r="E983" s="46"/>
      <c r="F983" s="46"/>
      <c r="G983" s="46"/>
      <c r="H983" s="46"/>
      <c r="I983" s="46"/>
      <c r="J983" s="46"/>
      <c r="K983" s="46"/>
      <c r="L983" s="46"/>
      <c r="M983" s="46"/>
      <c r="N983" s="46"/>
      <c r="O983" s="46"/>
      <c r="P983" s="46"/>
      <c r="Q983" s="46"/>
      <c r="R983" s="46"/>
      <c r="S983" s="46"/>
      <c r="T983" s="49"/>
      <c r="U983" s="46"/>
      <c r="V983" s="50"/>
      <c r="W983" s="46"/>
      <c r="X983" s="46"/>
      <c r="Y983" s="46"/>
    </row>
    <row r="984" spans="1:25" x14ac:dyDescent="0.2">
      <c r="A984" s="45"/>
      <c r="B984" s="46"/>
      <c r="C984" s="46"/>
      <c r="D984" s="46"/>
      <c r="E984" s="46"/>
      <c r="F984" s="46"/>
      <c r="G984" s="46"/>
      <c r="H984" s="46"/>
      <c r="I984" s="46"/>
      <c r="J984" s="46"/>
      <c r="K984" s="46"/>
      <c r="L984" s="46"/>
      <c r="M984" s="46"/>
      <c r="N984" s="46"/>
      <c r="O984" s="46"/>
      <c r="P984" s="46"/>
      <c r="Q984" s="46"/>
      <c r="R984" s="46"/>
      <c r="S984" s="46"/>
      <c r="T984" s="49"/>
      <c r="U984" s="46"/>
      <c r="V984" s="50"/>
      <c r="W984" s="46"/>
      <c r="X984" s="46"/>
      <c r="Y984" s="46"/>
    </row>
    <row r="985" spans="1:25" x14ac:dyDescent="0.2">
      <c r="A985" s="45"/>
      <c r="B985" s="46"/>
      <c r="C985" s="46"/>
      <c r="D985" s="46"/>
      <c r="E985" s="46"/>
      <c r="F985" s="46"/>
      <c r="G985" s="46"/>
      <c r="H985" s="46"/>
      <c r="I985" s="46"/>
      <c r="J985" s="46"/>
      <c r="K985" s="46"/>
      <c r="L985" s="46"/>
      <c r="M985" s="46"/>
      <c r="N985" s="46"/>
      <c r="O985" s="46"/>
      <c r="P985" s="46"/>
      <c r="Q985" s="46"/>
      <c r="R985" s="46"/>
      <c r="S985" s="46"/>
      <c r="T985" s="49"/>
      <c r="U985" s="46"/>
      <c r="V985" s="50"/>
      <c r="W985" s="46"/>
      <c r="X985" s="46"/>
      <c r="Y985" s="46"/>
    </row>
    <row r="986" spans="1:25" x14ac:dyDescent="0.2">
      <c r="A986" s="45"/>
      <c r="B986" s="46"/>
      <c r="C986" s="46"/>
      <c r="D986" s="46"/>
      <c r="E986" s="46"/>
      <c r="F986" s="46"/>
      <c r="G986" s="46"/>
      <c r="H986" s="46"/>
      <c r="I986" s="46"/>
      <c r="J986" s="46"/>
      <c r="K986" s="46"/>
      <c r="L986" s="46"/>
      <c r="M986" s="46"/>
      <c r="N986" s="46"/>
      <c r="O986" s="46"/>
      <c r="P986" s="46"/>
      <c r="Q986" s="46"/>
      <c r="R986" s="46"/>
      <c r="S986" s="46"/>
      <c r="T986" s="49"/>
      <c r="U986" s="46"/>
      <c r="V986" s="50"/>
      <c r="W986" s="46"/>
      <c r="X986" s="46"/>
      <c r="Y986" s="46"/>
    </row>
    <row r="987" spans="1:25" x14ac:dyDescent="0.2">
      <c r="A987" s="45"/>
      <c r="B987" s="46"/>
      <c r="C987" s="46"/>
      <c r="D987" s="46"/>
      <c r="E987" s="46"/>
      <c r="F987" s="46"/>
      <c r="G987" s="46"/>
      <c r="H987" s="46"/>
      <c r="I987" s="46"/>
      <c r="J987" s="46"/>
      <c r="K987" s="46"/>
      <c r="L987" s="46"/>
      <c r="M987" s="46"/>
      <c r="N987" s="46"/>
      <c r="O987" s="46"/>
      <c r="P987" s="46"/>
      <c r="Q987" s="46"/>
      <c r="R987" s="46"/>
      <c r="S987" s="46"/>
      <c r="T987" s="49"/>
      <c r="U987" s="46"/>
      <c r="V987" s="50"/>
      <c r="W987" s="46"/>
      <c r="X987" s="46"/>
      <c r="Y987" s="46"/>
    </row>
    <row r="988" spans="1:25" x14ac:dyDescent="0.2">
      <c r="A988" s="45"/>
      <c r="B988" s="46"/>
      <c r="C988" s="46"/>
      <c r="D988" s="46"/>
      <c r="E988" s="46"/>
      <c r="F988" s="46"/>
      <c r="G988" s="46"/>
      <c r="H988" s="46"/>
      <c r="I988" s="46"/>
      <c r="J988" s="46"/>
      <c r="K988" s="46"/>
      <c r="L988" s="46"/>
      <c r="M988" s="46"/>
      <c r="N988" s="46"/>
      <c r="O988" s="46"/>
      <c r="P988" s="46"/>
      <c r="Q988" s="46"/>
      <c r="R988" s="46"/>
      <c r="S988" s="46"/>
      <c r="T988" s="49"/>
      <c r="U988" s="46"/>
      <c r="V988" s="50"/>
      <c r="W988" s="46"/>
      <c r="X988" s="46"/>
      <c r="Y988" s="46"/>
    </row>
    <row r="989" spans="1:25" x14ac:dyDescent="0.2">
      <c r="A989" s="45"/>
      <c r="B989" s="46"/>
      <c r="C989" s="46"/>
      <c r="D989" s="46"/>
      <c r="E989" s="46"/>
      <c r="F989" s="46"/>
      <c r="G989" s="46"/>
      <c r="H989" s="46"/>
      <c r="I989" s="46"/>
      <c r="J989" s="46"/>
      <c r="K989" s="46"/>
      <c r="L989" s="46"/>
      <c r="M989" s="46"/>
      <c r="N989" s="46"/>
      <c r="O989" s="46"/>
      <c r="P989" s="46"/>
      <c r="Q989" s="46"/>
      <c r="R989" s="46"/>
      <c r="S989" s="46"/>
      <c r="T989" s="49"/>
      <c r="U989" s="46"/>
      <c r="V989" s="50"/>
      <c r="W989" s="46"/>
      <c r="X989" s="46"/>
      <c r="Y989" s="46"/>
    </row>
    <row r="990" spans="1:25" x14ac:dyDescent="0.2">
      <c r="A990" s="45"/>
      <c r="B990" s="46"/>
      <c r="C990" s="46"/>
      <c r="D990" s="46"/>
      <c r="E990" s="46"/>
      <c r="F990" s="46"/>
      <c r="G990" s="46"/>
      <c r="H990" s="46"/>
      <c r="I990" s="46"/>
      <c r="J990" s="46"/>
      <c r="K990" s="46"/>
      <c r="L990" s="46"/>
      <c r="M990" s="46"/>
      <c r="N990" s="46"/>
      <c r="O990" s="46"/>
      <c r="P990" s="46"/>
      <c r="Q990" s="46"/>
      <c r="R990" s="46"/>
      <c r="S990" s="46"/>
      <c r="T990" s="49"/>
      <c r="U990" s="46"/>
      <c r="V990" s="50"/>
      <c r="W990" s="46"/>
      <c r="X990" s="46"/>
      <c r="Y990" s="46"/>
    </row>
    <row r="991" spans="1:25" x14ac:dyDescent="0.2">
      <c r="A991" s="45"/>
      <c r="B991" s="46"/>
      <c r="C991" s="46"/>
      <c r="D991" s="46"/>
      <c r="E991" s="46"/>
      <c r="F991" s="46"/>
      <c r="G991" s="46"/>
      <c r="H991" s="46"/>
      <c r="I991" s="46"/>
      <c r="J991" s="46"/>
      <c r="K991" s="46"/>
      <c r="L991" s="46"/>
      <c r="M991" s="46"/>
      <c r="N991" s="46"/>
      <c r="O991" s="46"/>
      <c r="P991" s="46"/>
      <c r="Q991" s="46"/>
      <c r="R991" s="46"/>
      <c r="S991" s="46"/>
      <c r="T991" s="49"/>
      <c r="U991" s="46"/>
      <c r="V991" s="50"/>
      <c r="W991" s="46"/>
      <c r="X991" s="46"/>
      <c r="Y991" s="46"/>
    </row>
    <row r="992" spans="1:25" x14ac:dyDescent="0.2">
      <c r="B992" s="46"/>
      <c r="C992" s="46"/>
      <c r="D992" s="46"/>
      <c r="E992" s="46"/>
      <c r="F992" s="46"/>
      <c r="G992" s="46"/>
      <c r="H992" s="46"/>
      <c r="I992" s="46"/>
      <c r="J992" s="46"/>
      <c r="K992" s="46"/>
      <c r="L992" s="46"/>
      <c r="M992" s="46"/>
      <c r="N992" s="46"/>
      <c r="O992" s="46"/>
      <c r="P992" s="46"/>
      <c r="Q992" s="46"/>
      <c r="R992" s="46"/>
      <c r="S992" s="46"/>
      <c r="T992" s="49"/>
      <c r="U992" s="46"/>
      <c r="V992" s="50"/>
      <c r="W992" s="46"/>
      <c r="X992" s="46"/>
      <c r="Y992" s="46"/>
    </row>
  </sheetData>
  <autoFilter ref="B2:Y237">
    <filterColumn colId="7">
      <filters>
        <filter val="MT QJ"/>
      </filters>
    </filterColumn>
    <filterColumn colId="10">
      <filters>
        <filter val="O"/>
      </filters>
    </filterColumn>
  </autoFilter>
  <conditionalFormatting sqref="K501:K590 K3:K105">
    <cfRule type="containsText" dxfId="1148" priority="1145" operator="containsText" text="T">
      <formula>NOT(ISERROR(SEARCH("T",K3)))</formula>
    </cfRule>
  </conditionalFormatting>
  <conditionalFormatting sqref="L501:L590 L3:L105">
    <cfRule type="containsText" dxfId="1147" priority="1143" operator="containsText" text="N">
      <formula>NOT(ISERROR(SEARCH("N",L3)))</formula>
    </cfRule>
    <cfRule type="containsText" dxfId="1146" priority="1144" operator="containsText" text="O">
      <formula>NOT(ISERROR(SEARCH("O",L3)))</formula>
    </cfRule>
  </conditionalFormatting>
  <conditionalFormatting sqref="M501:M590 M3:M105">
    <cfRule type="containsText" dxfId="1145" priority="1142" operator="containsText" text="O">
      <formula>NOT(ISERROR(SEARCH("O",M3)))</formula>
    </cfRule>
  </conditionalFormatting>
  <conditionalFormatting sqref="N501:N590 N3:N105">
    <cfRule type="cellIs" dxfId="1144" priority="1141" operator="greaterThan">
      <formula>0</formula>
    </cfRule>
  </conditionalFormatting>
  <conditionalFormatting sqref="K501:K590">
    <cfRule type="containsText" dxfId="1143" priority="1140" operator="containsText" text="T">
      <formula>NOT(ISERROR(SEARCH("T",K501)))</formula>
    </cfRule>
  </conditionalFormatting>
  <conditionalFormatting sqref="L501:L590">
    <cfRule type="containsText" dxfId="1142" priority="1138" operator="containsText" text="N">
      <formula>NOT(ISERROR(SEARCH("N",L501)))</formula>
    </cfRule>
    <cfRule type="containsText" dxfId="1141" priority="1139" operator="containsText" text="O">
      <formula>NOT(ISERROR(SEARCH("O",L501)))</formula>
    </cfRule>
  </conditionalFormatting>
  <conditionalFormatting sqref="M501:M590">
    <cfRule type="containsText" dxfId="1140" priority="1137" operator="containsText" text="O">
      <formula>NOT(ISERROR(SEARCH("O",M501)))</formula>
    </cfRule>
  </conditionalFormatting>
  <conditionalFormatting sqref="N501:N590">
    <cfRule type="cellIs" dxfId="1139" priority="1136" operator="greaterThan">
      <formula>0</formula>
    </cfRule>
  </conditionalFormatting>
  <conditionalFormatting sqref="K501:K590">
    <cfRule type="containsText" dxfId="1138" priority="1135" operator="containsText" text="T">
      <formula>NOT(ISERROR(SEARCH("T",K501)))</formula>
    </cfRule>
  </conditionalFormatting>
  <conditionalFormatting sqref="L501:L590">
    <cfRule type="containsText" dxfId="1137" priority="1133" operator="containsText" text="N">
      <formula>NOT(ISERROR(SEARCH("N",L501)))</formula>
    </cfRule>
    <cfRule type="containsText" dxfId="1136" priority="1134" operator="containsText" text="O">
      <formula>NOT(ISERROR(SEARCH("O",L501)))</formula>
    </cfRule>
  </conditionalFormatting>
  <conditionalFormatting sqref="M501:M590">
    <cfRule type="containsText" dxfId="1135" priority="1132" operator="containsText" text="O">
      <formula>NOT(ISERROR(SEARCH("O",M501)))</formula>
    </cfRule>
  </conditionalFormatting>
  <conditionalFormatting sqref="N501:N590">
    <cfRule type="cellIs" dxfId="1134" priority="1131" operator="greaterThan">
      <formula>0</formula>
    </cfRule>
  </conditionalFormatting>
  <conditionalFormatting sqref="K501:K590">
    <cfRule type="containsText" dxfId="1133" priority="1130" operator="containsText" text="T">
      <formula>NOT(ISERROR(SEARCH("T",K501)))</formula>
    </cfRule>
  </conditionalFormatting>
  <conditionalFormatting sqref="L501:L590 L3:L105">
    <cfRule type="containsText" dxfId="1132" priority="1129" operator="containsText" text="O">
      <formula>NOT(ISERROR(SEARCH("O",L3)))</formula>
    </cfRule>
  </conditionalFormatting>
  <conditionalFormatting sqref="L501:L590 L3:L105">
    <cfRule type="containsText" dxfId="1131" priority="1128" operator="containsText" text="N">
      <formula>NOT(ISERROR(SEARCH("N",L3)))</formula>
    </cfRule>
  </conditionalFormatting>
  <conditionalFormatting sqref="M501:M590">
    <cfRule type="containsText" dxfId="1130" priority="1127" operator="containsText" text="O">
      <formula>NOT(ISERROR(SEARCH("O",M501)))</formula>
    </cfRule>
  </conditionalFormatting>
  <conditionalFormatting sqref="N501:N590">
    <cfRule type="cellIs" dxfId="1129" priority="1126" operator="greaterThan">
      <formula>0</formula>
    </cfRule>
  </conditionalFormatting>
  <conditionalFormatting sqref="K501:K590">
    <cfRule type="containsText" dxfId="1128" priority="1125" operator="containsText" text="T">
      <formula>NOT(ISERROR(SEARCH("T",K501)))</formula>
    </cfRule>
  </conditionalFormatting>
  <conditionalFormatting sqref="L501:L590">
    <cfRule type="containsText" dxfId="1127" priority="1124" operator="containsText" text="O">
      <formula>NOT(ISERROR(SEARCH("O",L501)))</formula>
    </cfRule>
  </conditionalFormatting>
  <conditionalFormatting sqref="L501:L590">
    <cfRule type="containsText" dxfId="1126" priority="1123" operator="containsText" text="N">
      <formula>NOT(ISERROR(SEARCH("N",L501)))</formula>
    </cfRule>
  </conditionalFormatting>
  <conditionalFormatting sqref="M501:M590">
    <cfRule type="containsText" dxfId="1125" priority="1122" operator="containsText" text="O">
      <formula>NOT(ISERROR(SEARCH("O",M501)))</formula>
    </cfRule>
  </conditionalFormatting>
  <conditionalFormatting sqref="N501:N590">
    <cfRule type="cellIs" dxfId="1124" priority="1121" operator="greaterThan">
      <formula>0</formula>
    </cfRule>
  </conditionalFormatting>
  <conditionalFormatting sqref="K501:K590">
    <cfRule type="containsText" dxfId="1123" priority="1120" operator="containsText" text="T">
      <formula>NOT(ISERROR(SEARCH("T",K501)))</formula>
    </cfRule>
  </conditionalFormatting>
  <conditionalFormatting sqref="L501:L590">
    <cfRule type="containsText" dxfId="1122" priority="1118" operator="containsText" text="N">
      <formula>NOT(ISERROR(SEARCH("N",L501)))</formula>
    </cfRule>
    <cfRule type="containsText" dxfId="1121" priority="1119" operator="containsText" text="O">
      <formula>NOT(ISERROR(SEARCH("O",L501)))</formula>
    </cfRule>
  </conditionalFormatting>
  <conditionalFormatting sqref="M501:M590">
    <cfRule type="containsText" dxfId="1120" priority="1117" operator="containsText" text="O">
      <formula>NOT(ISERROR(SEARCH("O",M501)))</formula>
    </cfRule>
  </conditionalFormatting>
  <conditionalFormatting sqref="N501:N590">
    <cfRule type="cellIs" dxfId="1119" priority="1116" operator="greaterThan">
      <formula>0</formula>
    </cfRule>
  </conditionalFormatting>
  <conditionalFormatting sqref="K501:K590">
    <cfRule type="containsText" dxfId="1118" priority="1115" operator="containsText" text="T">
      <formula>NOT(ISERROR(SEARCH("T",K501)))</formula>
    </cfRule>
  </conditionalFormatting>
  <conditionalFormatting sqref="L501:L590">
    <cfRule type="containsText" dxfId="1117" priority="1113" operator="containsText" text="N">
      <formula>NOT(ISERROR(SEARCH("N",L501)))</formula>
    </cfRule>
    <cfRule type="containsText" dxfId="1116" priority="1114" operator="containsText" text="O">
      <formula>NOT(ISERROR(SEARCH("O",L501)))</formula>
    </cfRule>
  </conditionalFormatting>
  <conditionalFormatting sqref="M501:M590">
    <cfRule type="containsText" dxfId="1115" priority="1112" operator="containsText" text="O">
      <formula>NOT(ISERROR(SEARCH("O",M501)))</formula>
    </cfRule>
  </conditionalFormatting>
  <conditionalFormatting sqref="N501:N590">
    <cfRule type="cellIs" dxfId="1114" priority="1111" operator="greaterThan">
      <formula>0</formula>
    </cfRule>
  </conditionalFormatting>
  <conditionalFormatting sqref="K501:K590">
    <cfRule type="containsText" dxfId="1113" priority="1110" operator="containsText" text="T">
      <formula>NOT(ISERROR(SEARCH("T",K501)))</formula>
    </cfRule>
  </conditionalFormatting>
  <conditionalFormatting sqref="L501:L590">
    <cfRule type="containsText" dxfId="1112" priority="1109" operator="containsText" text="O">
      <formula>NOT(ISERROR(SEARCH("O",L501)))</formula>
    </cfRule>
  </conditionalFormatting>
  <conditionalFormatting sqref="L501:L590">
    <cfRule type="containsText" dxfId="1111" priority="1108" operator="containsText" text="N">
      <formula>NOT(ISERROR(SEARCH("N",L501)))</formula>
    </cfRule>
  </conditionalFormatting>
  <conditionalFormatting sqref="M501:M590">
    <cfRule type="containsText" dxfId="1110" priority="1107" operator="containsText" text="O">
      <formula>NOT(ISERROR(SEARCH("O",M501)))</formula>
    </cfRule>
  </conditionalFormatting>
  <conditionalFormatting sqref="N501:N590">
    <cfRule type="cellIs" dxfId="1109" priority="1106" operator="greaterThan">
      <formula>0</formula>
    </cfRule>
  </conditionalFormatting>
  <conditionalFormatting sqref="K501:K590">
    <cfRule type="containsText" dxfId="1108" priority="1105" operator="containsText" text="T">
      <formula>NOT(ISERROR(SEARCH("T",K501)))</formula>
    </cfRule>
  </conditionalFormatting>
  <conditionalFormatting sqref="L501:L590">
    <cfRule type="containsText" dxfId="1107" priority="1104" operator="containsText" text="O">
      <formula>NOT(ISERROR(SEARCH("O",L501)))</formula>
    </cfRule>
  </conditionalFormatting>
  <conditionalFormatting sqref="L501:L590">
    <cfRule type="containsText" dxfId="1106" priority="1103" operator="containsText" text="N">
      <formula>NOT(ISERROR(SEARCH("N",L501)))</formula>
    </cfRule>
  </conditionalFormatting>
  <conditionalFormatting sqref="M501:M590">
    <cfRule type="containsText" dxfId="1105" priority="1102" operator="containsText" text="O">
      <formula>NOT(ISERROR(SEARCH("O",M501)))</formula>
    </cfRule>
  </conditionalFormatting>
  <conditionalFormatting sqref="N501:N590">
    <cfRule type="cellIs" dxfId="1104" priority="1101" operator="greaterThan">
      <formula>0</formula>
    </cfRule>
  </conditionalFormatting>
  <conditionalFormatting sqref="K501:K590">
    <cfRule type="containsText" dxfId="1103" priority="1100" operator="containsText" text="T">
      <formula>NOT(ISERROR(SEARCH("T",K501)))</formula>
    </cfRule>
  </conditionalFormatting>
  <conditionalFormatting sqref="L501:L590">
    <cfRule type="containsText" dxfId="1102" priority="1099" operator="containsText" text="O">
      <formula>NOT(ISERROR(SEARCH("O",L501)))</formula>
    </cfRule>
  </conditionalFormatting>
  <conditionalFormatting sqref="L501:L590">
    <cfRule type="containsText" dxfId="1101" priority="1098" operator="containsText" text="N">
      <formula>NOT(ISERROR(SEARCH("N",L501)))</formula>
    </cfRule>
  </conditionalFormatting>
  <conditionalFormatting sqref="M501:M590">
    <cfRule type="containsText" dxfId="1100" priority="1097" operator="containsText" text="O">
      <formula>NOT(ISERROR(SEARCH("O",M501)))</formula>
    </cfRule>
  </conditionalFormatting>
  <conditionalFormatting sqref="N501:N590">
    <cfRule type="cellIs" dxfId="1099" priority="1096" operator="greaterThan">
      <formula>0</formula>
    </cfRule>
  </conditionalFormatting>
  <conditionalFormatting sqref="K501:K590">
    <cfRule type="containsText" dxfId="1098" priority="1095" operator="containsText" text="T">
      <formula>NOT(ISERROR(SEARCH("T",K501)))</formula>
    </cfRule>
  </conditionalFormatting>
  <conditionalFormatting sqref="L501:L590">
    <cfRule type="containsText" dxfId="1097" priority="1093" operator="containsText" text="N">
      <formula>NOT(ISERROR(SEARCH("N",L501)))</formula>
    </cfRule>
    <cfRule type="containsText" dxfId="1096" priority="1094" operator="containsText" text="O">
      <formula>NOT(ISERROR(SEARCH("O",L501)))</formula>
    </cfRule>
  </conditionalFormatting>
  <conditionalFormatting sqref="M501:M590">
    <cfRule type="containsText" dxfId="1095" priority="1092" operator="containsText" text="O">
      <formula>NOT(ISERROR(SEARCH("O",M501)))</formula>
    </cfRule>
  </conditionalFormatting>
  <conditionalFormatting sqref="N501:N590">
    <cfRule type="cellIs" dxfId="1094" priority="1091" operator="greaterThan">
      <formula>0</formula>
    </cfRule>
  </conditionalFormatting>
  <conditionalFormatting sqref="K501:K590">
    <cfRule type="containsText" dxfId="1093" priority="1090" operator="containsText" text="T">
      <formula>NOT(ISERROR(SEARCH("T",K501)))</formula>
    </cfRule>
  </conditionalFormatting>
  <conditionalFormatting sqref="L501:L590">
    <cfRule type="containsText" dxfId="1092" priority="1089" operator="containsText" text="O">
      <formula>NOT(ISERROR(SEARCH("O",L501)))</formula>
    </cfRule>
  </conditionalFormatting>
  <conditionalFormatting sqref="L501:L590">
    <cfRule type="containsText" dxfId="1091" priority="1088" operator="containsText" text="N">
      <formula>NOT(ISERROR(SEARCH("N",L501)))</formula>
    </cfRule>
  </conditionalFormatting>
  <conditionalFormatting sqref="M501:M590">
    <cfRule type="containsText" dxfId="1090" priority="1087" operator="containsText" text="O">
      <formula>NOT(ISERROR(SEARCH("O",M501)))</formula>
    </cfRule>
  </conditionalFormatting>
  <conditionalFormatting sqref="N501:N590">
    <cfRule type="cellIs" dxfId="1089" priority="1086" operator="greaterThan">
      <formula>0</formula>
    </cfRule>
  </conditionalFormatting>
  <conditionalFormatting sqref="K501:K590">
    <cfRule type="containsText" dxfId="1088" priority="1085" operator="containsText" text="T">
      <formula>NOT(ISERROR(SEARCH("T",K501)))</formula>
    </cfRule>
  </conditionalFormatting>
  <conditionalFormatting sqref="L501:L590">
    <cfRule type="containsText" dxfId="1087" priority="1084" operator="containsText" text="O">
      <formula>NOT(ISERROR(SEARCH("O",L501)))</formula>
    </cfRule>
  </conditionalFormatting>
  <conditionalFormatting sqref="L501:L590">
    <cfRule type="containsText" dxfId="1086" priority="1083" operator="containsText" text="N">
      <formula>NOT(ISERROR(SEARCH("N",L501)))</formula>
    </cfRule>
  </conditionalFormatting>
  <conditionalFormatting sqref="M501:M590">
    <cfRule type="containsText" dxfId="1085" priority="1082" operator="containsText" text="O">
      <formula>NOT(ISERROR(SEARCH("O",M501)))</formula>
    </cfRule>
  </conditionalFormatting>
  <conditionalFormatting sqref="N501:N590">
    <cfRule type="cellIs" dxfId="1084" priority="1081" operator="greaterThan">
      <formula>0</formula>
    </cfRule>
  </conditionalFormatting>
  <conditionalFormatting sqref="K501:K590">
    <cfRule type="containsText" dxfId="1083" priority="1080" operator="containsText" text="T">
      <formula>NOT(ISERROR(SEARCH("T",K501)))</formula>
    </cfRule>
  </conditionalFormatting>
  <conditionalFormatting sqref="L501:L590">
    <cfRule type="containsText" dxfId="1082" priority="1079" operator="containsText" text="O">
      <formula>NOT(ISERROR(SEARCH("O",L501)))</formula>
    </cfRule>
  </conditionalFormatting>
  <conditionalFormatting sqref="L501:L590">
    <cfRule type="containsText" dxfId="1081" priority="1078" operator="containsText" text="N">
      <formula>NOT(ISERROR(SEARCH("N",L501)))</formula>
    </cfRule>
  </conditionalFormatting>
  <conditionalFormatting sqref="M501:M590">
    <cfRule type="containsText" dxfId="1080" priority="1077" operator="containsText" text="O">
      <formula>NOT(ISERROR(SEARCH("O",M501)))</formula>
    </cfRule>
  </conditionalFormatting>
  <conditionalFormatting sqref="N501:N590">
    <cfRule type="cellIs" dxfId="1079" priority="1076" operator="greaterThan">
      <formula>0</formula>
    </cfRule>
  </conditionalFormatting>
  <conditionalFormatting sqref="K501:K590">
    <cfRule type="containsText" dxfId="1078" priority="1075" operator="containsText" text="T">
      <formula>NOT(ISERROR(SEARCH("T",K501)))</formula>
    </cfRule>
  </conditionalFormatting>
  <conditionalFormatting sqref="L501:L590">
    <cfRule type="containsText" dxfId="1077" priority="1073" operator="containsText" text="N">
      <formula>NOT(ISERROR(SEARCH("N",L501)))</formula>
    </cfRule>
    <cfRule type="containsText" dxfId="1076" priority="1074" operator="containsText" text="O">
      <formula>NOT(ISERROR(SEARCH("O",L501)))</formula>
    </cfRule>
  </conditionalFormatting>
  <conditionalFormatting sqref="M501:M590">
    <cfRule type="containsText" dxfId="1075" priority="1072" operator="containsText" text="O">
      <formula>NOT(ISERROR(SEARCH("O",M501)))</formula>
    </cfRule>
  </conditionalFormatting>
  <conditionalFormatting sqref="N501:N590">
    <cfRule type="cellIs" dxfId="1074" priority="1071" operator="greaterThan">
      <formula>0</formula>
    </cfRule>
  </conditionalFormatting>
  <conditionalFormatting sqref="K501:K590">
    <cfRule type="containsText" dxfId="1073" priority="1070" operator="containsText" text="T">
      <formula>NOT(ISERROR(SEARCH("T",K501)))</formula>
    </cfRule>
  </conditionalFormatting>
  <conditionalFormatting sqref="L501:L590">
    <cfRule type="containsText" dxfId="1072" priority="1068" operator="containsText" text="N">
      <formula>NOT(ISERROR(SEARCH("N",L501)))</formula>
    </cfRule>
    <cfRule type="containsText" dxfId="1071" priority="1069" operator="containsText" text="O">
      <formula>NOT(ISERROR(SEARCH("O",L501)))</formula>
    </cfRule>
  </conditionalFormatting>
  <conditionalFormatting sqref="M501:M590">
    <cfRule type="containsText" dxfId="1070" priority="1067" operator="containsText" text="O">
      <formula>NOT(ISERROR(SEARCH("O",M501)))</formula>
    </cfRule>
  </conditionalFormatting>
  <conditionalFormatting sqref="N501:N590">
    <cfRule type="cellIs" dxfId="1069" priority="1066" operator="greaterThan">
      <formula>0</formula>
    </cfRule>
  </conditionalFormatting>
  <conditionalFormatting sqref="K501:K590">
    <cfRule type="containsText" dxfId="1068" priority="1065" operator="containsText" text="T">
      <formula>NOT(ISERROR(SEARCH("T",K501)))</formula>
    </cfRule>
  </conditionalFormatting>
  <conditionalFormatting sqref="L501:L590">
    <cfRule type="containsText" dxfId="1067" priority="1063" operator="containsText" text="N">
      <formula>NOT(ISERROR(SEARCH("N",L501)))</formula>
    </cfRule>
    <cfRule type="containsText" dxfId="1066" priority="1064" operator="containsText" text="O">
      <formula>NOT(ISERROR(SEARCH("O",L501)))</formula>
    </cfRule>
  </conditionalFormatting>
  <conditionalFormatting sqref="M501:M590">
    <cfRule type="containsText" dxfId="1065" priority="1062" operator="containsText" text="O">
      <formula>NOT(ISERROR(SEARCH("O",M501)))</formula>
    </cfRule>
  </conditionalFormatting>
  <conditionalFormatting sqref="N501:N590">
    <cfRule type="cellIs" dxfId="1064" priority="1061" operator="greaterThan">
      <formula>0</formula>
    </cfRule>
  </conditionalFormatting>
  <conditionalFormatting sqref="K3:K107 K501:K600">
    <cfRule type="containsText" dxfId="1063" priority="1060" operator="containsText" text="T">
      <formula>NOT(ISERROR(SEARCH("T",K3)))</formula>
    </cfRule>
  </conditionalFormatting>
  <conditionalFormatting sqref="L3:L107 L501:L600">
    <cfRule type="containsText" dxfId="1062" priority="1058" operator="containsText" text="N">
      <formula>NOT(ISERROR(SEARCH("N",L3)))</formula>
    </cfRule>
    <cfRule type="containsText" dxfId="1061" priority="1059" operator="containsText" text="O">
      <formula>NOT(ISERROR(SEARCH("O",L3)))</formula>
    </cfRule>
  </conditionalFormatting>
  <conditionalFormatting sqref="M3:M107 M501:M600">
    <cfRule type="containsText" dxfId="1060" priority="1057" operator="containsText" text="O">
      <formula>NOT(ISERROR(SEARCH("O",M3)))</formula>
    </cfRule>
  </conditionalFormatting>
  <conditionalFormatting sqref="N3:N107 N501:N600">
    <cfRule type="cellIs" dxfId="1059" priority="1056" operator="greaterThan">
      <formula>0</formula>
    </cfRule>
  </conditionalFormatting>
  <conditionalFormatting sqref="K3:K107 K501:K600">
    <cfRule type="containsText" dxfId="1058" priority="1055" operator="containsText" text="T">
      <formula>NOT(ISERROR(SEARCH("T",K3)))</formula>
    </cfRule>
  </conditionalFormatting>
  <conditionalFormatting sqref="L3:L107 L501:L600">
    <cfRule type="containsText" dxfId="1057" priority="1053" operator="containsText" text="N">
      <formula>NOT(ISERROR(SEARCH("N",L3)))</formula>
    </cfRule>
    <cfRule type="containsText" dxfId="1056" priority="1054" operator="containsText" text="O">
      <formula>NOT(ISERROR(SEARCH("O",L3)))</formula>
    </cfRule>
  </conditionalFormatting>
  <conditionalFormatting sqref="M3:M107 M501:M600">
    <cfRule type="containsText" dxfId="1055" priority="1052" operator="containsText" text="O">
      <formula>NOT(ISERROR(SEARCH("O",M3)))</formula>
    </cfRule>
  </conditionalFormatting>
  <conditionalFormatting sqref="N3:N107 N501:N600">
    <cfRule type="cellIs" dxfId="1054" priority="1051" operator="greaterThan">
      <formula>0</formula>
    </cfRule>
  </conditionalFormatting>
  <conditionalFormatting sqref="K3:K107 K501:K600">
    <cfRule type="containsText" dxfId="1053" priority="1050" operator="containsText" text="T">
      <formula>NOT(ISERROR(SEARCH("T",K3)))</formula>
    </cfRule>
  </conditionalFormatting>
  <conditionalFormatting sqref="L3:L107 L501:L600">
    <cfRule type="containsText" dxfId="1052" priority="1048" operator="containsText" text="N">
      <formula>NOT(ISERROR(SEARCH("N",L3)))</formula>
    </cfRule>
    <cfRule type="containsText" dxfId="1051" priority="1049" operator="containsText" text="O">
      <formula>NOT(ISERROR(SEARCH("O",L3)))</formula>
    </cfRule>
  </conditionalFormatting>
  <conditionalFormatting sqref="M3:M107 M501:M600">
    <cfRule type="containsText" dxfId="1050" priority="1047" operator="containsText" text="O">
      <formula>NOT(ISERROR(SEARCH("O",M3)))</formula>
    </cfRule>
  </conditionalFormatting>
  <conditionalFormatting sqref="N3:N107 N501:N600">
    <cfRule type="cellIs" dxfId="1049" priority="1046" operator="greaterThan">
      <formula>0</formula>
    </cfRule>
  </conditionalFormatting>
  <conditionalFormatting sqref="K3:K107 K501:K600">
    <cfRule type="containsText" dxfId="1048" priority="1045" operator="containsText" text="T">
      <formula>NOT(ISERROR(SEARCH("T",K3)))</formula>
    </cfRule>
  </conditionalFormatting>
  <conditionalFormatting sqref="L3:L107 L501:L600">
    <cfRule type="containsText" dxfId="1047" priority="1044" operator="containsText" text="O">
      <formula>NOT(ISERROR(SEARCH("O",L3)))</formula>
    </cfRule>
  </conditionalFormatting>
  <conditionalFormatting sqref="L3:L107 L501:L600">
    <cfRule type="containsText" dxfId="1046" priority="1043" operator="containsText" text="N">
      <formula>NOT(ISERROR(SEARCH("N",L3)))</formula>
    </cfRule>
  </conditionalFormatting>
  <conditionalFormatting sqref="M3:M107 M501:M600">
    <cfRule type="containsText" dxfId="1045" priority="1042" operator="containsText" text="O">
      <formula>NOT(ISERROR(SEARCH("O",M3)))</formula>
    </cfRule>
  </conditionalFormatting>
  <conditionalFormatting sqref="N3:N107 N501:N600">
    <cfRule type="cellIs" dxfId="1044" priority="1041" operator="greaterThan">
      <formula>0</formula>
    </cfRule>
  </conditionalFormatting>
  <conditionalFormatting sqref="K3:K107 K501:K600">
    <cfRule type="containsText" dxfId="1043" priority="1040" operator="containsText" text="T">
      <formula>NOT(ISERROR(SEARCH("T",K3)))</formula>
    </cfRule>
  </conditionalFormatting>
  <conditionalFormatting sqref="L3:L107 L501:L600">
    <cfRule type="containsText" dxfId="1042" priority="1038" operator="containsText" text="N">
      <formula>NOT(ISERROR(SEARCH("N",L3)))</formula>
    </cfRule>
    <cfRule type="containsText" dxfId="1041" priority="1039" operator="containsText" text="O">
      <formula>NOT(ISERROR(SEARCH("O",L3)))</formula>
    </cfRule>
  </conditionalFormatting>
  <conditionalFormatting sqref="M3:M107 M501:M600">
    <cfRule type="containsText" dxfId="1040" priority="1037" operator="containsText" text="O">
      <formula>NOT(ISERROR(SEARCH("O",M3)))</formula>
    </cfRule>
  </conditionalFormatting>
  <conditionalFormatting sqref="N3:N107 N501:N600">
    <cfRule type="cellIs" dxfId="1039" priority="1036" operator="greaterThan">
      <formula>0</formula>
    </cfRule>
  </conditionalFormatting>
  <conditionalFormatting sqref="K3:K107 K501:K600">
    <cfRule type="containsText" dxfId="1038" priority="1035" operator="containsText" text="T">
      <formula>NOT(ISERROR(SEARCH("T",K3)))</formula>
    </cfRule>
  </conditionalFormatting>
  <conditionalFormatting sqref="L3:L107 L501:L600">
    <cfRule type="containsText" dxfId="1037" priority="1033" operator="containsText" text="N">
      <formula>NOT(ISERROR(SEARCH("N",L3)))</formula>
    </cfRule>
    <cfRule type="containsText" dxfId="1036" priority="1034" operator="containsText" text="O">
      <formula>NOT(ISERROR(SEARCH("O",L3)))</formula>
    </cfRule>
  </conditionalFormatting>
  <conditionalFormatting sqref="M3:M107 M501:M600">
    <cfRule type="containsText" dxfId="1035" priority="1032" operator="containsText" text="O">
      <formula>NOT(ISERROR(SEARCH("O",M3)))</formula>
    </cfRule>
  </conditionalFormatting>
  <conditionalFormatting sqref="N3:N107 N501:N600">
    <cfRule type="cellIs" dxfId="1034" priority="1031" operator="greaterThan">
      <formula>0</formula>
    </cfRule>
  </conditionalFormatting>
  <conditionalFormatting sqref="K3:K107 K501:K600">
    <cfRule type="containsText" dxfId="1033" priority="1030" operator="containsText" text="T">
      <formula>NOT(ISERROR(SEARCH("T",K3)))</formula>
    </cfRule>
  </conditionalFormatting>
  <conditionalFormatting sqref="L3:L107 L501:L600">
    <cfRule type="containsText" dxfId="1032" priority="1028" operator="containsText" text="N">
      <formula>NOT(ISERROR(SEARCH("N",L3)))</formula>
    </cfRule>
    <cfRule type="containsText" dxfId="1031" priority="1029" operator="containsText" text="O">
      <formula>NOT(ISERROR(SEARCH("O",L3)))</formula>
    </cfRule>
  </conditionalFormatting>
  <conditionalFormatting sqref="M3:M107 M501:M600">
    <cfRule type="containsText" dxfId="1030" priority="1027" operator="containsText" text="O">
      <formula>NOT(ISERROR(SEARCH("O",M3)))</formula>
    </cfRule>
  </conditionalFormatting>
  <conditionalFormatting sqref="N3:N107 N501:N600">
    <cfRule type="cellIs" dxfId="1029" priority="1026" operator="greaterThan">
      <formula>0</formula>
    </cfRule>
  </conditionalFormatting>
  <conditionalFormatting sqref="K3:K107 K501:K600">
    <cfRule type="containsText" dxfId="1028" priority="1025" operator="containsText" text="T">
      <formula>NOT(ISERROR(SEARCH("T",K3)))</formula>
    </cfRule>
  </conditionalFormatting>
  <conditionalFormatting sqref="L3:L107 L501:L600">
    <cfRule type="containsText" dxfId="1027" priority="1023" operator="containsText" text="N">
      <formula>NOT(ISERROR(SEARCH("N",L3)))</formula>
    </cfRule>
    <cfRule type="containsText" dxfId="1026" priority="1024" operator="containsText" text="O">
      <formula>NOT(ISERROR(SEARCH("O",L3)))</formula>
    </cfRule>
  </conditionalFormatting>
  <conditionalFormatting sqref="M3:M107 M501:M600">
    <cfRule type="containsText" dxfId="1025" priority="1022" operator="containsText" text="O">
      <formula>NOT(ISERROR(SEARCH("O",M3)))</formula>
    </cfRule>
  </conditionalFormatting>
  <conditionalFormatting sqref="N3:N107 N501:N600">
    <cfRule type="cellIs" dxfId="1024" priority="1021" operator="greaterThan">
      <formula>0</formula>
    </cfRule>
  </conditionalFormatting>
  <conditionalFormatting sqref="K3:K107 K501:K600">
    <cfRule type="containsText" dxfId="1023" priority="1020" operator="containsText" text="T">
      <formula>NOT(ISERROR(SEARCH("T",K3)))</formula>
    </cfRule>
  </conditionalFormatting>
  <conditionalFormatting sqref="L3:L107 L501:L600">
    <cfRule type="containsText" dxfId="1022" priority="1018" operator="containsText" text="N">
      <formula>NOT(ISERROR(SEARCH("N",L3)))</formula>
    </cfRule>
    <cfRule type="containsText" dxfId="1021" priority="1019" operator="containsText" text="O">
      <formula>NOT(ISERROR(SEARCH("O",L3)))</formula>
    </cfRule>
  </conditionalFormatting>
  <conditionalFormatting sqref="M3:M107 M501:M600">
    <cfRule type="containsText" dxfId="1020" priority="1017" operator="containsText" text="O">
      <formula>NOT(ISERROR(SEARCH("O",M3)))</formula>
    </cfRule>
  </conditionalFormatting>
  <conditionalFormatting sqref="N3:N107 N501:N600">
    <cfRule type="cellIs" dxfId="1019" priority="1016" operator="greaterThan">
      <formula>0</formula>
    </cfRule>
  </conditionalFormatting>
  <conditionalFormatting sqref="K3:K107 K501:K600">
    <cfRule type="containsText" dxfId="1018" priority="1015" operator="containsText" text="T">
      <formula>NOT(ISERROR(SEARCH("T",K3)))</formula>
    </cfRule>
  </conditionalFormatting>
  <conditionalFormatting sqref="L3:L107 L501:L600">
    <cfRule type="containsText" dxfId="1017" priority="1014" operator="containsText" text="O">
      <formula>NOT(ISERROR(SEARCH("O",L3)))</formula>
    </cfRule>
  </conditionalFormatting>
  <conditionalFormatting sqref="L3:L107 L501:L600">
    <cfRule type="containsText" dxfId="1016" priority="1013" operator="containsText" text="N">
      <formula>NOT(ISERROR(SEARCH("N",L3)))</formula>
    </cfRule>
  </conditionalFormatting>
  <conditionalFormatting sqref="M3:M107 M501:M600">
    <cfRule type="containsText" dxfId="1015" priority="1012" operator="containsText" text="O">
      <formula>NOT(ISERROR(SEARCH("O",M3)))</formula>
    </cfRule>
  </conditionalFormatting>
  <conditionalFormatting sqref="N3:N107 N501:N600">
    <cfRule type="cellIs" dxfId="1014" priority="1011" operator="greaterThan">
      <formula>0</formula>
    </cfRule>
  </conditionalFormatting>
  <conditionalFormatting sqref="K3:K107 K501:K600">
    <cfRule type="containsText" dxfId="1013" priority="1010" operator="containsText" text="T">
      <formula>NOT(ISERROR(SEARCH("T",K3)))</formula>
    </cfRule>
  </conditionalFormatting>
  <conditionalFormatting sqref="L3:L107 L501:L600">
    <cfRule type="containsText" dxfId="1012" priority="1009" operator="containsText" text="O">
      <formula>NOT(ISERROR(SEARCH("O",L3)))</formula>
    </cfRule>
  </conditionalFormatting>
  <conditionalFormatting sqref="L3:L107 L501:L600">
    <cfRule type="containsText" dxfId="1011" priority="1008" operator="containsText" text="N">
      <formula>NOT(ISERROR(SEARCH("N",L3)))</formula>
    </cfRule>
  </conditionalFormatting>
  <conditionalFormatting sqref="M3:M107 M501:M600">
    <cfRule type="containsText" dxfId="1010" priority="1007" operator="containsText" text="O">
      <formula>NOT(ISERROR(SEARCH("O",M3)))</formula>
    </cfRule>
  </conditionalFormatting>
  <conditionalFormatting sqref="N3:N107 N501:N600">
    <cfRule type="cellIs" dxfId="1009" priority="1006" operator="greaterThan">
      <formula>0</formula>
    </cfRule>
  </conditionalFormatting>
  <conditionalFormatting sqref="K3:K107 K501:K600">
    <cfRule type="containsText" dxfId="1008" priority="1005" operator="containsText" text="T">
      <formula>NOT(ISERROR(SEARCH("T",K3)))</formula>
    </cfRule>
  </conditionalFormatting>
  <conditionalFormatting sqref="L3:L107 L501:L600">
    <cfRule type="containsText" dxfId="1007" priority="1003" operator="containsText" text="N">
      <formula>NOT(ISERROR(SEARCH("N",L3)))</formula>
    </cfRule>
    <cfRule type="containsText" dxfId="1006" priority="1004" operator="containsText" text="O">
      <formula>NOT(ISERROR(SEARCH("O",L3)))</formula>
    </cfRule>
  </conditionalFormatting>
  <conditionalFormatting sqref="M3:M107 M501:M600">
    <cfRule type="containsText" dxfId="1005" priority="1002" operator="containsText" text="O">
      <formula>NOT(ISERROR(SEARCH("O",M3)))</formula>
    </cfRule>
  </conditionalFormatting>
  <conditionalFormatting sqref="N3:N107 N501:N600">
    <cfRule type="cellIs" dxfId="1004" priority="1001" operator="greaterThan">
      <formula>0</formula>
    </cfRule>
  </conditionalFormatting>
  <conditionalFormatting sqref="K3:K107 K501:K600">
    <cfRule type="containsText" dxfId="1003" priority="1000" operator="containsText" text="T">
      <formula>NOT(ISERROR(SEARCH("T",K3)))</formula>
    </cfRule>
  </conditionalFormatting>
  <conditionalFormatting sqref="L3:L107 L501:L600">
    <cfRule type="containsText" dxfId="1002" priority="998" operator="containsText" text="N">
      <formula>NOT(ISERROR(SEARCH("N",L3)))</formula>
    </cfRule>
    <cfRule type="containsText" dxfId="1001" priority="999" operator="containsText" text="O">
      <formula>NOT(ISERROR(SEARCH("O",L3)))</formula>
    </cfRule>
  </conditionalFormatting>
  <conditionalFormatting sqref="M3:M107 M501:M600">
    <cfRule type="containsText" dxfId="1000" priority="997" operator="containsText" text="O">
      <formula>NOT(ISERROR(SEARCH("O",M3)))</formula>
    </cfRule>
  </conditionalFormatting>
  <conditionalFormatting sqref="N3:N107 N501:N600">
    <cfRule type="cellIs" dxfId="999" priority="996" operator="greaterThan">
      <formula>0</formula>
    </cfRule>
  </conditionalFormatting>
  <conditionalFormatting sqref="K3:K107 K501:K600">
    <cfRule type="containsText" dxfId="998" priority="995" operator="containsText" text="T">
      <formula>NOT(ISERROR(SEARCH("T",K3)))</formula>
    </cfRule>
  </conditionalFormatting>
  <conditionalFormatting sqref="L3:L107 L501:L600">
    <cfRule type="containsText" dxfId="997" priority="994" operator="containsText" text="O">
      <formula>NOT(ISERROR(SEARCH("O",L3)))</formula>
    </cfRule>
  </conditionalFormatting>
  <conditionalFormatting sqref="L3:L107 L501:L600">
    <cfRule type="containsText" dxfId="996" priority="993" operator="containsText" text="N">
      <formula>NOT(ISERROR(SEARCH("N",L3)))</formula>
    </cfRule>
  </conditionalFormatting>
  <conditionalFormatting sqref="M3:M107 M501:M600">
    <cfRule type="containsText" dxfId="995" priority="992" operator="containsText" text="O">
      <formula>NOT(ISERROR(SEARCH("O",M3)))</formula>
    </cfRule>
  </conditionalFormatting>
  <conditionalFormatting sqref="N3:N107 N501:N600">
    <cfRule type="cellIs" dxfId="994" priority="991" operator="greaterThan">
      <formula>0</formula>
    </cfRule>
  </conditionalFormatting>
  <conditionalFormatting sqref="K3:K107 K501:K600">
    <cfRule type="containsText" dxfId="993" priority="990" operator="containsText" text="T">
      <formula>NOT(ISERROR(SEARCH("T",K3)))</formula>
    </cfRule>
  </conditionalFormatting>
  <conditionalFormatting sqref="L3:L107 L501:L600">
    <cfRule type="containsText" dxfId="992" priority="988" operator="containsText" text="N">
      <formula>NOT(ISERROR(SEARCH("N",L3)))</formula>
    </cfRule>
    <cfRule type="containsText" dxfId="991" priority="989" operator="containsText" text="O">
      <formula>NOT(ISERROR(SEARCH("O",L3)))</formula>
    </cfRule>
  </conditionalFormatting>
  <conditionalFormatting sqref="M3:M107 M501:M600">
    <cfRule type="containsText" dxfId="990" priority="987" operator="containsText" text="O">
      <formula>NOT(ISERROR(SEARCH("O",M3)))</formula>
    </cfRule>
  </conditionalFormatting>
  <conditionalFormatting sqref="N3:N107 N501:N600">
    <cfRule type="cellIs" dxfId="989" priority="986" operator="greaterThan">
      <formula>0</formula>
    </cfRule>
  </conditionalFormatting>
  <conditionalFormatting sqref="K3:K112 K501:K600">
    <cfRule type="containsText" dxfId="988" priority="985" operator="containsText" text="T">
      <formula>NOT(ISERROR(SEARCH("T",K3)))</formula>
    </cfRule>
  </conditionalFormatting>
  <conditionalFormatting sqref="L3:L112 L501:L600">
    <cfRule type="containsText" dxfId="987" priority="983" operator="containsText" text="N">
      <formula>NOT(ISERROR(SEARCH("N",L3)))</formula>
    </cfRule>
    <cfRule type="containsText" dxfId="986" priority="984" operator="containsText" text="O">
      <formula>NOT(ISERROR(SEARCH("O",L3)))</formula>
    </cfRule>
  </conditionalFormatting>
  <conditionalFormatting sqref="M3:M112 M501:M600">
    <cfRule type="containsText" dxfId="985" priority="982" operator="containsText" text="O">
      <formula>NOT(ISERROR(SEARCH("O",M3)))</formula>
    </cfRule>
  </conditionalFormatting>
  <conditionalFormatting sqref="N3:N112 N501:N600">
    <cfRule type="cellIs" dxfId="984" priority="981" operator="greaterThan">
      <formula>0</formula>
    </cfRule>
  </conditionalFormatting>
  <conditionalFormatting sqref="K3:K112 K501:K600">
    <cfRule type="containsText" dxfId="983" priority="980" operator="containsText" text="T">
      <formula>NOT(ISERROR(SEARCH("T",K3)))</formula>
    </cfRule>
  </conditionalFormatting>
  <conditionalFormatting sqref="L3:L112 L501:L600">
    <cfRule type="containsText" dxfId="982" priority="978" operator="containsText" text="N">
      <formula>NOT(ISERROR(SEARCH("N",L3)))</formula>
    </cfRule>
    <cfRule type="containsText" dxfId="981" priority="979" operator="containsText" text="O">
      <formula>NOT(ISERROR(SEARCH("O",L3)))</formula>
    </cfRule>
  </conditionalFormatting>
  <conditionalFormatting sqref="M3:M112 M501:M600">
    <cfRule type="containsText" dxfId="980" priority="977" operator="containsText" text="O">
      <formula>NOT(ISERROR(SEARCH("O",M3)))</formula>
    </cfRule>
  </conditionalFormatting>
  <conditionalFormatting sqref="N3:N112 N501:N600">
    <cfRule type="cellIs" dxfId="979" priority="976" operator="greaterThan">
      <formula>0</formula>
    </cfRule>
  </conditionalFormatting>
  <conditionalFormatting sqref="K3:K112 K501:K600">
    <cfRule type="containsText" dxfId="978" priority="975" operator="containsText" text="T">
      <formula>NOT(ISERROR(SEARCH("T",K3)))</formula>
    </cfRule>
  </conditionalFormatting>
  <conditionalFormatting sqref="L3:L112 L501:L600">
    <cfRule type="containsText" dxfId="977" priority="974" operator="containsText" text="O">
      <formula>NOT(ISERROR(SEARCH("O",L3)))</formula>
    </cfRule>
  </conditionalFormatting>
  <conditionalFormatting sqref="L3:L112 L501:L600">
    <cfRule type="containsText" dxfId="976" priority="973" operator="containsText" text="N">
      <formula>NOT(ISERROR(SEARCH("N",L3)))</formula>
    </cfRule>
  </conditionalFormatting>
  <conditionalFormatting sqref="M3:M112 M501:M600">
    <cfRule type="containsText" dxfId="975" priority="972" operator="containsText" text="O">
      <formula>NOT(ISERROR(SEARCH("O",M3)))</formula>
    </cfRule>
  </conditionalFormatting>
  <conditionalFormatting sqref="N3:N112 N501:N600">
    <cfRule type="cellIs" dxfId="974" priority="971" operator="greaterThan">
      <formula>0</formula>
    </cfRule>
  </conditionalFormatting>
  <conditionalFormatting sqref="K3:K112 K501:K600">
    <cfRule type="containsText" dxfId="973" priority="970" operator="containsText" text="T">
      <formula>NOT(ISERROR(SEARCH("T",K3)))</formula>
    </cfRule>
  </conditionalFormatting>
  <conditionalFormatting sqref="L3:L112 L501:L600">
    <cfRule type="containsText" dxfId="972" priority="969" operator="containsText" text="O">
      <formula>NOT(ISERROR(SEARCH("O",L3)))</formula>
    </cfRule>
  </conditionalFormatting>
  <conditionalFormatting sqref="L3:L112 L501:L600">
    <cfRule type="containsText" dxfId="971" priority="968" operator="containsText" text="N">
      <formula>NOT(ISERROR(SEARCH("N",L3)))</formula>
    </cfRule>
  </conditionalFormatting>
  <conditionalFormatting sqref="M3:M112 M501:M600">
    <cfRule type="containsText" dxfId="970" priority="967" operator="containsText" text="O">
      <formula>NOT(ISERROR(SEARCH("O",M3)))</formula>
    </cfRule>
  </conditionalFormatting>
  <conditionalFormatting sqref="N3:N112 N501:N600">
    <cfRule type="cellIs" dxfId="969" priority="966" operator="greaterThan">
      <formula>0</formula>
    </cfRule>
  </conditionalFormatting>
  <conditionalFormatting sqref="K3:K112 K501:K600">
    <cfRule type="containsText" dxfId="968" priority="965" operator="containsText" text="T">
      <formula>NOT(ISERROR(SEARCH("T",K3)))</formula>
    </cfRule>
  </conditionalFormatting>
  <conditionalFormatting sqref="L3:L112 L501:L600">
    <cfRule type="containsText" dxfId="967" priority="964" operator="containsText" text="O">
      <formula>NOT(ISERROR(SEARCH("O",L3)))</formula>
    </cfRule>
  </conditionalFormatting>
  <conditionalFormatting sqref="L3:L112 L501:L600">
    <cfRule type="containsText" dxfId="966" priority="963" operator="containsText" text="N">
      <formula>NOT(ISERROR(SEARCH("N",L3)))</formula>
    </cfRule>
  </conditionalFormatting>
  <conditionalFormatting sqref="M3:M112 M501:M600">
    <cfRule type="containsText" dxfId="965" priority="962" operator="containsText" text="O">
      <formula>NOT(ISERROR(SEARCH("O",M3)))</formula>
    </cfRule>
  </conditionalFormatting>
  <conditionalFormatting sqref="N3:N112 N501:N600">
    <cfRule type="cellIs" dxfId="964" priority="961" operator="greaterThan">
      <formula>0</formula>
    </cfRule>
  </conditionalFormatting>
  <conditionalFormatting sqref="K3:K112 K501:K600">
    <cfRule type="containsText" dxfId="963" priority="960" operator="containsText" text="T">
      <formula>NOT(ISERROR(SEARCH("T",K3)))</formula>
    </cfRule>
  </conditionalFormatting>
  <conditionalFormatting sqref="L3:L112 L501:L600">
    <cfRule type="containsText" dxfId="962" priority="958" operator="containsText" text="N">
      <formula>NOT(ISERROR(SEARCH("N",L3)))</formula>
    </cfRule>
    <cfRule type="containsText" dxfId="961" priority="959" operator="containsText" text="O">
      <formula>NOT(ISERROR(SEARCH("O",L3)))</formula>
    </cfRule>
  </conditionalFormatting>
  <conditionalFormatting sqref="M3:M112 M501:M600">
    <cfRule type="containsText" dxfId="960" priority="957" operator="containsText" text="O">
      <formula>NOT(ISERROR(SEARCH("O",M3)))</formula>
    </cfRule>
  </conditionalFormatting>
  <conditionalFormatting sqref="N3:N112 N501:N600">
    <cfRule type="cellIs" dxfId="959" priority="956" operator="greaterThan">
      <formula>0</formula>
    </cfRule>
  </conditionalFormatting>
  <conditionalFormatting sqref="K3:K112 K501:K600">
    <cfRule type="containsText" dxfId="958" priority="955" operator="containsText" text="T">
      <formula>NOT(ISERROR(SEARCH("T",K3)))</formula>
    </cfRule>
  </conditionalFormatting>
  <conditionalFormatting sqref="L3:L112 L501:L600">
    <cfRule type="containsText" dxfId="957" priority="953" operator="containsText" text="N">
      <formula>NOT(ISERROR(SEARCH("N",L3)))</formula>
    </cfRule>
    <cfRule type="containsText" dxfId="956" priority="954" operator="containsText" text="O">
      <formula>NOT(ISERROR(SEARCH("O",L3)))</formula>
    </cfRule>
  </conditionalFormatting>
  <conditionalFormatting sqref="M3:M112 M501:M600">
    <cfRule type="containsText" dxfId="955" priority="952" operator="containsText" text="O">
      <formula>NOT(ISERROR(SEARCH("O",M3)))</formula>
    </cfRule>
  </conditionalFormatting>
  <conditionalFormatting sqref="N3:N112 N501:N600">
    <cfRule type="cellIs" dxfId="954" priority="951" operator="greaterThan">
      <formula>0</formula>
    </cfRule>
  </conditionalFormatting>
  <conditionalFormatting sqref="K3:K112 K501:K600">
    <cfRule type="containsText" dxfId="953" priority="950" operator="containsText" text="T">
      <formula>NOT(ISERROR(SEARCH("T",K3)))</formula>
    </cfRule>
  </conditionalFormatting>
  <conditionalFormatting sqref="L3:L112 L501:L600">
    <cfRule type="containsText" dxfId="952" priority="948" operator="containsText" text="N">
      <formula>NOT(ISERROR(SEARCH("N",L3)))</formula>
    </cfRule>
    <cfRule type="containsText" dxfId="951" priority="949" operator="containsText" text="O">
      <formula>NOT(ISERROR(SEARCH("O",L3)))</formula>
    </cfRule>
  </conditionalFormatting>
  <conditionalFormatting sqref="M3:M112 M501:M600">
    <cfRule type="containsText" dxfId="950" priority="947" operator="containsText" text="O">
      <formula>NOT(ISERROR(SEARCH("O",M3)))</formula>
    </cfRule>
  </conditionalFormatting>
  <conditionalFormatting sqref="N3:N112 N501:N600">
    <cfRule type="cellIs" dxfId="949" priority="946" operator="greaterThan">
      <formula>0</formula>
    </cfRule>
  </conditionalFormatting>
  <conditionalFormatting sqref="K3:K116 K501:K600">
    <cfRule type="containsText" dxfId="948" priority="945" operator="containsText" text="T">
      <formula>NOT(ISERROR(SEARCH("T",K3)))</formula>
    </cfRule>
  </conditionalFormatting>
  <conditionalFormatting sqref="L3:L116 L501:L600">
    <cfRule type="containsText" dxfId="947" priority="944" operator="containsText" text="O">
      <formula>NOT(ISERROR(SEARCH("O",L3)))</formula>
    </cfRule>
  </conditionalFormatting>
  <conditionalFormatting sqref="L3:L116 L501:L600">
    <cfRule type="containsText" dxfId="946" priority="943" operator="containsText" text="N">
      <formula>NOT(ISERROR(SEARCH("N",L3)))</formula>
    </cfRule>
  </conditionalFormatting>
  <conditionalFormatting sqref="M3:M116 M501:M600">
    <cfRule type="containsText" dxfId="945" priority="942" operator="containsText" text="O">
      <formula>NOT(ISERROR(SEARCH("O",M3)))</formula>
    </cfRule>
  </conditionalFormatting>
  <conditionalFormatting sqref="N3:N116 N501:N600">
    <cfRule type="cellIs" dxfId="944" priority="941" operator="greaterThan">
      <formula>0</formula>
    </cfRule>
  </conditionalFormatting>
  <conditionalFormatting sqref="K3:K116 K501:K600">
    <cfRule type="containsText" dxfId="943" priority="940" operator="containsText" text="T">
      <formula>NOT(ISERROR(SEARCH("T",K3)))</formula>
    </cfRule>
  </conditionalFormatting>
  <conditionalFormatting sqref="L3:L116 L501:L600">
    <cfRule type="containsText" dxfId="942" priority="938" operator="containsText" text="N">
      <formula>NOT(ISERROR(SEARCH("N",L3)))</formula>
    </cfRule>
    <cfRule type="containsText" dxfId="941" priority="939" operator="containsText" text="O">
      <formula>NOT(ISERROR(SEARCH("O",L3)))</formula>
    </cfRule>
  </conditionalFormatting>
  <conditionalFormatting sqref="M3:M116 M501:M600">
    <cfRule type="containsText" dxfId="940" priority="937" operator="containsText" text="O">
      <formula>NOT(ISERROR(SEARCH("O",M3)))</formula>
    </cfRule>
  </conditionalFormatting>
  <conditionalFormatting sqref="N3:N116 N501:N600">
    <cfRule type="cellIs" dxfId="939" priority="936" operator="greaterThan">
      <formula>0</formula>
    </cfRule>
  </conditionalFormatting>
  <conditionalFormatting sqref="K3:K116 K501:K600">
    <cfRule type="containsText" dxfId="938" priority="935" operator="containsText" text="T">
      <formula>NOT(ISERROR(SEARCH("T",K3)))</formula>
    </cfRule>
  </conditionalFormatting>
  <conditionalFormatting sqref="L3:L116 L501:L600">
    <cfRule type="containsText" dxfId="937" priority="933" operator="containsText" text="N">
      <formula>NOT(ISERROR(SEARCH("N",L3)))</formula>
    </cfRule>
    <cfRule type="containsText" dxfId="936" priority="934" operator="containsText" text="O">
      <formula>NOT(ISERROR(SEARCH("O",L3)))</formula>
    </cfRule>
  </conditionalFormatting>
  <conditionalFormatting sqref="M3:M116 M501:M600">
    <cfRule type="containsText" dxfId="935" priority="932" operator="containsText" text="O">
      <formula>NOT(ISERROR(SEARCH("O",M3)))</formula>
    </cfRule>
  </conditionalFormatting>
  <conditionalFormatting sqref="N3:N116 N501:N600">
    <cfRule type="cellIs" dxfId="934" priority="931" operator="greaterThan">
      <formula>0</formula>
    </cfRule>
  </conditionalFormatting>
  <conditionalFormatting sqref="K3:K116 K501:K600">
    <cfRule type="containsText" dxfId="933" priority="930" operator="containsText" text="T">
      <formula>NOT(ISERROR(SEARCH("T",K3)))</formula>
    </cfRule>
  </conditionalFormatting>
  <conditionalFormatting sqref="L3:L116 L501:L600">
    <cfRule type="containsText" dxfId="932" priority="929" operator="containsText" text="O">
      <formula>NOT(ISERROR(SEARCH("O",L3)))</formula>
    </cfRule>
  </conditionalFormatting>
  <conditionalFormatting sqref="L3:L116 L501:L600">
    <cfRule type="containsText" dxfId="931" priority="928" operator="containsText" text="N">
      <formula>NOT(ISERROR(SEARCH("N",L3)))</formula>
    </cfRule>
  </conditionalFormatting>
  <conditionalFormatting sqref="M3:M116 M501:M600">
    <cfRule type="containsText" dxfId="930" priority="927" operator="containsText" text="O">
      <formula>NOT(ISERROR(SEARCH("O",M3)))</formula>
    </cfRule>
  </conditionalFormatting>
  <conditionalFormatting sqref="N3:N116 N501:N600">
    <cfRule type="cellIs" dxfId="929" priority="926" operator="greaterThan">
      <formula>0</formula>
    </cfRule>
  </conditionalFormatting>
  <conditionalFormatting sqref="K3:K116 K501:K600">
    <cfRule type="containsText" dxfId="928" priority="925" operator="containsText" text="T">
      <formula>NOT(ISERROR(SEARCH("T",K3)))</formula>
    </cfRule>
  </conditionalFormatting>
  <conditionalFormatting sqref="L3:L116 L501:L600">
    <cfRule type="containsText" dxfId="927" priority="924" operator="containsText" text="O">
      <formula>NOT(ISERROR(SEARCH("O",L3)))</formula>
    </cfRule>
  </conditionalFormatting>
  <conditionalFormatting sqref="L3:L116 L501:L600">
    <cfRule type="containsText" dxfId="926" priority="923" operator="containsText" text="N">
      <formula>NOT(ISERROR(SEARCH("N",L3)))</formula>
    </cfRule>
  </conditionalFormatting>
  <conditionalFormatting sqref="M3:M116 M501:M600">
    <cfRule type="containsText" dxfId="925" priority="922" operator="containsText" text="O">
      <formula>NOT(ISERROR(SEARCH("O",M3)))</formula>
    </cfRule>
  </conditionalFormatting>
  <conditionalFormatting sqref="N3:N116 N501:N600">
    <cfRule type="cellIs" dxfId="924" priority="921" operator="greaterThan">
      <formula>0</formula>
    </cfRule>
  </conditionalFormatting>
  <conditionalFormatting sqref="K3:K116 K501:K600">
    <cfRule type="containsText" dxfId="923" priority="920" operator="containsText" text="T">
      <formula>NOT(ISERROR(SEARCH("T",K3)))</formula>
    </cfRule>
  </conditionalFormatting>
  <conditionalFormatting sqref="L3:L116 L501:L600">
    <cfRule type="containsText" dxfId="922" priority="919" operator="containsText" text="O">
      <formula>NOT(ISERROR(SEARCH("O",L3)))</formula>
    </cfRule>
  </conditionalFormatting>
  <conditionalFormatting sqref="L3:L116 L501:L600">
    <cfRule type="containsText" dxfId="921" priority="918" operator="containsText" text="N">
      <formula>NOT(ISERROR(SEARCH("N",L3)))</formula>
    </cfRule>
  </conditionalFormatting>
  <conditionalFormatting sqref="M3:M116 M501:M600">
    <cfRule type="containsText" dxfId="920" priority="917" operator="containsText" text="O">
      <formula>NOT(ISERROR(SEARCH("O",M3)))</formula>
    </cfRule>
  </conditionalFormatting>
  <conditionalFormatting sqref="N3:N116 N501:N600">
    <cfRule type="cellIs" dxfId="919" priority="916" operator="greaterThan">
      <formula>0</formula>
    </cfRule>
  </conditionalFormatting>
  <conditionalFormatting sqref="K3:K116 K501:K600">
    <cfRule type="containsText" dxfId="918" priority="915" operator="containsText" text="T">
      <formula>NOT(ISERROR(SEARCH("T",K3)))</formula>
    </cfRule>
  </conditionalFormatting>
  <conditionalFormatting sqref="L3:L116 L501:L600">
    <cfRule type="containsText" dxfId="917" priority="914" operator="containsText" text="O">
      <formula>NOT(ISERROR(SEARCH("O",L3)))</formula>
    </cfRule>
  </conditionalFormatting>
  <conditionalFormatting sqref="L3:L116 L501:L600">
    <cfRule type="containsText" dxfId="916" priority="913" operator="containsText" text="N">
      <formula>NOT(ISERROR(SEARCH("N",L3)))</formula>
    </cfRule>
  </conditionalFormatting>
  <conditionalFormatting sqref="M3:M116 M501:M600">
    <cfRule type="containsText" dxfId="915" priority="912" operator="containsText" text="O">
      <formula>NOT(ISERROR(SEARCH("O",M3)))</formula>
    </cfRule>
  </conditionalFormatting>
  <conditionalFormatting sqref="N3:N116 N501:N600">
    <cfRule type="cellIs" dxfId="914" priority="911" operator="greaterThan">
      <formula>0</formula>
    </cfRule>
  </conditionalFormatting>
  <conditionalFormatting sqref="K3:K116 K501:K600">
    <cfRule type="containsText" dxfId="913" priority="910" operator="containsText" text="T">
      <formula>NOT(ISERROR(SEARCH("T",K3)))</formula>
    </cfRule>
  </conditionalFormatting>
  <conditionalFormatting sqref="L3:L116 L501:L600">
    <cfRule type="containsText" dxfId="912" priority="908" operator="containsText" text="N">
      <formula>NOT(ISERROR(SEARCH("N",L3)))</formula>
    </cfRule>
    <cfRule type="containsText" dxfId="911" priority="909" operator="containsText" text="O">
      <formula>NOT(ISERROR(SEARCH("O",L3)))</formula>
    </cfRule>
  </conditionalFormatting>
  <conditionalFormatting sqref="M3:M116 M501:M600">
    <cfRule type="containsText" dxfId="910" priority="907" operator="containsText" text="O">
      <formula>NOT(ISERROR(SEARCH("O",M3)))</formula>
    </cfRule>
  </conditionalFormatting>
  <conditionalFormatting sqref="N3:N116 N501:N600">
    <cfRule type="cellIs" dxfId="909" priority="906" operator="greaterThan">
      <formula>0</formula>
    </cfRule>
  </conditionalFormatting>
  <conditionalFormatting sqref="K3:K116 K501:K600">
    <cfRule type="containsText" dxfId="908" priority="905" operator="containsText" text="T">
      <formula>NOT(ISERROR(SEARCH("T",K3)))</formula>
    </cfRule>
  </conditionalFormatting>
  <conditionalFormatting sqref="L3:L116 L501:L600">
    <cfRule type="containsText" dxfId="907" priority="903" operator="containsText" text="N">
      <formula>NOT(ISERROR(SEARCH("N",L3)))</formula>
    </cfRule>
    <cfRule type="containsText" dxfId="906" priority="904" operator="containsText" text="O">
      <formula>NOT(ISERROR(SEARCH("O",L3)))</formula>
    </cfRule>
  </conditionalFormatting>
  <conditionalFormatting sqref="M3:M116 M501:M600">
    <cfRule type="containsText" dxfId="905" priority="902" operator="containsText" text="O">
      <formula>NOT(ISERROR(SEARCH("O",M3)))</formula>
    </cfRule>
  </conditionalFormatting>
  <conditionalFormatting sqref="N3:N116 N501:N600">
    <cfRule type="cellIs" dxfId="904" priority="901" operator="greaterThan">
      <formula>0</formula>
    </cfRule>
  </conditionalFormatting>
  <conditionalFormatting sqref="K3:K116 K501:K600">
    <cfRule type="containsText" dxfId="903" priority="900" operator="containsText" text="T">
      <formula>NOT(ISERROR(SEARCH("T",K3)))</formula>
    </cfRule>
  </conditionalFormatting>
  <conditionalFormatting sqref="L3:L116 L501:L600">
    <cfRule type="containsText" dxfId="902" priority="899" operator="containsText" text="O">
      <formula>NOT(ISERROR(SEARCH("O",L3)))</formula>
    </cfRule>
  </conditionalFormatting>
  <conditionalFormatting sqref="L3:L116 L501:L600">
    <cfRule type="containsText" dxfId="901" priority="898" operator="containsText" text="N">
      <formula>NOT(ISERROR(SEARCH("N",L3)))</formula>
    </cfRule>
  </conditionalFormatting>
  <conditionalFormatting sqref="M3:M116 M501:M600">
    <cfRule type="containsText" dxfId="900" priority="897" operator="containsText" text="O">
      <formula>NOT(ISERROR(SEARCH("O",M3)))</formula>
    </cfRule>
  </conditionalFormatting>
  <conditionalFormatting sqref="N3:N116 N501:N600">
    <cfRule type="cellIs" dxfId="899" priority="896" operator="greaterThan">
      <formula>0</formula>
    </cfRule>
  </conditionalFormatting>
  <conditionalFormatting sqref="K3:K117 K501:K600">
    <cfRule type="containsText" dxfId="898" priority="895" operator="containsText" text="T">
      <formula>NOT(ISERROR(SEARCH("T",K3)))</formula>
    </cfRule>
  </conditionalFormatting>
  <conditionalFormatting sqref="L3:L117 L501:L600">
    <cfRule type="containsText" dxfId="897" priority="894" operator="containsText" text="O">
      <formula>NOT(ISERROR(SEARCH("O",L3)))</formula>
    </cfRule>
  </conditionalFormatting>
  <conditionalFormatting sqref="L3:L117 L501:L600">
    <cfRule type="containsText" dxfId="896" priority="893" operator="containsText" text="N">
      <formula>NOT(ISERROR(SEARCH("N",L3)))</formula>
    </cfRule>
  </conditionalFormatting>
  <conditionalFormatting sqref="M3:M117 M501:M600">
    <cfRule type="containsText" dxfId="895" priority="892" operator="containsText" text="O">
      <formula>NOT(ISERROR(SEARCH("O",M3)))</formula>
    </cfRule>
  </conditionalFormatting>
  <conditionalFormatting sqref="N3:N117 N501:N600">
    <cfRule type="cellIs" dxfId="894" priority="891" operator="greaterThan">
      <formula>0</formula>
    </cfRule>
  </conditionalFormatting>
  <conditionalFormatting sqref="K3:K117 K501:K600">
    <cfRule type="containsText" dxfId="893" priority="890" operator="containsText" text="T">
      <formula>NOT(ISERROR(SEARCH("T",K3)))</formula>
    </cfRule>
  </conditionalFormatting>
  <conditionalFormatting sqref="L3:L117 L501:L600">
    <cfRule type="containsText" dxfId="892" priority="889" operator="containsText" text="O">
      <formula>NOT(ISERROR(SEARCH("O",L3)))</formula>
    </cfRule>
  </conditionalFormatting>
  <conditionalFormatting sqref="L3:L117 L501:L600">
    <cfRule type="containsText" dxfId="891" priority="888" operator="containsText" text="N">
      <formula>NOT(ISERROR(SEARCH("N",L3)))</formula>
    </cfRule>
  </conditionalFormatting>
  <conditionalFormatting sqref="M3:M117 M501:M600">
    <cfRule type="containsText" dxfId="890" priority="887" operator="containsText" text="O">
      <formula>NOT(ISERROR(SEARCH("O",M3)))</formula>
    </cfRule>
  </conditionalFormatting>
  <conditionalFormatting sqref="N3:N117 N501:N600">
    <cfRule type="cellIs" dxfId="889" priority="886" operator="greaterThan">
      <formula>0</formula>
    </cfRule>
  </conditionalFormatting>
  <conditionalFormatting sqref="K3:K117 K501:K600">
    <cfRule type="containsText" dxfId="888" priority="885" operator="containsText" text="T">
      <formula>NOT(ISERROR(SEARCH("T",K3)))</formula>
    </cfRule>
  </conditionalFormatting>
  <conditionalFormatting sqref="L3:L117 L501:L600">
    <cfRule type="containsText" dxfId="887" priority="884" operator="containsText" text="O">
      <formula>NOT(ISERROR(SEARCH("O",L3)))</formula>
    </cfRule>
  </conditionalFormatting>
  <conditionalFormatting sqref="L3:L117 L501:L600">
    <cfRule type="containsText" dxfId="886" priority="883" operator="containsText" text="N">
      <formula>NOT(ISERROR(SEARCH("N",L3)))</formula>
    </cfRule>
  </conditionalFormatting>
  <conditionalFormatting sqref="M3:M117 M501:M600">
    <cfRule type="containsText" dxfId="885" priority="882" operator="containsText" text="O">
      <formula>NOT(ISERROR(SEARCH("O",M3)))</formula>
    </cfRule>
  </conditionalFormatting>
  <conditionalFormatting sqref="N3:N117 N501:N600">
    <cfRule type="cellIs" dxfId="884" priority="881" operator="greaterThan">
      <formula>0</formula>
    </cfRule>
  </conditionalFormatting>
  <conditionalFormatting sqref="K3:K117 K501:K600">
    <cfRule type="containsText" dxfId="883" priority="880" operator="containsText" text="T">
      <formula>NOT(ISERROR(SEARCH("T",K3)))</formula>
    </cfRule>
  </conditionalFormatting>
  <conditionalFormatting sqref="L3:L117 L501:L600">
    <cfRule type="containsText" dxfId="882" priority="879" operator="containsText" text="O">
      <formula>NOT(ISERROR(SEARCH("O",L3)))</formula>
    </cfRule>
  </conditionalFormatting>
  <conditionalFormatting sqref="L3:L117 L501:L600">
    <cfRule type="containsText" dxfId="881" priority="878" operator="containsText" text="N">
      <formula>NOT(ISERROR(SEARCH("N",L3)))</formula>
    </cfRule>
  </conditionalFormatting>
  <conditionalFormatting sqref="M3:M117 M501:M600">
    <cfRule type="containsText" dxfId="880" priority="877" operator="containsText" text="O">
      <formula>NOT(ISERROR(SEARCH("O",M3)))</formula>
    </cfRule>
  </conditionalFormatting>
  <conditionalFormatting sqref="N3:N117 N501:N600">
    <cfRule type="cellIs" dxfId="879" priority="876" operator="greaterThan">
      <formula>0</formula>
    </cfRule>
  </conditionalFormatting>
  <conditionalFormatting sqref="K3:K117 K501:K600">
    <cfRule type="containsText" dxfId="878" priority="875" operator="containsText" text="T">
      <formula>NOT(ISERROR(SEARCH("T",K3)))</formula>
    </cfRule>
  </conditionalFormatting>
  <conditionalFormatting sqref="L3:L117 L501:L600">
    <cfRule type="containsText" dxfId="877" priority="874" operator="containsText" text="O">
      <formula>NOT(ISERROR(SEARCH("O",L3)))</formula>
    </cfRule>
  </conditionalFormatting>
  <conditionalFormatting sqref="L3:L117 L501:L600">
    <cfRule type="containsText" dxfId="876" priority="873" operator="containsText" text="N">
      <formula>NOT(ISERROR(SEARCH("N",L3)))</formula>
    </cfRule>
  </conditionalFormatting>
  <conditionalFormatting sqref="M3:M117 M501:M600">
    <cfRule type="containsText" dxfId="875" priority="872" operator="containsText" text="O">
      <formula>NOT(ISERROR(SEARCH("O",M3)))</formula>
    </cfRule>
  </conditionalFormatting>
  <conditionalFormatting sqref="N3:N117 N501:N600">
    <cfRule type="cellIs" dxfId="874" priority="871" operator="greaterThan">
      <formula>0</formula>
    </cfRule>
  </conditionalFormatting>
  <conditionalFormatting sqref="K3:K117 K501:K600">
    <cfRule type="containsText" dxfId="873" priority="870" operator="containsText" text="T">
      <formula>NOT(ISERROR(SEARCH("T",K3)))</formula>
    </cfRule>
  </conditionalFormatting>
  <conditionalFormatting sqref="L3:L117 L501:L600">
    <cfRule type="containsText" dxfId="872" priority="869" operator="containsText" text="O">
      <formula>NOT(ISERROR(SEARCH("O",L3)))</formula>
    </cfRule>
  </conditionalFormatting>
  <conditionalFormatting sqref="L3:L117 L501:L600">
    <cfRule type="containsText" dxfId="871" priority="868" operator="containsText" text="N">
      <formula>NOT(ISERROR(SEARCH("N",L3)))</formula>
    </cfRule>
  </conditionalFormatting>
  <conditionalFormatting sqref="M3:M117 M501:M600">
    <cfRule type="containsText" dxfId="870" priority="867" operator="containsText" text="O">
      <formula>NOT(ISERROR(SEARCH("O",M3)))</formula>
    </cfRule>
  </conditionalFormatting>
  <conditionalFormatting sqref="N3:N117 N501:N600">
    <cfRule type="cellIs" dxfId="869" priority="866" operator="greaterThan">
      <formula>0</formula>
    </cfRule>
  </conditionalFormatting>
  <conditionalFormatting sqref="K3:K117 K501:K600">
    <cfRule type="containsText" dxfId="868" priority="865" operator="containsText" text="T">
      <formula>NOT(ISERROR(SEARCH("T",K3)))</formula>
    </cfRule>
  </conditionalFormatting>
  <conditionalFormatting sqref="L3:L117 L501:L600">
    <cfRule type="containsText" dxfId="867" priority="864" operator="containsText" text="O">
      <formula>NOT(ISERROR(SEARCH("O",L3)))</formula>
    </cfRule>
  </conditionalFormatting>
  <conditionalFormatting sqref="L3:L117 L501:L600">
    <cfRule type="containsText" dxfId="866" priority="863" operator="containsText" text="N">
      <formula>NOT(ISERROR(SEARCH("N",L3)))</formula>
    </cfRule>
  </conditionalFormatting>
  <conditionalFormatting sqref="M3:M117 M501:M600">
    <cfRule type="containsText" dxfId="865" priority="862" operator="containsText" text="O">
      <formula>NOT(ISERROR(SEARCH("O",M3)))</formula>
    </cfRule>
  </conditionalFormatting>
  <conditionalFormatting sqref="N3:N117 N501:N600">
    <cfRule type="cellIs" dxfId="864" priority="861" operator="greaterThan">
      <formula>0</formula>
    </cfRule>
  </conditionalFormatting>
  <conditionalFormatting sqref="K3:K117 K501:K600">
    <cfRule type="containsText" dxfId="863" priority="860" operator="containsText" text="T">
      <formula>NOT(ISERROR(SEARCH("T",K3)))</formula>
    </cfRule>
  </conditionalFormatting>
  <conditionalFormatting sqref="L3:L117 L501:L600">
    <cfRule type="containsText" dxfId="862" priority="859" operator="containsText" text="O">
      <formula>NOT(ISERROR(SEARCH("O",L3)))</formula>
    </cfRule>
  </conditionalFormatting>
  <conditionalFormatting sqref="L3:L117 L501:L600">
    <cfRule type="containsText" dxfId="861" priority="858" operator="containsText" text="N">
      <formula>NOT(ISERROR(SEARCH("N",L3)))</formula>
    </cfRule>
  </conditionalFormatting>
  <conditionalFormatting sqref="M3:M117 M501:M600">
    <cfRule type="containsText" dxfId="860" priority="857" operator="containsText" text="O">
      <formula>NOT(ISERROR(SEARCH("O",M3)))</formula>
    </cfRule>
  </conditionalFormatting>
  <conditionalFormatting sqref="N3:N117 N501:N600">
    <cfRule type="cellIs" dxfId="859" priority="856" operator="greaterThan">
      <formula>0</formula>
    </cfRule>
  </conditionalFormatting>
  <conditionalFormatting sqref="K3:K117 K501:K600">
    <cfRule type="containsText" dxfId="858" priority="855" operator="containsText" text="T">
      <formula>NOT(ISERROR(SEARCH("T",K3)))</formula>
    </cfRule>
  </conditionalFormatting>
  <conditionalFormatting sqref="L3:L117 L501:L600">
    <cfRule type="containsText" dxfId="857" priority="854" operator="containsText" text="O">
      <formula>NOT(ISERROR(SEARCH("O",L3)))</formula>
    </cfRule>
  </conditionalFormatting>
  <conditionalFormatting sqref="L3:L117 L501:L600">
    <cfRule type="containsText" dxfId="856" priority="853" operator="containsText" text="N">
      <formula>NOT(ISERROR(SEARCH("N",L3)))</formula>
    </cfRule>
  </conditionalFormatting>
  <conditionalFormatting sqref="M3:M117 M501:M600">
    <cfRule type="containsText" dxfId="855" priority="852" operator="containsText" text="O">
      <formula>NOT(ISERROR(SEARCH("O",M3)))</formula>
    </cfRule>
  </conditionalFormatting>
  <conditionalFormatting sqref="N3:N117 N501:N600">
    <cfRule type="cellIs" dxfId="854" priority="851" operator="greaterThan">
      <formula>0</formula>
    </cfRule>
  </conditionalFormatting>
  <conditionalFormatting sqref="K3:K119 K501:K600">
    <cfRule type="containsText" dxfId="853" priority="850" operator="containsText" text="T">
      <formula>NOT(ISERROR(SEARCH("T",K3)))</formula>
    </cfRule>
  </conditionalFormatting>
  <conditionalFormatting sqref="L3:L119 L501:L600">
    <cfRule type="containsText" dxfId="852" priority="848" operator="containsText" text="N">
      <formula>NOT(ISERROR(SEARCH("N",L3)))</formula>
    </cfRule>
    <cfRule type="containsText" dxfId="851" priority="849" operator="containsText" text="O">
      <formula>NOT(ISERROR(SEARCH("O",L3)))</formula>
    </cfRule>
  </conditionalFormatting>
  <conditionalFormatting sqref="M3:M119 M501:M600">
    <cfRule type="containsText" dxfId="850" priority="847" operator="containsText" text="O">
      <formula>NOT(ISERROR(SEARCH("O",M3)))</formula>
    </cfRule>
  </conditionalFormatting>
  <conditionalFormatting sqref="N3:N119 N501:N600">
    <cfRule type="cellIs" dxfId="849" priority="846" operator="greaterThan">
      <formula>0</formula>
    </cfRule>
  </conditionalFormatting>
  <conditionalFormatting sqref="K3:K119 K501:K600">
    <cfRule type="containsText" dxfId="848" priority="845" operator="containsText" text="T">
      <formula>NOT(ISERROR(SEARCH("T",K3)))</formula>
    </cfRule>
  </conditionalFormatting>
  <conditionalFormatting sqref="L3:L119 L501:L600">
    <cfRule type="containsText" dxfId="847" priority="844" operator="containsText" text="O">
      <formula>NOT(ISERROR(SEARCH("O",L3)))</formula>
    </cfRule>
  </conditionalFormatting>
  <conditionalFormatting sqref="L3:L119 L501:L600">
    <cfRule type="containsText" dxfId="846" priority="843" operator="containsText" text="N">
      <formula>NOT(ISERROR(SEARCH("N",L3)))</formula>
    </cfRule>
  </conditionalFormatting>
  <conditionalFormatting sqref="M3:M119 M501:M600">
    <cfRule type="containsText" dxfId="845" priority="842" operator="containsText" text="O">
      <formula>NOT(ISERROR(SEARCH("O",M3)))</formula>
    </cfRule>
  </conditionalFormatting>
  <conditionalFormatting sqref="N3:N119 N501:N600">
    <cfRule type="cellIs" dxfId="844" priority="841" operator="greaterThan">
      <formula>0</formula>
    </cfRule>
  </conditionalFormatting>
  <conditionalFormatting sqref="K3:K119 K501:K600">
    <cfRule type="containsText" dxfId="843" priority="840" operator="containsText" text="T">
      <formula>NOT(ISERROR(SEARCH("T",K3)))</formula>
    </cfRule>
  </conditionalFormatting>
  <conditionalFormatting sqref="L3:L119 L501:L600">
    <cfRule type="containsText" dxfId="842" priority="839" operator="containsText" text="O">
      <formula>NOT(ISERROR(SEARCH("O",L3)))</formula>
    </cfRule>
  </conditionalFormatting>
  <conditionalFormatting sqref="L3:L119 L501:L600">
    <cfRule type="containsText" dxfId="841" priority="838" operator="containsText" text="N">
      <formula>NOT(ISERROR(SEARCH("N",L3)))</formula>
    </cfRule>
  </conditionalFormatting>
  <conditionalFormatting sqref="M3:M119 M501:M600">
    <cfRule type="containsText" dxfId="840" priority="837" operator="containsText" text="O">
      <formula>NOT(ISERROR(SEARCH("O",M3)))</formula>
    </cfRule>
  </conditionalFormatting>
  <conditionalFormatting sqref="N3:N119 N501:N600">
    <cfRule type="cellIs" dxfId="839" priority="836" operator="greaterThan">
      <formula>0</formula>
    </cfRule>
  </conditionalFormatting>
  <conditionalFormatting sqref="K3:K121 K501:K600">
    <cfRule type="containsText" dxfId="838" priority="835" operator="containsText" text="T">
      <formula>NOT(ISERROR(SEARCH("T",K3)))</formula>
    </cfRule>
  </conditionalFormatting>
  <conditionalFormatting sqref="L3:L121 L501:L600">
    <cfRule type="containsText" dxfId="837" priority="833" operator="containsText" text="N">
      <formula>NOT(ISERROR(SEARCH("N",L3)))</formula>
    </cfRule>
    <cfRule type="containsText" dxfId="836" priority="834" operator="containsText" text="O">
      <formula>NOT(ISERROR(SEARCH("O",L3)))</formula>
    </cfRule>
  </conditionalFormatting>
  <conditionalFormatting sqref="M3:M121 M501:M600">
    <cfRule type="containsText" dxfId="835" priority="832" operator="containsText" text="O">
      <formula>NOT(ISERROR(SEARCH("O",M3)))</formula>
    </cfRule>
  </conditionalFormatting>
  <conditionalFormatting sqref="N3:N121 N501:N600">
    <cfRule type="cellIs" dxfId="834" priority="831" operator="greaterThan">
      <formula>0</formula>
    </cfRule>
  </conditionalFormatting>
  <conditionalFormatting sqref="K3:K121 K501:K600">
    <cfRule type="containsText" dxfId="833" priority="830" operator="containsText" text="T">
      <formula>NOT(ISERROR(SEARCH("T",K3)))</formula>
    </cfRule>
  </conditionalFormatting>
  <conditionalFormatting sqref="L3:L121 L501:L600">
    <cfRule type="containsText" dxfId="832" priority="828" operator="containsText" text="N">
      <formula>NOT(ISERROR(SEARCH("N",L3)))</formula>
    </cfRule>
    <cfRule type="containsText" dxfId="831" priority="829" operator="containsText" text="O">
      <formula>NOT(ISERROR(SEARCH("O",L3)))</formula>
    </cfRule>
  </conditionalFormatting>
  <conditionalFormatting sqref="M3:M121 M501:M600">
    <cfRule type="containsText" dxfId="830" priority="827" operator="containsText" text="O">
      <formula>NOT(ISERROR(SEARCH("O",M3)))</formula>
    </cfRule>
  </conditionalFormatting>
  <conditionalFormatting sqref="N3:N121 N501:N600">
    <cfRule type="cellIs" dxfId="829" priority="826" operator="greaterThan">
      <formula>0</formula>
    </cfRule>
  </conditionalFormatting>
  <conditionalFormatting sqref="K3:K121 K501:K600">
    <cfRule type="containsText" dxfId="828" priority="825" operator="containsText" text="T">
      <formula>NOT(ISERROR(SEARCH("T",K3)))</formula>
    </cfRule>
  </conditionalFormatting>
  <conditionalFormatting sqref="L3:L121 L501:L600">
    <cfRule type="containsText" dxfId="827" priority="823" operator="containsText" text="N">
      <formula>NOT(ISERROR(SEARCH("N",L3)))</formula>
    </cfRule>
    <cfRule type="containsText" dxfId="826" priority="824" operator="containsText" text="O">
      <formula>NOT(ISERROR(SEARCH("O",L3)))</formula>
    </cfRule>
  </conditionalFormatting>
  <conditionalFormatting sqref="M3:M121 M501:M600">
    <cfRule type="containsText" dxfId="825" priority="822" operator="containsText" text="O">
      <formula>NOT(ISERROR(SEARCH("O",M3)))</formula>
    </cfRule>
  </conditionalFormatting>
  <conditionalFormatting sqref="N3:N121 N501:N600">
    <cfRule type="cellIs" dxfId="824" priority="821" operator="greaterThan">
      <formula>0</formula>
    </cfRule>
  </conditionalFormatting>
  <conditionalFormatting sqref="K3:K124 K501:K600">
    <cfRule type="containsText" dxfId="823" priority="820" operator="containsText" text="T">
      <formula>NOT(ISERROR(SEARCH("T",K3)))</formula>
    </cfRule>
  </conditionalFormatting>
  <conditionalFormatting sqref="L3:L124 L501:L600">
    <cfRule type="containsText" dxfId="822" priority="819" operator="containsText" text="O">
      <formula>NOT(ISERROR(SEARCH("O",L3)))</formula>
    </cfRule>
  </conditionalFormatting>
  <conditionalFormatting sqref="L3:L124 L501:L600">
    <cfRule type="containsText" dxfId="821" priority="818" operator="containsText" text="N">
      <formula>NOT(ISERROR(SEARCH("N",L3)))</formula>
    </cfRule>
  </conditionalFormatting>
  <conditionalFormatting sqref="M3:M124 M501:M600">
    <cfRule type="containsText" dxfId="820" priority="817" operator="containsText" text="O">
      <formula>NOT(ISERROR(SEARCH("O",M3)))</formula>
    </cfRule>
  </conditionalFormatting>
  <conditionalFormatting sqref="N3:N124 N501:N600">
    <cfRule type="cellIs" dxfId="819" priority="816" operator="greaterThan">
      <formula>0</formula>
    </cfRule>
  </conditionalFormatting>
  <conditionalFormatting sqref="K3:K124 K501:K600">
    <cfRule type="containsText" dxfId="818" priority="815" operator="containsText" text="T">
      <formula>NOT(ISERROR(SEARCH("T",K3)))</formula>
    </cfRule>
  </conditionalFormatting>
  <conditionalFormatting sqref="L3:L124 L501:L600">
    <cfRule type="containsText" dxfId="817" priority="814" operator="containsText" text="O">
      <formula>NOT(ISERROR(SEARCH("O",L3)))</formula>
    </cfRule>
  </conditionalFormatting>
  <conditionalFormatting sqref="L3:L124 L501:L600">
    <cfRule type="containsText" dxfId="816" priority="813" operator="containsText" text="N">
      <formula>NOT(ISERROR(SEARCH("N",L3)))</formula>
    </cfRule>
  </conditionalFormatting>
  <conditionalFormatting sqref="M3:M124 M501:M600">
    <cfRule type="containsText" dxfId="815" priority="812" operator="containsText" text="O">
      <formula>NOT(ISERROR(SEARCH("O",M3)))</formula>
    </cfRule>
  </conditionalFormatting>
  <conditionalFormatting sqref="N3:N124 N501:N600">
    <cfRule type="cellIs" dxfId="814" priority="811" operator="greaterThan">
      <formula>0</formula>
    </cfRule>
  </conditionalFormatting>
  <conditionalFormatting sqref="K3:K124 K501:K600">
    <cfRule type="containsText" dxfId="813" priority="810" operator="containsText" text="T">
      <formula>NOT(ISERROR(SEARCH("T",K3)))</formula>
    </cfRule>
  </conditionalFormatting>
  <conditionalFormatting sqref="L3:L124 L501:L600">
    <cfRule type="containsText" dxfId="812" priority="809" operator="containsText" text="O">
      <formula>NOT(ISERROR(SEARCH("O",L3)))</formula>
    </cfRule>
  </conditionalFormatting>
  <conditionalFormatting sqref="L3:L124 L501:L600">
    <cfRule type="containsText" dxfId="811" priority="808" operator="containsText" text="N">
      <formula>NOT(ISERROR(SEARCH("N",L3)))</formula>
    </cfRule>
  </conditionalFormatting>
  <conditionalFormatting sqref="M3:M124 M501:M600">
    <cfRule type="containsText" dxfId="810" priority="807" operator="containsText" text="O">
      <formula>NOT(ISERROR(SEARCH("O",M3)))</formula>
    </cfRule>
  </conditionalFormatting>
  <conditionalFormatting sqref="N3:N124 N501:N600">
    <cfRule type="cellIs" dxfId="809" priority="806" operator="greaterThan">
      <formula>0</formula>
    </cfRule>
  </conditionalFormatting>
  <conditionalFormatting sqref="K3:K124 K501:K600">
    <cfRule type="containsText" dxfId="808" priority="805" operator="containsText" text="T">
      <formula>NOT(ISERROR(SEARCH("T",K3)))</formula>
    </cfRule>
  </conditionalFormatting>
  <conditionalFormatting sqref="L3:L124 L501:L600">
    <cfRule type="containsText" dxfId="807" priority="804" operator="containsText" text="O">
      <formula>NOT(ISERROR(SEARCH("O",L3)))</formula>
    </cfRule>
  </conditionalFormatting>
  <conditionalFormatting sqref="L3:L124 L501:L600">
    <cfRule type="containsText" dxfId="806" priority="803" operator="containsText" text="N">
      <formula>NOT(ISERROR(SEARCH("N",L3)))</formula>
    </cfRule>
  </conditionalFormatting>
  <conditionalFormatting sqref="M3:M124 M501:M600">
    <cfRule type="containsText" dxfId="805" priority="802" operator="containsText" text="O">
      <formula>NOT(ISERROR(SEARCH("O",M3)))</formula>
    </cfRule>
  </conditionalFormatting>
  <conditionalFormatting sqref="N3:N124 N501:N600">
    <cfRule type="cellIs" dxfId="804" priority="801" operator="greaterThan">
      <formula>0</formula>
    </cfRule>
  </conditionalFormatting>
  <conditionalFormatting sqref="K3:K124 K501:K600">
    <cfRule type="containsText" dxfId="803" priority="800" operator="containsText" text="T">
      <formula>NOT(ISERROR(SEARCH("T",K3)))</formula>
    </cfRule>
  </conditionalFormatting>
  <conditionalFormatting sqref="L3:L124 L501:L600">
    <cfRule type="containsText" dxfId="802" priority="798" operator="containsText" text="N">
      <formula>NOT(ISERROR(SEARCH("N",L3)))</formula>
    </cfRule>
    <cfRule type="containsText" dxfId="801" priority="799" operator="containsText" text="O">
      <formula>NOT(ISERROR(SEARCH("O",L3)))</formula>
    </cfRule>
  </conditionalFormatting>
  <conditionalFormatting sqref="M3:M124 M501:M600">
    <cfRule type="containsText" dxfId="800" priority="797" operator="containsText" text="O">
      <formula>NOT(ISERROR(SEARCH("O",M3)))</formula>
    </cfRule>
  </conditionalFormatting>
  <conditionalFormatting sqref="N3:N124 N501:N600">
    <cfRule type="cellIs" dxfId="799" priority="796" operator="greaterThan">
      <formula>0</formula>
    </cfRule>
  </conditionalFormatting>
  <conditionalFormatting sqref="K3:K124 K501:K600">
    <cfRule type="containsText" dxfId="798" priority="795" operator="containsText" text="T">
      <formula>NOT(ISERROR(SEARCH("T",K3)))</formula>
    </cfRule>
  </conditionalFormatting>
  <conditionalFormatting sqref="L3:L124 L501:L600">
    <cfRule type="containsText" dxfId="797" priority="794" operator="containsText" text="O">
      <formula>NOT(ISERROR(SEARCH("O",L3)))</formula>
    </cfRule>
  </conditionalFormatting>
  <conditionalFormatting sqref="L3:L124 L501:L600">
    <cfRule type="containsText" dxfId="796" priority="793" operator="containsText" text="N">
      <formula>NOT(ISERROR(SEARCH("N",L3)))</formula>
    </cfRule>
  </conditionalFormatting>
  <conditionalFormatting sqref="M3:M124 M501:M600">
    <cfRule type="containsText" dxfId="795" priority="792" operator="containsText" text="O">
      <formula>NOT(ISERROR(SEARCH("O",M3)))</formula>
    </cfRule>
  </conditionalFormatting>
  <conditionalFormatting sqref="N3:N124 N501:N600">
    <cfRule type="cellIs" dxfId="794" priority="791" operator="greaterThan">
      <formula>0</formula>
    </cfRule>
  </conditionalFormatting>
  <conditionalFormatting sqref="K3:K124 K501:K600">
    <cfRule type="containsText" dxfId="793" priority="790" operator="containsText" text="T">
      <formula>NOT(ISERROR(SEARCH("T",K3)))</formula>
    </cfRule>
  </conditionalFormatting>
  <conditionalFormatting sqref="L3:L124 L501:L600">
    <cfRule type="containsText" dxfId="792" priority="789" operator="containsText" text="O">
      <formula>NOT(ISERROR(SEARCH("O",L3)))</formula>
    </cfRule>
  </conditionalFormatting>
  <conditionalFormatting sqref="L3:L124 L501:L600">
    <cfRule type="containsText" dxfId="791" priority="788" operator="containsText" text="N">
      <formula>NOT(ISERROR(SEARCH("N",L3)))</formula>
    </cfRule>
  </conditionalFormatting>
  <conditionalFormatting sqref="M3:M124 M501:M600">
    <cfRule type="containsText" dxfId="790" priority="787" operator="containsText" text="O">
      <formula>NOT(ISERROR(SEARCH("O",M3)))</formula>
    </cfRule>
  </conditionalFormatting>
  <conditionalFormatting sqref="N3:N124 N501:N600">
    <cfRule type="cellIs" dxfId="789" priority="786" operator="greaterThan">
      <formula>0</formula>
    </cfRule>
  </conditionalFormatting>
  <conditionalFormatting sqref="K3:K125 K501:K600">
    <cfRule type="containsText" dxfId="788" priority="785" operator="containsText" text="T">
      <formula>NOT(ISERROR(SEARCH("T",K3)))</formula>
    </cfRule>
  </conditionalFormatting>
  <conditionalFormatting sqref="L3:L125 L501:L600">
    <cfRule type="containsText" dxfId="787" priority="784" operator="containsText" text="O">
      <formula>NOT(ISERROR(SEARCH("O",L3)))</formula>
    </cfRule>
  </conditionalFormatting>
  <conditionalFormatting sqref="L3:L125 L501:L600">
    <cfRule type="containsText" dxfId="786" priority="783" operator="containsText" text="N">
      <formula>NOT(ISERROR(SEARCH("N",L3)))</formula>
    </cfRule>
  </conditionalFormatting>
  <conditionalFormatting sqref="M3:M125 M501:M600">
    <cfRule type="containsText" dxfId="785" priority="782" operator="containsText" text="O">
      <formula>NOT(ISERROR(SEARCH("O",M3)))</formula>
    </cfRule>
  </conditionalFormatting>
  <conditionalFormatting sqref="N3:N125 N501:N600">
    <cfRule type="cellIs" dxfId="784" priority="781" operator="greaterThan">
      <formula>0</formula>
    </cfRule>
  </conditionalFormatting>
  <conditionalFormatting sqref="K3:K125 K501:K600">
    <cfRule type="containsText" dxfId="783" priority="780" operator="containsText" text="T">
      <formula>NOT(ISERROR(SEARCH("T",K3)))</formula>
    </cfRule>
  </conditionalFormatting>
  <conditionalFormatting sqref="L3:L125 L501:L600">
    <cfRule type="containsText" dxfId="782" priority="779" operator="containsText" text="O">
      <formula>NOT(ISERROR(SEARCH("O",L3)))</formula>
    </cfRule>
  </conditionalFormatting>
  <conditionalFormatting sqref="L3:L125 L501:L600">
    <cfRule type="containsText" dxfId="781" priority="778" operator="containsText" text="N">
      <formula>NOT(ISERROR(SEARCH("N",L3)))</formula>
    </cfRule>
  </conditionalFormatting>
  <conditionalFormatting sqref="M3:M125 M501:M600">
    <cfRule type="containsText" dxfId="780" priority="777" operator="containsText" text="O">
      <formula>NOT(ISERROR(SEARCH("O",M3)))</formula>
    </cfRule>
  </conditionalFormatting>
  <conditionalFormatting sqref="N3:N125 N501:N600">
    <cfRule type="cellIs" dxfId="779" priority="776" operator="greaterThan">
      <formula>0</formula>
    </cfRule>
  </conditionalFormatting>
  <conditionalFormatting sqref="K3:K125 K501:K600">
    <cfRule type="containsText" dxfId="778" priority="775" operator="containsText" text="T">
      <formula>NOT(ISERROR(SEARCH("T",K3)))</formula>
    </cfRule>
  </conditionalFormatting>
  <conditionalFormatting sqref="L3:L125 L501:L600">
    <cfRule type="containsText" dxfId="777" priority="773" operator="containsText" text="N">
      <formula>NOT(ISERROR(SEARCH("N",L3)))</formula>
    </cfRule>
    <cfRule type="containsText" dxfId="776" priority="774" operator="containsText" text="O">
      <formula>NOT(ISERROR(SEARCH("O",L3)))</formula>
    </cfRule>
  </conditionalFormatting>
  <conditionalFormatting sqref="M3:M125 M501:M600">
    <cfRule type="containsText" dxfId="775" priority="772" operator="containsText" text="O">
      <formula>NOT(ISERROR(SEARCH("O",M3)))</formula>
    </cfRule>
  </conditionalFormatting>
  <conditionalFormatting sqref="N3:N125 N501:N600">
    <cfRule type="cellIs" dxfId="774" priority="771" operator="greaterThan">
      <formula>0</formula>
    </cfRule>
  </conditionalFormatting>
  <conditionalFormatting sqref="K3:K125 K501:K600">
    <cfRule type="containsText" dxfId="773" priority="770" operator="containsText" text="T">
      <formula>NOT(ISERROR(SEARCH("T",K3)))</formula>
    </cfRule>
  </conditionalFormatting>
  <conditionalFormatting sqref="L3:L125 L501:L600">
    <cfRule type="containsText" dxfId="772" priority="768" operator="containsText" text="N">
      <formula>NOT(ISERROR(SEARCH("N",L3)))</formula>
    </cfRule>
    <cfRule type="containsText" dxfId="771" priority="769" operator="containsText" text="O">
      <formula>NOT(ISERROR(SEARCH("O",L3)))</formula>
    </cfRule>
  </conditionalFormatting>
  <conditionalFormatting sqref="M3:M125 M501:M600">
    <cfRule type="containsText" dxfId="770" priority="767" operator="containsText" text="O">
      <formula>NOT(ISERROR(SEARCH("O",M3)))</formula>
    </cfRule>
  </conditionalFormatting>
  <conditionalFormatting sqref="N3:N125 N501:N600">
    <cfRule type="cellIs" dxfId="769" priority="766" operator="greaterThan">
      <formula>0</formula>
    </cfRule>
  </conditionalFormatting>
  <conditionalFormatting sqref="K3:K126 K501:K600">
    <cfRule type="containsText" dxfId="768" priority="765" operator="containsText" text="T">
      <formula>NOT(ISERROR(SEARCH("T",K3)))</formula>
    </cfRule>
  </conditionalFormatting>
  <conditionalFormatting sqref="L3:L126 L501:L600">
    <cfRule type="containsText" dxfId="767" priority="764" operator="containsText" text="O">
      <formula>NOT(ISERROR(SEARCH("O",L3)))</formula>
    </cfRule>
  </conditionalFormatting>
  <conditionalFormatting sqref="L3:L126 L501:L600">
    <cfRule type="containsText" dxfId="766" priority="763" operator="containsText" text="N">
      <formula>NOT(ISERROR(SEARCH("N",L3)))</formula>
    </cfRule>
  </conditionalFormatting>
  <conditionalFormatting sqref="M3:M126 M501:M600">
    <cfRule type="containsText" dxfId="765" priority="762" operator="containsText" text="O">
      <formula>NOT(ISERROR(SEARCH("O",M3)))</formula>
    </cfRule>
  </conditionalFormatting>
  <conditionalFormatting sqref="N3:N126 N501:N600">
    <cfRule type="cellIs" dxfId="764" priority="761" operator="greaterThan">
      <formula>0</formula>
    </cfRule>
  </conditionalFormatting>
  <conditionalFormatting sqref="K3:K126 K501:K600">
    <cfRule type="containsText" dxfId="763" priority="760" operator="containsText" text="T">
      <formula>NOT(ISERROR(SEARCH("T",K3)))</formula>
    </cfRule>
  </conditionalFormatting>
  <conditionalFormatting sqref="L3:L126 L501:L600">
    <cfRule type="containsText" dxfId="762" priority="758" operator="containsText" text="N">
      <formula>NOT(ISERROR(SEARCH("N",L3)))</formula>
    </cfRule>
    <cfRule type="containsText" dxfId="761" priority="759" operator="containsText" text="O">
      <formula>NOT(ISERROR(SEARCH("O",L3)))</formula>
    </cfRule>
  </conditionalFormatting>
  <conditionalFormatting sqref="M3:M126 M501:M600">
    <cfRule type="containsText" dxfId="760" priority="757" operator="containsText" text="O">
      <formula>NOT(ISERROR(SEARCH("O",M3)))</formula>
    </cfRule>
  </conditionalFormatting>
  <conditionalFormatting sqref="N3:N126 N501:N600">
    <cfRule type="cellIs" dxfId="759" priority="756" operator="greaterThan">
      <formula>0</formula>
    </cfRule>
  </conditionalFormatting>
  <conditionalFormatting sqref="K3:K127 K501:K600">
    <cfRule type="containsText" dxfId="758" priority="755" operator="containsText" text="T">
      <formula>NOT(ISERROR(SEARCH("T",K3)))</formula>
    </cfRule>
  </conditionalFormatting>
  <conditionalFormatting sqref="L3:L127 L501:L600">
    <cfRule type="containsText" dxfId="757" priority="754" operator="containsText" text="O">
      <formula>NOT(ISERROR(SEARCH("O",L3)))</formula>
    </cfRule>
  </conditionalFormatting>
  <conditionalFormatting sqref="L3:L127 L501:L600">
    <cfRule type="containsText" dxfId="756" priority="753" operator="containsText" text="N">
      <formula>NOT(ISERROR(SEARCH("N",L3)))</formula>
    </cfRule>
  </conditionalFormatting>
  <conditionalFormatting sqref="M3:M127 M501:M600">
    <cfRule type="containsText" dxfId="755" priority="752" operator="containsText" text="O">
      <formula>NOT(ISERROR(SEARCH("O",M3)))</formula>
    </cfRule>
  </conditionalFormatting>
  <conditionalFormatting sqref="N3:N127 N501:N600">
    <cfRule type="cellIs" dxfId="754" priority="751" operator="greaterThan">
      <formula>0</formula>
    </cfRule>
  </conditionalFormatting>
  <conditionalFormatting sqref="K3:K127 K501:K600">
    <cfRule type="containsText" dxfId="753" priority="750" operator="containsText" text="T">
      <formula>NOT(ISERROR(SEARCH("T",K3)))</formula>
    </cfRule>
  </conditionalFormatting>
  <conditionalFormatting sqref="L3:L127 L501:L600">
    <cfRule type="containsText" dxfId="752" priority="748" operator="containsText" text="N">
      <formula>NOT(ISERROR(SEARCH("N",L3)))</formula>
    </cfRule>
    <cfRule type="containsText" dxfId="751" priority="749" operator="containsText" text="O">
      <formula>NOT(ISERROR(SEARCH("O",L3)))</formula>
    </cfRule>
  </conditionalFormatting>
  <conditionalFormatting sqref="M3:M127 M501:M600">
    <cfRule type="containsText" dxfId="750" priority="747" operator="containsText" text="O">
      <formula>NOT(ISERROR(SEARCH("O",M3)))</formula>
    </cfRule>
  </conditionalFormatting>
  <conditionalFormatting sqref="N3:N127 N501:N600">
    <cfRule type="cellIs" dxfId="749" priority="746" operator="greaterThan">
      <formula>0</formula>
    </cfRule>
  </conditionalFormatting>
  <conditionalFormatting sqref="K3:K127 K501:K600">
    <cfRule type="containsText" dxfId="748" priority="745" operator="containsText" text="T">
      <formula>NOT(ISERROR(SEARCH("T",K3)))</formula>
    </cfRule>
  </conditionalFormatting>
  <conditionalFormatting sqref="L3:L127 L501:L600">
    <cfRule type="containsText" dxfId="747" priority="743" operator="containsText" text="N">
      <formula>NOT(ISERROR(SEARCH("N",L3)))</formula>
    </cfRule>
    <cfRule type="containsText" dxfId="746" priority="744" operator="containsText" text="O">
      <formula>NOT(ISERROR(SEARCH("O",L3)))</formula>
    </cfRule>
  </conditionalFormatting>
  <conditionalFormatting sqref="M3:M127 M501:M600">
    <cfRule type="containsText" dxfId="745" priority="742" operator="containsText" text="O">
      <formula>NOT(ISERROR(SEARCH("O",M3)))</formula>
    </cfRule>
  </conditionalFormatting>
  <conditionalFormatting sqref="N3:N127 N501:N600">
    <cfRule type="cellIs" dxfId="744" priority="741" operator="greaterThan">
      <formula>0</formula>
    </cfRule>
  </conditionalFormatting>
  <conditionalFormatting sqref="K3:K127 K501:K600">
    <cfRule type="containsText" dxfId="743" priority="740" operator="containsText" text="T">
      <formula>NOT(ISERROR(SEARCH("T",K3)))</formula>
    </cfRule>
  </conditionalFormatting>
  <conditionalFormatting sqref="L3:L127 L501:L600">
    <cfRule type="containsText" dxfId="742" priority="738" operator="containsText" text="N">
      <formula>NOT(ISERROR(SEARCH("N",L3)))</formula>
    </cfRule>
    <cfRule type="containsText" dxfId="741" priority="739" operator="containsText" text="O">
      <formula>NOT(ISERROR(SEARCH("O",L3)))</formula>
    </cfRule>
  </conditionalFormatting>
  <conditionalFormatting sqref="M3:M127 M501:M600">
    <cfRule type="containsText" dxfId="740" priority="737" operator="containsText" text="O">
      <formula>NOT(ISERROR(SEARCH("O",M3)))</formula>
    </cfRule>
  </conditionalFormatting>
  <conditionalFormatting sqref="N3:N127 N501:N600">
    <cfRule type="cellIs" dxfId="739" priority="736" operator="greaterThan">
      <formula>0</formula>
    </cfRule>
  </conditionalFormatting>
  <conditionalFormatting sqref="K3:K131 K501:K600">
    <cfRule type="containsText" dxfId="738" priority="735" operator="containsText" text="T">
      <formula>NOT(ISERROR(SEARCH("T",K3)))</formula>
    </cfRule>
  </conditionalFormatting>
  <conditionalFormatting sqref="L3:L131 L501:L600">
    <cfRule type="containsText" dxfId="737" priority="733" operator="containsText" text="N">
      <formula>NOT(ISERROR(SEARCH("N",L3)))</formula>
    </cfRule>
    <cfRule type="containsText" dxfId="736" priority="734" operator="containsText" text="O">
      <formula>NOT(ISERROR(SEARCH("O",L3)))</formula>
    </cfRule>
  </conditionalFormatting>
  <conditionalFormatting sqref="M3:M131 M501:M600">
    <cfRule type="containsText" dxfId="735" priority="732" operator="containsText" text="O">
      <formula>NOT(ISERROR(SEARCH("O",M3)))</formula>
    </cfRule>
  </conditionalFormatting>
  <conditionalFormatting sqref="N3:N131 N501:N600">
    <cfRule type="cellIs" dxfId="734" priority="731" operator="greaterThan">
      <formula>0</formula>
    </cfRule>
  </conditionalFormatting>
  <conditionalFormatting sqref="K3:K131 K501:K600">
    <cfRule type="containsText" dxfId="733" priority="730" operator="containsText" text="T">
      <formula>NOT(ISERROR(SEARCH("T",K3)))</formula>
    </cfRule>
  </conditionalFormatting>
  <conditionalFormatting sqref="L3:L131 L501:L600">
    <cfRule type="containsText" dxfId="732" priority="728" operator="containsText" text="N">
      <formula>NOT(ISERROR(SEARCH("N",L3)))</formula>
    </cfRule>
    <cfRule type="containsText" dxfId="731" priority="729" operator="containsText" text="O">
      <formula>NOT(ISERROR(SEARCH("O",L3)))</formula>
    </cfRule>
  </conditionalFormatting>
  <conditionalFormatting sqref="M3:M131 M501:M600">
    <cfRule type="containsText" dxfId="730" priority="727" operator="containsText" text="O">
      <formula>NOT(ISERROR(SEARCH("O",M3)))</formula>
    </cfRule>
  </conditionalFormatting>
  <conditionalFormatting sqref="N3:N131 N501:N600">
    <cfRule type="cellIs" dxfId="729" priority="726" operator="greaterThan">
      <formula>0</formula>
    </cfRule>
  </conditionalFormatting>
  <conditionalFormatting sqref="K3:K132 K501:K600">
    <cfRule type="containsText" dxfId="728" priority="725" operator="containsText" text="T">
      <formula>NOT(ISERROR(SEARCH("T",K3)))</formula>
    </cfRule>
  </conditionalFormatting>
  <conditionalFormatting sqref="L3:L132 L501:L600">
    <cfRule type="containsText" dxfId="727" priority="723" operator="containsText" text="N">
      <formula>NOT(ISERROR(SEARCH("N",L3)))</formula>
    </cfRule>
    <cfRule type="containsText" dxfId="726" priority="724" operator="containsText" text="O">
      <formula>NOT(ISERROR(SEARCH("O",L3)))</formula>
    </cfRule>
  </conditionalFormatting>
  <conditionalFormatting sqref="M3:M132 M501:M600">
    <cfRule type="containsText" dxfId="725" priority="722" operator="containsText" text="O">
      <formula>NOT(ISERROR(SEARCH("O",M3)))</formula>
    </cfRule>
  </conditionalFormatting>
  <conditionalFormatting sqref="N3:N132 N501:N600">
    <cfRule type="cellIs" dxfId="724" priority="721" operator="greaterThan">
      <formula>0</formula>
    </cfRule>
  </conditionalFormatting>
  <conditionalFormatting sqref="K3:K132 K501:K600">
    <cfRule type="containsText" dxfId="723" priority="720" operator="containsText" text="T">
      <formula>NOT(ISERROR(SEARCH("T",K3)))</formula>
    </cfRule>
  </conditionalFormatting>
  <conditionalFormatting sqref="L3:L132 L501:L600">
    <cfRule type="containsText" dxfId="722" priority="718" operator="containsText" text="N">
      <formula>NOT(ISERROR(SEARCH("N",L3)))</formula>
    </cfRule>
    <cfRule type="containsText" dxfId="721" priority="719" operator="containsText" text="O">
      <formula>NOT(ISERROR(SEARCH("O",L3)))</formula>
    </cfRule>
  </conditionalFormatting>
  <conditionalFormatting sqref="M3:M132 M501:M600">
    <cfRule type="containsText" dxfId="720" priority="717" operator="containsText" text="O">
      <formula>NOT(ISERROR(SEARCH("O",M3)))</formula>
    </cfRule>
  </conditionalFormatting>
  <conditionalFormatting sqref="N3:N132 N501:N600">
    <cfRule type="cellIs" dxfId="719" priority="716" operator="greaterThan">
      <formula>0</formula>
    </cfRule>
  </conditionalFormatting>
  <conditionalFormatting sqref="K3:K136 K501:K600">
    <cfRule type="containsText" dxfId="718" priority="715" operator="containsText" text="T">
      <formula>NOT(ISERROR(SEARCH("T",K3)))</formula>
    </cfRule>
  </conditionalFormatting>
  <conditionalFormatting sqref="L3:L136 L501:L600">
    <cfRule type="containsText" dxfId="717" priority="713" operator="containsText" text="N">
      <formula>NOT(ISERROR(SEARCH("N",L3)))</formula>
    </cfRule>
    <cfRule type="containsText" dxfId="716" priority="714" operator="containsText" text="O">
      <formula>NOT(ISERROR(SEARCH("O",L3)))</formula>
    </cfRule>
  </conditionalFormatting>
  <conditionalFormatting sqref="M3:M136 M501:M600">
    <cfRule type="containsText" dxfId="715" priority="712" operator="containsText" text="O">
      <formula>NOT(ISERROR(SEARCH("O",M3)))</formula>
    </cfRule>
  </conditionalFormatting>
  <conditionalFormatting sqref="N3:N136 N501:N600">
    <cfRule type="cellIs" dxfId="714" priority="711" operator="greaterThan">
      <formula>0</formula>
    </cfRule>
  </conditionalFormatting>
  <conditionalFormatting sqref="K3:K139 K501:K600">
    <cfRule type="containsText" dxfId="713" priority="710" operator="containsText" text="T">
      <formula>NOT(ISERROR(SEARCH("T",K3)))</formula>
    </cfRule>
  </conditionalFormatting>
  <conditionalFormatting sqref="L3:L139 L501:L600">
    <cfRule type="containsText" dxfId="712" priority="708" operator="containsText" text="N">
      <formula>NOT(ISERROR(SEARCH("N",L3)))</formula>
    </cfRule>
    <cfRule type="containsText" dxfId="711" priority="709" operator="containsText" text="O">
      <formula>NOT(ISERROR(SEARCH("O",L3)))</formula>
    </cfRule>
  </conditionalFormatting>
  <conditionalFormatting sqref="M3:M139 M501:M600">
    <cfRule type="containsText" dxfId="710" priority="707" operator="containsText" text="O">
      <formula>NOT(ISERROR(SEARCH("O",M3)))</formula>
    </cfRule>
  </conditionalFormatting>
  <conditionalFormatting sqref="N3:N139 N501:N600">
    <cfRule type="cellIs" dxfId="709" priority="706" operator="greaterThan">
      <formula>0</formula>
    </cfRule>
  </conditionalFormatting>
  <conditionalFormatting sqref="K3:K139 K501:K600">
    <cfRule type="containsText" dxfId="708" priority="705" operator="containsText" text="T">
      <formula>NOT(ISERROR(SEARCH("T",K3)))</formula>
    </cfRule>
  </conditionalFormatting>
  <conditionalFormatting sqref="L3:L139 L501:L600">
    <cfRule type="containsText" dxfId="707" priority="703" operator="containsText" text="N">
      <formula>NOT(ISERROR(SEARCH("N",L3)))</formula>
    </cfRule>
    <cfRule type="containsText" dxfId="706" priority="704" operator="containsText" text="O">
      <formula>NOT(ISERROR(SEARCH("O",L3)))</formula>
    </cfRule>
  </conditionalFormatting>
  <conditionalFormatting sqref="M3:M139 M501:M600">
    <cfRule type="containsText" dxfId="705" priority="702" operator="containsText" text="O">
      <formula>NOT(ISERROR(SEARCH("O",M3)))</formula>
    </cfRule>
  </conditionalFormatting>
  <conditionalFormatting sqref="N3:N139 N501:N600">
    <cfRule type="cellIs" dxfId="704" priority="701" operator="greaterThan">
      <formula>0</formula>
    </cfRule>
  </conditionalFormatting>
  <conditionalFormatting sqref="K3:K139 K501:K600">
    <cfRule type="containsText" dxfId="703" priority="700" operator="containsText" text="T">
      <formula>NOT(ISERROR(SEARCH("T",K3)))</formula>
    </cfRule>
  </conditionalFormatting>
  <conditionalFormatting sqref="L3:L139 L501:L600">
    <cfRule type="containsText" dxfId="702" priority="698" operator="containsText" text="N">
      <formula>NOT(ISERROR(SEARCH("N",L3)))</formula>
    </cfRule>
    <cfRule type="containsText" dxfId="701" priority="699" operator="containsText" text="O">
      <formula>NOT(ISERROR(SEARCH("O",L3)))</formula>
    </cfRule>
  </conditionalFormatting>
  <conditionalFormatting sqref="M3:M139 M501:M600">
    <cfRule type="containsText" dxfId="700" priority="697" operator="containsText" text="O">
      <formula>NOT(ISERROR(SEARCH("O",M3)))</formula>
    </cfRule>
  </conditionalFormatting>
  <conditionalFormatting sqref="N3:N139 N501:N600">
    <cfRule type="cellIs" dxfId="699" priority="696" operator="greaterThan">
      <formula>0</formula>
    </cfRule>
  </conditionalFormatting>
  <conditionalFormatting sqref="K3:K139 K501:K600">
    <cfRule type="containsText" dxfId="698" priority="695" operator="containsText" text="T">
      <formula>NOT(ISERROR(SEARCH("T",K3)))</formula>
    </cfRule>
  </conditionalFormatting>
  <conditionalFormatting sqref="L3:L139 L501:L600">
    <cfRule type="containsText" dxfId="697" priority="693" operator="containsText" text="N">
      <formula>NOT(ISERROR(SEARCH("N",L3)))</formula>
    </cfRule>
    <cfRule type="containsText" dxfId="696" priority="694" operator="containsText" text="O">
      <formula>NOT(ISERROR(SEARCH("O",L3)))</formula>
    </cfRule>
  </conditionalFormatting>
  <conditionalFormatting sqref="M3:M139 M501:M600">
    <cfRule type="containsText" dxfId="695" priority="692" operator="containsText" text="O">
      <formula>NOT(ISERROR(SEARCH("O",M3)))</formula>
    </cfRule>
  </conditionalFormatting>
  <conditionalFormatting sqref="N3:N139 N501:N600">
    <cfRule type="cellIs" dxfId="694" priority="691" operator="greaterThan">
      <formula>0</formula>
    </cfRule>
  </conditionalFormatting>
  <conditionalFormatting sqref="K3:K139 K501:K600">
    <cfRule type="containsText" dxfId="693" priority="690" operator="containsText" text="T">
      <formula>NOT(ISERROR(SEARCH("T",K3)))</formula>
    </cfRule>
  </conditionalFormatting>
  <conditionalFormatting sqref="L3:L139 L501:L600">
    <cfRule type="containsText" dxfId="692" priority="688" operator="containsText" text="N">
      <formula>NOT(ISERROR(SEARCH("N",L3)))</formula>
    </cfRule>
    <cfRule type="containsText" dxfId="691" priority="689" operator="containsText" text="O">
      <formula>NOT(ISERROR(SEARCH("O",L3)))</formula>
    </cfRule>
  </conditionalFormatting>
  <conditionalFormatting sqref="M3:M139 M501:M600">
    <cfRule type="containsText" dxfId="690" priority="687" operator="containsText" text="O">
      <formula>NOT(ISERROR(SEARCH("O",M3)))</formula>
    </cfRule>
  </conditionalFormatting>
  <conditionalFormatting sqref="N3:N139 N501:N600">
    <cfRule type="cellIs" dxfId="689" priority="686" operator="greaterThan">
      <formula>0</formula>
    </cfRule>
  </conditionalFormatting>
  <conditionalFormatting sqref="K3:K145 K501:K600">
    <cfRule type="containsText" dxfId="688" priority="685" operator="containsText" text="T">
      <formula>NOT(ISERROR(SEARCH("T",K3)))</formula>
    </cfRule>
  </conditionalFormatting>
  <conditionalFormatting sqref="L3:L145 L501:L600">
    <cfRule type="containsText" dxfId="687" priority="683" operator="containsText" text="N">
      <formula>NOT(ISERROR(SEARCH("N",L3)))</formula>
    </cfRule>
    <cfRule type="containsText" dxfId="686" priority="684" operator="containsText" text="O">
      <formula>NOT(ISERROR(SEARCH("O",L3)))</formula>
    </cfRule>
  </conditionalFormatting>
  <conditionalFormatting sqref="M3:M145 M501:M600">
    <cfRule type="containsText" dxfId="685" priority="682" operator="containsText" text="O">
      <formula>NOT(ISERROR(SEARCH("O",M3)))</formula>
    </cfRule>
  </conditionalFormatting>
  <conditionalFormatting sqref="N3:N145 N501:N600">
    <cfRule type="cellIs" dxfId="684" priority="681" operator="greaterThan">
      <formula>0</formula>
    </cfRule>
  </conditionalFormatting>
  <conditionalFormatting sqref="K3:K145 K501:K600">
    <cfRule type="containsText" dxfId="683" priority="680" operator="containsText" text="T">
      <formula>NOT(ISERROR(SEARCH("T",K3)))</formula>
    </cfRule>
  </conditionalFormatting>
  <conditionalFormatting sqref="L3:L145 L501:L600">
    <cfRule type="containsText" dxfId="682" priority="678" operator="containsText" text="N">
      <formula>NOT(ISERROR(SEARCH("N",L3)))</formula>
    </cfRule>
    <cfRule type="containsText" dxfId="681" priority="679" operator="containsText" text="O">
      <formula>NOT(ISERROR(SEARCH("O",L3)))</formula>
    </cfRule>
  </conditionalFormatting>
  <conditionalFormatting sqref="M3:M145 M501:M600">
    <cfRule type="containsText" dxfId="680" priority="677" operator="containsText" text="O">
      <formula>NOT(ISERROR(SEARCH("O",M3)))</formula>
    </cfRule>
  </conditionalFormatting>
  <conditionalFormatting sqref="N3:N145 N501:N600">
    <cfRule type="cellIs" dxfId="679" priority="676" operator="greaterThan">
      <formula>0</formula>
    </cfRule>
  </conditionalFormatting>
  <conditionalFormatting sqref="K3:K145 K501:K600">
    <cfRule type="containsText" dxfId="678" priority="675" operator="containsText" text="T">
      <formula>NOT(ISERROR(SEARCH("T",K3)))</formula>
    </cfRule>
  </conditionalFormatting>
  <conditionalFormatting sqref="L3:L145 L501:L600">
    <cfRule type="containsText" dxfId="677" priority="673" operator="containsText" text="N">
      <formula>NOT(ISERROR(SEARCH("N",L3)))</formula>
    </cfRule>
    <cfRule type="containsText" dxfId="676" priority="674" operator="containsText" text="O">
      <formula>NOT(ISERROR(SEARCH("O",L3)))</formula>
    </cfRule>
  </conditionalFormatting>
  <conditionalFormatting sqref="M3:M145 M501:M600">
    <cfRule type="containsText" dxfId="675" priority="672" operator="containsText" text="O">
      <formula>NOT(ISERROR(SEARCH("O",M3)))</formula>
    </cfRule>
  </conditionalFormatting>
  <conditionalFormatting sqref="N3:N145 N501:N600">
    <cfRule type="cellIs" dxfId="674" priority="671" operator="greaterThan">
      <formula>0</formula>
    </cfRule>
  </conditionalFormatting>
  <conditionalFormatting sqref="K3:K147 K501:K600">
    <cfRule type="containsText" dxfId="673" priority="670" operator="containsText" text="T">
      <formula>NOT(ISERROR(SEARCH("T",K3)))</formula>
    </cfRule>
  </conditionalFormatting>
  <conditionalFormatting sqref="L3:L147 L501:L600">
    <cfRule type="containsText" dxfId="672" priority="668" operator="containsText" text="N">
      <formula>NOT(ISERROR(SEARCH("N",L3)))</formula>
    </cfRule>
    <cfRule type="containsText" dxfId="671" priority="669" operator="containsText" text="O">
      <formula>NOT(ISERROR(SEARCH("O",L3)))</formula>
    </cfRule>
  </conditionalFormatting>
  <conditionalFormatting sqref="M3:M147 M501:M600">
    <cfRule type="containsText" dxfId="670" priority="667" operator="containsText" text="O">
      <formula>NOT(ISERROR(SEARCH("O",M3)))</formula>
    </cfRule>
  </conditionalFormatting>
  <conditionalFormatting sqref="N3:N147 N501:N600">
    <cfRule type="cellIs" dxfId="669" priority="666" operator="greaterThan">
      <formula>0</formula>
    </cfRule>
  </conditionalFormatting>
  <conditionalFormatting sqref="K3:K149 K501:K600">
    <cfRule type="containsText" dxfId="668" priority="665" operator="containsText" text="T">
      <formula>NOT(ISERROR(SEARCH("T",K3)))</formula>
    </cfRule>
  </conditionalFormatting>
  <conditionalFormatting sqref="L3:L149 L501:L600">
    <cfRule type="containsText" dxfId="667" priority="663" operator="containsText" text="N">
      <formula>NOT(ISERROR(SEARCH("N",L3)))</formula>
    </cfRule>
    <cfRule type="containsText" dxfId="666" priority="664" operator="containsText" text="O">
      <formula>NOT(ISERROR(SEARCH("O",L3)))</formula>
    </cfRule>
  </conditionalFormatting>
  <conditionalFormatting sqref="M3:M149 M501:M600">
    <cfRule type="containsText" dxfId="665" priority="662" operator="containsText" text="O">
      <formula>NOT(ISERROR(SEARCH("O",M3)))</formula>
    </cfRule>
  </conditionalFormatting>
  <conditionalFormatting sqref="N3:N149 N501:N600">
    <cfRule type="cellIs" dxfId="664" priority="661" operator="greaterThan">
      <formula>0</formula>
    </cfRule>
  </conditionalFormatting>
  <conditionalFormatting sqref="K3:K149 K501:K600">
    <cfRule type="containsText" dxfId="663" priority="660" operator="containsText" text="T">
      <formula>NOT(ISERROR(SEARCH("T",K3)))</formula>
    </cfRule>
  </conditionalFormatting>
  <conditionalFormatting sqref="L3:L149 L501:L600">
    <cfRule type="containsText" dxfId="662" priority="658" operator="containsText" text="N">
      <formula>NOT(ISERROR(SEARCH("N",L3)))</formula>
    </cfRule>
    <cfRule type="containsText" dxfId="661" priority="659" operator="containsText" text="O">
      <formula>NOT(ISERROR(SEARCH("O",L3)))</formula>
    </cfRule>
  </conditionalFormatting>
  <conditionalFormatting sqref="M3:M149 M501:M600">
    <cfRule type="containsText" dxfId="660" priority="657" operator="containsText" text="O">
      <formula>NOT(ISERROR(SEARCH("O",M3)))</formula>
    </cfRule>
  </conditionalFormatting>
  <conditionalFormatting sqref="N3:N149 N501:N600">
    <cfRule type="cellIs" dxfId="659" priority="656" operator="greaterThan">
      <formula>0</formula>
    </cfRule>
  </conditionalFormatting>
  <conditionalFormatting sqref="K3:K156 K501:K600">
    <cfRule type="containsText" dxfId="658" priority="655" operator="containsText" text="T">
      <formula>NOT(ISERROR(SEARCH("T",K3)))</formula>
    </cfRule>
  </conditionalFormatting>
  <conditionalFormatting sqref="L3:L156 L501:L600">
    <cfRule type="containsText" dxfId="657" priority="653" operator="containsText" text="N">
      <formula>NOT(ISERROR(SEARCH("N",L3)))</formula>
    </cfRule>
    <cfRule type="containsText" dxfId="656" priority="654" operator="containsText" text="O">
      <formula>NOT(ISERROR(SEARCH("O",L3)))</formula>
    </cfRule>
  </conditionalFormatting>
  <conditionalFormatting sqref="M3:M156 M501:M600">
    <cfRule type="containsText" dxfId="655" priority="652" operator="containsText" text="O">
      <formula>NOT(ISERROR(SEARCH("O",M3)))</formula>
    </cfRule>
  </conditionalFormatting>
  <conditionalFormatting sqref="N3:N156 N501:N600">
    <cfRule type="cellIs" dxfId="654" priority="651" operator="greaterThan">
      <formula>0</formula>
    </cfRule>
  </conditionalFormatting>
  <conditionalFormatting sqref="K3:K156 K501:K600">
    <cfRule type="containsText" dxfId="653" priority="650" operator="containsText" text="T">
      <formula>NOT(ISERROR(SEARCH("T",K3)))</formula>
    </cfRule>
  </conditionalFormatting>
  <conditionalFormatting sqref="L3:L156 L501:L600">
    <cfRule type="containsText" dxfId="652" priority="648" operator="containsText" text="N">
      <formula>NOT(ISERROR(SEARCH("N",L3)))</formula>
    </cfRule>
    <cfRule type="containsText" dxfId="651" priority="649" operator="containsText" text="O">
      <formula>NOT(ISERROR(SEARCH("O",L3)))</formula>
    </cfRule>
  </conditionalFormatting>
  <conditionalFormatting sqref="M3:M156 M501:M600">
    <cfRule type="containsText" dxfId="650" priority="647" operator="containsText" text="O">
      <formula>NOT(ISERROR(SEARCH("O",M3)))</formula>
    </cfRule>
  </conditionalFormatting>
  <conditionalFormatting sqref="N3:N156 N501:N600">
    <cfRule type="cellIs" dxfId="649" priority="646" operator="greaterThan">
      <formula>0</formula>
    </cfRule>
  </conditionalFormatting>
  <conditionalFormatting sqref="K3:K156 K501:K600">
    <cfRule type="containsText" dxfId="648" priority="645" operator="containsText" text="T">
      <formula>NOT(ISERROR(SEARCH("T",K3)))</formula>
    </cfRule>
  </conditionalFormatting>
  <conditionalFormatting sqref="L3:L156 L501:L600">
    <cfRule type="containsText" dxfId="647" priority="643" operator="containsText" text="N">
      <formula>NOT(ISERROR(SEARCH("N",L3)))</formula>
    </cfRule>
    <cfRule type="containsText" dxfId="646" priority="644" operator="containsText" text="O">
      <formula>NOT(ISERROR(SEARCH("O",L3)))</formula>
    </cfRule>
  </conditionalFormatting>
  <conditionalFormatting sqref="M3:M156 M501:M600">
    <cfRule type="containsText" dxfId="645" priority="642" operator="containsText" text="O">
      <formula>NOT(ISERROR(SEARCH("O",M3)))</formula>
    </cfRule>
  </conditionalFormatting>
  <conditionalFormatting sqref="N3:N156 N501:N600">
    <cfRule type="cellIs" dxfId="644" priority="641" operator="greaterThan">
      <formula>0</formula>
    </cfRule>
  </conditionalFormatting>
  <conditionalFormatting sqref="K3:K156 K501:K600">
    <cfRule type="containsText" dxfId="643" priority="640" operator="containsText" text="T">
      <formula>NOT(ISERROR(SEARCH("T",K3)))</formula>
    </cfRule>
  </conditionalFormatting>
  <conditionalFormatting sqref="L3:L156 L501:L600">
    <cfRule type="containsText" dxfId="642" priority="638" operator="containsText" text="N">
      <formula>NOT(ISERROR(SEARCH("N",L3)))</formula>
    </cfRule>
    <cfRule type="containsText" dxfId="641" priority="639" operator="containsText" text="O">
      <formula>NOT(ISERROR(SEARCH("O",L3)))</formula>
    </cfRule>
  </conditionalFormatting>
  <conditionalFormatting sqref="M3:M156 M501:M600">
    <cfRule type="containsText" dxfId="640" priority="637" operator="containsText" text="O">
      <formula>NOT(ISERROR(SEARCH("O",M3)))</formula>
    </cfRule>
  </conditionalFormatting>
  <conditionalFormatting sqref="N3:N156 N501:N600">
    <cfRule type="cellIs" dxfId="639" priority="636" operator="greaterThan">
      <formula>0</formula>
    </cfRule>
  </conditionalFormatting>
  <conditionalFormatting sqref="K3:K156 K501:K600">
    <cfRule type="containsText" dxfId="638" priority="635" operator="containsText" text="T">
      <formula>NOT(ISERROR(SEARCH("T",K3)))</formula>
    </cfRule>
  </conditionalFormatting>
  <conditionalFormatting sqref="L3:L156 L501:L600">
    <cfRule type="containsText" dxfId="637" priority="633" operator="containsText" text="N">
      <formula>NOT(ISERROR(SEARCH("N",L3)))</formula>
    </cfRule>
    <cfRule type="containsText" dxfId="636" priority="634" operator="containsText" text="O">
      <formula>NOT(ISERROR(SEARCH("O",L3)))</formula>
    </cfRule>
  </conditionalFormatting>
  <conditionalFormatting sqref="M3:M156 M501:M600">
    <cfRule type="containsText" dxfId="635" priority="632" operator="containsText" text="O">
      <formula>NOT(ISERROR(SEARCH("O",M3)))</formula>
    </cfRule>
  </conditionalFormatting>
  <conditionalFormatting sqref="N3:N156 N501:N600">
    <cfRule type="cellIs" dxfId="634" priority="631" operator="greaterThan">
      <formula>0</formula>
    </cfRule>
  </conditionalFormatting>
  <conditionalFormatting sqref="K3:K156 K501:K600">
    <cfRule type="containsText" dxfId="633" priority="630" operator="containsText" text="T">
      <formula>NOT(ISERROR(SEARCH("T",K3)))</formula>
    </cfRule>
  </conditionalFormatting>
  <conditionalFormatting sqref="L3:L156 L501:L600">
    <cfRule type="containsText" dxfId="632" priority="628" operator="containsText" text="N">
      <formula>NOT(ISERROR(SEARCH("N",L3)))</formula>
    </cfRule>
    <cfRule type="containsText" dxfId="631" priority="629" operator="containsText" text="O">
      <formula>NOT(ISERROR(SEARCH("O",L3)))</formula>
    </cfRule>
  </conditionalFormatting>
  <conditionalFormatting sqref="M3:M156 M501:M600">
    <cfRule type="containsText" dxfId="630" priority="627" operator="containsText" text="O">
      <formula>NOT(ISERROR(SEARCH("O",M3)))</formula>
    </cfRule>
  </conditionalFormatting>
  <conditionalFormatting sqref="N3:N156 N501:N600">
    <cfRule type="cellIs" dxfId="629" priority="626" operator="greaterThan">
      <formula>0</formula>
    </cfRule>
  </conditionalFormatting>
  <conditionalFormatting sqref="K3:K156 K501:K600">
    <cfRule type="containsText" dxfId="628" priority="625" operator="containsText" text="T">
      <formula>NOT(ISERROR(SEARCH("T",K3)))</formula>
    </cfRule>
  </conditionalFormatting>
  <conditionalFormatting sqref="L3:L156 L501:L600">
    <cfRule type="containsText" dxfId="627" priority="623" operator="containsText" text="N">
      <formula>NOT(ISERROR(SEARCH("N",L3)))</formula>
    </cfRule>
    <cfRule type="containsText" dxfId="626" priority="624" operator="containsText" text="O">
      <formula>NOT(ISERROR(SEARCH("O",L3)))</formula>
    </cfRule>
  </conditionalFormatting>
  <conditionalFormatting sqref="M3:M156 M501:M600">
    <cfRule type="containsText" dxfId="625" priority="622" operator="containsText" text="O">
      <formula>NOT(ISERROR(SEARCH("O",M3)))</formula>
    </cfRule>
  </conditionalFormatting>
  <conditionalFormatting sqref="N3:N156 N501:N600">
    <cfRule type="cellIs" dxfId="624" priority="621" operator="greaterThan">
      <formula>0</formula>
    </cfRule>
  </conditionalFormatting>
  <conditionalFormatting sqref="K3:K156 K501:K600">
    <cfRule type="containsText" dxfId="623" priority="620" operator="containsText" text="T">
      <formula>NOT(ISERROR(SEARCH("T",K3)))</formula>
    </cfRule>
  </conditionalFormatting>
  <conditionalFormatting sqref="L3:L156 L501:L600">
    <cfRule type="containsText" dxfId="622" priority="618" operator="containsText" text="N">
      <formula>NOT(ISERROR(SEARCH("N",L3)))</formula>
    </cfRule>
    <cfRule type="containsText" dxfId="621" priority="619" operator="containsText" text="O">
      <formula>NOT(ISERROR(SEARCH("O",L3)))</formula>
    </cfRule>
  </conditionalFormatting>
  <conditionalFormatting sqref="M3:M156 M501:M600">
    <cfRule type="containsText" dxfId="620" priority="617" operator="containsText" text="O">
      <formula>NOT(ISERROR(SEARCH("O",M3)))</formula>
    </cfRule>
  </conditionalFormatting>
  <conditionalFormatting sqref="N3:N156 N501:N600">
    <cfRule type="cellIs" dxfId="619" priority="616" operator="greaterThan">
      <formula>0</formula>
    </cfRule>
  </conditionalFormatting>
  <conditionalFormatting sqref="K3:K156 K501:K600">
    <cfRule type="containsText" dxfId="618" priority="615" operator="containsText" text="T">
      <formula>NOT(ISERROR(SEARCH("T",K3)))</formula>
    </cfRule>
  </conditionalFormatting>
  <conditionalFormatting sqref="L3:L156 L501:L600">
    <cfRule type="containsText" dxfId="617" priority="613" operator="containsText" text="N">
      <formula>NOT(ISERROR(SEARCH("N",L3)))</formula>
    </cfRule>
    <cfRule type="containsText" dxfId="616" priority="614" operator="containsText" text="O">
      <formula>NOT(ISERROR(SEARCH("O",L3)))</formula>
    </cfRule>
  </conditionalFormatting>
  <conditionalFormatting sqref="M3:M156 M501:M600">
    <cfRule type="containsText" dxfId="615" priority="612" operator="containsText" text="O">
      <formula>NOT(ISERROR(SEARCH("O",M3)))</formula>
    </cfRule>
  </conditionalFormatting>
  <conditionalFormatting sqref="N3:N156 N501:N600">
    <cfRule type="cellIs" dxfId="614" priority="611" operator="greaterThan">
      <formula>0</formula>
    </cfRule>
  </conditionalFormatting>
  <conditionalFormatting sqref="K3:K156 K501:K600">
    <cfRule type="containsText" dxfId="613" priority="610" operator="containsText" text="T">
      <formula>NOT(ISERROR(SEARCH("T",K3)))</formula>
    </cfRule>
  </conditionalFormatting>
  <conditionalFormatting sqref="L3:L156 L501:L600">
    <cfRule type="containsText" dxfId="612" priority="608" operator="containsText" text="N">
      <formula>NOT(ISERROR(SEARCH("N",L3)))</formula>
    </cfRule>
    <cfRule type="containsText" dxfId="611" priority="609" operator="containsText" text="O">
      <formula>NOT(ISERROR(SEARCH("O",L3)))</formula>
    </cfRule>
  </conditionalFormatting>
  <conditionalFormatting sqref="M3:M156 M501:M600">
    <cfRule type="containsText" dxfId="610" priority="607" operator="containsText" text="O">
      <formula>NOT(ISERROR(SEARCH("O",M3)))</formula>
    </cfRule>
  </conditionalFormatting>
  <conditionalFormatting sqref="N3:N156 N501:N600">
    <cfRule type="cellIs" dxfId="609" priority="606" operator="greaterThan">
      <formula>0</formula>
    </cfRule>
  </conditionalFormatting>
  <conditionalFormatting sqref="K3:K156 K501:K600">
    <cfRule type="containsText" dxfId="608" priority="605" operator="containsText" text="T">
      <formula>NOT(ISERROR(SEARCH("T",K3)))</formula>
    </cfRule>
  </conditionalFormatting>
  <conditionalFormatting sqref="L3:L156 L501:L600">
    <cfRule type="containsText" dxfId="607" priority="603" operator="containsText" text="N">
      <formula>NOT(ISERROR(SEARCH("N",L3)))</formula>
    </cfRule>
    <cfRule type="containsText" dxfId="606" priority="604" operator="containsText" text="O">
      <formula>NOT(ISERROR(SEARCH("O",L3)))</formula>
    </cfRule>
  </conditionalFormatting>
  <conditionalFormatting sqref="M3:M156 M501:M600">
    <cfRule type="containsText" dxfId="605" priority="602" operator="containsText" text="O">
      <formula>NOT(ISERROR(SEARCH("O",M3)))</formula>
    </cfRule>
  </conditionalFormatting>
  <conditionalFormatting sqref="N3:N156 N501:N600">
    <cfRule type="cellIs" dxfId="604" priority="601" operator="greaterThan">
      <formula>0</formula>
    </cfRule>
  </conditionalFormatting>
  <conditionalFormatting sqref="K3:K156 K501:K600">
    <cfRule type="containsText" dxfId="603" priority="600" operator="containsText" text="T">
      <formula>NOT(ISERROR(SEARCH("T",K3)))</formula>
    </cfRule>
  </conditionalFormatting>
  <conditionalFormatting sqref="L3:L156 L501:L600">
    <cfRule type="containsText" dxfId="602" priority="598" operator="containsText" text="N">
      <formula>NOT(ISERROR(SEARCH("N",L3)))</formula>
    </cfRule>
    <cfRule type="containsText" dxfId="601" priority="599" operator="containsText" text="O">
      <formula>NOT(ISERROR(SEARCH("O",L3)))</formula>
    </cfRule>
  </conditionalFormatting>
  <conditionalFormatting sqref="M3:M156 M501:M600">
    <cfRule type="containsText" dxfId="600" priority="597" operator="containsText" text="O">
      <formula>NOT(ISERROR(SEARCH("O",M3)))</formula>
    </cfRule>
  </conditionalFormatting>
  <conditionalFormatting sqref="N3:N156 N501:N600">
    <cfRule type="cellIs" dxfId="599" priority="596" operator="greaterThan">
      <formula>0</formula>
    </cfRule>
  </conditionalFormatting>
  <conditionalFormatting sqref="K3:K156 K501:K600">
    <cfRule type="containsText" dxfId="598" priority="595" operator="containsText" text="T">
      <formula>NOT(ISERROR(SEARCH("T",K3)))</formula>
    </cfRule>
  </conditionalFormatting>
  <conditionalFormatting sqref="L3:L156 L501:L600">
    <cfRule type="containsText" dxfId="597" priority="593" operator="containsText" text="N">
      <formula>NOT(ISERROR(SEARCH("N",L3)))</formula>
    </cfRule>
    <cfRule type="containsText" dxfId="596" priority="594" operator="containsText" text="O">
      <formula>NOT(ISERROR(SEARCH("O",L3)))</formula>
    </cfRule>
  </conditionalFormatting>
  <conditionalFormatting sqref="M3:M156 M501:M600">
    <cfRule type="containsText" dxfId="595" priority="592" operator="containsText" text="O">
      <formula>NOT(ISERROR(SEARCH("O",M3)))</formula>
    </cfRule>
  </conditionalFormatting>
  <conditionalFormatting sqref="N3:N156 N501:N600">
    <cfRule type="cellIs" dxfId="594" priority="591" operator="greaterThan">
      <formula>0</formula>
    </cfRule>
  </conditionalFormatting>
  <conditionalFormatting sqref="K3:K156 K501:K600">
    <cfRule type="containsText" dxfId="593" priority="590" operator="containsText" text="T">
      <formula>NOT(ISERROR(SEARCH("T",K3)))</formula>
    </cfRule>
  </conditionalFormatting>
  <conditionalFormatting sqref="L3:L156 L501:L600">
    <cfRule type="containsText" dxfId="592" priority="588" operator="containsText" text="N">
      <formula>NOT(ISERROR(SEARCH("N",L3)))</formula>
    </cfRule>
    <cfRule type="containsText" dxfId="591" priority="589" operator="containsText" text="O">
      <formula>NOT(ISERROR(SEARCH("O",L3)))</formula>
    </cfRule>
  </conditionalFormatting>
  <conditionalFormatting sqref="M3:M156 M501:M600">
    <cfRule type="containsText" dxfId="590" priority="587" operator="containsText" text="O">
      <formula>NOT(ISERROR(SEARCH("O",M3)))</formula>
    </cfRule>
  </conditionalFormatting>
  <conditionalFormatting sqref="N3:N156 N501:N600">
    <cfRule type="cellIs" dxfId="589" priority="586" operator="greaterThan">
      <formula>0</formula>
    </cfRule>
  </conditionalFormatting>
  <conditionalFormatting sqref="K3:K156 K501:K600">
    <cfRule type="containsText" dxfId="588" priority="585" operator="containsText" text="T">
      <formula>NOT(ISERROR(SEARCH("T",K3)))</formula>
    </cfRule>
  </conditionalFormatting>
  <conditionalFormatting sqref="L3:L156 L501:L600">
    <cfRule type="containsText" dxfId="587" priority="583" operator="containsText" text="N">
      <formula>NOT(ISERROR(SEARCH("N",L3)))</formula>
    </cfRule>
    <cfRule type="containsText" dxfId="586" priority="584" operator="containsText" text="O">
      <formula>NOT(ISERROR(SEARCH("O",L3)))</formula>
    </cfRule>
  </conditionalFormatting>
  <conditionalFormatting sqref="M3:M156 M501:M600">
    <cfRule type="containsText" dxfId="585" priority="582" operator="containsText" text="O">
      <formula>NOT(ISERROR(SEARCH("O",M3)))</formula>
    </cfRule>
  </conditionalFormatting>
  <conditionalFormatting sqref="N3:N156 N501:N600">
    <cfRule type="cellIs" dxfId="584" priority="581" operator="greaterThan">
      <formula>0</formula>
    </cfRule>
  </conditionalFormatting>
  <conditionalFormatting sqref="K3:K156 K501:K600">
    <cfRule type="containsText" dxfId="583" priority="580" operator="containsText" text="T">
      <formula>NOT(ISERROR(SEARCH("T",K3)))</formula>
    </cfRule>
  </conditionalFormatting>
  <conditionalFormatting sqref="L3:L156 L501:L600">
    <cfRule type="containsText" dxfId="582" priority="578" operator="containsText" text="N">
      <formula>NOT(ISERROR(SEARCH("N",L3)))</formula>
    </cfRule>
    <cfRule type="containsText" dxfId="581" priority="579" operator="containsText" text="O">
      <formula>NOT(ISERROR(SEARCH("O",L3)))</formula>
    </cfRule>
  </conditionalFormatting>
  <conditionalFormatting sqref="M3:M156 M501:M600">
    <cfRule type="containsText" dxfId="580" priority="577" operator="containsText" text="O">
      <formula>NOT(ISERROR(SEARCH("O",M3)))</formula>
    </cfRule>
  </conditionalFormatting>
  <conditionalFormatting sqref="N3:N156 N501:N600">
    <cfRule type="cellIs" dxfId="579" priority="576" operator="greaterThan">
      <formula>0</formula>
    </cfRule>
  </conditionalFormatting>
  <conditionalFormatting sqref="K3:K156 K501:K600">
    <cfRule type="containsText" dxfId="578" priority="575" operator="containsText" text="T">
      <formula>NOT(ISERROR(SEARCH("T",K3)))</formula>
    </cfRule>
  </conditionalFormatting>
  <conditionalFormatting sqref="L3:L156 L501:L600">
    <cfRule type="containsText" dxfId="577" priority="573" operator="containsText" text="N">
      <formula>NOT(ISERROR(SEARCH("N",L3)))</formula>
    </cfRule>
    <cfRule type="containsText" dxfId="576" priority="574" operator="containsText" text="O">
      <formula>NOT(ISERROR(SEARCH("O",L3)))</formula>
    </cfRule>
  </conditionalFormatting>
  <conditionalFormatting sqref="M3:M156 M501:M600">
    <cfRule type="containsText" dxfId="575" priority="572" operator="containsText" text="O">
      <formula>NOT(ISERROR(SEARCH("O",M3)))</formula>
    </cfRule>
  </conditionalFormatting>
  <conditionalFormatting sqref="N3:N156 N501:N600">
    <cfRule type="cellIs" dxfId="574" priority="571" operator="greaterThan">
      <formula>0</formula>
    </cfRule>
  </conditionalFormatting>
  <conditionalFormatting sqref="K3:K156 K501:K600">
    <cfRule type="containsText" dxfId="573" priority="570" operator="containsText" text="T">
      <formula>NOT(ISERROR(SEARCH("T",K3)))</formula>
    </cfRule>
  </conditionalFormatting>
  <conditionalFormatting sqref="L3:L156 L501:L600">
    <cfRule type="containsText" dxfId="572" priority="568" operator="containsText" text="N">
      <formula>NOT(ISERROR(SEARCH("N",L3)))</formula>
    </cfRule>
    <cfRule type="containsText" dxfId="571" priority="569" operator="containsText" text="O">
      <formula>NOT(ISERROR(SEARCH("O",L3)))</formula>
    </cfRule>
  </conditionalFormatting>
  <conditionalFormatting sqref="M3:M156 M501:M600">
    <cfRule type="containsText" dxfId="570" priority="567" operator="containsText" text="O">
      <formula>NOT(ISERROR(SEARCH("O",M3)))</formula>
    </cfRule>
  </conditionalFormatting>
  <conditionalFormatting sqref="N3:N156 N501:N600">
    <cfRule type="cellIs" dxfId="569" priority="566" operator="greaterThan">
      <formula>0</formula>
    </cfRule>
  </conditionalFormatting>
  <conditionalFormatting sqref="K3:K156 K501:K600">
    <cfRule type="containsText" dxfId="568" priority="565" operator="containsText" text="T">
      <formula>NOT(ISERROR(SEARCH("T",K3)))</formula>
    </cfRule>
  </conditionalFormatting>
  <conditionalFormatting sqref="L3:L156 L501:L600">
    <cfRule type="containsText" dxfId="567" priority="563" operator="containsText" text="N">
      <formula>NOT(ISERROR(SEARCH("N",L3)))</formula>
    </cfRule>
    <cfRule type="containsText" dxfId="566" priority="564" operator="containsText" text="O">
      <formula>NOT(ISERROR(SEARCH("O",L3)))</formula>
    </cfRule>
  </conditionalFormatting>
  <conditionalFormatting sqref="M3:M156 M501:M600">
    <cfRule type="containsText" dxfId="565" priority="562" operator="containsText" text="O">
      <formula>NOT(ISERROR(SEARCH("O",M3)))</formula>
    </cfRule>
  </conditionalFormatting>
  <conditionalFormatting sqref="N3:N156 N501:N600">
    <cfRule type="cellIs" dxfId="564" priority="561" operator="greaterThan">
      <formula>0</formula>
    </cfRule>
  </conditionalFormatting>
  <conditionalFormatting sqref="K3:K156 K501:K600">
    <cfRule type="containsText" dxfId="563" priority="560" operator="containsText" text="T">
      <formula>NOT(ISERROR(SEARCH("T",K3)))</formula>
    </cfRule>
  </conditionalFormatting>
  <conditionalFormatting sqref="L3:L156 L501:L600">
    <cfRule type="containsText" dxfId="562" priority="558" operator="containsText" text="N">
      <formula>NOT(ISERROR(SEARCH("N",L3)))</formula>
    </cfRule>
    <cfRule type="containsText" dxfId="561" priority="559" operator="containsText" text="O">
      <formula>NOT(ISERROR(SEARCH("O",L3)))</formula>
    </cfRule>
  </conditionalFormatting>
  <conditionalFormatting sqref="M3:M156 M501:M600">
    <cfRule type="containsText" dxfId="560" priority="557" operator="containsText" text="O">
      <formula>NOT(ISERROR(SEARCH("O",M3)))</formula>
    </cfRule>
  </conditionalFormatting>
  <conditionalFormatting sqref="N3:N156 N501:N600">
    <cfRule type="cellIs" dxfId="559" priority="556" operator="greaterThan">
      <formula>0</formula>
    </cfRule>
  </conditionalFormatting>
  <conditionalFormatting sqref="K3:K156 K501:K600">
    <cfRule type="containsText" dxfId="558" priority="555" operator="containsText" text="T">
      <formula>NOT(ISERROR(SEARCH("T",K3)))</formula>
    </cfRule>
  </conditionalFormatting>
  <conditionalFormatting sqref="L3:L156 L501:L600">
    <cfRule type="containsText" dxfId="557" priority="553" operator="containsText" text="N">
      <formula>NOT(ISERROR(SEARCH("N",L3)))</formula>
    </cfRule>
    <cfRule type="containsText" dxfId="556" priority="554" operator="containsText" text="O">
      <formula>NOT(ISERROR(SEARCH("O",L3)))</formula>
    </cfRule>
  </conditionalFormatting>
  <conditionalFormatting sqref="M3:M156 M501:M600">
    <cfRule type="containsText" dxfId="555" priority="552" operator="containsText" text="O">
      <formula>NOT(ISERROR(SEARCH("O",M3)))</formula>
    </cfRule>
  </conditionalFormatting>
  <conditionalFormatting sqref="N3:N156 N501:N600">
    <cfRule type="cellIs" dxfId="554" priority="551" operator="greaterThan">
      <formula>0</formula>
    </cfRule>
  </conditionalFormatting>
  <conditionalFormatting sqref="K3:K156 K501:K600">
    <cfRule type="containsText" dxfId="553" priority="550" operator="containsText" text="T">
      <formula>NOT(ISERROR(SEARCH("T",K3)))</formula>
    </cfRule>
  </conditionalFormatting>
  <conditionalFormatting sqref="L3:L156 L501:L600">
    <cfRule type="containsText" dxfId="552" priority="548" operator="containsText" text="N">
      <formula>NOT(ISERROR(SEARCH("N",L3)))</formula>
    </cfRule>
    <cfRule type="containsText" dxfId="551" priority="549" operator="containsText" text="O">
      <formula>NOT(ISERROR(SEARCH("O",L3)))</formula>
    </cfRule>
  </conditionalFormatting>
  <conditionalFormatting sqref="M3:M156 M501:M600">
    <cfRule type="containsText" dxfId="550" priority="547" operator="containsText" text="O">
      <formula>NOT(ISERROR(SEARCH("O",M3)))</formula>
    </cfRule>
  </conditionalFormatting>
  <conditionalFormatting sqref="N3:N156 N501:N600">
    <cfRule type="cellIs" dxfId="549" priority="546" operator="greaterThan">
      <formula>0</formula>
    </cfRule>
  </conditionalFormatting>
  <conditionalFormatting sqref="K3:K156 K501:K600">
    <cfRule type="containsText" dxfId="548" priority="545" operator="containsText" text="T">
      <formula>NOT(ISERROR(SEARCH("T",K3)))</formula>
    </cfRule>
  </conditionalFormatting>
  <conditionalFormatting sqref="L3:L156 L501:L600">
    <cfRule type="containsText" dxfId="547" priority="543" operator="containsText" text="N">
      <formula>NOT(ISERROR(SEARCH("N",L3)))</formula>
    </cfRule>
    <cfRule type="containsText" dxfId="546" priority="544" operator="containsText" text="O">
      <formula>NOT(ISERROR(SEARCH("O",L3)))</formula>
    </cfRule>
  </conditionalFormatting>
  <conditionalFormatting sqref="M3:M156 M501:M600">
    <cfRule type="containsText" dxfId="545" priority="542" operator="containsText" text="O">
      <formula>NOT(ISERROR(SEARCH("O",M3)))</formula>
    </cfRule>
  </conditionalFormatting>
  <conditionalFormatting sqref="N3:N156 N501:N600">
    <cfRule type="cellIs" dxfId="544" priority="541" operator="greaterThan">
      <formula>0</formula>
    </cfRule>
  </conditionalFormatting>
  <conditionalFormatting sqref="K3:K156 K501:K600">
    <cfRule type="containsText" dxfId="543" priority="540" operator="containsText" text="T">
      <formula>NOT(ISERROR(SEARCH("T",K3)))</formula>
    </cfRule>
  </conditionalFormatting>
  <conditionalFormatting sqref="L3:L156 L501:L600">
    <cfRule type="containsText" dxfId="542" priority="538" operator="containsText" text="N">
      <formula>NOT(ISERROR(SEARCH("N",L3)))</formula>
    </cfRule>
    <cfRule type="containsText" dxfId="541" priority="539" operator="containsText" text="O">
      <formula>NOT(ISERROR(SEARCH("O",L3)))</formula>
    </cfRule>
  </conditionalFormatting>
  <conditionalFormatting sqref="M3:M156 M501:M600">
    <cfRule type="containsText" dxfId="540" priority="537" operator="containsText" text="O">
      <formula>NOT(ISERROR(SEARCH("O",M3)))</formula>
    </cfRule>
  </conditionalFormatting>
  <conditionalFormatting sqref="N3:N156 N501:N600">
    <cfRule type="cellIs" dxfId="539" priority="536" operator="greaterThan">
      <formula>0</formula>
    </cfRule>
  </conditionalFormatting>
  <conditionalFormatting sqref="K3:K156 K501:K600">
    <cfRule type="containsText" dxfId="538" priority="535" operator="containsText" text="T">
      <formula>NOT(ISERROR(SEARCH("T",K3)))</formula>
    </cfRule>
  </conditionalFormatting>
  <conditionalFormatting sqref="L3:L156 L501:L600">
    <cfRule type="containsText" dxfId="537" priority="533" operator="containsText" text="N">
      <formula>NOT(ISERROR(SEARCH("N",L3)))</formula>
    </cfRule>
    <cfRule type="containsText" dxfId="536" priority="534" operator="containsText" text="O">
      <formula>NOT(ISERROR(SEARCH("O",L3)))</formula>
    </cfRule>
  </conditionalFormatting>
  <conditionalFormatting sqref="M3:M156 M501:M600">
    <cfRule type="containsText" dxfId="535" priority="532" operator="containsText" text="O">
      <formula>NOT(ISERROR(SEARCH("O",M3)))</formula>
    </cfRule>
  </conditionalFormatting>
  <conditionalFormatting sqref="N3:N156 N501:N600">
    <cfRule type="cellIs" dxfId="534" priority="531" operator="greaterThan">
      <formula>0</formula>
    </cfRule>
  </conditionalFormatting>
  <conditionalFormatting sqref="K3:K156 K501:K600">
    <cfRule type="containsText" dxfId="533" priority="530" operator="containsText" text="T">
      <formula>NOT(ISERROR(SEARCH("T",K3)))</formula>
    </cfRule>
  </conditionalFormatting>
  <conditionalFormatting sqref="L3:L156 L501:L600">
    <cfRule type="containsText" dxfId="532" priority="528" operator="containsText" text="N">
      <formula>NOT(ISERROR(SEARCH("N",L3)))</formula>
    </cfRule>
    <cfRule type="containsText" dxfId="531" priority="529" operator="containsText" text="O">
      <formula>NOT(ISERROR(SEARCH("O",L3)))</formula>
    </cfRule>
  </conditionalFormatting>
  <conditionalFormatting sqref="M3:M156 M501:M600">
    <cfRule type="containsText" dxfId="530" priority="527" operator="containsText" text="O">
      <formula>NOT(ISERROR(SEARCH("O",M3)))</formula>
    </cfRule>
  </conditionalFormatting>
  <conditionalFormatting sqref="N3:N156 N501:N600">
    <cfRule type="cellIs" dxfId="529" priority="526" operator="greaterThan">
      <formula>0</formula>
    </cfRule>
  </conditionalFormatting>
  <conditionalFormatting sqref="K3:K156 K501:K600">
    <cfRule type="containsText" dxfId="528" priority="525" operator="containsText" text="T">
      <formula>NOT(ISERROR(SEARCH("T",K3)))</formula>
    </cfRule>
  </conditionalFormatting>
  <conditionalFormatting sqref="L3:L156 L501:L600">
    <cfRule type="containsText" dxfId="527" priority="523" operator="containsText" text="N">
      <formula>NOT(ISERROR(SEARCH("N",L3)))</formula>
    </cfRule>
    <cfRule type="containsText" dxfId="526" priority="524" operator="containsText" text="O">
      <formula>NOT(ISERROR(SEARCH("O",L3)))</formula>
    </cfRule>
  </conditionalFormatting>
  <conditionalFormatting sqref="M3:M156 M501:M600">
    <cfRule type="containsText" dxfId="525" priority="522" operator="containsText" text="O">
      <formula>NOT(ISERROR(SEARCH("O",M3)))</formula>
    </cfRule>
  </conditionalFormatting>
  <conditionalFormatting sqref="N3:N156 N501:N600">
    <cfRule type="cellIs" dxfId="524" priority="521" operator="greaterThan">
      <formula>0</formula>
    </cfRule>
  </conditionalFormatting>
  <conditionalFormatting sqref="K3:K156 K501:K600">
    <cfRule type="containsText" dxfId="523" priority="520" operator="containsText" text="T">
      <formula>NOT(ISERROR(SEARCH("T",K3)))</formula>
    </cfRule>
  </conditionalFormatting>
  <conditionalFormatting sqref="L3:L156 L501:L600">
    <cfRule type="containsText" dxfId="522" priority="518" operator="containsText" text="N">
      <formula>NOT(ISERROR(SEARCH("N",L3)))</formula>
    </cfRule>
    <cfRule type="containsText" dxfId="521" priority="519" operator="containsText" text="O">
      <formula>NOT(ISERROR(SEARCH("O",L3)))</formula>
    </cfRule>
  </conditionalFormatting>
  <conditionalFormatting sqref="M3:M156 M501:M600">
    <cfRule type="containsText" dxfId="520" priority="517" operator="containsText" text="O">
      <formula>NOT(ISERROR(SEARCH("O",M3)))</formula>
    </cfRule>
  </conditionalFormatting>
  <conditionalFormatting sqref="N3:N156 N501:N600">
    <cfRule type="cellIs" dxfId="519" priority="516" operator="greaterThan">
      <formula>0</formula>
    </cfRule>
  </conditionalFormatting>
  <conditionalFormatting sqref="K3:K156 K501:K600">
    <cfRule type="containsText" dxfId="518" priority="515" operator="containsText" text="T">
      <formula>NOT(ISERROR(SEARCH("T",K3)))</formula>
    </cfRule>
  </conditionalFormatting>
  <conditionalFormatting sqref="L3:L156 L501:L600">
    <cfRule type="containsText" dxfId="517" priority="513" operator="containsText" text="N">
      <formula>NOT(ISERROR(SEARCH("N",L3)))</formula>
    </cfRule>
    <cfRule type="containsText" dxfId="516" priority="514" operator="containsText" text="O">
      <formula>NOT(ISERROR(SEARCH("O",L3)))</formula>
    </cfRule>
  </conditionalFormatting>
  <conditionalFormatting sqref="M3:M156 M501:M600">
    <cfRule type="containsText" dxfId="515" priority="512" operator="containsText" text="O">
      <formula>NOT(ISERROR(SEARCH("O",M3)))</formula>
    </cfRule>
  </conditionalFormatting>
  <conditionalFormatting sqref="N3:N156 N501:N600">
    <cfRule type="cellIs" dxfId="514" priority="511" operator="greaterThan">
      <formula>0</formula>
    </cfRule>
  </conditionalFormatting>
  <conditionalFormatting sqref="K3:K156 K501:K600">
    <cfRule type="containsText" dxfId="513" priority="510" operator="containsText" text="T">
      <formula>NOT(ISERROR(SEARCH("T",K3)))</formula>
    </cfRule>
  </conditionalFormatting>
  <conditionalFormatting sqref="L3:L156 L501:L600">
    <cfRule type="containsText" dxfId="512" priority="508" operator="containsText" text="N">
      <formula>NOT(ISERROR(SEARCH("N",L3)))</formula>
    </cfRule>
    <cfRule type="containsText" dxfId="511" priority="509" operator="containsText" text="O">
      <formula>NOT(ISERROR(SEARCH("O",L3)))</formula>
    </cfRule>
  </conditionalFormatting>
  <conditionalFormatting sqref="M3:M156 M501:M600">
    <cfRule type="containsText" dxfId="510" priority="507" operator="containsText" text="O">
      <formula>NOT(ISERROR(SEARCH("O",M3)))</formula>
    </cfRule>
  </conditionalFormatting>
  <conditionalFormatting sqref="N3:N156 N501:N600">
    <cfRule type="cellIs" dxfId="509" priority="506" operator="greaterThan">
      <formula>0</formula>
    </cfRule>
  </conditionalFormatting>
  <conditionalFormatting sqref="K3:K156 K501:K600">
    <cfRule type="containsText" dxfId="508" priority="505" operator="containsText" text="T">
      <formula>NOT(ISERROR(SEARCH("T",K3)))</formula>
    </cfRule>
  </conditionalFormatting>
  <conditionalFormatting sqref="L3:L156 L501:L600">
    <cfRule type="containsText" dxfId="507" priority="503" operator="containsText" text="N">
      <formula>NOT(ISERROR(SEARCH("N",L3)))</formula>
    </cfRule>
    <cfRule type="containsText" dxfId="506" priority="504" operator="containsText" text="O">
      <formula>NOT(ISERROR(SEARCH("O",L3)))</formula>
    </cfRule>
  </conditionalFormatting>
  <conditionalFormatting sqref="M3:M156 M501:M600">
    <cfRule type="containsText" dxfId="505" priority="502" operator="containsText" text="O">
      <formula>NOT(ISERROR(SEARCH("O",M3)))</formula>
    </cfRule>
  </conditionalFormatting>
  <conditionalFormatting sqref="N3:N156 N501:N600">
    <cfRule type="cellIs" dxfId="504" priority="501" operator="greaterThan">
      <formula>0</formula>
    </cfRule>
  </conditionalFormatting>
  <conditionalFormatting sqref="K3:K156 K501:K600">
    <cfRule type="containsText" dxfId="503" priority="500" operator="containsText" text="T">
      <formula>NOT(ISERROR(SEARCH("T",K3)))</formula>
    </cfRule>
  </conditionalFormatting>
  <conditionalFormatting sqref="L3:L156 L501:L600">
    <cfRule type="containsText" dxfId="502" priority="498" operator="containsText" text="N">
      <formula>NOT(ISERROR(SEARCH("N",L3)))</formula>
    </cfRule>
    <cfRule type="containsText" dxfId="501" priority="499" operator="containsText" text="O">
      <formula>NOT(ISERROR(SEARCH("O",L3)))</formula>
    </cfRule>
  </conditionalFormatting>
  <conditionalFormatting sqref="M3:M156 M501:M600">
    <cfRule type="containsText" dxfId="500" priority="497" operator="containsText" text="O">
      <formula>NOT(ISERROR(SEARCH("O",M3)))</formula>
    </cfRule>
  </conditionalFormatting>
  <conditionalFormatting sqref="N3:N156 N501:N600">
    <cfRule type="cellIs" dxfId="499" priority="496" operator="greaterThan">
      <formula>0</formula>
    </cfRule>
  </conditionalFormatting>
  <conditionalFormatting sqref="K3:K156 K501:K600">
    <cfRule type="containsText" dxfId="498" priority="495" operator="containsText" text="T">
      <formula>NOT(ISERROR(SEARCH("T",K3)))</formula>
    </cfRule>
  </conditionalFormatting>
  <conditionalFormatting sqref="L3:L156 L501:L600">
    <cfRule type="containsText" dxfId="497" priority="493" operator="containsText" text="N">
      <formula>NOT(ISERROR(SEARCH("N",L3)))</formula>
    </cfRule>
    <cfRule type="containsText" dxfId="496" priority="494" operator="containsText" text="O">
      <formula>NOT(ISERROR(SEARCH("O",L3)))</formula>
    </cfRule>
  </conditionalFormatting>
  <conditionalFormatting sqref="M3:M156 M501:M600">
    <cfRule type="containsText" dxfId="495" priority="492" operator="containsText" text="O">
      <formula>NOT(ISERROR(SEARCH("O",M3)))</formula>
    </cfRule>
  </conditionalFormatting>
  <conditionalFormatting sqref="N3:N156 N501:N600">
    <cfRule type="cellIs" dxfId="494" priority="491" operator="greaterThan">
      <formula>0</formula>
    </cfRule>
  </conditionalFormatting>
  <conditionalFormatting sqref="K3:K156 K501:K600">
    <cfRule type="containsText" dxfId="493" priority="490" operator="containsText" text="T">
      <formula>NOT(ISERROR(SEARCH("T",K3)))</formula>
    </cfRule>
  </conditionalFormatting>
  <conditionalFormatting sqref="L3:L156 L501:L600">
    <cfRule type="containsText" dxfId="492" priority="488" operator="containsText" text="N">
      <formula>NOT(ISERROR(SEARCH("N",L3)))</formula>
    </cfRule>
    <cfRule type="containsText" dxfId="491" priority="489" operator="containsText" text="O">
      <formula>NOT(ISERROR(SEARCH("O",L3)))</formula>
    </cfRule>
  </conditionalFormatting>
  <conditionalFormatting sqref="M3:M156 M501:M600">
    <cfRule type="containsText" dxfId="490" priority="487" operator="containsText" text="O">
      <formula>NOT(ISERROR(SEARCH("O",M3)))</formula>
    </cfRule>
  </conditionalFormatting>
  <conditionalFormatting sqref="N3:N156 N501:N600">
    <cfRule type="cellIs" dxfId="489" priority="486" operator="greaterThan">
      <formula>0</formula>
    </cfRule>
  </conditionalFormatting>
  <conditionalFormatting sqref="K3:K169 K501:K600">
    <cfRule type="containsText" dxfId="488" priority="485" operator="containsText" text="T">
      <formula>NOT(ISERROR(SEARCH("T",K3)))</formula>
    </cfRule>
  </conditionalFormatting>
  <conditionalFormatting sqref="L3:L169 L501:L600">
    <cfRule type="containsText" dxfId="487" priority="483" operator="containsText" text="N">
      <formula>NOT(ISERROR(SEARCH("N",L3)))</formula>
    </cfRule>
    <cfRule type="containsText" dxfId="486" priority="484" operator="containsText" text="O">
      <formula>NOT(ISERROR(SEARCH("O",L3)))</formula>
    </cfRule>
  </conditionalFormatting>
  <conditionalFormatting sqref="M3:M169 M501:M600">
    <cfRule type="containsText" dxfId="485" priority="482" operator="containsText" text="O">
      <formula>NOT(ISERROR(SEARCH("O",M3)))</formula>
    </cfRule>
  </conditionalFormatting>
  <conditionalFormatting sqref="N3:N169 N501:N600">
    <cfRule type="cellIs" dxfId="484" priority="481" operator="greaterThan">
      <formula>0</formula>
    </cfRule>
  </conditionalFormatting>
  <conditionalFormatting sqref="K3:K169 K501:K600">
    <cfRule type="containsText" dxfId="483" priority="480" operator="containsText" text="T">
      <formula>NOT(ISERROR(SEARCH("T",K3)))</formula>
    </cfRule>
  </conditionalFormatting>
  <conditionalFormatting sqref="L3:L169 L501:L600">
    <cfRule type="containsText" dxfId="482" priority="478" operator="containsText" text="N">
      <formula>NOT(ISERROR(SEARCH("N",L3)))</formula>
    </cfRule>
    <cfRule type="containsText" dxfId="481" priority="479" operator="containsText" text="O">
      <formula>NOT(ISERROR(SEARCH("O",L3)))</formula>
    </cfRule>
  </conditionalFormatting>
  <conditionalFormatting sqref="M3:M169 M501:M600">
    <cfRule type="containsText" dxfId="480" priority="477" operator="containsText" text="O">
      <formula>NOT(ISERROR(SEARCH("O",M3)))</formula>
    </cfRule>
  </conditionalFormatting>
  <conditionalFormatting sqref="N3:N169 N501:N600">
    <cfRule type="cellIs" dxfId="479" priority="476" operator="greaterThan">
      <formula>0</formula>
    </cfRule>
  </conditionalFormatting>
  <conditionalFormatting sqref="K3:K169 K501:K600">
    <cfRule type="containsText" dxfId="478" priority="475" operator="containsText" text="T">
      <formula>NOT(ISERROR(SEARCH("T",K3)))</formula>
    </cfRule>
  </conditionalFormatting>
  <conditionalFormatting sqref="L3:L169 L501:L600">
    <cfRule type="containsText" dxfId="477" priority="473" operator="containsText" text="N">
      <formula>NOT(ISERROR(SEARCH("N",L3)))</formula>
    </cfRule>
    <cfRule type="containsText" dxfId="476" priority="474" operator="containsText" text="O">
      <formula>NOT(ISERROR(SEARCH("O",L3)))</formula>
    </cfRule>
  </conditionalFormatting>
  <conditionalFormatting sqref="M3:M169 M501:M600">
    <cfRule type="containsText" dxfId="475" priority="472" operator="containsText" text="O">
      <formula>NOT(ISERROR(SEARCH("O",M3)))</formula>
    </cfRule>
  </conditionalFormatting>
  <conditionalFormatting sqref="N3:N169 N501:N600">
    <cfRule type="cellIs" dxfId="474" priority="471" operator="greaterThan">
      <formula>0</formula>
    </cfRule>
  </conditionalFormatting>
  <conditionalFormatting sqref="K3:K169 K501:K600">
    <cfRule type="containsText" dxfId="473" priority="470" operator="containsText" text="T">
      <formula>NOT(ISERROR(SEARCH("T",K3)))</formula>
    </cfRule>
  </conditionalFormatting>
  <conditionalFormatting sqref="L3:L169 L501:L600">
    <cfRule type="containsText" dxfId="472" priority="468" operator="containsText" text="N">
      <formula>NOT(ISERROR(SEARCH("N",L3)))</formula>
    </cfRule>
    <cfRule type="containsText" dxfId="471" priority="469" operator="containsText" text="O">
      <formula>NOT(ISERROR(SEARCH("O",L3)))</formula>
    </cfRule>
  </conditionalFormatting>
  <conditionalFormatting sqref="M3:M169 M501:M600">
    <cfRule type="containsText" dxfId="470" priority="467" operator="containsText" text="O">
      <formula>NOT(ISERROR(SEARCH("O",M3)))</formula>
    </cfRule>
  </conditionalFormatting>
  <conditionalFormatting sqref="N3:N169 N501:N600">
    <cfRule type="cellIs" dxfId="469" priority="466" operator="greaterThan">
      <formula>0</formula>
    </cfRule>
  </conditionalFormatting>
  <conditionalFormatting sqref="K3:K169 K501:K600">
    <cfRule type="containsText" dxfId="468" priority="465" operator="containsText" text="T">
      <formula>NOT(ISERROR(SEARCH("T",K3)))</formula>
    </cfRule>
  </conditionalFormatting>
  <conditionalFormatting sqref="L3:L169 L501:L600">
    <cfRule type="containsText" dxfId="467" priority="463" operator="containsText" text="N">
      <formula>NOT(ISERROR(SEARCH("N",L3)))</formula>
    </cfRule>
    <cfRule type="containsText" dxfId="466" priority="464" operator="containsText" text="O">
      <formula>NOT(ISERROR(SEARCH("O",L3)))</formula>
    </cfRule>
  </conditionalFormatting>
  <conditionalFormatting sqref="M3:M169 M501:M600">
    <cfRule type="containsText" dxfId="465" priority="462" operator="containsText" text="O">
      <formula>NOT(ISERROR(SEARCH("O",M3)))</formula>
    </cfRule>
  </conditionalFormatting>
  <conditionalFormatting sqref="N3:N169 N501:N600">
    <cfRule type="cellIs" dxfId="464" priority="461" operator="greaterThan">
      <formula>0</formula>
    </cfRule>
  </conditionalFormatting>
  <conditionalFormatting sqref="K3:K169 K501:K600">
    <cfRule type="containsText" dxfId="463" priority="460" operator="containsText" text="T">
      <formula>NOT(ISERROR(SEARCH("T",K3)))</formula>
    </cfRule>
  </conditionalFormatting>
  <conditionalFormatting sqref="L3:L169 L501:L600">
    <cfRule type="containsText" dxfId="462" priority="458" operator="containsText" text="N">
      <formula>NOT(ISERROR(SEARCH("N",L3)))</formula>
    </cfRule>
    <cfRule type="containsText" dxfId="461" priority="459" operator="containsText" text="O">
      <formula>NOT(ISERROR(SEARCH("O",L3)))</formula>
    </cfRule>
  </conditionalFormatting>
  <conditionalFormatting sqref="M3:M169 M501:M600">
    <cfRule type="containsText" dxfId="460" priority="457" operator="containsText" text="O">
      <formula>NOT(ISERROR(SEARCH("O",M3)))</formula>
    </cfRule>
  </conditionalFormatting>
  <conditionalFormatting sqref="N3:N169 N501:N600">
    <cfRule type="cellIs" dxfId="459" priority="456" operator="greaterThan">
      <formula>0</formula>
    </cfRule>
  </conditionalFormatting>
  <conditionalFormatting sqref="K3:K169 K501:K600">
    <cfRule type="containsText" dxfId="458" priority="455" operator="containsText" text="T">
      <formula>NOT(ISERROR(SEARCH("T",K3)))</formula>
    </cfRule>
  </conditionalFormatting>
  <conditionalFormatting sqref="L3:L169 L501:L600">
    <cfRule type="containsText" dxfId="457" priority="453" operator="containsText" text="N">
      <formula>NOT(ISERROR(SEARCH("N",L3)))</formula>
    </cfRule>
    <cfRule type="containsText" dxfId="456" priority="454" operator="containsText" text="O">
      <formula>NOT(ISERROR(SEARCH("O",L3)))</formula>
    </cfRule>
  </conditionalFormatting>
  <conditionalFormatting sqref="M3:M169 M501:M600">
    <cfRule type="containsText" dxfId="455" priority="452" operator="containsText" text="O">
      <formula>NOT(ISERROR(SEARCH("O",M3)))</formula>
    </cfRule>
  </conditionalFormatting>
  <conditionalFormatting sqref="N3:N169 N501:N600">
    <cfRule type="cellIs" dxfId="454" priority="451" operator="greaterThan">
      <formula>0</formula>
    </cfRule>
  </conditionalFormatting>
  <conditionalFormatting sqref="K3:K169 K501:K600">
    <cfRule type="containsText" dxfId="453" priority="450" operator="containsText" text="T">
      <formula>NOT(ISERROR(SEARCH("T",K3)))</formula>
    </cfRule>
  </conditionalFormatting>
  <conditionalFormatting sqref="L3:L169 L501:L600">
    <cfRule type="containsText" dxfId="452" priority="448" operator="containsText" text="N">
      <formula>NOT(ISERROR(SEARCH("N",L3)))</formula>
    </cfRule>
    <cfRule type="containsText" dxfId="451" priority="449" operator="containsText" text="O">
      <formula>NOT(ISERROR(SEARCH("O",L3)))</formula>
    </cfRule>
  </conditionalFormatting>
  <conditionalFormatting sqref="M3:M169 M501:M600">
    <cfRule type="containsText" dxfId="450" priority="447" operator="containsText" text="O">
      <formula>NOT(ISERROR(SEARCH("O",M3)))</formula>
    </cfRule>
  </conditionalFormatting>
  <conditionalFormatting sqref="N3:N169 N501:N600">
    <cfRule type="cellIs" dxfId="449" priority="446" operator="greaterThan">
      <formula>0</formula>
    </cfRule>
  </conditionalFormatting>
  <conditionalFormatting sqref="K3:K169 K501:K600">
    <cfRule type="containsText" dxfId="448" priority="445" operator="containsText" text="T">
      <formula>NOT(ISERROR(SEARCH("T",K3)))</formula>
    </cfRule>
  </conditionalFormatting>
  <conditionalFormatting sqref="L3:L169 L501:L600">
    <cfRule type="containsText" dxfId="447" priority="443" operator="containsText" text="N">
      <formula>NOT(ISERROR(SEARCH("N",L3)))</formula>
    </cfRule>
    <cfRule type="containsText" dxfId="446" priority="444" operator="containsText" text="O">
      <formula>NOT(ISERROR(SEARCH("O",L3)))</formula>
    </cfRule>
  </conditionalFormatting>
  <conditionalFormatting sqref="M3:M169 M501:M600">
    <cfRule type="containsText" dxfId="445" priority="442" operator="containsText" text="O">
      <formula>NOT(ISERROR(SEARCH("O",M3)))</formula>
    </cfRule>
  </conditionalFormatting>
  <conditionalFormatting sqref="N3:N169 N501:N600">
    <cfRule type="cellIs" dxfId="444" priority="441" operator="greaterThan">
      <formula>0</formula>
    </cfRule>
  </conditionalFormatting>
  <conditionalFormatting sqref="K3:K169 K501:K600">
    <cfRule type="containsText" dxfId="443" priority="440" operator="containsText" text="T">
      <formula>NOT(ISERROR(SEARCH("T",K3)))</formula>
    </cfRule>
  </conditionalFormatting>
  <conditionalFormatting sqref="L3:L169 L501:L600">
    <cfRule type="containsText" dxfId="442" priority="438" operator="containsText" text="N">
      <formula>NOT(ISERROR(SEARCH("N",L3)))</formula>
    </cfRule>
    <cfRule type="containsText" dxfId="441" priority="439" operator="containsText" text="O">
      <formula>NOT(ISERROR(SEARCH("O",L3)))</formula>
    </cfRule>
  </conditionalFormatting>
  <conditionalFormatting sqref="M3:M169 M501:M600">
    <cfRule type="containsText" dxfId="440" priority="437" operator="containsText" text="O">
      <formula>NOT(ISERROR(SEARCH("O",M3)))</formula>
    </cfRule>
  </conditionalFormatting>
  <conditionalFormatting sqref="N3:N169 N501:N600">
    <cfRule type="cellIs" dxfId="439" priority="436" operator="greaterThan">
      <formula>0</formula>
    </cfRule>
  </conditionalFormatting>
  <conditionalFormatting sqref="K3:K172 K501:K600">
    <cfRule type="containsText" dxfId="438" priority="435" operator="containsText" text="T">
      <formula>NOT(ISERROR(SEARCH("T",K3)))</formula>
    </cfRule>
  </conditionalFormatting>
  <conditionalFormatting sqref="L3:L172 L501:L600">
    <cfRule type="containsText" dxfId="437" priority="433" operator="containsText" text="N">
      <formula>NOT(ISERROR(SEARCH("N",L3)))</formula>
    </cfRule>
    <cfRule type="containsText" dxfId="436" priority="434" operator="containsText" text="O">
      <formula>NOT(ISERROR(SEARCH("O",L3)))</formula>
    </cfRule>
  </conditionalFormatting>
  <conditionalFormatting sqref="M3:M172 M501:M600">
    <cfRule type="containsText" dxfId="435" priority="432" operator="containsText" text="O">
      <formula>NOT(ISERROR(SEARCH("O",M3)))</formula>
    </cfRule>
  </conditionalFormatting>
  <conditionalFormatting sqref="N3:N172 N501:N600">
    <cfRule type="cellIs" dxfId="434" priority="431" operator="greaterThan">
      <formula>0</formula>
    </cfRule>
  </conditionalFormatting>
  <conditionalFormatting sqref="K3:K172 K501:K600">
    <cfRule type="containsText" dxfId="433" priority="430" operator="containsText" text="T">
      <formula>NOT(ISERROR(SEARCH("T",K3)))</formula>
    </cfRule>
  </conditionalFormatting>
  <conditionalFormatting sqref="L3:L172 L501:L600">
    <cfRule type="containsText" dxfId="432" priority="428" operator="containsText" text="N">
      <formula>NOT(ISERROR(SEARCH("N",L3)))</formula>
    </cfRule>
    <cfRule type="containsText" dxfId="431" priority="429" operator="containsText" text="O">
      <formula>NOT(ISERROR(SEARCH("O",L3)))</formula>
    </cfRule>
  </conditionalFormatting>
  <conditionalFormatting sqref="M3:M172 M501:M600">
    <cfRule type="containsText" dxfId="430" priority="427" operator="containsText" text="O">
      <formula>NOT(ISERROR(SEARCH("O",M3)))</formula>
    </cfRule>
  </conditionalFormatting>
  <conditionalFormatting sqref="N3:N172 N501:N600">
    <cfRule type="cellIs" dxfId="429" priority="426" operator="greaterThan">
      <formula>0</formula>
    </cfRule>
  </conditionalFormatting>
  <conditionalFormatting sqref="K3:K173 K501:K600">
    <cfRule type="containsText" dxfId="428" priority="425" operator="containsText" text="T">
      <formula>NOT(ISERROR(SEARCH("T",K3)))</formula>
    </cfRule>
  </conditionalFormatting>
  <conditionalFormatting sqref="L3:L173 L501:L600">
    <cfRule type="containsText" dxfId="427" priority="423" operator="containsText" text="N">
      <formula>NOT(ISERROR(SEARCH("N",L3)))</formula>
    </cfRule>
    <cfRule type="containsText" dxfId="426" priority="424" operator="containsText" text="O">
      <formula>NOT(ISERROR(SEARCH("O",L3)))</formula>
    </cfRule>
  </conditionalFormatting>
  <conditionalFormatting sqref="M3:M173 M501:M600">
    <cfRule type="containsText" dxfId="425" priority="422" operator="containsText" text="O">
      <formula>NOT(ISERROR(SEARCH("O",M3)))</formula>
    </cfRule>
  </conditionalFormatting>
  <conditionalFormatting sqref="N3:N173 N501:N600">
    <cfRule type="cellIs" dxfId="424" priority="421" operator="greaterThan">
      <formula>0</formula>
    </cfRule>
  </conditionalFormatting>
  <conditionalFormatting sqref="K3:K173 K501:K600">
    <cfRule type="containsText" dxfId="423" priority="420" operator="containsText" text="T">
      <formula>NOT(ISERROR(SEARCH("T",K3)))</formula>
    </cfRule>
  </conditionalFormatting>
  <conditionalFormatting sqref="L3:L173 L501:L600">
    <cfRule type="containsText" dxfId="422" priority="419" operator="containsText" text="O">
      <formula>NOT(ISERROR(SEARCH("O",L3)))</formula>
    </cfRule>
  </conditionalFormatting>
  <conditionalFormatting sqref="L3:L173 L501:L600">
    <cfRule type="containsText" dxfId="421" priority="418" operator="containsText" text="N">
      <formula>NOT(ISERROR(SEARCH("N",L3)))</formula>
    </cfRule>
  </conditionalFormatting>
  <conditionalFormatting sqref="M3:M173 M501:M600">
    <cfRule type="containsText" dxfId="420" priority="417" operator="containsText" text="O">
      <formula>NOT(ISERROR(SEARCH("O",M3)))</formula>
    </cfRule>
  </conditionalFormatting>
  <conditionalFormatting sqref="N3:N173 N501:N600">
    <cfRule type="cellIs" dxfId="419" priority="416" operator="greaterThan">
      <formula>0</formula>
    </cfRule>
  </conditionalFormatting>
  <conditionalFormatting sqref="K3:K173 K501:K600">
    <cfRule type="containsText" dxfId="418" priority="415" operator="containsText" text="T">
      <formula>NOT(ISERROR(SEARCH("T",K3)))</formula>
    </cfRule>
  </conditionalFormatting>
  <conditionalFormatting sqref="L3:L173 L501:L600">
    <cfRule type="containsText" dxfId="417" priority="413" operator="containsText" text="N">
      <formula>NOT(ISERROR(SEARCH("N",L3)))</formula>
    </cfRule>
    <cfRule type="containsText" dxfId="416" priority="414" operator="containsText" text="O">
      <formula>NOT(ISERROR(SEARCH("O",L3)))</formula>
    </cfRule>
  </conditionalFormatting>
  <conditionalFormatting sqref="M3:M173 M501:M600">
    <cfRule type="containsText" dxfId="415" priority="412" operator="containsText" text="O">
      <formula>NOT(ISERROR(SEARCH("O",M3)))</formula>
    </cfRule>
  </conditionalFormatting>
  <conditionalFormatting sqref="N3:N173 N501:N600">
    <cfRule type="cellIs" dxfId="414" priority="411" operator="greaterThan">
      <formula>0</formula>
    </cfRule>
  </conditionalFormatting>
  <conditionalFormatting sqref="K3:K173 K501:K600">
    <cfRule type="containsText" dxfId="413" priority="410" operator="containsText" text="T">
      <formula>NOT(ISERROR(SEARCH("T",K3)))</formula>
    </cfRule>
  </conditionalFormatting>
  <conditionalFormatting sqref="L3:L173 L501:L600">
    <cfRule type="containsText" dxfId="412" priority="408" operator="containsText" text="N">
      <formula>NOT(ISERROR(SEARCH("N",L3)))</formula>
    </cfRule>
    <cfRule type="containsText" dxfId="411" priority="409" operator="containsText" text="O">
      <formula>NOT(ISERROR(SEARCH("O",L3)))</formula>
    </cfRule>
  </conditionalFormatting>
  <conditionalFormatting sqref="M3:M173 M501:M600">
    <cfRule type="containsText" dxfId="410" priority="407" operator="containsText" text="O">
      <formula>NOT(ISERROR(SEARCH("O",M3)))</formula>
    </cfRule>
  </conditionalFormatting>
  <conditionalFormatting sqref="N3:N173 N501:N600">
    <cfRule type="cellIs" dxfId="409" priority="406" operator="greaterThan">
      <formula>0</formula>
    </cfRule>
  </conditionalFormatting>
  <conditionalFormatting sqref="K3:K178 K501:K600">
    <cfRule type="containsText" dxfId="408" priority="405" operator="containsText" text="T">
      <formula>NOT(ISERROR(SEARCH("T",K3)))</formula>
    </cfRule>
  </conditionalFormatting>
  <conditionalFormatting sqref="L3:L178 L501:L600">
    <cfRule type="containsText" dxfId="407" priority="403" operator="containsText" text="N">
      <formula>NOT(ISERROR(SEARCH("N",L3)))</formula>
    </cfRule>
    <cfRule type="containsText" dxfId="406" priority="404" operator="containsText" text="O">
      <formula>NOT(ISERROR(SEARCH("O",L3)))</formula>
    </cfRule>
  </conditionalFormatting>
  <conditionalFormatting sqref="M3:M178 M501:M600">
    <cfRule type="containsText" dxfId="405" priority="402" operator="containsText" text="O">
      <formula>NOT(ISERROR(SEARCH("O",M3)))</formula>
    </cfRule>
  </conditionalFormatting>
  <conditionalFormatting sqref="N3:N178 N501:N600">
    <cfRule type="cellIs" dxfId="404" priority="401" operator="greaterThan">
      <formula>0</formula>
    </cfRule>
  </conditionalFormatting>
  <conditionalFormatting sqref="K3:K178 K501:K600">
    <cfRule type="containsText" dxfId="403" priority="400" operator="containsText" text="T">
      <formula>NOT(ISERROR(SEARCH("T",K3)))</formula>
    </cfRule>
  </conditionalFormatting>
  <conditionalFormatting sqref="L3:L178 L501:L600">
    <cfRule type="containsText" dxfId="402" priority="398" operator="containsText" text="N">
      <formula>NOT(ISERROR(SEARCH("N",L3)))</formula>
    </cfRule>
    <cfRule type="containsText" dxfId="401" priority="399" operator="containsText" text="O">
      <formula>NOT(ISERROR(SEARCH("O",L3)))</formula>
    </cfRule>
  </conditionalFormatting>
  <conditionalFormatting sqref="M3:M178 M501:M600">
    <cfRule type="containsText" dxfId="400" priority="397" operator="containsText" text="O">
      <formula>NOT(ISERROR(SEARCH("O",M3)))</formula>
    </cfRule>
  </conditionalFormatting>
  <conditionalFormatting sqref="N3:N178 N501:N600">
    <cfRule type="cellIs" dxfId="399" priority="396" operator="greaterThan">
      <formula>0</formula>
    </cfRule>
  </conditionalFormatting>
  <conditionalFormatting sqref="K3:K180 K501:K600">
    <cfRule type="containsText" dxfId="398" priority="395" operator="containsText" text="T">
      <formula>NOT(ISERROR(SEARCH("T",K3)))</formula>
    </cfRule>
  </conditionalFormatting>
  <conditionalFormatting sqref="L3:L180 L501:L600">
    <cfRule type="containsText" dxfId="397" priority="393" operator="containsText" text="N">
      <formula>NOT(ISERROR(SEARCH("N",L3)))</formula>
    </cfRule>
    <cfRule type="containsText" dxfId="396" priority="394" operator="containsText" text="O">
      <formula>NOT(ISERROR(SEARCH("O",L3)))</formula>
    </cfRule>
  </conditionalFormatting>
  <conditionalFormatting sqref="M3:M180 M501:M600">
    <cfRule type="containsText" dxfId="395" priority="392" operator="containsText" text="O">
      <formula>NOT(ISERROR(SEARCH("O",M3)))</formula>
    </cfRule>
  </conditionalFormatting>
  <conditionalFormatting sqref="N3:N180 N501:N600">
    <cfRule type="cellIs" dxfId="394" priority="391" operator="greaterThan">
      <formula>0</formula>
    </cfRule>
  </conditionalFormatting>
  <conditionalFormatting sqref="K3:K181 K501:K600">
    <cfRule type="containsText" dxfId="393" priority="390" operator="containsText" text="T">
      <formula>NOT(ISERROR(SEARCH("T",K3)))</formula>
    </cfRule>
  </conditionalFormatting>
  <conditionalFormatting sqref="L3:L181 L501:L600">
    <cfRule type="containsText" dxfId="392" priority="388" operator="containsText" text="N">
      <formula>NOT(ISERROR(SEARCH("N",L3)))</formula>
    </cfRule>
    <cfRule type="containsText" dxfId="391" priority="389" operator="containsText" text="O">
      <formula>NOT(ISERROR(SEARCH("O",L3)))</formula>
    </cfRule>
  </conditionalFormatting>
  <conditionalFormatting sqref="M3:M181 M501:M600">
    <cfRule type="containsText" dxfId="390" priority="387" operator="containsText" text="O">
      <formula>NOT(ISERROR(SEARCH("O",M3)))</formula>
    </cfRule>
  </conditionalFormatting>
  <conditionalFormatting sqref="N3:N181 N501:N600">
    <cfRule type="cellIs" dxfId="389" priority="386" operator="greaterThan">
      <formula>0</formula>
    </cfRule>
  </conditionalFormatting>
  <conditionalFormatting sqref="K3:K182 K501:K600">
    <cfRule type="containsText" dxfId="388" priority="385" operator="containsText" text="T">
      <formula>NOT(ISERROR(SEARCH("T",K3)))</formula>
    </cfRule>
  </conditionalFormatting>
  <conditionalFormatting sqref="L3:L182 L501:L600">
    <cfRule type="containsText" dxfId="387" priority="383" operator="containsText" text="N">
      <formula>NOT(ISERROR(SEARCH("N",L3)))</formula>
    </cfRule>
    <cfRule type="containsText" dxfId="386" priority="384" operator="containsText" text="O">
      <formula>NOT(ISERROR(SEARCH("O",L3)))</formula>
    </cfRule>
  </conditionalFormatting>
  <conditionalFormatting sqref="M3:M182 M501:M600">
    <cfRule type="containsText" dxfId="385" priority="382" operator="containsText" text="O">
      <formula>NOT(ISERROR(SEARCH("O",M3)))</formula>
    </cfRule>
  </conditionalFormatting>
  <conditionalFormatting sqref="N3:N182 N501:N600">
    <cfRule type="cellIs" dxfId="384" priority="381" operator="greaterThan">
      <formula>0</formula>
    </cfRule>
  </conditionalFormatting>
  <conditionalFormatting sqref="K3:K182 K501:K600">
    <cfRule type="containsText" dxfId="383" priority="380" operator="containsText" text="T">
      <formula>NOT(ISERROR(SEARCH("T",K3)))</formula>
    </cfRule>
  </conditionalFormatting>
  <conditionalFormatting sqref="L3:L182 L501:L600">
    <cfRule type="containsText" dxfId="382" priority="378" operator="containsText" text="N">
      <formula>NOT(ISERROR(SEARCH("N",L3)))</formula>
    </cfRule>
    <cfRule type="containsText" dxfId="381" priority="379" operator="containsText" text="O">
      <formula>NOT(ISERROR(SEARCH("O",L3)))</formula>
    </cfRule>
  </conditionalFormatting>
  <conditionalFormatting sqref="M3:M182 M501:M600">
    <cfRule type="containsText" dxfId="380" priority="377" operator="containsText" text="O">
      <formula>NOT(ISERROR(SEARCH("O",M3)))</formula>
    </cfRule>
  </conditionalFormatting>
  <conditionalFormatting sqref="N3:N182 N501:N600">
    <cfRule type="cellIs" dxfId="379" priority="376" operator="greaterThan">
      <formula>0</formula>
    </cfRule>
  </conditionalFormatting>
  <conditionalFormatting sqref="K3:K183 K501:K600">
    <cfRule type="containsText" dxfId="378" priority="375" operator="containsText" text="T">
      <formula>NOT(ISERROR(SEARCH("T",K3)))</formula>
    </cfRule>
  </conditionalFormatting>
  <conditionalFormatting sqref="L3:L183 L501:L600">
    <cfRule type="containsText" dxfId="377" priority="373" operator="containsText" text="N">
      <formula>NOT(ISERROR(SEARCH("N",L3)))</formula>
    </cfRule>
    <cfRule type="containsText" dxfId="376" priority="374" operator="containsText" text="O">
      <formula>NOT(ISERROR(SEARCH("O",L3)))</formula>
    </cfRule>
  </conditionalFormatting>
  <conditionalFormatting sqref="M3:M183 M501:M600">
    <cfRule type="containsText" dxfId="375" priority="372" operator="containsText" text="O">
      <formula>NOT(ISERROR(SEARCH("O",M3)))</formula>
    </cfRule>
  </conditionalFormatting>
  <conditionalFormatting sqref="N3:N183 N501:N600">
    <cfRule type="cellIs" dxfId="374" priority="371" operator="greaterThan">
      <formula>0</formula>
    </cfRule>
  </conditionalFormatting>
  <conditionalFormatting sqref="K3:K183 K501:K600">
    <cfRule type="containsText" dxfId="373" priority="370" operator="containsText" text="T">
      <formula>NOT(ISERROR(SEARCH("T",K3)))</formula>
    </cfRule>
  </conditionalFormatting>
  <conditionalFormatting sqref="L3:L183 L501:L600">
    <cfRule type="containsText" dxfId="372" priority="368" operator="containsText" text="N">
      <formula>NOT(ISERROR(SEARCH("N",L3)))</formula>
    </cfRule>
    <cfRule type="containsText" dxfId="371" priority="369" operator="containsText" text="O">
      <formula>NOT(ISERROR(SEARCH("O",L3)))</formula>
    </cfRule>
  </conditionalFormatting>
  <conditionalFormatting sqref="M3:M183 M501:M600">
    <cfRule type="containsText" dxfId="370" priority="367" operator="containsText" text="O">
      <formula>NOT(ISERROR(SEARCH("O",M3)))</formula>
    </cfRule>
  </conditionalFormatting>
  <conditionalFormatting sqref="N3:N183 N501:N600">
    <cfRule type="cellIs" dxfId="369" priority="366" operator="greaterThan">
      <formula>0</formula>
    </cfRule>
  </conditionalFormatting>
  <conditionalFormatting sqref="K3:K183 K501:K600">
    <cfRule type="containsText" dxfId="368" priority="365" operator="containsText" text="T">
      <formula>NOT(ISERROR(SEARCH("T",K3)))</formula>
    </cfRule>
  </conditionalFormatting>
  <conditionalFormatting sqref="L3:L183 L501:L600">
    <cfRule type="containsText" dxfId="367" priority="363" operator="containsText" text="N">
      <formula>NOT(ISERROR(SEARCH("N",L3)))</formula>
    </cfRule>
    <cfRule type="containsText" dxfId="366" priority="364" operator="containsText" text="O">
      <formula>NOT(ISERROR(SEARCH("O",L3)))</formula>
    </cfRule>
  </conditionalFormatting>
  <conditionalFormatting sqref="M3:M183 M501:M600">
    <cfRule type="containsText" dxfId="365" priority="362" operator="containsText" text="O">
      <formula>NOT(ISERROR(SEARCH("O",M3)))</formula>
    </cfRule>
  </conditionalFormatting>
  <conditionalFormatting sqref="N3:N183 N501:N600">
    <cfRule type="cellIs" dxfId="364" priority="361" operator="greaterThan">
      <formula>0</formula>
    </cfRule>
  </conditionalFormatting>
  <conditionalFormatting sqref="K3:K184 K501:K600">
    <cfRule type="containsText" dxfId="363" priority="360" operator="containsText" text="T">
      <formula>NOT(ISERROR(SEARCH("T",K3)))</formula>
    </cfRule>
  </conditionalFormatting>
  <conditionalFormatting sqref="L3:L184 L501:L600">
    <cfRule type="containsText" dxfId="362" priority="358" operator="containsText" text="N">
      <formula>NOT(ISERROR(SEARCH("N",L3)))</formula>
    </cfRule>
    <cfRule type="containsText" dxfId="361" priority="359" operator="containsText" text="O">
      <formula>NOT(ISERROR(SEARCH("O",L3)))</formula>
    </cfRule>
  </conditionalFormatting>
  <conditionalFormatting sqref="M3:M184 M501:M600">
    <cfRule type="containsText" dxfId="360" priority="357" operator="containsText" text="O">
      <formula>NOT(ISERROR(SEARCH("O",M3)))</formula>
    </cfRule>
  </conditionalFormatting>
  <conditionalFormatting sqref="N3:N184 N501:N600">
    <cfRule type="cellIs" dxfId="359" priority="356" operator="greaterThan">
      <formula>0</formula>
    </cfRule>
  </conditionalFormatting>
  <conditionalFormatting sqref="K3:K184 K501:K600">
    <cfRule type="containsText" dxfId="358" priority="355" operator="containsText" text="T">
      <formula>NOT(ISERROR(SEARCH("T",K3)))</formula>
    </cfRule>
  </conditionalFormatting>
  <conditionalFormatting sqref="L3:L184 L501:L600">
    <cfRule type="containsText" dxfId="357" priority="353" operator="containsText" text="N">
      <formula>NOT(ISERROR(SEARCH("N",L3)))</formula>
    </cfRule>
    <cfRule type="containsText" dxfId="356" priority="354" operator="containsText" text="O">
      <formula>NOT(ISERROR(SEARCH("O",L3)))</formula>
    </cfRule>
  </conditionalFormatting>
  <conditionalFormatting sqref="M3:M184 M501:M600">
    <cfRule type="containsText" dxfId="355" priority="352" operator="containsText" text="O">
      <formula>NOT(ISERROR(SEARCH("O",M3)))</formula>
    </cfRule>
  </conditionalFormatting>
  <conditionalFormatting sqref="N3:N184 N501:N600">
    <cfRule type="cellIs" dxfId="354" priority="351" operator="greaterThan">
      <formula>0</formula>
    </cfRule>
  </conditionalFormatting>
  <conditionalFormatting sqref="K3:K184 K501:K600">
    <cfRule type="containsText" dxfId="353" priority="350" operator="containsText" text="T">
      <formula>NOT(ISERROR(SEARCH("T",K3)))</formula>
    </cfRule>
  </conditionalFormatting>
  <conditionalFormatting sqref="L3:L184 L501:L600">
    <cfRule type="containsText" dxfId="352" priority="348" operator="containsText" text="N">
      <formula>NOT(ISERROR(SEARCH("N",L3)))</formula>
    </cfRule>
    <cfRule type="containsText" dxfId="351" priority="349" operator="containsText" text="O">
      <formula>NOT(ISERROR(SEARCH("O",L3)))</formula>
    </cfRule>
  </conditionalFormatting>
  <conditionalFormatting sqref="M3:M184 M501:M600">
    <cfRule type="containsText" dxfId="350" priority="347" operator="containsText" text="O">
      <formula>NOT(ISERROR(SEARCH("O",M3)))</formula>
    </cfRule>
  </conditionalFormatting>
  <conditionalFormatting sqref="N3:N184 N501:N600">
    <cfRule type="cellIs" dxfId="349" priority="346" operator="greaterThan">
      <formula>0</formula>
    </cfRule>
  </conditionalFormatting>
  <conditionalFormatting sqref="K3:K184 K501:K600">
    <cfRule type="containsText" dxfId="348" priority="345" operator="containsText" text="T">
      <formula>NOT(ISERROR(SEARCH("T",K3)))</formula>
    </cfRule>
  </conditionalFormatting>
  <conditionalFormatting sqref="L3:L184 L501:L600">
    <cfRule type="containsText" dxfId="347" priority="343" operator="containsText" text="N">
      <formula>NOT(ISERROR(SEARCH("N",L3)))</formula>
    </cfRule>
    <cfRule type="containsText" dxfId="346" priority="344" operator="containsText" text="O">
      <formula>NOT(ISERROR(SEARCH("O",L3)))</formula>
    </cfRule>
  </conditionalFormatting>
  <conditionalFormatting sqref="M3:M184 M501:M600">
    <cfRule type="containsText" dxfId="345" priority="342" operator="containsText" text="O">
      <formula>NOT(ISERROR(SEARCH("O",M3)))</formula>
    </cfRule>
  </conditionalFormatting>
  <conditionalFormatting sqref="N3:N184 N501:N600">
    <cfRule type="cellIs" dxfId="344" priority="341" operator="greaterThan">
      <formula>0</formula>
    </cfRule>
  </conditionalFormatting>
  <conditionalFormatting sqref="K3:K185 K501:K600">
    <cfRule type="containsText" dxfId="343" priority="340" operator="containsText" text="T">
      <formula>NOT(ISERROR(SEARCH("T",K3)))</formula>
    </cfRule>
  </conditionalFormatting>
  <conditionalFormatting sqref="L3:L185 L501:L600">
    <cfRule type="containsText" dxfId="342" priority="338" operator="containsText" text="N">
      <formula>NOT(ISERROR(SEARCH("N",L3)))</formula>
    </cfRule>
    <cfRule type="containsText" dxfId="341" priority="339" operator="containsText" text="O">
      <formula>NOT(ISERROR(SEARCH("O",L3)))</formula>
    </cfRule>
  </conditionalFormatting>
  <conditionalFormatting sqref="M3:M185 M501:M600">
    <cfRule type="containsText" dxfId="340" priority="337" operator="containsText" text="O">
      <formula>NOT(ISERROR(SEARCH("O",M3)))</formula>
    </cfRule>
  </conditionalFormatting>
  <conditionalFormatting sqref="N3:N185 N501:N600">
    <cfRule type="cellIs" dxfId="339" priority="336" operator="greaterThan">
      <formula>0</formula>
    </cfRule>
  </conditionalFormatting>
  <conditionalFormatting sqref="K3:K187 K501:K600">
    <cfRule type="containsText" dxfId="338" priority="335" operator="containsText" text="T">
      <formula>NOT(ISERROR(SEARCH("T",K3)))</formula>
    </cfRule>
  </conditionalFormatting>
  <conditionalFormatting sqref="L3:L187 L501:L600">
    <cfRule type="containsText" dxfId="337" priority="333" operator="containsText" text="N">
      <formula>NOT(ISERROR(SEARCH("N",L3)))</formula>
    </cfRule>
    <cfRule type="containsText" dxfId="336" priority="334" operator="containsText" text="O">
      <formula>NOT(ISERROR(SEARCH("O",L3)))</formula>
    </cfRule>
  </conditionalFormatting>
  <conditionalFormatting sqref="M3:M187 M501:M600">
    <cfRule type="containsText" dxfId="335" priority="332" operator="containsText" text="O">
      <formula>NOT(ISERROR(SEARCH("O",M3)))</formula>
    </cfRule>
  </conditionalFormatting>
  <conditionalFormatting sqref="N3:N187 N501:N600">
    <cfRule type="cellIs" dxfId="334" priority="331" operator="greaterThan">
      <formula>0</formula>
    </cfRule>
  </conditionalFormatting>
  <conditionalFormatting sqref="K3:K188 K501:K600">
    <cfRule type="containsText" dxfId="333" priority="330" operator="containsText" text="T">
      <formula>NOT(ISERROR(SEARCH("T",K3)))</formula>
    </cfRule>
  </conditionalFormatting>
  <conditionalFormatting sqref="L3:L188 L501:L600">
    <cfRule type="containsText" dxfId="332" priority="328" operator="containsText" text="N">
      <formula>NOT(ISERROR(SEARCH("N",L3)))</formula>
    </cfRule>
    <cfRule type="containsText" dxfId="331" priority="329" operator="containsText" text="O">
      <formula>NOT(ISERROR(SEARCH("O",L3)))</formula>
    </cfRule>
  </conditionalFormatting>
  <conditionalFormatting sqref="M3:M188 M501:M600">
    <cfRule type="containsText" dxfId="330" priority="327" operator="containsText" text="O">
      <formula>NOT(ISERROR(SEARCH("O",M3)))</formula>
    </cfRule>
  </conditionalFormatting>
  <conditionalFormatting sqref="N3:N188 N501:N600">
    <cfRule type="cellIs" dxfId="329" priority="326" operator="greaterThan">
      <formula>0</formula>
    </cfRule>
  </conditionalFormatting>
  <conditionalFormatting sqref="K3:K188 K501:K600">
    <cfRule type="containsText" dxfId="328" priority="325" operator="containsText" text="T">
      <formula>NOT(ISERROR(SEARCH("T",K3)))</formula>
    </cfRule>
  </conditionalFormatting>
  <conditionalFormatting sqref="L3:L188 L501:L600">
    <cfRule type="containsText" dxfId="327" priority="323" operator="containsText" text="N">
      <formula>NOT(ISERROR(SEARCH("N",L3)))</formula>
    </cfRule>
    <cfRule type="containsText" dxfId="326" priority="324" operator="containsText" text="O">
      <formula>NOT(ISERROR(SEARCH("O",L3)))</formula>
    </cfRule>
  </conditionalFormatting>
  <conditionalFormatting sqref="M3:M188 M501:M600">
    <cfRule type="containsText" dxfId="325" priority="322" operator="containsText" text="O">
      <formula>NOT(ISERROR(SEARCH("O",M3)))</formula>
    </cfRule>
  </conditionalFormatting>
  <conditionalFormatting sqref="N3:N188 N501:N600">
    <cfRule type="cellIs" dxfId="324" priority="321" operator="greaterThan">
      <formula>0</formula>
    </cfRule>
  </conditionalFormatting>
  <conditionalFormatting sqref="K3:K191 K501:K600">
    <cfRule type="containsText" dxfId="323" priority="320" operator="containsText" text="T">
      <formula>NOT(ISERROR(SEARCH("T",K3)))</formula>
    </cfRule>
  </conditionalFormatting>
  <conditionalFormatting sqref="L3:L191 L501:L600">
    <cfRule type="containsText" dxfId="322" priority="318" operator="containsText" text="N">
      <formula>NOT(ISERROR(SEARCH("N",L3)))</formula>
    </cfRule>
    <cfRule type="containsText" dxfId="321" priority="319" operator="containsText" text="O">
      <formula>NOT(ISERROR(SEARCH("O",L3)))</formula>
    </cfRule>
  </conditionalFormatting>
  <conditionalFormatting sqref="M3:M191 M501:M600">
    <cfRule type="containsText" dxfId="320" priority="317" operator="containsText" text="O">
      <formula>NOT(ISERROR(SEARCH("O",M3)))</formula>
    </cfRule>
  </conditionalFormatting>
  <conditionalFormatting sqref="N3:N191 N501:N600">
    <cfRule type="cellIs" dxfId="319" priority="316" operator="greaterThan">
      <formula>0</formula>
    </cfRule>
  </conditionalFormatting>
  <conditionalFormatting sqref="K3:K193 K501:K600">
    <cfRule type="containsText" dxfId="318" priority="315" operator="containsText" text="T">
      <formula>NOT(ISERROR(SEARCH("T",K3)))</formula>
    </cfRule>
  </conditionalFormatting>
  <conditionalFormatting sqref="L3:L193 L501:L600">
    <cfRule type="containsText" dxfId="317" priority="313" operator="containsText" text="N">
      <formula>NOT(ISERROR(SEARCH("N",L3)))</formula>
    </cfRule>
    <cfRule type="containsText" dxfId="316" priority="314" operator="containsText" text="O">
      <formula>NOT(ISERROR(SEARCH("O",L3)))</formula>
    </cfRule>
  </conditionalFormatting>
  <conditionalFormatting sqref="M3:M193 M501:M600">
    <cfRule type="containsText" dxfId="315" priority="312" operator="containsText" text="O">
      <formula>NOT(ISERROR(SEARCH("O",M3)))</formula>
    </cfRule>
  </conditionalFormatting>
  <conditionalFormatting sqref="N3:N193 N501:N600">
    <cfRule type="cellIs" dxfId="314" priority="311" operator="greaterThan">
      <formula>0</formula>
    </cfRule>
  </conditionalFormatting>
  <conditionalFormatting sqref="K3:K195 K501:K600">
    <cfRule type="containsText" dxfId="313" priority="310" operator="containsText" text="T">
      <formula>NOT(ISERROR(SEARCH("T",K3)))</formula>
    </cfRule>
  </conditionalFormatting>
  <conditionalFormatting sqref="L3:L195 L501:L600">
    <cfRule type="containsText" dxfId="312" priority="308" operator="containsText" text="N">
      <formula>NOT(ISERROR(SEARCH("N",L3)))</formula>
    </cfRule>
    <cfRule type="containsText" dxfId="311" priority="309" operator="containsText" text="O">
      <formula>NOT(ISERROR(SEARCH("O",L3)))</formula>
    </cfRule>
  </conditionalFormatting>
  <conditionalFormatting sqref="M3:M195 M501:M600">
    <cfRule type="containsText" dxfId="310" priority="307" operator="containsText" text="O">
      <formula>NOT(ISERROR(SEARCH("O",M3)))</formula>
    </cfRule>
  </conditionalFormatting>
  <conditionalFormatting sqref="N3:N195 N501:N600">
    <cfRule type="cellIs" dxfId="309" priority="306" operator="greaterThan">
      <formula>0</formula>
    </cfRule>
  </conditionalFormatting>
  <conditionalFormatting sqref="K3:K197 K501:K600">
    <cfRule type="containsText" dxfId="308" priority="305" operator="containsText" text="T">
      <formula>NOT(ISERROR(SEARCH("T",K3)))</formula>
    </cfRule>
  </conditionalFormatting>
  <conditionalFormatting sqref="L3:L197 L501:L600">
    <cfRule type="containsText" dxfId="307" priority="303" operator="containsText" text="N">
      <formula>NOT(ISERROR(SEARCH("N",L3)))</formula>
    </cfRule>
    <cfRule type="containsText" dxfId="306" priority="304" operator="containsText" text="O">
      <formula>NOT(ISERROR(SEARCH("O",L3)))</formula>
    </cfRule>
  </conditionalFormatting>
  <conditionalFormatting sqref="M3:M197 M501:M600">
    <cfRule type="containsText" dxfId="305" priority="302" operator="containsText" text="O">
      <formula>NOT(ISERROR(SEARCH("O",M3)))</formula>
    </cfRule>
  </conditionalFormatting>
  <conditionalFormatting sqref="N3:N197 N501:N600">
    <cfRule type="cellIs" dxfId="304" priority="301" operator="greaterThan">
      <formula>0</formula>
    </cfRule>
  </conditionalFormatting>
  <conditionalFormatting sqref="K3:K201 K501:K600">
    <cfRule type="containsText" dxfId="303" priority="300" operator="containsText" text="T">
      <formula>NOT(ISERROR(SEARCH("T",K3)))</formula>
    </cfRule>
  </conditionalFormatting>
  <conditionalFormatting sqref="L3:L201 L501:L600">
    <cfRule type="containsText" dxfId="302" priority="298" operator="containsText" text="N">
      <formula>NOT(ISERROR(SEARCH("N",L3)))</formula>
    </cfRule>
    <cfRule type="containsText" dxfId="301" priority="299" operator="containsText" text="O">
      <formula>NOT(ISERROR(SEARCH("O",L3)))</formula>
    </cfRule>
  </conditionalFormatting>
  <conditionalFormatting sqref="M3:M201 M501:M600">
    <cfRule type="containsText" dxfId="300" priority="297" operator="containsText" text="O">
      <formula>NOT(ISERROR(SEARCH("O",M3)))</formula>
    </cfRule>
  </conditionalFormatting>
  <conditionalFormatting sqref="N3:N201 N501:N600">
    <cfRule type="cellIs" dxfId="299" priority="296" operator="greaterThan">
      <formula>0</formula>
    </cfRule>
  </conditionalFormatting>
  <conditionalFormatting sqref="K3:K202 K501:K600">
    <cfRule type="containsText" dxfId="298" priority="295" operator="containsText" text="T">
      <formula>NOT(ISERROR(SEARCH("T",K3)))</formula>
    </cfRule>
  </conditionalFormatting>
  <conditionalFormatting sqref="L3:L202 L501:L600">
    <cfRule type="containsText" dxfId="297" priority="293" operator="containsText" text="N">
      <formula>NOT(ISERROR(SEARCH("N",L3)))</formula>
    </cfRule>
    <cfRule type="containsText" dxfId="296" priority="294" operator="containsText" text="O">
      <formula>NOT(ISERROR(SEARCH("O",L3)))</formula>
    </cfRule>
  </conditionalFormatting>
  <conditionalFormatting sqref="M3:M202 M501:M600">
    <cfRule type="containsText" dxfId="295" priority="292" operator="containsText" text="O">
      <formula>NOT(ISERROR(SEARCH("O",M3)))</formula>
    </cfRule>
  </conditionalFormatting>
  <conditionalFormatting sqref="N3:N202 N501:N600">
    <cfRule type="cellIs" dxfId="294" priority="291" operator="greaterThan">
      <formula>0</formula>
    </cfRule>
  </conditionalFormatting>
  <conditionalFormatting sqref="K3:K203 K501:K600">
    <cfRule type="containsText" dxfId="293" priority="290" operator="containsText" text="T">
      <formula>NOT(ISERROR(SEARCH("T",K3)))</formula>
    </cfRule>
  </conditionalFormatting>
  <conditionalFormatting sqref="L3:L203 L501:L600">
    <cfRule type="containsText" dxfId="292" priority="288" operator="containsText" text="N">
      <formula>NOT(ISERROR(SEARCH("N",L3)))</formula>
    </cfRule>
    <cfRule type="containsText" dxfId="291" priority="289" operator="containsText" text="O">
      <formula>NOT(ISERROR(SEARCH("O",L3)))</formula>
    </cfRule>
  </conditionalFormatting>
  <conditionalFormatting sqref="M3:M203 M501:M600">
    <cfRule type="containsText" dxfId="290" priority="287" operator="containsText" text="O">
      <formula>NOT(ISERROR(SEARCH("O",M3)))</formula>
    </cfRule>
  </conditionalFormatting>
  <conditionalFormatting sqref="N3:N203 N501:N600">
    <cfRule type="cellIs" dxfId="289" priority="286" operator="greaterThan">
      <formula>0</formula>
    </cfRule>
  </conditionalFormatting>
  <conditionalFormatting sqref="K3:K203 K501:K600">
    <cfRule type="containsText" dxfId="288" priority="285" operator="containsText" text="T">
      <formula>NOT(ISERROR(SEARCH("T",K3)))</formula>
    </cfRule>
  </conditionalFormatting>
  <conditionalFormatting sqref="L3:L203 L501:L600">
    <cfRule type="containsText" dxfId="287" priority="283" operator="containsText" text="N">
      <formula>NOT(ISERROR(SEARCH("N",L3)))</formula>
    </cfRule>
    <cfRule type="containsText" dxfId="286" priority="284" operator="containsText" text="O">
      <formula>NOT(ISERROR(SEARCH("O",L3)))</formula>
    </cfRule>
  </conditionalFormatting>
  <conditionalFormatting sqref="M3:M203 M501:M600">
    <cfRule type="containsText" dxfId="285" priority="282" operator="containsText" text="O">
      <formula>NOT(ISERROR(SEARCH("O",M3)))</formula>
    </cfRule>
  </conditionalFormatting>
  <conditionalFormatting sqref="N3:N203 N501:N600">
    <cfRule type="cellIs" dxfId="284" priority="281" operator="greaterThan">
      <formula>0</formula>
    </cfRule>
  </conditionalFormatting>
  <conditionalFormatting sqref="K3:K205 K501:K600">
    <cfRule type="containsText" dxfId="283" priority="280" operator="containsText" text="T">
      <formula>NOT(ISERROR(SEARCH("T",K3)))</formula>
    </cfRule>
  </conditionalFormatting>
  <conditionalFormatting sqref="L3:L205 L501:L600">
    <cfRule type="containsText" dxfId="282" priority="278" operator="containsText" text="N">
      <formula>NOT(ISERROR(SEARCH("N",L3)))</formula>
    </cfRule>
    <cfRule type="containsText" dxfId="281" priority="279" operator="containsText" text="O">
      <formula>NOT(ISERROR(SEARCH("O",L3)))</formula>
    </cfRule>
  </conditionalFormatting>
  <conditionalFormatting sqref="M3:M205 M501:M600">
    <cfRule type="containsText" dxfId="280" priority="277" operator="containsText" text="O">
      <formula>NOT(ISERROR(SEARCH("O",M3)))</formula>
    </cfRule>
  </conditionalFormatting>
  <conditionalFormatting sqref="N3:N205 N501:N600">
    <cfRule type="cellIs" dxfId="279" priority="276" operator="greaterThan">
      <formula>0</formula>
    </cfRule>
  </conditionalFormatting>
  <conditionalFormatting sqref="K3:K209 K501:K600">
    <cfRule type="containsText" dxfId="278" priority="275" operator="containsText" text="T">
      <formula>NOT(ISERROR(SEARCH("T",K3)))</formula>
    </cfRule>
  </conditionalFormatting>
  <conditionalFormatting sqref="L3:L209 L501:L600">
    <cfRule type="containsText" dxfId="277" priority="273" operator="containsText" text="N">
      <formula>NOT(ISERROR(SEARCH("N",L3)))</formula>
    </cfRule>
    <cfRule type="containsText" dxfId="276" priority="274" operator="containsText" text="O">
      <formula>NOT(ISERROR(SEARCH("O",L3)))</formula>
    </cfRule>
  </conditionalFormatting>
  <conditionalFormatting sqref="M3:M209 M501:M600">
    <cfRule type="containsText" dxfId="275" priority="272" operator="containsText" text="O">
      <formula>NOT(ISERROR(SEARCH("O",M3)))</formula>
    </cfRule>
  </conditionalFormatting>
  <conditionalFormatting sqref="N3:N209 N501:N600">
    <cfRule type="cellIs" dxfId="274" priority="271" operator="greaterThan">
      <formula>0</formula>
    </cfRule>
  </conditionalFormatting>
  <conditionalFormatting sqref="K3:K209 K501:K600">
    <cfRule type="containsText" dxfId="273" priority="270" operator="containsText" text="T">
      <formula>NOT(ISERROR(SEARCH("T",K3)))</formula>
    </cfRule>
  </conditionalFormatting>
  <conditionalFormatting sqref="L3:L209 L501:L600">
    <cfRule type="containsText" dxfId="272" priority="268" operator="containsText" text="N">
      <formula>NOT(ISERROR(SEARCH("N",L3)))</formula>
    </cfRule>
    <cfRule type="containsText" dxfId="271" priority="269" operator="containsText" text="O">
      <formula>NOT(ISERROR(SEARCH("O",L3)))</formula>
    </cfRule>
  </conditionalFormatting>
  <conditionalFormatting sqref="M3:M209 M501:M600">
    <cfRule type="containsText" dxfId="270" priority="267" operator="containsText" text="O">
      <formula>NOT(ISERROR(SEARCH("O",M3)))</formula>
    </cfRule>
  </conditionalFormatting>
  <conditionalFormatting sqref="N3:N209 N501:N600">
    <cfRule type="cellIs" dxfId="269" priority="266" operator="greaterThan">
      <formula>0</formula>
    </cfRule>
  </conditionalFormatting>
  <conditionalFormatting sqref="K3:K209 K501:K600">
    <cfRule type="containsText" dxfId="268" priority="265" operator="containsText" text="T">
      <formula>NOT(ISERROR(SEARCH("T",K3)))</formula>
    </cfRule>
  </conditionalFormatting>
  <conditionalFormatting sqref="L3:L209 L501:L600">
    <cfRule type="containsText" dxfId="267" priority="263" operator="containsText" text="N">
      <formula>NOT(ISERROR(SEARCH("N",L3)))</formula>
    </cfRule>
    <cfRule type="containsText" dxfId="266" priority="264" operator="containsText" text="O">
      <formula>NOT(ISERROR(SEARCH("O",L3)))</formula>
    </cfRule>
  </conditionalFormatting>
  <conditionalFormatting sqref="M3:M209 M501:M600">
    <cfRule type="containsText" dxfId="265" priority="262" operator="containsText" text="O">
      <formula>NOT(ISERROR(SEARCH("O",M3)))</formula>
    </cfRule>
  </conditionalFormatting>
  <conditionalFormatting sqref="N3:N209 N501:N600">
    <cfRule type="cellIs" dxfId="264" priority="261" operator="greaterThan">
      <formula>0</formula>
    </cfRule>
  </conditionalFormatting>
  <conditionalFormatting sqref="K3:K209 K501:K600">
    <cfRule type="containsText" dxfId="263" priority="260" operator="containsText" text="T">
      <formula>NOT(ISERROR(SEARCH("T",K3)))</formula>
    </cfRule>
  </conditionalFormatting>
  <conditionalFormatting sqref="L3:L209 L501:L600">
    <cfRule type="containsText" dxfId="262" priority="258" operator="containsText" text="N">
      <formula>NOT(ISERROR(SEARCH("N",L3)))</formula>
    </cfRule>
    <cfRule type="containsText" dxfId="261" priority="259" operator="containsText" text="O">
      <formula>NOT(ISERROR(SEARCH("O",L3)))</formula>
    </cfRule>
  </conditionalFormatting>
  <conditionalFormatting sqref="M3:M209 M501:M600">
    <cfRule type="containsText" dxfId="260" priority="257" operator="containsText" text="O">
      <formula>NOT(ISERROR(SEARCH("O",M3)))</formula>
    </cfRule>
  </conditionalFormatting>
  <conditionalFormatting sqref="N3:N209 N501:N600">
    <cfRule type="cellIs" dxfId="259" priority="256" operator="greaterThan">
      <formula>0</formula>
    </cfRule>
  </conditionalFormatting>
  <conditionalFormatting sqref="K3:K209 K501:K600">
    <cfRule type="containsText" dxfId="258" priority="255" operator="containsText" text="T">
      <formula>NOT(ISERROR(SEARCH("T",K3)))</formula>
    </cfRule>
  </conditionalFormatting>
  <conditionalFormatting sqref="L3:L209 L501:L600">
    <cfRule type="containsText" dxfId="257" priority="253" operator="containsText" text="N">
      <formula>NOT(ISERROR(SEARCH("N",L3)))</formula>
    </cfRule>
    <cfRule type="containsText" dxfId="256" priority="254" operator="containsText" text="O">
      <formula>NOT(ISERROR(SEARCH("O",L3)))</formula>
    </cfRule>
  </conditionalFormatting>
  <conditionalFormatting sqref="M3:M209 M501:M600">
    <cfRule type="containsText" dxfId="255" priority="252" operator="containsText" text="O">
      <formula>NOT(ISERROR(SEARCH("O",M3)))</formula>
    </cfRule>
  </conditionalFormatting>
  <conditionalFormatting sqref="N3:N209 N501:N600">
    <cfRule type="cellIs" dxfId="254" priority="251" operator="greaterThan">
      <formula>0</formula>
    </cfRule>
  </conditionalFormatting>
  <conditionalFormatting sqref="K3:K213 K501:K600">
    <cfRule type="containsText" dxfId="253" priority="250" operator="containsText" text="T">
      <formula>NOT(ISERROR(SEARCH("T",K3)))</formula>
    </cfRule>
  </conditionalFormatting>
  <conditionalFormatting sqref="L3:L213 L501:L600">
    <cfRule type="containsText" dxfId="252" priority="248" operator="containsText" text="N">
      <formula>NOT(ISERROR(SEARCH("N",L3)))</formula>
    </cfRule>
    <cfRule type="containsText" dxfId="251" priority="249" operator="containsText" text="O">
      <formula>NOT(ISERROR(SEARCH("O",L3)))</formula>
    </cfRule>
  </conditionalFormatting>
  <conditionalFormatting sqref="M3:M213 M501:M600">
    <cfRule type="containsText" dxfId="250" priority="247" operator="containsText" text="O">
      <formula>NOT(ISERROR(SEARCH("O",M3)))</formula>
    </cfRule>
  </conditionalFormatting>
  <conditionalFormatting sqref="N3:N213 N501:N600">
    <cfRule type="cellIs" dxfId="249" priority="246" operator="greaterThan">
      <formula>0</formula>
    </cfRule>
  </conditionalFormatting>
  <conditionalFormatting sqref="K3:K213 K501:K600">
    <cfRule type="containsText" dxfId="248" priority="245" operator="containsText" text="T">
      <formula>NOT(ISERROR(SEARCH("T",K3)))</formula>
    </cfRule>
  </conditionalFormatting>
  <conditionalFormatting sqref="L3:L213 L501:L600">
    <cfRule type="containsText" dxfId="247" priority="243" operator="containsText" text="N">
      <formula>NOT(ISERROR(SEARCH("N",L3)))</formula>
    </cfRule>
    <cfRule type="containsText" dxfId="246" priority="244" operator="containsText" text="O">
      <formula>NOT(ISERROR(SEARCH("O",L3)))</formula>
    </cfRule>
  </conditionalFormatting>
  <conditionalFormatting sqref="M3:M213 M501:M600">
    <cfRule type="containsText" dxfId="245" priority="242" operator="containsText" text="O">
      <formula>NOT(ISERROR(SEARCH("O",M3)))</formula>
    </cfRule>
  </conditionalFormatting>
  <conditionalFormatting sqref="N3:N213 N501:N600">
    <cfRule type="cellIs" dxfId="244" priority="241" operator="greaterThan">
      <formula>0</formula>
    </cfRule>
  </conditionalFormatting>
  <conditionalFormatting sqref="K3:K213 K501:K600">
    <cfRule type="containsText" dxfId="243" priority="240" operator="containsText" text="T">
      <formula>NOT(ISERROR(SEARCH("T",K3)))</formula>
    </cfRule>
  </conditionalFormatting>
  <conditionalFormatting sqref="L3:L213 L501:L600">
    <cfRule type="containsText" dxfId="242" priority="238" operator="containsText" text="N">
      <formula>NOT(ISERROR(SEARCH("N",L3)))</formula>
    </cfRule>
    <cfRule type="containsText" dxfId="241" priority="239" operator="containsText" text="O">
      <formula>NOT(ISERROR(SEARCH("O",L3)))</formula>
    </cfRule>
  </conditionalFormatting>
  <conditionalFormatting sqref="M3:M213 M501:M600">
    <cfRule type="containsText" dxfId="240" priority="237" operator="containsText" text="O">
      <formula>NOT(ISERROR(SEARCH("O",M3)))</formula>
    </cfRule>
  </conditionalFormatting>
  <conditionalFormatting sqref="N3:N213 N501:N600">
    <cfRule type="cellIs" dxfId="239" priority="236" operator="greaterThan">
      <formula>0</formula>
    </cfRule>
  </conditionalFormatting>
  <conditionalFormatting sqref="K3:K213 K501:K600">
    <cfRule type="containsText" dxfId="238" priority="235" operator="containsText" text="T">
      <formula>NOT(ISERROR(SEARCH("T",K3)))</formula>
    </cfRule>
  </conditionalFormatting>
  <conditionalFormatting sqref="L3:L213 L501:L600">
    <cfRule type="containsText" dxfId="237" priority="233" operator="containsText" text="N">
      <formula>NOT(ISERROR(SEARCH("N",L3)))</formula>
    </cfRule>
    <cfRule type="containsText" dxfId="236" priority="234" operator="containsText" text="O">
      <formula>NOT(ISERROR(SEARCH("O",L3)))</formula>
    </cfRule>
  </conditionalFormatting>
  <conditionalFormatting sqref="M3:M213 M501:M600">
    <cfRule type="containsText" dxfId="235" priority="232" operator="containsText" text="O">
      <formula>NOT(ISERROR(SEARCH("O",M3)))</formula>
    </cfRule>
  </conditionalFormatting>
  <conditionalFormatting sqref="N3:N213 N501:N600">
    <cfRule type="cellIs" dxfId="234" priority="231" operator="greaterThan">
      <formula>0</formula>
    </cfRule>
  </conditionalFormatting>
  <conditionalFormatting sqref="K3:K215 K501:K600">
    <cfRule type="containsText" dxfId="233" priority="230" operator="containsText" text="T">
      <formula>NOT(ISERROR(SEARCH("T",K3)))</formula>
    </cfRule>
  </conditionalFormatting>
  <conditionalFormatting sqref="L3:L215 L501:L600">
    <cfRule type="containsText" dxfId="232" priority="228" operator="containsText" text="N">
      <formula>NOT(ISERROR(SEARCH("N",L3)))</formula>
    </cfRule>
    <cfRule type="containsText" dxfId="231" priority="229" operator="containsText" text="O">
      <formula>NOT(ISERROR(SEARCH("O",L3)))</formula>
    </cfRule>
  </conditionalFormatting>
  <conditionalFormatting sqref="M3:M215 M501:M600">
    <cfRule type="containsText" dxfId="230" priority="227" operator="containsText" text="O">
      <formula>NOT(ISERROR(SEARCH("O",M3)))</formula>
    </cfRule>
  </conditionalFormatting>
  <conditionalFormatting sqref="N3:N215 N501:N600">
    <cfRule type="cellIs" dxfId="229" priority="226" operator="greaterThan">
      <formula>0</formula>
    </cfRule>
  </conditionalFormatting>
  <conditionalFormatting sqref="K3:K215 K501:K600">
    <cfRule type="containsText" dxfId="228" priority="225" operator="containsText" text="T">
      <formula>NOT(ISERROR(SEARCH("T",K3)))</formula>
    </cfRule>
  </conditionalFormatting>
  <conditionalFormatting sqref="L3:L215 L501:L600">
    <cfRule type="containsText" dxfId="227" priority="223" operator="containsText" text="N">
      <formula>NOT(ISERROR(SEARCH("N",L3)))</formula>
    </cfRule>
    <cfRule type="containsText" dxfId="226" priority="224" operator="containsText" text="O">
      <formula>NOT(ISERROR(SEARCH("O",L3)))</formula>
    </cfRule>
  </conditionalFormatting>
  <conditionalFormatting sqref="M3:M215 M501:M600">
    <cfRule type="containsText" dxfId="225" priority="222" operator="containsText" text="O">
      <formula>NOT(ISERROR(SEARCH("O",M3)))</formula>
    </cfRule>
  </conditionalFormatting>
  <conditionalFormatting sqref="N3:N215 N501:N600">
    <cfRule type="cellIs" dxfId="224" priority="221" operator="greaterThan">
      <formula>0</formula>
    </cfRule>
  </conditionalFormatting>
  <conditionalFormatting sqref="K3:K215 K501:K600">
    <cfRule type="containsText" dxfId="223" priority="220" operator="containsText" text="T">
      <formula>NOT(ISERROR(SEARCH("T",K3)))</formula>
    </cfRule>
  </conditionalFormatting>
  <conditionalFormatting sqref="L3:L215 L501:L600">
    <cfRule type="containsText" dxfId="222" priority="218" operator="containsText" text="N">
      <formula>NOT(ISERROR(SEARCH("N",L3)))</formula>
    </cfRule>
    <cfRule type="containsText" dxfId="221" priority="219" operator="containsText" text="O">
      <formula>NOT(ISERROR(SEARCH("O",L3)))</formula>
    </cfRule>
  </conditionalFormatting>
  <conditionalFormatting sqref="M3:M215 M501:M600">
    <cfRule type="containsText" dxfId="220" priority="217" operator="containsText" text="O">
      <formula>NOT(ISERROR(SEARCH("O",M3)))</formula>
    </cfRule>
  </conditionalFormatting>
  <conditionalFormatting sqref="N3:N215 N501:N600">
    <cfRule type="cellIs" dxfId="219" priority="216" operator="greaterThan">
      <formula>0</formula>
    </cfRule>
  </conditionalFormatting>
  <conditionalFormatting sqref="K3:K215 K501:K600">
    <cfRule type="containsText" dxfId="218" priority="215" operator="containsText" text="T">
      <formula>NOT(ISERROR(SEARCH("T",K3)))</formula>
    </cfRule>
  </conditionalFormatting>
  <conditionalFormatting sqref="L3:L215 L501:L600">
    <cfRule type="containsText" dxfId="217" priority="213" operator="containsText" text="N">
      <formula>NOT(ISERROR(SEARCH("N",L3)))</formula>
    </cfRule>
    <cfRule type="containsText" dxfId="216" priority="214" operator="containsText" text="O">
      <formula>NOT(ISERROR(SEARCH("O",L3)))</formula>
    </cfRule>
  </conditionalFormatting>
  <conditionalFormatting sqref="M3:M215 M501:M600">
    <cfRule type="containsText" dxfId="215" priority="212" operator="containsText" text="O">
      <formula>NOT(ISERROR(SEARCH("O",M3)))</formula>
    </cfRule>
  </conditionalFormatting>
  <conditionalFormatting sqref="N3:N215 N501:N600">
    <cfRule type="cellIs" dxfId="214" priority="211" operator="greaterThan">
      <formula>0</formula>
    </cfRule>
  </conditionalFormatting>
  <conditionalFormatting sqref="K3:K216 K501:K600">
    <cfRule type="containsText" dxfId="213" priority="210" operator="containsText" text="T">
      <formula>NOT(ISERROR(SEARCH("T",K3)))</formula>
    </cfRule>
  </conditionalFormatting>
  <conditionalFormatting sqref="L3:L216 L501:L600">
    <cfRule type="containsText" dxfId="212" priority="208" operator="containsText" text="N">
      <formula>NOT(ISERROR(SEARCH("N",L3)))</formula>
    </cfRule>
    <cfRule type="containsText" dxfId="211" priority="209" operator="containsText" text="O">
      <formula>NOT(ISERROR(SEARCH("O",L3)))</formula>
    </cfRule>
  </conditionalFormatting>
  <conditionalFormatting sqref="M3:M216 M501:M600">
    <cfRule type="containsText" dxfId="210" priority="207" operator="containsText" text="O">
      <formula>NOT(ISERROR(SEARCH("O",M3)))</formula>
    </cfRule>
  </conditionalFormatting>
  <conditionalFormatting sqref="N3:N216 N501:N600">
    <cfRule type="cellIs" dxfId="209" priority="206" operator="greaterThan">
      <formula>0</formula>
    </cfRule>
  </conditionalFormatting>
  <conditionalFormatting sqref="K3:K216 K501:K600">
    <cfRule type="containsText" dxfId="208" priority="205" operator="containsText" text="T">
      <formula>NOT(ISERROR(SEARCH("T",K3)))</formula>
    </cfRule>
  </conditionalFormatting>
  <conditionalFormatting sqref="L3:L216 L501:L600">
    <cfRule type="containsText" dxfId="207" priority="203" operator="containsText" text="N">
      <formula>NOT(ISERROR(SEARCH("N",L3)))</formula>
    </cfRule>
    <cfRule type="containsText" dxfId="206" priority="204" operator="containsText" text="O">
      <formula>NOT(ISERROR(SEARCH("O",L3)))</formula>
    </cfRule>
  </conditionalFormatting>
  <conditionalFormatting sqref="M3:M216 M501:M600">
    <cfRule type="containsText" dxfId="205" priority="202" operator="containsText" text="O">
      <formula>NOT(ISERROR(SEARCH("O",M3)))</formula>
    </cfRule>
  </conditionalFormatting>
  <conditionalFormatting sqref="N3:N216 N501:N600">
    <cfRule type="cellIs" dxfId="204" priority="201" operator="greaterThan">
      <formula>0</formula>
    </cfRule>
  </conditionalFormatting>
  <conditionalFormatting sqref="K3:K216 K501:K600">
    <cfRule type="containsText" dxfId="203" priority="200" operator="containsText" text="T">
      <formula>NOT(ISERROR(SEARCH("T",K3)))</formula>
    </cfRule>
  </conditionalFormatting>
  <conditionalFormatting sqref="L3:L216 L501:L600">
    <cfRule type="containsText" dxfId="202" priority="199" operator="containsText" text="O">
      <formula>NOT(ISERROR(SEARCH("O",L3)))</formula>
    </cfRule>
  </conditionalFormatting>
  <conditionalFormatting sqref="L3:L216 L501:L600">
    <cfRule type="containsText" dxfId="201" priority="198" operator="containsText" text="N">
      <formula>NOT(ISERROR(SEARCH("N",L3)))</formula>
    </cfRule>
  </conditionalFormatting>
  <conditionalFormatting sqref="M3:M216 M501:M600">
    <cfRule type="containsText" dxfId="200" priority="197" operator="containsText" text="O">
      <formula>NOT(ISERROR(SEARCH("O",M3)))</formula>
    </cfRule>
  </conditionalFormatting>
  <conditionalFormatting sqref="N3:N216 N501:N600">
    <cfRule type="cellIs" dxfId="199" priority="196" operator="greaterThan">
      <formula>0</formula>
    </cfRule>
  </conditionalFormatting>
  <conditionalFormatting sqref="K3:K218 K501:K600">
    <cfRule type="containsText" dxfId="198" priority="195" operator="containsText" text="T">
      <formula>NOT(ISERROR(SEARCH("T",K3)))</formula>
    </cfRule>
  </conditionalFormatting>
  <conditionalFormatting sqref="L3:L218 L501:L600">
    <cfRule type="containsText" dxfId="197" priority="194" operator="containsText" text="O">
      <formula>NOT(ISERROR(SEARCH("O",L3)))</formula>
    </cfRule>
  </conditionalFormatting>
  <conditionalFormatting sqref="L3:L218 L501:L600">
    <cfRule type="containsText" dxfId="196" priority="193" operator="containsText" text="N">
      <formula>NOT(ISERROR(SEARCH("N",L3)))</formula>
    </cfRule>
  </conditionalFormatting>
  <conditionalFormatting sqref="M3:M218 M501:M600">
    <cfRule type="containsText" dxfId="195" priority="192" operator="containsText" text="O">
      <formula>NOT(ISERROR(SEARCH("O",M3)))</formula>
    </cfRule>
  </conditionalFormatting>
  <conditionalFormatting sqref="N3:N218 N501:N600">
    <cfRule type="cellIs" dxfId="194" priority="191" operator="greaterThan">
      <formula>0</formula>
    </cfRule>
  </conditionalFormatting>
  <conditionalFormatting sqref="K3:K218 K501:K600">
    <cfRule type="containsText" dxfId="193" priority="190" operator="containsText" text="T">
      <formula>NOT(ISERROR(SEARCH("T",K3)))</formula>
    </cfRule>
  </conditionalFormatting>
  <conditionalFormatting sqref="L3:L218 L501:L600">
    <cfRule type="containsText" dxfId="192" priority="188" operator="containsText" text="N">
      <formula>NOT(ISERROR(SEARCH("N",L3)))</formula>
    </cfRule>
    <cfRule type="containsText" dxfId="191" priority="189" operator="containsText" text="O">
      <formula>NOT(ISERROR(SEARCH("O",L3)))</formula>
    </cfRule>
  </conditionalFormatting>
  <conditionalFormatting sqref="M3:M218 M501:M600">
    <cfRule type="containsText" dxfId="190" priority="187" operator="containsText" text="O">
      <formula>NOT(ISERROR(SEARCH("O",M3)))</formula>
    </cfRule>
  </conditionalFormatting>
  <conditionalFormatting sqref="N3:N218 N501:N600">
    <cfRule type="cellIs" dxfId="189" priority="186" operator="greaterThan">
      <formula>0</formula>
    </cfRule>
  </conditionalFormatting>
  <conditionalFormatting sqref="K3:K218 K501:K600">
    <cfRule type="containsText" dxfId="188" priority="185" operator="containsText" text="T">
      <formula>NOT(ISERROR(SEARCH("T",K3)))</formula>
    </cfRule>
  </conditionalFormatting>
  <conditionalFormatting sqref="L3:L218 L501:L600">
    <cfRule type="containsText" dxfId="187" priority="183" operator="containsText" text="N">
      <formula>NOT(ISERROR(SEARCH("N",L3)))</formula>
    </cfRule>
    <cfRule type="containsText" dxfId="186" priority="184" operator="containsText" text="O">
      <formula>NOT(ISERROR(SEARCH("O",L3)))</formula>
    </cfRule>
  </conditionalFormatting>
  <conditionalFormatting sqref="M3:M218 M501:M600">
    <cfRule type="containsText" dxfId="185" priority="182" operator="containsText" text="O">
      <formula>NOT(ISERROR(SEARCH("O",M3)))</formula>
    </cfRule>
  </conditionalFormatting>
  <conditionalFormatting sqref="N3:N218 N501:N600">
    <cfRule type="cellIs" dxfId="184" priority="181" operator="greaterThan">
      <formula>0</formula>
    </cfRule>
  </conditionalFormatting>
  <conditionalFormatting sqref="K3:K218 K501:K600">
    <cfRule type="containsText" dxfId="183" priority="180" operator="containsText" text="T">
      <formula>NOT(ISERROR(SEARCH("T",K3)))</formula>
    </cfRule>
  </conditionalFormatting>
  <conditionalFormatting sqref="L3:L218 L501:L600">
    <cfRule type="containsText" dxfId="182" priority="178" operator="containsText" text="N">
      <formula>NOT(ISERROR(SEARCH("N",L3)))</formula>
    </cfRule>
    <cfRule type="containsText" dxfId="181" priority="179" operator="containsText" text="O">
      <formula>NOT(ISERROR(SEARCH("O",L3)))</formula>
    </cfRule>
  </conditionalFormatting>
  <conditionalFormatting sqref="M3:M218 M501:M600">
    <cfRule type="containsText" dxfId="180" priority="177" operator="containsText" text="O">
      <formula>NOT(ISERROR(SEARCH("O",M3)))</formula>
    </cfRule>
  </conditionalFormatting>
  <conditionalFormatting sqref="N3:N218 N501:N600">
    <cfRule type="cellIs" dxfId="179" priority="176" operator="greaterThan">
      <formula>0</formula>
    </cfRule>
  </conditionalFormatting>
  <conditionalFormatting sqref="K3:K218 K501:K600">
    <cfRule type="containsText" dxfId="178" priority="175" operator="containsText" text="T">
      <formula>NOT(ISERROR(SEARCH("T",K3)))</formula>
    </cfRule>
  </conditionalFormatting>
  <conditionalFormatting sqref="L3:L218 L501:L600">
    <cfRule type="containsText" dxfId="177" priority="173" operator="containsText" text="N">
      <formula>NOT(ISERROR(SEARCH("N",L3)))</formula>
    </cfRule>
    <cfRule type="containsText" dxfId="176" priority="174" operator="containsText" text="O">
      <formula>NOT(ISERROR(SEARCH("O",L3)))</formula>
    </cfRule>
  </conditionalFormatting>
  <conditionalFormatting sqref="M3:M218 M501:M600">
    <cfRule type="containsText" dxfId="175" priority="172" operator="containsText" text="O">
      <formula>NOT(ISERROR(SEARCH("O",M3)))</formula>
    </cfRule>
  </conditionalFormatting>
  <conditionalFormatting sqref="N3:N218 N501:N600">
    <cfRule type="cellIs" dxfId="174" priority="171" operator="greaterThan">
      <formula>0</formula>
    </cfRule>
  </conditionalFormatting>
  <conditionalFormatting sqref="K3:K220 K501:K600">
    <cfRule type="containsText" dxfId="173" priority="170" operator="containsText" text="T">
      <formula>NOT(ISERROR(SEARCH("T",K3)))</formula>
    </cfRule>
  </conditionalFormatting>
  <conditionalFormatting sqref="L3:L220 L501:L600">
    <cfRule type="containsText" dxfId="172" priority="168" operator="containsText" text="N">
      <formula>NOT(ISERROR(SEARCH("N",L3)))</formula>
    </cfRule>
    <cfRule type="containsText" dxfId="171" priority="169" operator="containsText" text="O">
      <formula>NOT(ISERROR(SEARCH("O",L3)))</formula>
    </cfRule>
  </conditionalFormatting>
  <conditionalFormatting sqref="M3:M220 M501:M600">
    <cfRule type="containsText" dxfId="170" priority="167" operator="containsText" text="O">
      <formula>NOT(ISERROR(SEARCH("O",M3)))</formula>
    </cfRule>
  </conditionalFormatting>
  <conditionalFormatting sqref="N3:N220 N501:N600">
    <cfRule type="cellIs" dxfId="169" priority="166" operator="greaterThan">
      <formula>0</formula>
    </cfRule>
  </conditionalFormatting>
  <conditionalFormatting sqref="K3:K220 K501:K600">
    <cfRule type="containsText" dxfId="168" priority="165" operator="containsText" text="T">
      <formula>NOT(ISERROR(SEARCH("T",K3)))</formula>
    </cfRule>
  </conditionalFormatting>
  <conditionalFormatting sqref="L3:L220 L501:L600">
    <cfRule type="containsText" dxfId="167" priority="163" operator="containsText" text="N">
      <formula>NOT(ISERROR(SEARCH("N",L3)))</formula>
    </cfRule>
    <cfRule type="containsText" dxfId="166" priority="164" operator="containsText" text="O">
      <formula>NOT(ISERROR(SEARCH("O",L3)))</formula>
    </cfRule>
  </conditionalFormatting>
  <conditionalFormatting sqref="M3:M220 M501:M600">
    <cfRule type="containsText" dxfId="165" priority="162" operator="containsText" text="O">
      <formula>NOT(ISERROR(SEARCH("O",M3)))</formula>
    </cfRule>
  </conditionalFormatting>
  <conditionalFormatting sqref="N3:N220 N501:N600">
    <cfRule type="cellIs" dxfId="164" priority="161" operator="greaterThan">
      <formula>0</formula>
    </cfRule>
  </conditionalFormatting>
  <conditionalFormatting sqref="K3:K220 K501:K600">
    <cfRule type="containsText" dxfId="163" priority="160" operator="containsText" text="T">
      <formula>NOT(ISERROR(SEARCH("T",K3)))</formula>
    </cfRule>
  </conditionalFormatting>
  <conditionalFormatting sqref="L3:L220 L501:L600">
    <cfRule type="containsText" dxfId="162" priority="158" operator="containsText" text="N">
      <formula>NOT(ISERROR(SEARCH("N",L3)))</formula>
    </cfRule>
    <cfRule type="containsText" dxfId="161" priority="159" operator="containsText" text="O">
      <formula>NOT(ISERROR(SEARCH("O",L3)))</formula>
    </cfRule>
  </conditionalFormatting>
  <conditionalFormatting sqref="M3:M220 M501:M600">
    <cfRule type="containsText" dxfId="160" priority="157" operator="containsText" text="O">
      <formula>NOT(ISERROR(SEARCH("O",M3)))</formula>
    </cfRule>
  </conditionalFormatting>
  <conditionalFormatting sqref="N3:N220 N501:N600">
    <cfRule type="cellIs" dxfId="159" priority="156" operator="greaterThan">
      <formula>0</formula>
    </cfRule>
  </conditionalFormatting>
  <conditionalFormatting sqref="K3:K222 K501:K600">
    <cfRule type="containsText" dxfId="158" priority="155" operator="containsText" text="T">
      <formula>NOT(ISERROR(SEARCH("T",K3)))</formula>
    </cfRule>
  </conditionalFormatting>
  <conditionalFormatting sqref="L3:L222 L501:L600">
    <cfRule type="containsText" dxfId="157" priority="153" operator="containsText" text="N">
      <formula>NOT(ISERROR(SEARCH("N",L3)))</formula>
    </cfRule>
    <cfRule type="containsText" dxfId="156" priority="154" operator="containsText" text="O">
      <formula>NOT(ISERROR(SEARCH("O",L3)))</formula>
    </cfRule>
  </conditionalFormatting>
  <conditionalFormatting sqref="M3:M222 M501:M600">
    <cfRule type="containsText" dxfId="155" priority="152" operator="containsText" text="O">
      <formula>NOT(ISERROR(SEARCH("O",M3)))</formula>
    </cfRule>
  </conditionalFormatting>
  <conditionalFormatting sqref="N3:N222 N501:N600">
    <cfRule type="cellIs" dxfId="154" priority="151" operator="greaterThan">
      <formula>0</formula>
    </cfRule>
  </conditionalFormatting>
  <conditionalFormatting sqref="K3:K225 K501:K600">
    <cfRule type="containsText" dxfId="153" priority="150" operator="containsText" text="T">
      <formula>NOT(ISERROR(SEARCH("T",K3)))</formula>
    </cfRule>
  </conditionalFormatting>
  <conditionalFormatting sqref="L3:L225 L501:L600">
    <cfRule type="containsText" dxfId="152" priority="148" operator="containsText" text="N">
      <formula>NOT(ISERROR(SEARCH("N",L3)))</formula>
    </cfRule>
    <cfRule type="containsText" dxfId="151" priority="149" operator="containsText" text="O">
      <formula>NOT(ISERROR(SEARCH("O",L3)))</formula>
    </cfRule>
  </conditionalFormatting>
  <conditionalFormatting sqref="M3:M225 M501:M600">
    <cfRule type="containsText" dxfId="150" priority="147" operator="containsText" text="O">
      <formula>NOT(ISERROR(SEARCH("O",M3)))</formula>
    </cfRule>
  </conditionalFormatting>
  <conditionalFormatting sqref="N3:N225 N501:N600">
    <cfRule type="cellIs" dxfId="149" priority="146" operator="greaterThan">
      <formula>0</formula>
    </cfRule>
  </conditionalFormatting>
  <conditionalFormatting sqref="K3:K226 K501:K600">
    <cfRule type="containsText" dxfId="148" priority="145" operator="containsText" text="T">
      <formula>NOT(ISERROR(SEARCH("T",K3)))</formula>
    </cfRule>
  </conditionalFormatting>
  <conditionalFormatting sqref="L3:L226 L501:L600">
    <cfRule type="containsText" dxfId="147" priority="143" operator="containsText" text="N">
      <formula>NOT(ISERROR(SEARCH("N",L3)))</formula>
    </cfRule>
    <cfRule type="containsText" dxfId="146" priority="144" operator="containsText" text="O">
      <formula>NOT(ISERROR(SEARCH("O",L3)))</formula>
    </cfRule>
  </conditionalFormatting>
  <conditionalFormatting sqref="M3:M226 M501:M600">
    <cfRule type="containsText" dxfId="145" priority="142" operator="containsText" text="O">
      <formula>NOT(ISERROR(SEARCH("O",M3)))</formula>
    </cfRule>
  </conditionalFormatting>
  <conditionalFormatting sqref="N3:N226 N501:N600">
    <cfRule type="cellIs" dxfId="144" priority="141" operator="greaterThan">
      <formula>0</formula>
    </cfRule>
  </conditionalFormatting>
  <conditionalFormatting sqref="K3:K228 K501:K600">
    <cfRule type="containsText" dxfId="143" priority="140" operator="containsText" text="T">
      <formula>NOT(ISERROR(SEARCH("T",K3)))</formula>
    </cfRule>
  </conditionalFormatting>
  <conditionalFormatting sqref="L3:L228 L501:L600">
    <cfRule type="containsText" dxfId="142" priority="139" operator="containsText" text="O">
      <formula>NOT(ISERROR(SEARCH("O",L3)))</formula>
    </cfRule>
  </conditionalFormatting>
  <conditionalFormatting sqref="L3:L228 L501:L600">
    <cfRule type="containsText" dxfId="141" priority="138" operator="containsText" text="N">
      <formula>NOT(ISERROR(SEARCH("N",L3)))</formula>
    </cfRule>
  </conditionalFormatting>
  <conditionalFormatting sqref="M3:M228 M501:M600">
    <cfRule type="containsText" dxfId="140" priority="137" operator="containsText" text="O">
      <formula>NOT(ISERROR(SEARCH("O",M3)))</formula>
    </cfRule>
  </conditionalFormatting>
  <conditionalFormatting sqref="N3:N228 N501:N600">
    <cfRule type="cellIs" dxfId="139" priority="136" operator="greaterThan">
      <formula>0</formula>
    </cfRule>
  </conditionalFormatting>
  <conditionalFormatting sqref="K3:K229 K501:K600">
    <cfRule type="containsText" dxfId="138" priority="135" operator="containsText" text="T">
      <formula>NOT(ISERROR(SEARCH("T",K3)))</formula>
    </cfRule>
  </conditionalFormatting>
  <conditionalFormatting sqref="L3:L229 L501:L600">
    <cfRule type="containsText" dxfId="137" priority="133" operator="containsText" text="N">
      <formula>NOT(ISERROR(SEARCH("N",L3)))</formula>
    </cfRule>
    <cfRule type="containsText" dxfId="136" priority="134" operator="containsText" text="O">
      <formula>NOT(ISERROR(SEARCH("O",L3)))</formula>
    </cfRule>
  </conditionalFormatting>
  <conditionalFormatting sqref="M3:M229 M501:M600">
    <cfRule type="containsText" dxfId="135" priority="132" operator="containsText" text="O">
      <formula>NOT(ISERROR(SEARCH("O",M3)))</formula>
    </cfRule>
  </conditionalFormatting>
  <conditionalFormatting sqref="N3:N229 N501:N600">
    <cfRule type="cellIs" dxfId="134" priority="131" operator="greaterThan">
      <formula>0</formula>
    </cfRule>
  </conditionalFormatting>
  <conditionalFormatting sqref="K3:K229 K501:K600">
    <cfRule type="containsText" dxfId="133" priority="130" operator="containsText" text="T">
      <formula>NOT(ISERROR(SEARCH("T",K3)))</formula>
    </cfRule>
  </conditionalFormatting>
  <conditionalFormatting sqref="L3:L229 L501:L600">
    <cfRule type="containsText" dxfId="132" priority="128" operator="containsText" text="N">
      <formula>NOT(ISERROR(SEARCH("N",L3)))</formula>
    </cfRule>
    <cfRule type="containsText" dxfId="131" priority="129" operator="containsText" text="O">
      <formula>NOT(ISERROR(SEARCH("O",L3)))</formula>
    </cfRule>
  </conditionalFormatting>
  <conditionalFormatting sqref="M3:M229 M501:M600">
    <cfRule type="containsText" dxfId="130" priority="127" operator="containsText" text="O">
      <formula>NOT(ISERROR(SEARCH("O",M3)))</formula>
    </cfRule>
  </conditionalFormatting>
  <conditionalFormatting sqref="N3:N229 N501:N600">
    <cfRule type="cellIs" dxfId="129" priority="126" operator="greaterThan">
      <formula>0</formula>
    </cfRule>
  </conditionalFormatting>
  <conditionalFormatting sqref="K3:K229 K501:K600">
    <cfRule type="containsText" dxfId="128" priority="125" operator="containsText" text="T">
      <formula>NOT(ISERROR(SEARCH("T",K3)))</formula>
    </cfRule>
  </conditionalFormatting>
  <conditionalFormatting sqref="L3:L229 L501:L600">
    <cfRule type="containsText" dxfId="127" priority="123" operator="containsText" text="N">
      <formula>NOT(ISERROR(SEARCH("N",L3)))</formula>
    </cfRule>
    <cfRule type="containsText" dxfId="126" priority="124" operator="containsText" text="O">
      <formula>NOT(ISERROR(SEARCH("O",L3)))</formula>
    </cfRule>
  </conditionalFormatting>
  <conditionalFormatting sqref="M3:M229 M501:M600">
    <cfRule type="containsText" dxfId="125" priority="122" operator="containsText" text="O">
      <formula>NOT(ISERROR(SEARCH("O",M3)))</formula>
    </cfRule>
  </conditionalFormatting>
  <conditionalFormatting sqref="N3:N229 N501:N600">
    <cfRule type="cellIs" dxfId="124" priority="121" operator="greaterThan">
      <formula>0</formula>
    </cfRule>
  </conditionalFormatting>
  <conditionalFormatting sqref="K3:K229 K501:K600">
    <cfRule type="containsText" dxfId="123" priority="120" operator="containsText" text="T">
      <formula>NOT(ISERROR(SEARCH("T",K3)))</formula>
    </cfRule>
  </conditionalFormatting>
  <conditionalFormatting sqref="L3:L229 L501:L600">
    <cfRule type="containsText" dxfId="122" priority="118" operator="containsText" text="N">
      <formula>NOT(ISERROR(SEARCH("N",L3)))</formula>
    </cfRule>
    <cfRule type="containsText" dxfId="121" priority="119" operator="containsText" text="O">
      <formula>NOT(ISERROR(SEARCH("O",L3)))</formula>
    </cfRule>
  </conditionalFormatting>
  <conditionalFormatting sqref="M3:M229 M501:M600">
    <cfRule type="containsText" dxfId="120" priority="117" operator="containsText" text="O">
      <formula>NOT(ISERROR(SEARCH("O",M3)))</formula>
    </cfRule>
  </conditionalFormatting>
  <conditionalFormatting sqref="N3:N229 N501:N600">
    <cfRule type="cellIs" dxfId="119" priority="116" operator="greaterThan">
      <formula>0</formula>
    </cfRule>
  </conditionalFormatting>
  <conditionalFormatting sqref="K3:K229 K501:K600">
    <cfRule type="containsText" dxfId="118" priority="115" operator="containsText" text="T">
      <formula>NOT(ISERROR(SEARCH("T",K3)))</formula>
    </cfRule>
  </conditionalFormatting>
  <conditionalFormatting sqref="L3:L229 L501:L600">
    <cfRule type="containsText" dxfId="117" priority="113" operator="containsText" text="N">
      <formula>NOT(ISERROR(SEARCH("N",L3)))</formula>
    </cfRule>
    <cfRule type="containsText" dxfId="116" priority="114" operator="containsText" text="O">
      <formula>NOT(ISERROR(SEARCH("O",L3)))</formula>
    </cfRule>
  </conditionalFormatting>
  <conditionalFormatting sqref="M3:M229 M501:M600">
    <cfRule type="containsText" dxfId="115" priority="112" operator="containsText" text="O">
      <formula>NOT(ISERROR(SEARCH("O",M3)))</formula>
    </cfRule>
  </conditionalFormatting>
  <conditionalFormatting sqref="N3:N229 N501:N600">
    <cfRule type="cellIs" dxfId="114" priority="111" operator="greaterThan">
      <formula>0</formula>
    </cfRule>
  </conditionalFormatting>
  <conditionalFormatting sqref="K3:K229 K501:K600">
    <cfRule type="containsText" dxfId="113" priority="110" operator="containsText" text="T">
      <formula>NOT(ISERROR(SEARCH("T",K3)))</formula>
    </cfRule>
  </conditionalFormatting>
  <conditionalFormatting sqref="L3:L229 L501:L600">
    <cfRule type="containsText" dxfId="112" priority="108" operator="containsText" text="N">
      <formula>NOT(ISERROR(SEARCH("N",L3)))</formula>
    </cfRule>
    <cfRule type="containsText" dxfId="111" priority="109" operator="containsText" text="O">
      <formula>NOT(ISERROR(SEARCH("O",L3)))</formula>
    </cfRule>
  </conditionalFormatting>
  <conditionalFormatting sqref="M3:M229 M501:M600">
    <cfRule type="containsText" dxfId="110" priority="107" operator="containsText" text="O">
      <formula>NOT(ISERROR(SEARCH("O",M3)))</formula>
    </cfRule>
  </conditionalFormatting>
  <conditionalFormatting sqref="N3:N229 N501:N600">
    <cfRule type="cellIs" dxfId="109" priority="106" operator="greaterThan">
      <formula>0</formula>
    </cfRule>
  </conditionalFormatting>
  <conditionalFormatting sqref="K3:K229 K501:K600">
    <cfRule type="containsText" dxfId="108" priority="105" operator="containsText" text="T">
      <formula>NOT(ISERROR(SEARCH("T",K3)))</formula>
    </cfRule>
  </conditionalFormatting>
  <conditionalFormatting sqref="L3:L229 L501:L600">
    <cfRule type="containsText" dxfId="107" priority="103" operator="containsText" text="N">
      <formula>NOT(ISERROR(SEARCH("N",L3)))</formula>
    </cfRule>
    <cfRule type="containsText" dxfId="106" priority="104" operator="containsText" text="O">
      <formula>NOT(ISERROR(SEARCH("O",L3)))</formula>
    </cfRule>
  </conditionalFormatting>
  <conditionalFormatting sqref="M3:M229 M501:M600">
    <cfRule type="containsText" dxfId="105" priority="102" operator="containsText" text="O">
      <formula>NOT(ISERROR(SEARCH("O",M3)))</formula>
    </cfRule>
  </conditionalFormatting>
  <conditionalFormatting sqref="N3:N229 N501:N600">
    <cfRule type="cellIs" dxfId="104" priority="101" operator="greaterThan">
      <formula>0</formula>
    </cfRule>
  </conditionalFormatting>
  <conditionalFormatting sqref="K3:K229 K501:K600">
    <cfRule type="containsText" dxfId="103" priority="100" operator="containsText" text="T">
      <formula>NOT(ISERROR(SEARCH("T",K3)))</formula>
    </cfRule>
  </conditionalFormatting>
  <conditionalFormatting sqref="L3:L229 L501:L600">
    <cfRule type="containsText" dxfId="102" priority="99" operator="containsText" text="O">
      <formula>NOT(ISERROR(SEARCH("O",L3)))</formula>
    </cfRule>
  </conditionalFormatting>
  <conditionalFormatting sqref="L3:L229 L501:L600">
    <cfRule type="containsText" dxfId="101" priority="98" operator="containsText" text="N">
      <formula>NOT(ISERROR(SEARCH("N",L3)))</formula>
    </cfRule>
  </conditionalFormatting>
  <conditionalFormatting sqref="M3:M229 M501:M600">
    <cfRule type="containsText" dxfId="100" priority="97" operator="containsText" text="O">
      <formula>NOT(ISERROR(SEARCH("O",M3)))</formula>
    </cfRule>
  </conditionalFormatting>
  <conditionalFormatting sqref="N3:N229 N501:N600">
    <cfRule type="cellIs" dxfId="99" priority="96" operator="greaterThan">
      <formula>0</formula>
    </cfRule>
  </conditionalFormatting>
  <conditionalFormatting sqref="K3:K230 K501:K600">
    <cfRule type="containsText" dxfId="98" priority="95" operator="containsText" text="T">
      <formula>NOT(ISERROR(SEARCH("T",K3)))</formula>
    </cfRule>
  </conditionalFormatting>
  <conditionalFormatting sqref="L3:L230 L501:L600">
    <cfRule type="containsText" dxfId="97" priority="93" operator="containsText" text="N">
      <formula>NOT(ISERROR(SEARCH("N",L3)))</formula>
    </cfRule>
    <cfRule type="containsText" dxfId="96" priority="94" operator="containsText" text="O">
      <formula>NOT(ISERROR(SEARCH("O",L3)))</formula>
    </cfRule>
  </conditionalFormatting>
  <conditionalFormatting sqref="M3:M230 M501:M600">
    <cfRule type="containsText" dxfId="95" priority="92" operator="containsText" text="O">
      <formula>NOT(ISERROR(SEARCH("O",M3)))</formula>
    </cfRule>
  </conditionalFormatting>
  <conditionalFormatting sqref="N3:N230 N501:N600">
    <cfRule type="cellIs" dxfId="94" priority="91" operator="greaterThan">
      <formula>0</formula>
    </cfRule>
  </conditionalFormatting>
  <conditionalFormatting sqref="K3:K230 K501:K600">
    <cfRule type="containsText" dxfId="93" priority="90" operator="containsText" text="T">
      <formula>NOT(ISERROR(SEARCH("T",K3)))</formula>
    </cfRule>
  </conditionalFormatting>
  <conditionalFormatting sqref="L3:L230 L501:L600">
    <cfRule type="containsText" dxfId="92" priority="88" operator="containsText" text="N">
      <formula>NOT(ISERROR(SEARCH("N",L3)))</formula>
    </cfRule>
    <cfRule type="containsText" dxfId="91" priority="89" operator="containsText" text="O">
      <formula>NOT(ISERROR(SEARCH("O",L3)))</formula>
    </cfRule>
  </conditionalFormatting>
  <conditionalFormatting sqref="M3:M230 M501:M600">
    <cfRule type="containsText" dxfId="90" priority="87" operator="containsText" text="O">
      <formula>NOT(ISERROR(SEARCH("O",M3)))</formula>
    </cfRule>
  </conditionalFormatting>
  <conditionalFormatting sqref="N3:N230 N501:N600">
    <cfRule type="cellIs" dxfId="89" priority="86" operator="greaterThan">
      <formula>0</formula>
    </cfRule>
  </conditionalFormatting>
  <conditionalFormatting sqref="K3:K230 K501:K600">
    <cfRule type="containsText" dxfId="88" priority="85" operator="containsText" text="T">
      <formula>NOT(ISERROR(SEARCH("T",K3)))</formula>
    </cfRule>
  </conditionalFormatting>
  <conditionalFormatting sqref="L3:L230 L501:L600">
    <cfRule type="containsText" dxfId="87" priority="83" operator="containsText" text="N">
      <formula>NOT(ISERROR(SEARCH("N",L3)))</formula>
    </cfRule>
    <cfRule type="containsText" dxfId="86" priority="84" operator="containsText" text="O">
      <formula>NOT(ISERROR(SEARCH("O",L3)))</formula>
    </cfRule>
  </conditionalFormatting>
  <conditionalFormatting sqref="M3:M230 M501:M600">
    <cfRule type="containsText" dxfId="85" priority="82" operator="containsText" text="O">
      <formula>NOT(ISERROR(SEARCH("O",M3)))</formula>
    </cfRule>
  </conditionalFormatting>
  <conditionalFormatting sqref="N3:N230 N501:N600">
    <cfRule type="cellIs" dxfId="84" priority="81" operator="greaterThan">
      <formula>0</formula>
    </cfRule>
  </conditionalFormatting>
  <conditionalFormatting sqref="K3:K232 K501:K600">
    <cfRule type="containsText" dxfId="83" priority="80" operator="containsText" text="T">
      <formula>NOT(ISERROR(SEARCH("T",K3)))</formula>
    </cfRule>
  </conditionalFormatting>
  <conditionalFormatting sqref="L3:L232 L501:L600">
    <cfRule type="containsText" dxfId="82" priority="78" operator="containsText" text="N">
      <formula>NOT(ISERROR(SEARCH("N",L3)))</formula>
    </cfRule>
    <cfRule type="containsText" dxfId="81" priority="79" operator="containsText" text="O">
      <formula>NOT(ISERROR(SEARCH("O",L3)))</formula>
    </cfRule>
  </conditionalFormatting>
  <conditionalFormatting sqref="M3:M232 M501:M600">
    <cfRule type="containsText" dxfId="80" priority="77" operator="containsText" text="O">
      <formula>NOT(ISERROR(SEARCH("O",M3)))</formula>
    </cfRule>
  </conditionalFormatting>
  <conditionalFormatting sqref="N3:N232 N501:N600">
    <cfRule type="cellIs" dxfId="79" priority="76" operator="greaterThan">
      <formula>0</formula>
    </cfRule>
  </conditionalFormatting>
  <conditionalFormatting sqref="K3:K234 K501:K600">
    <cfRule type="containsText" dxfId="78" priority="75" operator="containsText" text="T">
      <formula>NOT(ISERROR(SEARCH("T",K3)))</formula>
    </cfRule>
  </conditionalFormatting>
  <conditionalFormatting sqref="L3:L234 L501:L600">
    <cfRule type="containsText" dxfId="77" priority="73" operator="containsText" text="N">
      <formula>NOT(ISERROR(SEARCH("N",L3)))</formula>
    </cfRule>
    <cfRule type="containsText" dxfId="76" priority="74" operator="containsText" text="O">
      <formula>NOT(ISERROR(SEARCH("O",L3)))</formula>
    </cfRule>
  </conditionalFormatting>
  <conditionalFormatting sqref="M3:M234 M501:M600">
    <cfRule type="containsText" dxfId="75" priority="72" operator="containsText" text="O">
      <formula>NOT(ISERROR(SEARCH("O",M3)))</formula>
    </cfRule>
  </conditionalFormatting>
  <conditionalFormatting sqref="N3:N234 N501:N600">
    <cfRule type="cellIs" dxfId="74" priority="71" operator="greaterThan">
      <formula>0</formula>
    </cfRule>
  </conditionalFormatting>
  <conditionalFormatting sqref="K3:K234 K501:K600">
    <cfRule type="containsText" dxfId="73" priority="70" operator="containsText" text="T">
      <formula>NOT(ISERROR(SEARCH("T",K3)))</formula>
    </cfRule>
  </conditionalFormatting>
  <conditionalFormatting sqref="L3:L234 L501:L600">
    <cfRule type="containsText" dxfId="72" priority="68" operator="containsText" text="N">
      <formula>NOT(ISERROR(SEARCH("N",L3)))</formula>
    </cfRule>
    <cfRule type="containsText" dxfId="71" priority="69" operator="containsText" text="O">
      <formula>NOT(ISERROR(SEARCH("O",L3)))</formula>
    </cfRule>
  </conditionalFormatting>
  <conditionalFormatting sqref="M3:M234 M501:M600">
    <cfRule type="containsText" dxfId="70" priority="67" operator="containsText" text="O">
      <formula>NOT(ISERROR(SEARCH("O",M3)))</formula>
    </cfRule>
  </conditionalFormatting>
  <conditionalFormatting sqref="N3:N234 N501:N600">
    <cfRule type="cellIs" dxfId="69" priority="66" operator="greaterThan">
      <formula>0</formula>
    </cfRule>
  </conditionalFormatting>
  <conditionalFormatting sqref="K3:K234 K501:K600">
    <cfRule type="containsText" dxfId="68" priority="65" operator="containsText" text="T">
      <formula>NOT(ISERROR(SEARCH("T",K3)))</formula>
    </cfRule>
  </conditionalFormatting>
  <conditionalFormatting sqref="L3:L234 L501:L600">
    <cfRule type="containsText" dxfId="67" priority="63" operator="containsText" text="N">
      <formula>NOT(ISERROR(SEARCH("N",L3)))</formula>
    </cfRule>
    <cfRule type="containsText" dxfId="66" priority="64" operator="containsText" text="O">
      <formula>NOT(ISERROR(SEARCH("O",L3)))</formula>
    </cfRule>
  </conditionalFormatting>
  <conditionalFormatting sqref="M3:M234 M501:M600">
    <cfRule type="containsText" dxfId="65" priority="62" operator="containsText" text="O">
      <formula>NOT(ISERROR(SEARCH("O",M3)))</formula>
    </cfRule>
  </conditionalFormatting>
  <conditionalFormatting sqref="N3:N234 N501:N600">
    <cfRule type="cellIs" dxfId="64" priority="61" operator="greaterThan">
      <formula>0</formula>
    </cfRule>
  </conditionalFormatting>
  <conditionalFormatting sqref="K3:K234 K501:K600">
    <cfRule type="containsText" dxfId="63" priority="60" operator="containsText" text="T">
      <formula>NOT(ISERROR(SEARCH("T",K3)))</formula>
    </cfRule>
  </conditionalFormatting>
  <conditionalFormatting sqref="L3:L234 L501:L600">
    <cfRule type="containsText" dxfId="62" priority="58" operator="containsText" text="N">
      <formula>NOT(ISERROR(SEARCH("N",L3)))</formula>
    </cfRule>
    <cfRule type="containsText" dxfId="61" priority="59" operator="containsText" text="O">
      <formula>NOT(ISERROR(SEARCH("O",L3)))</formula>
    </cfRule>
  </conditionalFormatting>
  <conditionalFormatting sqref="M3:M234 M501:M600">
    <cfRule type="containsText" dxfId="60" priority="57" operator="containsText" text="O">
      <formula>NOT(ISERROR(SEARCH("O",M3)))</formula>
    </cfRule>
  </conditionalFormatting>
  <conditionalFormatting sqref="N3:N234 N501:N600">
    <cfRule type="cellIs" dxfId="59" priority="56" operator="greaterThan">
      <formula>0</formula>
    </cfRule>
  </conditionalFormatting>
  <conditionalFormatting sqref="K3:K234 K501:K600">
    <cfRule type="containsText" dxfId="58" priority="55" operator="containsText" text="T">
      <formula>NOT(ISERROR(SEARCH("T",K3)))</formula>
    </cfRule>
  </conditionalFormatting>
  <conditionalFormatting sqref="L3:L234 L501:L600">
    <cfRule type="containsText" dxfId="57" priority="53" operator="containsText" text="N">
      <formula>NOT(ISERROR(SEARCH("N",L3)))</formula>
    </cfRule>
    <cfRule type="containsText" dxfId="56" priority="54" operator="containsText" text="O">
      <formula>NOT(ISERROR(SEARCH("O",L3)))</formula>
    </cfRule>
  </conditionalFormatting>
  <conditionalFormatting sqref="M3:M234 M501:M600">
    <cfRule type="containsText" dxfId="55" priority="52" operator="containsText" text="O">
      <formula>NOT(ISERROR(SEARCH("O",M3)))</formula>
    </cfRule>
  </conditionalFormatting>
  <conditionalFormatting sqref="N3:N234 N501:N600">
    <cfRule type="cellIs" dxfId="54" priority="51" operator="greaterThan">
      <formula>0</formula>
    </cfRule>
  </conditionalFormatting>
  <conditionalFormatting sqref="K3:K234 K501:K600">
    <cfRule type="containsText" dxfId="53" priority="50" operator="containsText" text="T">
      <formula>NOT(ISERROR(SEARCH("T",K3)))</formula>
    </cfRule>
  </conditionalFormatting>
  <conditionalFormatting sqref="L3:L234 L501:L600">
    <cfRule type="containsText" dxfId="52" priority="48" operator="containsText" text="N">
      <formula>NOT(ISERROR(SEARCH("N",L3)))</formula>
    </cfRule>
    <cfRule type="containsText" dxfId="51" priority="49" operator="containsText" text="O">
      <formula>NOT(ISERROR(SEARCH("O",L3)))</formula>
    </cfRule>
  </conditionalFormatting>
  <conditionalFormatting sqref="M3:M234 M501:M600">
    <cfRule type="containsText" dxfId="50" priority="47" operator="containsText" text="O">
      <formula>NOT(ISERROR(SEARCH("O",M3)))</formula>
    </cfRule>
  </conditionalFormatting>
  <conditionalFormatting sqref="N3:N234 N501:N600">
    <cfRule type="cellIs" dxfId="49" priority="46" operator="greaterThan">
      <formula>0</formula>
    </cfRule>
  </conditionalFormatting>
  <conditionalFormatting sqref="K3:K235 K501:K600">
    <cfRule type="containsText" dxfId="48" priority="45" operator="containsText" text="T">
      <formula>NOT(ISERROR(SEARCH("T",K3)))</formula>
    </cfRule>
  </conditionalFormatting>
  <conditionalFormatting sqref="L3:L235 L501:L600">
    <cfRule type="containsText" dxfId="47" priority="43" operator="containsText" text="N">
      <formula>NOT(ISERROR(SEARCH("N",L3)))</formula>
    </cfRule>
    <cfRule type="containsText" dxfId="46" priority="44" operator="containsText" text="O">
      <formula>NOT(ISERROR(SEARCH("O",L3)))</formula>
    </cfRule>
  </conditionalFormatting>
  <conditionalFormatting sqref="M3:M235 M501:M600">
    <cfRule type="containsText" dxfId="45" priority="42" operator="containsText" text="O">
      <formula>NOT(ISERROR(SEARCH("O",M3)))</formula>
    </cfRule>
  </conditionalFormatting>
  <conditionalFormatting sqref="N3:N235 N501:N600">
    <cfRule type="cellIs" dxfId="44" priority="41" operator="greaterThan">
      <formula>0</formula>
    </cfRule>
  </conditionalFormatting>
  <conditionalFormatting sqref="K3:K236 K501:K600">
    <cfRule type="containsText" dxfId="43" priority="40" operator="containsText" text="T">
      <formula>NOT(ISERROR(SEARCH("T",K3)))</formula>
    </cfRule>
  </conditionalFormatting>
  <conditionalFormatting sqref="L3:L236 L501:L600">
    <cfRule type="containsText" dxfId="42" priority="38" operator="containsText" text="N">
      <formula>NOT(ISERROR(SEARCH("N",L3)))</formula>
    </cfRule>
    <cfRule type="containsText" dxfId="41" priority="39" operator="containsText" text="O">
      <formula>NOT(ISERROR(SEARCH("O",L3)))</formula>
    </cfRule>
  </conditionalFormatting>
  <conditionalFormatting sqref="M3:M236 M501:M600">
    <cfRule type="containsText" dxfId="40" priority="37" operator="containsText" text="O">
      <formula>NOT(ISERROR(SEARCH("O",M3)))</formula>
    </cfRule>
  </conditionalFormatting>
  <conditionalFormatting sqref="N3:N236 N501:N600">
    <cfRule type="cellIs" dxfId="39" priority="36" operator="greaterThan">
      <formula>0</formula>
    </cfRule>
  </conditionalFormatting>
  <conditionalFormatting sqref="K3:K237 K501:K600">
    <cfRule type="containsText" dxfId="38" priority="35" operator="containsText" text="T">
      <formula>NOT(ISERROR(SEARCH("T",K3)))</formula>
    </cfRule>
  </conditionalFormatting>
  <conditionalFormatting sqref="L3:L237 L501:L600">
    <cfRule type="containsText" dxfId="37" priority="33" operator="containsText" text="N">
      <formula>NOT(ISERROR(SEARCH("N",L3)))</formula>
    </cfRule>
    <cfRule type="containsText" dxfId="36" priority="34" operator="containsText" text="O">
      <formula>NOT(ISERROR(SEARCH("O",L3)))</formula>
    </cfRule>
  </conditionalFormatting>
  <conditionalFormatting sqref="M3:M237 M501:M600">
    <cfRule type="containsText" dxfId="35" priority="32" operator="containsText" text="O">
      <formula>NOT(ISERROR(SEARCH("O",M3)))</formula>
    </cfRule>
  </conditionalFormatting>
  <conditionalFormatting sqref="N3:N237 N501:N600">
    <cfRule type="cellIs" dxfId="34" priority="31" operator="greaterThan">
      <formula>0</formula>
    </cfRule>
  </conditionalFormatting>
  <conditionalFormatting sqref="K3:K237 K501:K600">
    <cfRule type="containsText" dxfId="33" priority="30" operator="containsText" text="T">
      <formula>NOT(ISERROR(SEARCH("T",K3)))</formula>
    </cfRule>
  </conditionalFormatting>
  <conditionalFormatting sqref="L3:L237 L501:L600">
    <cfRule type="containsText" dxfId="32" priority="28" operator="containsText" text="N">
      <formula>NOT(ISERROR(SEARCH("N",L3)))</formula>
    </cfRule>
    <cfRule type="containsText" dxfId="31" priority="29" operator="containsText" text="O">
      <formula>NOT(ISERROR(SEARCH("O",L3)))</formula>
    </cfRule>
  </conditionalFormatting>
  <conditionalFormatting sqref="M3:M237 M501:M600">
    <cfRule type="containsText" dxfId="30" priority="27" operator="containsText" text="O">
      <formula>NOT(ISERROR(SEARCH("O",M3)))</formula>
    </cfRule>
  </conditionalFormatting>
  <conditionalFormatting sqref="N3:N237 N501:N600">
    <cfRule type="cellIs" dxfId="29" priority="26" operator="greaterThan">
      <formula>0</formula>
    </cfRule>
  </conditionalFormatting>
  <conditionalFormatting sqref="K3:K238 K501:K600">
    <cfRule type="containsText" dxfId="28" priority="25" operator="containsText" text="T">
      <formula>NOT(ISERROR(SEARCH("T",K3)))</formula>
    </cfRule>
  </conditionalFormatting>
  <conditionalFormatting sqref="L3:L238 L501:L600">
    <cfRule type="containsText" dxfId="27" priority="23" operator="containsText" text="N">
      <formula>NOT(ISERROR(SEARCH("N",L3)))</formula>
    </cfRule>
    <cfRule type="containsText" dxfId="26" priority="24" operator="containsText" text="O">
      <formula>NOT(ISERROR(SEARCH("O",L3)))</formula>
    </cfRule>
  </conditionalFormatting>
  <conditionalFormatting sqref="M3:M238 M501:M600">
    <cfRule type="containsText" dxfId="25" priority="22" operator="containsText" text="O">
      <formula>NOT(ISERROR(SEARCH("O",M3)))</formula>
    </cfRule>
  </conditionalFormatting>
  <conditionalFormatting sqref="N3:N238 N501:N600">
    <cfRule type="cellIs" dxfId="24" priority="21" operator="greaterThan">
      <formula>0</formula>
    </cfRule>
  </conditionalFormatting>
  <conditionalFormatting sqref="K3:K238 K501:K600">
    <cfRule type="containsText" dxfId="23" priority="20" operator="containsText" text="T">
      <formula>NOT(ISERROR(SEARCH("T",K3)))</formula>
    </cfRule>
  </conditionalFormatting>
  <conditionalFormatting sqref="L3:L238 L501:L600">
    <cfRule type="containsText" dxfId="22" priority="18" operator="containsText" text="N">
      <formula>NOT(ISERROR(SEARCH("N",L3)))</formula>
    </cfRule>
    <cfRule type="containsText" dxfId="21" priority="19" operator="containsText" text="O">
      <formula>NOT(ISERROR(SEARCH("O",L3)))</formula>
    </cfRule>
  </conditionalFormatting>
  <conditionalFormatting sqref="M3:M238 M501:M600">
    <cfRule type="containsText" dxfId="20" priority="17" operator="containsText" text="O">
      <formula>NOT(ISERROR(SEARCH("O",M3)))</formula>
    </cfRule>
  </conditionalFormatting>
  <conditionalFormatting sqref="N3:N238 N501:N600">
    <cfRule type="cellIs" dxfId="19" priority="16" operator="greaterThan">
      <formula>0</formula>
    </cfRule>
  </conditionalFormatting>
  <conditionalFormatting sqref="K3:K238 K501:K600">
    <cfRule type="containsText" dxfId="18" priority="15" operator="containsText" text="T">
      <formula>NOT(ISERROR(SEARCH("T",K3)))</formula>
    </cfRule>
  </conditionalFormatting>
  <conditionalFormatting sqref="L3:L238 L501:L600">
    <cfRule type="containsText" dxfId="17" priority="13" operator="containsText" text="N">
      <formula>NOT(ISERROR(SEARCH("N",L3)))</formula>
    </cfRule>
    <cfRule type="containsText" dxfId="16" priority="14" operator="containsText" text="O">
      <formula>NOT(ISERROR(SEARCH("O",L3)))</formula>
    </cfRule>
  </conditionalFormatting>
  <conditionalFormatting sqref="M3:M238 M501:M600">
    <cfRule type="containsText" dxfId="15" priority="12" operator="containsText" text="O">
      <formula>NOT(ISERROR(SEARCH("O",M3)))</formula>
    </cfRule>
  </conditionalFormatting>
  <conditionalFormatting sqref="N3:N238 N501:N600">
    <cfRule type="cellIs" dxfId="14" priority="11" operator="greaterThan">
      <formula>0</formula>
    </cfRule>
  </conditionalFormatting>
  <conditionalFormatting sqref="K3:K238 K501:K600">
    <cfRule type="containsText" dxfId="13" priority="10" operator="containsText" text="T">
      <formula>NOT(ISERROR(SEARCH("T",K3)))</formula>
    </cfRule>
  </conditionalFormatting>
  <conditionalFormatting sqref="L3:L238 L501:L600">
    <cfRule type="containsText" dxfId="12" priority="8" operator="containsText" text="N">
      <formula>NOT(ISERROR(SEARCH("N",L3)))</formula>
    </cfRule>
    <cfRule type="containsText" dxfId="11" priority="9" operator="containsText" text="O">
      <formula>NOT(ISERROR(SEARCH("O",L3)))</formula>
    </cfRule>
  </conditionalFormatting>
  <conditionalFormatting sqref="M3:M238 M501:M600">
    <cfRule type="containsText" dxfId="10" priority="7" operator="containsText" text="O">
      <formula>NOT(ISERROR(SEARCH("O",M3)))</formula>
    </cfRule>
  </conditionalFormatting>
  <conditionalFormatting sqref="N3:N238 N501:N600">
    <cfRule type="cellIs" dxfId="9" priority="6" operator="greaterThan">
      <formula>0</formula>
    </cfRule>
  </conditionalFormatting>
  <conditionalFormatting sqref="K3:K238 K501:K600">
    <cfRule type="containsText" dxfId="8" priority="5" operator="containsText" text="T">
      <formula>NOT(ISERROR(SEARCH("T",K3)))</formula>
    </cfRule>
  </conditionalFormatting>
  <conditionalFormatting sqref="L3:L238 L501:L600">
    <cfRule type="containsText" dxfId="7" priority="3" operator="containsText" text="N">
      <formula>NOT(ISERROR(SEARCH("N",L3)))</formula>
    </cfRule>
    <cfRule type="containsText" dxfId="6" priority="4" operator="containsText" text="O">
      <formula>NOT(ISERROR(SEARCH("O",L3)))</formula>
    </cfRule>
  </conditionalFormatting>
  <conditionalFormatting sqref="M3:M238 M501:M600">
    <cfRule type="containsText" dxfId="5" priority="2" operator="containsText" text="O">
      <formula>NOT(ISERROR(SEARCH("O",M3)))</formula>
    </cfRule>
  </conditionalFormatting>
  <conditionalFormatting sqref="N3:N238 N501:N600">
    <cfRule type="cellIs" dxfId="4" priority="1" operator="greaterThan">
      <formula>0</formula>
    </cfRule>
  </conditionalFormatting>
  <pageMargins left="0.25" right="0.25" top="0.75" bottom="0.75" header="0.3" footer="0.3"/>
  <pageSetup paperSize="8" scale="91" fitToHeight="0" orientation="landscape" r:id="rId1"/>
  <headerFooter alignWithMargins="0"/>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tabColor rgb="FF00B0F0"/>
    <pageSetUpPr fitToPage="1"/>
  </sheetPr>
  <dimension ref="A1:BG108"/>
  <sheetViews>
    <sheetView showGridLines="0" tabSelected="1" zoomScale="83" zoomScaleNormal="83" workbookViewId="0">
      <pane xSplit="11" ySplit="4" topLeftCell="L5" activePane="bottomRight" state="frozen"/>
      <selection pane="topRight" activeCell="L1" sqref="L1"/>
      <selection pane="bottomLeft" activeCell="A5" sqref="A5"/>
      <selection pane="bottomRight" activeCell="G1" sqref="G1"/>
    </sheetView>
  </sheetViews>
  <sheetFormatPr baseColWidth="10" defaultColWidth="11.42578125" defaultRowHeight="15" x14ac:dyDescent="0.25"/>
  <cols>
    <col min="1" max="1" width="2.140625" style="58" customWidth="1"/>
    <col min="2" max="2" width="16.7109375" style="58" customWidth="1"/>
    <col min="3" max="9" width="14.7109375" style="58" customWidth="1"/>
    <col min="10" max="10" width="1.7109375" style="58" customWidth="1"/>
    <col min="11" max="11" width="15.5703125" style="58" customWidth="1"/>
    <col min="12" max="21" width="8.7109375" style="233" customWidth="1"/>
    <col min="22" max="22" width="4.5703125" style="233" customWidth="1"/>
    <col min="23" max="23" width="1.7109375" style="58" customWidth="1"/>
    <col min="24" max="35" width="5.7109375" style="58" customWidth="1"/>
    <col min="36" max="36" width="9.140625" style="58" customWidth="1"/>
    <col min="37" max="37" width="11.42578125" style="58"/>
    <col min="38" max="41" width="5.7109375" style="58" customWidth="1"/>
    <col min="42" max="42" width="45.28515625" style="58" customWidth="1"/>
    <col min="43" max="54" width="5.7109375" style="58" customWidth="1"/>
    <col min="55" max="55" width="11.42578125" style="58"/>
    <col min="56" max="58" width="10.7109375" style="58" customWidth="1"/>
    <col min="59" max="16384" width="11.42578125" style="58"/>
  </cols>
  <sheetData>
    <row r="1" spans="1:42" ht="75" customHeight="1" x14ac:dyDescent="0.25">
      <c r="A1" s="54"/>
      <c r="B1" s="55"/>
      <c r="C1" s="55"/>
      <c r="D1" s="55"/>
      <c r="E1" s="55"/>
      <c r="F1" s="55"/>
      <c r="G1" s="55"/>
      <c r="H1" s="55"/>
      <c r="I1" s="55"/>
      <c r="J1" s="55"/>
      <c r="K1" s="55"/>
      <c r="L1" s="56"/>
      <c r="M1" s="56"/>
      <c r="N1" s="56"/>
      <c r="O1" s="56"/>
      <c r="P1" s="56"/>
      <c r="Q1" s="56"/>
      <c r="R1" s="56"/>
      <c r="S1" s="56"/>
      <c r="T1" s="56"/>
      <c r="U1" s="57">
        <v>0</v>
      </c>
      <c r="V1" s="56"/>
      <c r="W1" s="55"/>
      <c r="X1" s="55"/>
      <c r="Y1" s="55"/>
      <c r="Z1" s="55"/>
      <c r="AA1" s="55"/>
      <c r="AB1" s="55"/>
      <c r="AC1" s="54"/>
      <c r="AD1" s="54"/>
      <c r="AE1" s="54"/>
      <c r="AF1" s="54"/>
      <c r="AG1" s="54"/>
      <c r="AH1" s="54"/>
      <c r="AI1" s="54"/>
      <c r="AJ1" s="54"/>
      <c r="AK1" s="54"/>
      <c r="AL1" s="54"/>
      <c r="AM1" s="54"/>
      <c r="AN1" s="54"/>
      <c r="AO1" s="54"/>
      <c r="AP1" s="54"/>
    </row>
    <row r="2" spans="1:42" ht="24" customHeight="1" x14ac:dyDescent="0.25">
      <c r="A2" s="54"/>
      <c r="B2" s="59" t="s">
        <v>826</v>
      </c>
      <c r="C2" s="60"/>
      <c r="D2" s="60"/>
      <c r="E2" s="60"/>
      <c r="F2" s="60"/>
      <c r="G2" s="60"/>
      <c r="H2" s="60"/>
      <c r="I2" s="60"/>
      <c r="J2" s="61"/>
      <c r="K2" s="59" t="s">
        <v>827</v>
      </c>
      <c r="L2" s="60"/>
      <c r="M2" s="60"/>
      <c r="N2" s="60"/>
      <c r="O2" s="60"/>
      <c r="P2" s="60"/>
      <c r="Q2" s="60"/>
      <c r="R2" s="60"/>
      <c r="S2" s="60"/>
      <c r="T2" s="60"/>
      <c r="U2" s="60"/>
      <c r="V2" s="62"/>
      <c r="W2" s="63"/>
      <c r="X2" s="59" t="s">
        <v>828</v>
      </c>
      <c r="Y2" s="60"/>
      <c r="Z2" s="60"/>
      <c r="AA2" s="60"/>
      <c r="AB2" s="60"/>
      <c r="AC2" s="60"/>
      <c r="AD2" s="60"/>
      <c r="AE2" s="60"/>
      <c r="AF2" s="60"/>
      <c r="AG2" s="60"/>
      <c r="AH2" s="60"/>
      <c r="AI2" s="62"/>
      <c r="AJ2" s="54"/>
      <c r="AK2" s="54"/>
      <c r="AL2" s="54"/>
      <c r="AM2" s="54"/>
      <c r="AN2" s="54"/>
      <c r="AO2" s="54"/>
      <c r="AP2" s="54"/>
    </row>
    <row r="3" spans="1:42" ht="15" customHeight="1" x14ac:dyDescent="0.25">
      <c r="A3" s="54"/>
      <c r="B3" s="64"/>
      <c r="C3" s="65"/>
      <c r="D3" s="65"/>
      <c r="E3" s="65"/>
      <c r="F3" s="65"/>
      <c r="G3" s="65"/>
      <c r="H3" s="65"/>
      <c r="I3" s="65"/>
      <c r="J3" s="66"/>
      <c r="K3" s="67"/>
      <c r="L3" s="68"/>
      <c r="M3" s="68"/>
      <c r="N3" s="68"/>
      <c r="O3" s="68"/>
      <c r="P3" s="68"/>
      <c r="Q3" s="68"/>
      <c r="R3" s="68"/>
      <c r="S3" s="68"/>
      <c r="T3" s="68"/>
      <c r="U3" s="68"/>
      <c r="V3" s="69"/>
      <c r="W3" s="63"/>
      <c r="X3" s="67"/>
      <c r="Y3" s="68"/>
      <c r="Z3" s="68"/>
      <c r="AA3" s="68"/>
      <c r="AB3" s="68"/>
      <c r="AC3" s="68"/>
      <c r="AD3" s="68"/>
      <c r="AE3" s="68"/>
      <c r="AF3" s="68"/>
      <c r="AG3" s="68"/>
      <c r="AH3" s="68"/>
      <c r="AI3" s="69"/>
      <c r="AJ3" s="54"/>
      <c r="AK3" s="54"/>
      <c r="AL3" s="54"/>
      <c r="AM3" s="54"/>
      <c r="AN3" s="54"/>
      <c r="AO3" s="54"/>
      <c r="AP3" s="54"/>
    </row>
    <row r="4" spans="1:42" ht="61.5" customHeight="1" x14ac:dyDescent="0.25">
      <c r="A4" s="54"/>
      <c r="B4" s="70" t="s">
        <v>829</v>
      </c>
      <c r="C4" s="71" t="s">
        <v>830</v>
      </c>
      <c r="D4" s="71" t="s">
        <v>831</v>
      </c>
      <c r="E4" s="71" t="s">
        <v>832</v>
      </c>
      <c r="F4" s="71" t="s">
        <v>833</v>
      </c>
      <c r="G4" s="71" t="s">
        <v>834</v>
      </c>
      <c r="H4" s="71" t="s">
        <v>835</v>
      </c>
      <c r="I4" s="72" t="s">
        <v>836</v>
      </c>
      <c r="J4" s="66"/>
      <c r="K4" s="73"/>
      <c r="L4" s="74" t="s">
        <v>837</v>
      </c>
      <c r="M4" s="75" t="s">
        <v>838</v>
      </c>
      <c r="N4" s="75" t="s">
        <v>839</v>
      </c>
      <c r="O4" s="75" t="s">
        <v>840</v>
      </c>
      <c r="P4" s="75" t="s">
        <v>841</v>
      </c>
      <c r="Q4" s="75" t="s">
        <v>842</v>
      </c>
      <c r="R4" s="75" t="s">
        <v>843</v>
      </c>
      <c r="S4" s="75" t="s">
        <v>844</v>
      </c>
      <c r="T4" s="75" t="s">
        <v>845</v>
      </c>
      <c r="U4" s="75" t="s">
        <v>846</v>
      </c>
      <c r="V4" s="76" t="s">
        <v>847</v>
      </c>
      <c r="W4" s="77"/>
      <c r="X4" s="78" t="s">
        <v>848</v>
      </c>
      <c r="Y4" s="79" t="s">
        <v>849</v>
      </c>
      <c r="Z4" s="80" t="s">
        <v>850</v>
      </c>
      <c r="AA4" s="79" t="s">
        <v>851</v>
      </c>
      <c r="AB4" s="80" t="s">
        <v>852</v>
      </c>
      <c r="AC4" s="79" t="s">
        <v>853</v>
      </c>
      <c r="AD4" s="80" t="s">
        <v>854</v>
      </c>
      <c r="AE4" s="79" t="s">
        <v>855</v>
      </c>
      <c r="AF4" s="80" t="s">
        <v>856</v>
      </c>
      <c r="AG4" s="79" t="s">
        <v>857</v>
      </c>
      <c r="AH4" s="80" t="s">
        <v>858</v>
      </c>
      <c r="AI4" s="81" t="s">
        <v>859</v>
      </c>
      <c r="AJ4" s="82" t="s">
        <v>860</v>
      </c>
      <c r="AK4" s="54"/>
      <c r="AL4" s="54"/>
      <c r="AM4" s="54"/>
      <c r="AN4" s="54"/>
      <c r="AO4" s="54"/>
      <c r="AP4" s="54"/>
    </row>
    <row r="5" spans="1:42" ht="1.5" customHeight="1" thickBot="1" x14ac:dyDescent="0.35">
      <c r="A5" s="54"/>
      <c r="B5" s="83"/>
      <c r="C5" s="84"/>
      <c r="D5" s="85"/>
      <c r="E5" s="85"/>
      <c r="F5" s="86"/>
      <c r="G5" s="85"/>
      <c r="H5" s="85"/>
      <c r="I5" s="85"/>
      <c r="J5" s="87"/>
      <c r="K5" s="88"/>
      <c r="L5" s="89"/>
      <c r="M5" s="89"/>
      <c r="N5" s="89"/>
      <c r="O5" s="89"/>
      <c r="P5" s="89"/>
      <c r="Q5" s="89"/>
      <c r="R5" s="89"/>
      <c r="S5" s="89"/>
      <c r="T5" s="89"/>
      <c r="U5" s="89"/>
      <c r="V5" s="90"/>
      <c r="W5" s="91"/>
      <c r="X5" s="92"/>
      <c r="Y5" s="92"/>
      <c r="Z5" s="92"/>
      <c r="AA5" s="92"/>
      <c r="AB5" s="92"/>
      <c r="AC5" s="92"/>
      <c r="AD5" s="92"/>
      <c r="AE5" s="92"/>
      <c r="AF5" s="92"/>
      <c r="AG5" s="92"/>
      <c r="AH5" s="92"/>
      <c r="AI5" s="92"/>
      <c r="AJ5" s="92"/>
      <c r="AK5" s="54"/>
      <c r="AL5" s="54"/>
      <c r="AM5" s="54"/>
      <c r="AN5" s="54"/>
      <c r="AO5" s="54"/>
      <c r="AP5" s="54"/>
    </row>
    <row r="6" spans="1:42" ht="17.25" customHeight="1" x14ac:dyDescent="0.3">
      <c r="A6" s="54"/>
      <c r="B6" s="93" t="s">
        <v>861</v>
      </c>
      <c r="C6" s="94">
        <f>SUM(C7:C15)</f>
        <v>24</v>
      </c>
      <c r="D6" s="95">
        <f t="shared" ref="D6:I6" si="0">SUM(D7:D15)</f>
        <v>39</v>
      </c>
      <c r="E6" s="96">
        <f t="shared" si="0"/>
        <v>6</v>
      </c>
      <c r="F6" s="97">
        <f>SUM(F7:F15)</f>
        <v>826</v>
      </c>
      <c r="G6" s="98">
        <f t="shared" si="0"/>
        <v>6</v>
      </c>
      <c r="H6" s="99">
        <f t="shared" si="0"/>
        <v>3</v>
      </c>
      <c r="I6" s="100">
        <f t="shared" si="0"/>
        <v>229</v>
      </c>
      <c r="J6" s="101"/>
      <c r="K6" s="102" t="s">
        <v>861</v>
      </c>
      <c r="L6" s="103"/>
      <c r="M6" s="104"/>
      <c r="N6" s="104"/>
      <c r="O6" s="104"/>
      <c r="P6" s="104"/>
      <c r="Q6" s="104"/>
      <c r="R6" s="104"/>
      <c r="S6" s="104"/>
      <c r="T6" s="104"/>
      <c r="U6" s="104"/>
      <c r="V6" s="105"/>
      <c r="W6" s="91"/>
      <c r="X6" s="106">
        <f>SUM(X7:X15)</f>
        <v>6</v>
      </c>
      <c r="Y6" s="107">
        <f t="shared" ref="Y6:AI6" si="1">SUM(Y7:Y15)</f>
        <v>3</v>
      </c>
      <c r="Z6" s="107">
        <f t="shared" si="1"/>
        <v>2</v>
      </c>
      <c r="AA6" s="107">
        <f t="shared" si="1"/>
        <v>2</v>
      </c>
      <c r="AB6" s="107">
        <f t="shared" si="1"/>
        <v>3</v>
      </c>
      <c r="AC6" s="107">
        <f t="shared" si="1"/>
        <v>3</v>
      </c>
      <c r="AD6" s="107">
        <f t="shared" si="1"/>
        <v>0</v>
      </c>
      <c r="AE6" s="107">
        <f t="shared" si="1"/>
        <v>3</v>
      </c>
      <c r="AF6" s="107">
        <f t="shared" si="1"/>
        <v>2</v>
      </c>
      <c r="AG6" s="107">
        <f t="shared" si="1"/>
        <v>0</v>
      </c>
      <c r="AH6" s="107">
        <f t="shared" si="1"/>
        <v>0</v>
      </c>
      <c r="AI6" s="108">
        <f t="shared" si="1"/>
        <v>0</v>
      </c>
      <c r="AJ6" s="109">
        <f>SUM(X6:AI6)</f>
        <v>24</v>
      </c>
      <c r="AK6" s="110" t="s">
        <v>862</v>
      </c>
      <c r="AL6" s="54"/>
      <c r="AM6" s="54"/>
      <c r="AN6" s="54"/>
      <c r="AO6" s="54"/>
      <c r="AP6" s="54"/>
    </row>
    <row r="7" spans="1:42" ht="17.25" customHeight="1" x14ac:dyDescent="0.3">
      <c r="A7" s="54"/>
      <c r="B7" s="111" t="s">
        <v>863</v>
      </c>
      <c r="C7" s="112">
        <f>SUMPRODUCT(--(TRIM('[1]AT GLOBAL DEA'!$I$3:$I$1490)="MT CA PR")*('[1]AT GLOBAL DEA'!$L$3:$L$1490="O")*('[1]AT GLOBAL DEA'!$K$3:$K$1490="S"))</f>
        <v>9</v>
      </c>
      <c r="D7" s="113">
        <f>SUMPRODUCT(--(TRIM('[1]AT GLOBAL DEA'!$I$3:$I$1490)="MT CA PR")*('[1]AT GLOBAL DEA'!$L$3:$L$1490="N")*('[1]AT GLOBAL DEA'!$M$3:$M$1490="N")*('[1]AT GLOBAL DEA'!$K$3:$K$1490="S"))</f>
        <v>14</v>
      </c>
      <c r="E7" s="114">
        <f>SUMPRODUCT(--(TRIM('[1]AT GLOBAL DEA'!$I$3:$I$1490)="MT CA PR")*('[1]AT GLOBAL DEA'!$M$3:$M$1490="O")*('[1]AT GLOBAL DEA'!$K$3:$K$1490="S"))</f>
        <v>0</v>
      </c>
      <c r="F7" s="115">
        <f>SUMPRODUCT(--(TRIM('[1]AT GLOBAL DEA'!$I$3:$I$1490)="MT CA PR")*('[1]AT GLOBAL DEA'!$L$3:$L$1490="O")*('[1]AT GLOBAL DEA'!$K$3:$K$1490="S")*('[1]AT GLOBAL DEA'!$N$3:$N$1490))</f>
        <v>409</v>
      </c>
      <c r="G7" s="116">
        <f>SUMPRODUCT(--(TRIM('[1]AT GLOBAL DEA'!$I$3:$I$1490)="MT CA PR")*('[1]AT GLOBAL DEA'!$L$3:$L$1490="O")*('[1]AT GLOBAL DEA'!$K$3:$K$1490="T"))</f>
        <v>2</v>
      </c>
      <c r="H7" s="117">
        <f>SUMPRODUCT(--(TRIM('[1]AT GLOBAL DEA'!$I$3:$I$1490)="MT CA PR")*('[1]AT GLOBAL DEA'!$L$3:$L$1490="n")*('[1]AT GLOBAL DEA'!$K$3:$K$1490="T"))</f>
        <v>1</v>
      </c>
      <c r="I7" s="118">
        <f>SUMPRODUCT(--(TRIM('[1]AT GLOBAL DEA'!$I$3:$I$1490)="MT CA PR")*('[1]AT GLOBAL DEA'!$L$3:$L$1490="O")*('[1]AT GLOBAL DEA'!$K$3:$K$1490="T")*('[1]AT GLOBAL DEA'!$N$3:$N$1490))</f>
        <v>33</v>
      </c>
      <c r="J7" s="101"/>
      <c r="K7" s="119" t="s">
        <v>863</v>
      </c>
      <c r="L7" s="120">
        <f>SUMPRODUCT(--(TRIM([1]MATRICE!$D$5:$D$490)="MT CA PR")*([1]MATRICE!$F$5:$F$490="Moins de 20 ans")*([1]MATRICE!$G$5:$G$490="S")*([1]MATRICE!$I$5:$I$490="O"))</f>
        <v>0</v>
      </c>
      <c r="M7" s="121">
        <f>SUMPRODUCT(--(TRIM([1]MATRICE!$D$5:$D$490)="MT CA PR")*([1]MATRICE!$F$5:$F$490="20 à 24 ans")*([1]MATRICE!$G$5:$G$490="S")*([1]MATRICE!$I$5:$I$490="O"))</f>
        <v>0</v>
      </c>
      <c r="N7" s="121">
        <f>SUMPRODUCT(--(TRIM([1]MATRICE!$D$5:$D$490)="MT CA PR")*([1]MATRICE!$F$5:$F$490="25 à 29 ans")*([1]MATRICE!$G$5:$G$490="S")*([1]MATRICE!$I$5:$I$490="O"))</f>
        <v>0</v>
      </c>
      <c r="O7" s="121">
        <f>SUMPRODUCT(--(TRIM([1]MATRICE!$D$5:$D$490)="MT CA PR")*([1]MATRICE!$F$5:$F$490="30 à 34 ans")*([1]MATRICE!$G$5:$G$490="S")*([1]MATRICE!$I$5:$I$490="O"))</f>
        <v>3</v>
      </c>
      <c r="P7" s="121">
        <f>SUMPRODUCT(--(TRIM([1]MATRICE!$D$5:$D$490)="MT CA PR")*([1]MATRICE!$F$5:$F$490="35 à 39 ans")*([1]MATRICE!$G$5:$G$490="S")*([1]MATRICE!$I$5:$I$490="O"))</f>
        <v>3</v>
      </c>
      <c r="Q7" s="121">
        <f>SUMPRODUCT(--(TRIM([1]MATRICE!$D$5:$D$490)="MT CA PR")*([1]MATRICE!$F$5:$F$490="40 à 44 ans")*([1]MATRICE!$G$5:$G$490="S")*([1]MATRICE!$I$5:$I$490="O"))</f>
        <v>1</v>
      </c>
      <c r="R7" s="121">
        <f>SUMPRODUCT(--(TRIM([1]MATRICE!$D$5:$D$490)="MT CA PR")*([1]MATRICE!$F$5:$F$490="45 à 49 ans")*([1]MATRICE!$G$5:$G$490="S")*([1]MATRICE!$I$5:$I$490="O"))</f>
        <v>0</v>
      </c>
      <c r="S7" s="121">
        <f>SUMPRODUCT(--(TRIM([1]MATRICE!$D$5:$D$490)="MT CA PR")*([1]MATRICE!$F$5:$F$490="50 à 54 ans")*([1]MATRICE!$G$5:$G$490="S")*([1]MATRICE!$I$5:$I$490="O"))</f>
        <v>1</v>
      </c>
      <c r="T7" s="121">
        <f>SUMPRODUCT(--(TRIM([1]MATRICE!$D$5:$D$490)="MT CA PR")*([1]MATRICE!$F$5:$F$490="55 à 59 ans")*([1]MATRICE!$G$5:$G$490="S")*([1]MATRICE!$I$5:$I$490="O"))</f>
        <v>1</v>
      </c>
      <c r="U7" s="121">
        <f>SUMPRODUCT(--(TRIM([1]MATRICE!$D$5:$D$490)="MT CA PR")*([1]MATRICE!$F$5:$F$490="60 ans et +")*([1]MATRICE!$G$5:$G$490="S")*([1]MATRICE!$I$5:$I$490="O"))</f>
        <v>0</v>
      </c>
      <c r="V7" s="122">
        <f t="shared" ref="V7:V15" si="2">SUM(L7:U7)</f>
        <v>9</v>
      </c>
      <c r="W7" s="91"/>
      <c r="X7" s="123">
        <f>SUMPRODUCT(--(TRIM([1]MATRICE!$D$5:$D$490)="MT CA PR")*([1]MATRICE!$G$5:$G$490="S")*([1]MATRICE!$I$5:$I$490="O")*([1]MATRICE!$P$5:$P$490="janvier"))</f>
        <v>4</v>
      </c>
      <c r="Y7" s="124">
        <f>SUMPRODUCT(--(TRIM([1]MATRICE!$D$5:$D$490)="MT CA PR")*([1]MATRICE!$G$5:$G$490="S")*([1]MATRICE!$I$5:$I$490="O")*([1]MATRICE!$P$5:$P$490="février"))</f>
        <v>1</v>
      </c>
      <c r="Z7" s="124">
        <f>SUMPRODUCT(--(TRIM([1]MATRICE!$D$5:$D$490)="MT CA PR")*([1]MATRICE!$G$5:$G$490="S")*([1]MATRICE!$I$5:$I$490="O")*([1]MATRICE!$P$5:$P$490="mars"))</f>
        <v>0</v>
      </c>
      <c r="AA7" s="124">
        <f>SUMPRODUCT(--(TRIM([1]MATRICE!$D$5:$D$490)="MT CA PR")*([1]MATRICE!$G$5:$G$490="S")*([1]MATRICE!$I$5:$I$490="O")*([1]MATRICE!$P$5:$P$490="avril"))</f>
        <v>1</v>
      </c>
      <c r="AB7" s="124">
        <f>SUMPRODUCT(--(TRIM([1]MATRICE!$D$5:$D$490)="MT CA PR")*([1]MATRICE!$G$5:$G$490="S")*([1]MATRICE!$I$5:$I$490="O")*([1]MATRICE!$P$5:$P$490="mai"))</f>
        <v>1</v>
      </c>
      <c r="AC7" s="124">
        <f>SUMPRODUCT(--(TRIM([1]MATRICE!$D$5:$D$490)="MT CA PR")*([1]MATRICE!$G$5:$G$490="S")*([1]MATRICE!$I$5:$I$490="O")*([1]MATRICE!$P$5:$P$490="juin"))</f>
        <v>2</v>
      </c>
      <c r="AD7" s="124">
        <f>SUMPRODUCT(--(TRIM([1]MATRICE!$D$5:$D$490)="MT CA PR")*([1]MATRICE!$G$5:$G$490="S")*([1]MATRICE!$I$5:$I$490="O")*([1]MATRICE!$P$5:$P$490="juillet"))</f>
        <v>0</v>
      </c>
      <c r="AE7" s="124">
        <f>SUMPRODUCT(--(TRIM([1]MATRICE!$D$5:$D$490)="MT CA PR")*([1]MATRICE!$G$5:$G$490="S")*([1]MATRICE!$I$5:$I$490="O")*([1]MATRICE!$P$5:$P$490="août"))</f>
        <v>0</v>
      </c>
      <c r="AF7" s="124">
        <f>SUMPRODUCT(--(TRIM([1]MATRICE!$D$5:$D$490)="MT CA PR")*([1]MATRICE!$G$5:$G$490="S")*([1]MATRICE!$I$5:$I$490="O")*([1]MATRICE!$P$5:$P$490="septembre"))</f>
        <v>0</v>
      </c>
      <c r="AG7" s="124">
        <f>SUMPRODUCT(--(TRIM([1]MATRICE!$D$5:$D$490)="MT CA PR")*([1]MATRICE!$G$5:$G$490="S")*([1]MATRICE!$I$5:$I$490="O")*([1]MATRICE!$P$5:$P$490=""))</f>
        <v>0</v>
      </c>
      <c r="AH7" s="124">
        <f>SUMPRODUCT(--(TRIM([1]MATRICE!$D$5:$D$490)="MT CA PR")*([1]MATRICE!$G$5:$G$490="S")*([1]MATRICE!$I$5:$I$490="O")*([1]MATRICE!$P$5:$P$490=""))</f>
        <v>0</v>
      </c>
      <c r="AI7" s="125">
        <f>SUMPRODUCT(--(TRIM([1]MATRICE!$D$5:$D$490)="MT CA PR")*([1]MATRICE!$G$5:$G$490="S")*([1]MATRICE!$I$5:$I$490="O")*([1]MATRICE!$P$5:$P$490=""))</f>
        <v>0</v>
      </c>
      <c r="AJ7" s="126">
        <f t="shared" ref="AJ7:AJ15" si="3">SUM(X7:AI7)</f>
        <v>9</v>
      </c>
      <c r="AK7" s="54"/>
      <c r="AL7" s="54"/>
      <c r="AM7" s="54"/>
      <c r="AN7" s="54"/>
      <c r="AO7" s="54"/>
      <c r="AP7" s="54"/>
    </row>
    <row r="8" spans="1:42" ht="17.25" customHeight="1" x14ac:dyDescent="0.3">
      <c r="A8" s="54"/>
      <c r="B8" s="127" t="s">
        <v>864</v>
      </c>
      <c r="C8" s="112">
        <f>SUMPRODUCT(--(TRIM('[1]AT GLOBAL DEA'!$I$3:$I$1490)="MT CA SU")*('[1]AT GLOBAL DEA'!$L$3:$L$1490="O")*('[1]AT GLOBAL DEA'!$K$3:$K$1490="S"))</f>
        <v>0</v>
      </c>
      <c r="D8" s="113">
        <f>SUMPRODUCT(--(TRIM('[1]AT GLOBAL DEA'!$I$3:$I$1490)="MT CA SU")*('[1]AT GLOBAL DEA'!$L$3:$L$1490="N")*('[1]AT GLOBAL DEA'!$M$3:$M$1490="N")*('[1]AT GLOBAL DEA'!$K$3:$K$1490="S"))</f>
        <v>2</v>
      </c>
      <c r="E8" s="114">
        <f>SUMPRODUCT(--(TRIM('[1]AT GLOBAL DEA'!$I$3:$I$1490)="MT CA SU")*('[1]AT GLOBAL DEA'!$M$3:$M$1490="O")*('[1]AT GLOBAL DEA'!$K$3:$K$1490="S"))</f>
        <v>0</v>
      </c>
      <c r="F8" s="115">
        <f>SUMPRODUCT(--(TRIM('[1]AT GLOBAL DEA'!$I$3:$I$1490)="MT CA SU")*('[1]AT GLOBAL DEA'!$L$3:$L$1490="O")*('[1]AT GLOBAL DEA'!$K$3:$K$1490="S")*('[1]AT GLOBAL DEA'!$N$3:$N$1490))</f>
        <v>0</v>
      </c>
      <c r="G8" s="116">
        <f>SUMPRODUCT(--(TRIM('[1]AT GLOBAL DEA'!$I$3:$I$1490)="MT CA SU")*('[1]AT GLOBAL DEA'!$L$3:$L$1490="o")*('[1]AT GLOBAL DEA'!$K$3:$K$1490="t"))</f>
        <v>0</v>
      </c>
      <c r="H8" s="117">
        <f>SUMPRODUCT(--(TRIM('[1]AT GLOBAL DEA'!$I$3:$I$1490)="MT CA SU")*('[1]AT GLOBAL DEA'!$L$3:$L$1490="n")*('[1]AT GLOBAL DEA'!$K$3:$K$1490="t"))</f>
        <v>1</v>
      </c>
      <c r="I8" s="118">
        <f>SUMPRODUCT(--(TRIM('[1]AT GLOBAL DEA'!$I$3:$I$1490)="MT CA PR")*('[1]AT GLOBAL DEA'!$L$3:$L$1490="O")*('[1]AT GLOBAL DEA'!$K$3:$K$1490="T")*('[1]AT GLOBAL DEA'!$N$3:$N$1490))</f>
        <v>33</v>
      </c>
      <c r="J8" s="101"/>
      <c r="K8" s="127" t="s">
        <v>864</v>
      </c>
      <c r="L8" s="128">
        <f>SUMPRODUCT(--(TRIM([1]MATRICE!$D$5:$D$490)="MT CA SU")*([1]MATRICE!$F$5:$F$490="Moins de 20 ans")*([1]MATRICE!$G$5:$G$490="S")*([1]MATRICE!$I$5:$I$490="O"))</f>
        <v>0</v>
      </c>
      <c r="M8" s="129">
        <f>SUMPRODUCT(--(TRIM([1]MATRICE!$D$5:$D$490)="MT CA SU")*([1]MATRICE!$F$5:$F$490="20 à 24 ans")*([1]MATRICE!$G$5:$G$490="S")*([1]MATRICE!$I$5:$I$490="O"))</f>
        <v>0</v>
      </c>
      <c r="N8" s="129">
        <f>SUMPRODUCT(--(TRIM([1]MATRICE!$D$5:$D$490)="MT CA SU")*([1]MATRICE!$F$5:$F$490="25 à 29  ans")*([1]MATRICE!$G$5:$G$490="S")*([1]MATRICE!$I$5:$I$490="O"))</f>
        <v>0</v>
      </c>
      <c r="O8" s="129"/>
      <c r="P8" s="129"/>
      <c r="Q8" s="129"/>
      <c r="R8" s="129"/>
      <c r="S8" s="129"/>
      <c r="T8" s="129"/>
      <c r="U8" s="129"/>
      <c r="V8" s="130">
        <f t="shared" si="2"/>
        <v>0</v>
      </c>
      <c r="W8" s="91"/>
      <c r="X8" s="131">
        <f>SUMPRODUCT(--(TRIM([1]MATRICE!$D$5:$D$490)="MT CA SU")*([1]MATRICE!$G$5:$G$490="S")*([1]MATRICE!$I$5:$I$490="O")*([1]MATRICE!$P$5:$P$490="janvier"))</f>
        <v>0</v>
      </c>
      <c r="Y8" s="132">
        <f>SUMPRODUCT(--(TRIM([1]MATRICE!$D$5:$D$490)="MT CA SU")*([1]MATRICE!$G$5:$G$490="S")*([1]MATRICE!$I$5:$I$490="O")*([1]MATRICE!$P$5:$P$490="février"))</f>
        <v>0</v>
      </c>
      <c r="Z8" s="132">
        <f>SUMPRODUCT(--(TRIM([1]MATRICE!$D$5:$D$490)="MT CA SU")*([1]MATRICE!$G$5:$G$490="S")*([1]MATRICE!$I$5:$I$490="O")*([1]MATRICE!$P$5:$P$490="mars"))</f>
        <v>0</v>
      </c>
      <c r="AA8" s="132">
        <f>SUMPRODUCT(--(TRIM([1]MATRICE!$D$5:$D$490)="MT CA SU")*([1]MATRICE!$G$5:$G$490="S")*([1]MATRICE!$I$5:$I$490="O")*([1]MATRICE!$P$5:$P$490="avril"))</f>
        <v>0</v>
      </c>
      <c r="AB8" s="132">
        <f>SUMPRODUCT(--(TRIM([1]MATRICE!$D$5:$D$490)="MT CA SU")*([1]MATRICE!$G$5:$G$490="S")*([1]MATRICE!$I$5:$I$490="O")*([1]MATRICE!$P$5:$P$490="mai"))</f>
        <v>0</v>
      </c>
      <c r="AC8" s="132">
        <f>SUMPRODUCT(--(TRIM([1]MATRICE!$D$5:$D$490)="MT CA SU")*([1]MATRICE!$G$5:$G$490="S")*([1]MATRICE!$I$5:$I$490="O")*([1]MATRICE!$P$5:$P$490="juin"))</f>
        <v>0</v>
      </c>
      <c r="AD8" s="132">
        <f>SUMPRODUCT(--(TRIM([1]MATRICE!$D$5:$D$490)="MT CA SU")*([1]MATRICE!$G$5:$G$490="S")*([1]MATRICE!$I$5:$I$490="O")*([1]MATRICE!$P$5:$P$490="juillet"))</f>
        <v>0</v>
      </c>
      <c r="AE8" s="132">
        <f>SUMPRODUCT(--(TRIM([1]MATRICE!$D$5:$D$490)="MT CA SU")*([1]MATRICE!$G$5:$G$490="S")*([1]MATRICE!$I$5:$I$490="O")*([1]MATRICE!$P$5:$P$490="aoûts"))</f>
        <v>0</v>
      </c>
      <c r="AF8" s="132">
        <f>SUMPRODUCT(--(TRIM([1]MATRICE!$D$5:$D$490)="MT CA SU")*([1]MATRICE!$G$5:$G$490="S")*([1]MATRICE!$I$5:$I$490="O")*([1]MATRICE!$P$5:$P$490="septembre"))</f>
        <v>0</v>
      </c>
      <c r="AG8" s="132">
        <f>SUMPRODUCT(--(TRIM([1]MATRICE!$D$5:$D$490)="MT CA SU")*([1]MATRICE!$G$5:$G$490="S")*([1]MATRICE!$I$5:$I$490="O")*([1]MATRICE!$P$5:$P$490="mars"))</f>
        <v>0</v>
      </c>
      <c r="AH8" s="132">
        <f>SUMPRODUCT(--(TRIM([1]MATRICE!$D$5:$D$490)="MT CA SU")*([1]MATRICE!$G$5:$G$490="S")*([1]MATRICE!$I$5:$I$490="O")*([1]MATRICE!$P$5:$P$490="mars"))</f>
        <v>0</v>
      </c>
      <c r="AI8" s="133">
        <f>SUMPRODUCT(--(TRIM([1]MATRICE!$D$5:$D$490)="MT CA SU")*([1]MATRICE!$G$5:$G$490="S")*([1]MATRICE!$I$5:$I$490="O")*([1]MATRICE!$P$5:$P$490="mars"))</f>
        <v>0</v>
      </c>
      <c r="AJ8" s="134">
        <f t="shared" si="3"/>
        <v>0</v>
      </c>
      <c r="AK8" s="54"/>
      <c r="AL8" s="54"/>
      <c r="AM8" s="54"/>
      <c r="AN8" s="54"/>
      <c r="AO8" s="54"/>
      <c r="AP8" s="54"/>
    </row>
    <row r="9" spans="1:42" ht="17.25" customHeight="1" x14ac:dyDescent="0.3">
      <c r="A9" s="54"/>
      <c r="B9" s="127" t="s">
        <v>865</v>
      </c>
      <c r="C9" s="112">
        <f>SUMPRODUCT(--(TRIM('[1]AT GLOBAL DEA'!$I$3:$I$1490)="MT cc pr")*('[1]AT GLOBAL DEA'!$L$3:$L$1490="O")*('[1]AT GLOBAL DEA'!$K$3:$K$1490="S"))</f>
        <v>7</v>
      </c>
      <c r="D9" s="113">
        <f>SUMPRODUCT(--(TRIM('[1]AT GLOBAL DEA'!$I$3:$I$1490)="MT CC PR")*('[1]AT GLOBAL DEA'!$L$3:$L$1490="N")*('[1]AT GLOBAL DEA'!$M$3:$M$1490="N")*('[1]AT GLOBAL DEA'!$K$3:$K$1490="S"))</f>
        <v>7</v>
      </c>
      <c r="E9" s="114">
        <f>SUMPRODUCT(--(TRIM('[1]AT GLOBAL DEA'!$I$3:$I$1490)="MT CC PR")*('[1]AT GLOBAL DEA'!$M$3:$M$1490="O")*('[1]AT GLOBAL DEA'!$K$3:$K$1490="S"))</f>
        <v>3</v>
      </c>
      <c r="F9" s="115">
        <f>SUMPRODUCT(--(TRIM('[1]AT GLOBAL DEA'!$I$3:$I$1490)="MT CC PR")*('[1]AT GLOBAL DEA'!$L$3:$L$1490="O")*('[1]AT GLOBAL DEA'!$K$3:$K$1490="S")*('[1]AT GLOBAL DEA'!$N$3:$N$1490))</f>
        <v>317</v>
      </c>
      <c r="G9" s="116">
        <f>SUMPRODUCT(--(TRIM('[1]AT GLOBAL DEA'!$I$3:$I$1490)="MT CC PR")*('[1]AT GLOBAL DEA'!$L$3:$L$1490="o")*('[1]AT GLOBAL DEA'!$K$3:$K$1490="t"))</f>
        <v>2</v>
      </c>
      <c r="H9" s="117">
        <f>SUMPRODUCT(--(TRIM('[1]AT GLOBAL DEA'!$I$3:$I$1490)="MT CC PR")*('[1]AT GLOBAL DEA'!$L$3:$L$1490="n")*('[1]AT GLOBAL DEA'!$K$3:$K$1490="t"))</f>
        <v>1</v>
      </c>
      <c r="I9" s="118">
        <f>SUMPRODUCT(--(TRIM('[1]AT GLOBAL DEA'!$I$3:$I$1490)="MT CC PR")*('[1]AT GLOBAL DEA'!$L$3:$L$1490="O")*('[1]AT GLOBAL DEA'!$K$3:$K$1490="T")*('[1]AT GLOBAL DEA'!$N$3:$N$1490))</f>
        <v>59</v>
      </c>
      <c r="J9" s="101"/>
      <c r="K9" s="119" t="s">
        <v>865</v>
      </c>
      <c r="L9" s="120">
        <f>SUMPRODUCT(--(TRIM([1]MATRICE!$D$5:$D$490)="MT CC PR")*([1]MATRICE!$F$5:$F$490="Moins de 20 ans")*([1]MATRICE!$G$5:$G$490="S")*([1]MATRICE!$I$5:$I$490="O"))</f>
        <v>0</v>
      </c>
      <c r="M9" s="121">
        <f>SUMPRODUCT(--(TRIM([1]MATRICE!$D$5:$D$490)="MT CC PR")*([1]MATRICE!$F$5:$F$490="20 à 24 ans")*([1]MATRICE!$G$5:$G$490="S")*([1]MATRICE!$I$5:$I$490="O"))</f>
        <v>1</v>
      </c>
      <c r="N9" s="121">
        <f>SUMPRODUCT(--(TRIM([1]MATRICE!$D$5:$D$490)="MT CC PR")*([1]MATRICE!$F$5:$F$490="25 à 29 ans")*([1]MATRICE!$G$5:$G$490="S")*([1]MATRICE!$I$5:$I$490="O"))</f>
        <v>0</v>
      </c>
      <c r="O9" s="121">
        <f>SUMPRODUCT(--(TRIM([1]MATRICE!$D$5:$D$490)="MT CC PR")*([1]MATRICE!$F$5:$F$490="30 à 34 ans")*([1]MATRICE!$G$5:$G$490="S")*([1]MATRICE!$I$5:$I$490="O"))</f>
        <v>0</v>
      </c>
      <c r="P9" s="121">
        <f>SUMPRODUCT(--(TRIM([1]MATRICE!$D$5:$D$490)="MT CC PR")*([1]MATRICE!$F$5:$F$490="35 à 39 ans")*([1]MATRICE!$G$5:$G$490="S")*([1]MATRICE!$I$5:$I$490="O"))</f>
        <v>0</v>
      </c>
      <c r="Q9" s="121">
        <f>SUMPRODUCT(--(TRIM([1]MATRICE!$D$5:$D$490)="MT CC PR")*([1]MATRICE!$F$5:$F$490="40 à 44 ans")*([1]MATRICE!$G$5:$G$490="S")*([1]MATRICE!$I$5:$I$490="O"))</f>
        <v>1</v>
      </c>
      <c r="R9" s="121">
        <f>SUMPRODUCT(--(TRIM([1]MATRICE!$D$5:$D$490)="MT CC PR")*([1]MATRICE!$F$5:$F$490="45 à 49 ans")*([1]MATRICE!$G$5:$G$490="S")*([1]MATRICE!$I$5:$I$490="O"))</f>
        <v>0</v>
      </c>
      <c r="S9" s="121">
        <f>SUMPRODUCT(--(TRIM([1]MATRICE!$D$5:$D$490)="MT CC PR")*([1]MATRICE!$F$5:$F$490="50 à 54 ans")*([1]MATRICE!$G$5:$G$490="S")*([1]MATRICE!$I$5:$I$490="O"))</f>
        <v>4</v>
      </c>
      <c r="T9" s="121">
        <f>SUMPRODUCT(--(TRIM([1]MATRICE!$D$5:$D$490)="MT CC PR")*([1]MATRICE!$F$5:$F$490="55 à 59 ans")*([1]MATRICE!$G$5:$G$490="S")*([1]MATRICE!$I$5:$I$490="O"))</f>
        <v>1</v>
      </c>
      <c r="U9" s="121">
        <f>SUMPRODUCT(--(TRIM([1]MATRICE!$D$5:$D$490)="MT CC PR")*([1]MATRICE!$F$5:$F$490="60 ans et +")*([1]MATRICE!$G$5:$G$490="S")*([1]MATRICE!$I$5:$I$490="O"))</f>
        <v>0</v>
      </c>
      <c r="V9" s="122">
        <f t="shared" si="2"/>
        <v>7</v>
      </c>
      <c r="W9" s="91"/>
      <c r="X9" s="123">
        <f>SUMPRODUCT(--(TRIM([1]MATRICE!$D$5:$D$490)="MT CC PR")*([1]MATRICE!$G$5:$G$490="S")*([1]MATRICE!$I$5:$I$490="O")*([1]MATRICE!$P$5:$P$490="janvier"))</f>
        <v>0</v>
      </c>
      <c r="Y9" s="124">
        <f>SUMPRODUCT(--(TRIM([1]MATRICE!$D$5:$D$490)="MT CC PR")*([1]MATRICE!$G$5:$G$490="S")*([1]MATRICE!$I$5:$I$490="O")*([1]MATRICE!$P$5:$P$490="février"))</f>
        <v>1</v>
      </c>
      <c r="Z9" s="124">
        <f>SUMPRODUCT(--(TRIM([1]MATRICE!$D$5:$D$490)="MT CC PR")*([1]MATRICE!$G$5:$G$490="S")*([1]MATRICE!$I$5:$I$490="O")*([1]MATRICE!$P$5:$P$490="mars"))</f>
        <v>1</v>
      </c>
      <c r="AA9" s="124">
        <f>SUMPRODUCT(--(TRIM([1]MATRICE!$D$5:$D$490)="MT CC PR")*([1]MATRICE!$G$5:$G$490="S")*([1]MATRICE!$I$5:$I$490="O")*([1]MATRICE!$P$5:$P$490="avril"))</f>
        <v>1</v>
      </c>
      <c r="AB9" s="124">
        <f>SUMPRODUCT(--(TRIM([1]MATRICE!$D$5:$D$490)="MT CC PR")*([1]MATRICE!$G$5:$G$490="S")*([1]MATRICE!$I$5:$I$490="O")*([1]MATRICE!$P$5:$P$490="mai"))</f>
        <v>1</v>
      </c>
      <c r="AC9" s="124">
        <f>SUMPRODUCT(--(TRIM([1]MATRICE!$D$5:$D$490)="MT CC PR")*([1]MATRICE!$G$5:$G$490="S")*([1]MATRICE!$I$5:$I$490="O")*([1]MATRICE!$P$5:$P$490="juin"))</f>
        <v>0</v>
      </c>
      <c r="AD9" s="124">
        <f>SUMPRODUCT(--(TRIM([1]MATRICE!$D$5:$D$490)="MT CC PR")*([1]MATRICE!$G$5:$G$490="S")*([1]MATRICE!$I$5:$I$490="O")*([1]MATRICE!$P$5:$P$490="juillet"))</f>
        <v>0</v>
      </c>
      <c r="AE9" s="124">
        <f>SUMPRODUCT(--(TRIM([1]MATRICE!$D$5:$D$490)="MT CC PR")*([1]MATRICE!$G$5:$G$490="S")*([1]MATRICE!$I$5:$I$490="O")*([1]MATRICE!$P$5:$P$490="août"))</f>
        <v>2</v>
      </c>
      <c r="AF9" s="124">
        <f>SUMPRODUCT(--(TRIM([1]MATRICE!$D$5:$D$490)="MT CC PR")*([1]MATRICE!$G$5:$G$490="S")*([1]MATRICE!$I$5:$I$490="O")*([1]MATRICE!$P$5:$P$490="septembre"))</f>
        <v>1</v>
      </c>
      <c r="AG9" s="124">
        <f>SUMPRODUCT(--(TRIM([1]MATRICE!$D$5:$D$490)="MT CC PR")*([1]MATRICE!$G$5:$G$490="S")*([1]MATRICE!$I$5:$I$490="O")*([1]MATRICE!$P$5:$P$490=""))</f>
        <v>0</v>
      </c>
      <c r="AH9" s="124">
        <f>SUMPRODUCT(--(TRIM([1]MATRICE!$D$5:$D$490)="MT CC PR")*([1]MATRICE!$G$5:$G$490="S")*([1]MATRICE!$I$5:$I$490="O")*([1]MATRICE!$P$5:$P$490=""))</f>
        <v>0</v>
      </c>
      <c r="AI9" s="125">
        <f>SUMPRODUCT(--(TRIM([1]MATRICE!$D$5:$D$490)="MT CC PR")*([1]MATRICE!$G$5:$G$490="S")*([1]MATRICE!$I$5:$I$490="O")*([1]MATRICE!$P$5:$P$490=""))</f>
        <v>0</v>
      </c>
      <c r="AJ9" s="126">
        <f t="shared" si="3"/>
        <v>7</v>
      </c>
      <c r="AK9" s="54"/>
      <c r="AL9" s="54"/>
      <c r="AM9" s="54"/>
      <c r="AN9" s="54"/>
      <c r="AO9" s="54"/>
      <c r="AP9" s="54"/>
    </row>
    <row r="10" spans="1:42" ht="17.25" customHeight="1" x14ac:dyDescent="0.3">
      <c r="A10" s="54"/>
      <c r="B10" s="127" t="s">
        <v>866</v>
      </c>
      <c r="C10" s="112">
        <f>SUMPRODUCT(--(TRIM('[1]AT GLOBAL DEA'!$I$3:$I$1490)="MT CC SM")*('[1]AT GLOBAL DEA'!$L$3:$L$1490="O")*('[1]AT GLOBAL DEA'!$K$3:$K$1490="S"))</f>
        <v>0</v>
      </c>
      <c r="D10" s="113">
        <f>SUMPRODUCT(--(TRIM('[1]AT GLOBAL DEA'!$I$3:$I$1490)="MT CC SM")*('[1]AT GLOBAL DEA'!$L$3:$L$1490="N")*('[1]AT GLOBAL DEA'!$M$3:$M$1490="N")*('[1]AT GLOBAL DEA'!$K$3:$K$1490="S"))</f>
        <v>0</v>
      </c>
      <c r="E10" s="114">
        <f>SUMPRODUCT(--(TRIM('[1]AT GLOBAL DEA'!$I$3:$I$1490)="MT CC SM")*('[1]AT GLOBAL DEA'!$M$3:$M$1490="O")*('[1]AT GLOBAL DEA'!$K$3:$K$1490="S"))</f>
        <v>0</v>
      </c>
      <c r="F10" s="115">
        <f>SUMPRODUCT(--(TRIM('[1]AT GLOBAL DEA'!$I$3:$I$1490)="MT CC SM")*('[1]AT GLOBAL DEA'!$L$3:$L$1490="O")*('[1]AT GLOBAL DEA'!$K$3:$K$1490="S")*('[1]AT GLOBAL DEA'!$N$3:$N$1490))</f>
        <v>0</v>
      </c>
      <c r="G10" s="116">
        <f>SUMPRODUCT(--(TRIM('[1]AT GLOBAL DEA'!$I$3:$I$1490)="MT CC SM")*('[1]AT GLOBAL DEA'!$L$3:$L$1490="o")*('[1]AT GLOBAL DEA'!$K$3:$K$1490="t"))</f>
        <v>0</v>
      </c>
      <c r="H10" s="117">
        <f>SUMPRODUCT(--(TRIM('[1]AT GLOBAL DEA'!$I$3:$I$1490)="MT CC SM")*('[1]AT GLOBAL DEA'!$L$3:$L$1490="n")*('[1]AT GLOBAL DEA'!$K$3:$K$1490="t"))</f>
        <v>0</v>
      </c>
      <c r="I10" s="118">
        <f>SUMPRODUCT(--(TRIM('[1]AT GLOBAL DEA'!$I$3:$I$1490)="MT CC SM")*('[1]AT GLOBAL DEA'!$L$3:$L$1490="O")*('[1]AT GLOBAL DEA'!$K$3:$K$1490="T")*('[1]AT GLOBAL DEA'!$N$3:$N$1490))</f>
        <v>0</v>
      </c>
      <c r="J10" s="101"/>
      <c r="K10" s="127" t="s">
        <v>866</v>
      </c>
      <c r="L10" s="128">
        <f>SUMPRODUCT(--(TRIM([1]MATRICE!$D$5:$D$490)="MT CC SM")*([1]MATRICE!$F$5:$F$490="Moins de 20 ans")*([1]MATRICE!$G$5:$G$490="S")*([1]MATRICE!$I$5:$I$490="O"))</f>
        <v>0</v>
      </c>
      <c r="M10" s="129">
        <f>SUMPRODUCT(--(TRIM([1]MATRICE!$D$5:$D$490)="MT CC SM")*([1]MATRICE!$F$5:$F$490="20 à 24 ans")*([1]MATRICE!$G$5:$G$490="S")*([1]MATRICE!$I$5:$I$490="O"))</f>
        <v>0</v>
      </c>
      <c r="N10" s="129">
        <f>SUMPRODUCT(--(TRIM([1]MATRICE!$D$5:$D$490)="MT CC SM")*([1]MATRICE!$F$5:$F$490="Moins de 20 ans")*([1]MATRICE!$G$5:$G$490="S")*([1]MATRICE!$I$5:$I$490="O"))</f>
        <v>0</v>
      </c>
      <c r="O10" s="129">
        <f>SUMPRODUCT(--(TRIM([1]MATRICE!$D$5:$D$490)="MT CC SM")*([1]MATRICE!$F$5:$F$490="Moins de 20 ans")*([1]MATRICE!$G$5:$G$490="S")*([1]MATRICE!$I$5:$I$490="O"))</f>
        <v>0</v>
      </c>
      <c r="P10" s="129">
        <f>SUMPRODUCT(--(TRIM([1]MATRICE!$D$5:$D$490)="MT CC SM")*([1]MATRICE!$F$5:$F$490="Moins de 20 ans")*([1]MATRICE!$G$5:$G$490="S")*([1]MATRICE!$I$5:$I$490="O"))</f>
        <v>0</v>
      </c>
      <c r="Q10" s="129">
        <f>SUMPRODUCT(--(TRIM([1]MATRICE!$D$5:$D$490)="MT CC SM")*([1]MATRICE!$F$5:$F$490="Moins de 20 ans")*([1]MATRICE!$G$5:$G$490="S")*([1]MATRICE!$I$5:$I$490="O"))</f>
        <v>0</v>
      </c>
      <c r="R10" s="129">
        <f>SUMPRODUCT(--(TRIM([1]MATRICE!$D$5:$D$490)="MT CC SM")*([1]MATRICE!$F$5:$F$490="Moins de 20 ans")*([1]MATRICE!$G$5:$G$490="S")*([1]MATRICE!$I$5:$I$490="O"))</f>
        <v>0</v>
      </c>
      <c r="S10" s="129">
        <f>SUMPRODUCT(--(TRIM([1]MATRICE!$D$5:$D$490)="MT CC SM")*([1]MATRICE!$F$5:$F$490="Moins de 20 ans")*([1]MATRICE!$G$5:$G$490="S")*([1]MATRICE!$I$5:$I$490="O"))</f>
        <v>0</v>
      </c>
      <c r="T10" s="129">
        <f>SUMPRODUCT(--(TRIM([1]MATRICE!$D$5:$D$490)="MT CC SM")*([1]MATRICE!$F$5:$F$490="Moins de 20 ans")*([1]MATRICE!$G$5:$G$490="S")*([1]MATRICE!$I$5:$I$490="O"))</f>
        <v>0</v>
      </c>
      <c r="U10" s="129">
        <f>SUMPRODUCT(--(TRIM([1]MATRICE!$D$5:$D$490)="MT CC SM")*([1]MATRICE!$F$5:$F$490="Moins de 20 ans")*([1]MATRICE!$G$5:$G$490="S")*([1]MATRICE!$I$5:$I$490="O"))</f>
        <v>0</v>
      </c>
      <c r="V10" s="130">
        <f t="shared" si="2"/>
        <v>0</v>
      </c>
      <c r="W10" s="91"/>
      <c r="X10" s="131">
        <f>SUMPRODUCT(--(TRIM([1]MATRICE!$D$5:$D$490)="MT CC SM")*([1]MATRICE!$G$5:$G$490="S")*([1]MATRICE!$I$5:$I$490="O")*([1]MATRICE!$P$5:$P$490="janvier"))</f>
        <v>0</v>
      </c>
      <c r="Y10" s="132">
        <f>SUMPRODUCT(--(TRIM([1]MATRICE!$D$5:$D$490)="MT CC SM")*([1]MATRICE!$G$5:$G$490="S")*([1]MATRICE!$I$5:$I$490="O")*([1]MATRICE!$P$5:$P$490="février"))</f>
        <v>0</v>
      </c>
      <c r="Z10" s="132">
        <f>SUMPRODUCT(--(TRIM([1]MATRICE!$D$5:$D$490)="MT CC SM")*([1]MATRICE!$G$5:$G$490="S")*([1]MATRICE!$I$5:$I$490="O")*([1]MATRICE!$P$5:$P$490="mars"))</f>
        <v>0</v>
      </c>
      <c r="AA10" s="132">
        <f>SUMPRODUCT(--(TRIM([1]MATRICE!$D$5:$D$490)="MT CC SM")*([1]MATRICE!$G$5:$G$490="S")*([1]MATRICE!$I$5:$I$490="O")*([1]MATRICE!$P$5:$P$490="avril"))</f>
        <v>0</v>
      </c>
      <c r="AB10" s="132">
        <f>SUMPRODUCT(--(TRIM([1]MATRICE!$D$5:$D$490)="MT CC SM")*([1]MATRICE!$G$5:$G$490="S")*([1]MATRICE!$I$5:$I$490="O")*([1]MATRICE!$P$5:$P$490="mai"))</f>
        <v>0</v>
      </c>
      <c r="AC10" s="132">
        <f>SUMPRODUCT(--(TRIM([1]MATRICE!$D$5:$D$490)="MT CC SM")*([1]MATRICE!$G$5:$G$490="S")*([1]MATRICE!$I$5:$I$490="O")*([1]MATRICE!$P$5:$P$490="juin"))</f>
        <v>0</v>
      </c>
      <c r="AD10" s="132">
        <f>SUMPRODUCT(--(TRIM([1]MATRICE!$D$5:$D$490)="MT CC SM")*([1]MATRICE!$G$5:$G$490="S")*([1]MATRICE!$I$5:$I$490="O")*([1]MATRICE!$P$5:$P$490="juillet"))</f>
        <v>0</v>
      </c>
      <c r="AE10" s="132">
        <f>SUMPRODUCT(--(TRIM([1]MATRICE!$D$5:$D$490)="MT CC SM")*([1]MATRICE!$G$5:$G$490="S")*([1]MATRICE!$I$5:$I$490="O")*([1]MATRICE!$P$5:$P$490="août"))</f>
        <v>0</v>
      </c>
      <c r="AF10" s="132">
        <f>SUMPRODUCT(--(TRIM([1]MATRICE!$D$5:$D$490)="MT CC SM")*([1]MATRICE!$G$5:$G$490="S")*([1]MATRICE!$I$5:$I$490="O")*([1]MATRICE!$P$5:$P$490="septembre"))</f>
        <v>0</v>
      </c>
      <c r="AG10" s="132">
        <f>SUMPRODUCT(--(TRIM([1]MATRICE!$D$5:$D$490)="MT CC SM")*([1]MATRICE!$G$5:$G$490="S")*([1]MATRICE!$I$5:$I$490="O")*([1]MATRICE!$P$5:$P$490="mars"))</f>
        <v>0</v>
      </c>
      <c r="AH10" s="132">
        <f>SUMPRODUCT(--(TRIM([1]MATRICE!$D$5:$D$490)="MT CC SM")*([1]MATRICE!$G$5:$G$490="S")*([1]MATRICE!$I$5:$I$490="O")*([1]MATRICE!$P$5:$P$490="mars"))</f>
        <v>0</v>
      </c>
      <c r="AI10" s="133">
        <f>SUMPRODUCT(--(TRIM([1]MATRICE!$D$5:$D$490)="MT CC SM")*([1]MATRICE!$G$5:$G$490="S")*([1]MATRICE!$I$5:$I$490="O")*([1]MATRICE!$P$5:$P$490="mars"))</f>
        <v>0</v>
      </c>
      <c r="AJ10" s="134">
        <f t="shared" si="3"/>
        <v>0</v>
      </c>
      <c r="AK10" s="54"/>
      <c r="AL10" s="54"/>
      <c r="AM10" s="54"/>
      <c r="AN10" s="54"/>
      <c r="AO10" s="54"/>
      <c r="AP10" s="54"/>
    </row>
    <row r="11" spans="1:42" ht="17.25" customHeight="1" x14ac:dyDescent="0.3">
      <c r="A11" s="54"/>
      <c r="B11" s="127" t="s">
        <v>867</v>
      </c>
      <c r="C11" s="112">
        <f>SUMPRODUCT(--(TRIM('[1]AT GLOBAL DEA'!$I$3:$I$1490)="MT CG PR")*('[1]AT GLOBAL DEA'!$L$3:$L$1490="O")*('[1]AT GLOBAL DEA'!$K$3:$K$1490="S"))</f>
        <v>7</v>
      </c>
      <c r="D11" s="113">
        <f>SUMPRODUCT(--(TRIM('[1]AT GLOBAL DEA'!$I$3:$I$1490)="MT CG PR")*('[1]AT GLOBAL DEA'!$L$3:$L$1490="N")*('[1]AT GLOBAL DEA'!$M$3:$M$1490="N")*('[1]AT GLOBAL DEA'!$K$3:$K$1490="S"))</f>
        <v>13</v>
      </c>
      <c r="E11" s="114">
        <f>SUMPRODUCT(--(TRIM('[1]AT GLOBAL DEA'!$I$3:$I$1490)="MT CG PR")*('[1]AT GLOBAL DEA'!$M$3:$M$1490="O")*('[1]AT GLOBAL DEA'!$K$3:$K$1490="S"))</f>
        <v>3</v>
      </c>
      <c r="F11" s="115">
        <f>SUMPRODUCT(--(TRIM('[1]AT GLOBAL DEA'!$I$3:$I$1490)="MT CG PR")*('[1]AT GLOBAL DEA'!$L$3:$L$1490="O")*('[1]AT GLOBAL DEA'!$K$3:$K$1490="S")*('[1]AT GLOBAL DEA'!$N$3:$N$1490))</f>
        <v>93</v>
      </c>
      <c r="G11" s="116">
        <f>SUMPRODUCT(--(TRIM('[1]AT GLOBAL DEA'!$I$3:$I$1490)="MT CG PR")*('[1]AT GLOBAL DEA'!$L$3:$L$1490="o")*('[1]AT GLOBAL DEA'!$K$3:$K$1490="t"))</f>
        <v>1</v>
      </c>
      <c r="H11" s="117">
        <f>SUMPRODUCT(--(TRIM('[1]AT GLOBAL DEA'!$I$3:$I$1490)="MT CG PR")*('[1]AT GLOBAL DEA'!$L$3:$L$1490="n")*('[1]AT GLOBAL DEA'!$K$3:$K$1490="t"))</f>
        <v>0</v>
      </c>
      <c r="I11" s="118">
        <f>SUMPRODUCT(--(TRIM('[1]AT GLOBAL DEA'!$I$3:$I$1490)="MT CG PR")*('[1]AT GLOBAL DEA'!$L$3:$L$1490="O")*('[1]AT GLOBAL DEA'!$K$3:$K$1490="T")*('[1]AT GLOBAL DEA'!$N$3:$N$1490))</f>
        <v>16</v>
      </c>
      <c r="J11" s="101"/>
      <c r="K11" s="119" t="s">
        <v>867</v>
      </c>
      <c r="L11" s="120">
        <f>SUMPRODUCT(--(TRIM([1]MATRICE!$D$5:$D$490)="MT CG PR")*([1]MATRICE!$F$5:$F$490="Moins de 20 ans")*([1]MATRICE!$G$5:$G$490="S")*([1]MATRICE!$I$5:$I$490="O"))</f>
        <v>0</v>
      </c>
      <c r="M11" s="121">
        <f>SUMPRODUCT(--(TRIM([1]MATRICE!$D$5:$D$490)="MT CG PR")*([1]MATRICE!$F$5:$F$490="20 à 24 ans")*([1]MATRICE!$G$5:$G$490="S")*([1]MATRICE!$I$5:$I$490="O"))</f>
        <v>1</v>
      </c>
      <c r="N11" s="121">
        <f>SUMPRODUCT(--(TRIM([1]MATRICE!$D$5:$D$490)="MT CG PR")*([1]MATRICE!$F$5:$F$490="25 à 29 ans")*([1]MATRICE!$G$5:$G$490="S")*([1]MATRICE!$I$5:$I$490="O"))</f>
        <v>0</v>
      </c>
      <c r="O11" s="121">
        <f>SUMPRODUCT(--(TRIM([1]MATRICE!$D$5:$D$490)="MT CG PR")*([1]MATRICE!$F$5:$F$490="30 à 34 ans")*([1]MATRICE!$G$5:$G$490="S")*([1]MATRICE!$I$5:$I$490="O"))</f>
        <v>1</v>
      </c>
      <c r="P11" s="121">
        <f>SUMPRODUCT(--(TRIM([1]MATRICE!$D$5:$D$490)="MT CG PR")*([1]MATRICE!$F$5:$F$490="35 à 39 ans")*([1]MATRICE!$G$5:$G$490="S")*([1]MATRICE!$I$5:$I$490="O"))</f>
        <v>0</v>
      </c>
      <c r="Q11" s="121">
        <f>SUMPRODUCT(--(TRIM([1]MATRICE!$D$5:$D$490)="MT CG PR")*([1]MATRICE!$F$5:$F$490="40 à 44 ans")*([1]MATRICE!$G$5:$G$490="S")*([1]MATRICE!$I$5:$I$490="O"))</f>
        <v>1</v>
      </c>
      <c r="R11" s="121">
        <f>SUMPRODUCT(--(TRIM([1]MATRICE!$D$5:$D$490)="MT CG PR")*([1]MATRICE!$F$5:$F$490="45 à 49 ans")*([1]MATRICE!$G$5:$G$490="S")*([1]MATRICE!$I$5:$I$490="O"))</f>
        <v>1</v>
      </c>
      <c r="S11" s="121">
        <f>SUMPRODUCT(--(TRIM([1]MATRICE!$D$5:$D$490)="MT CG PR")*([1]MATRICE!$F$5:$F$490="50 à 54 ans")*([1]MATRICE!$G$5:$G$490="S")*([1]MATRICE!$I$5:$I$490="O"))</f>
        <v>3</v>
      </c>
      <c r="T11" s="121">
        <f>SUMPRODUCT(--(TRIM([1]MATRICE!$D$5:$D$490)="MT CG PR")*([1]MATRICE!$F$5:$F$490="55 à 59 ans")*([1]MATRICE!$G$5:$G$490="S")*([1]MATRICE!$I$5:$I$490="O"))</f>
        <v>0</v>
      </c>
      <c r="U11" s="121">
        <f>SUMPRODUCT(--(TRIM([1]MATRICE!$D$5:$D$490)="MT CG PR")*([1]MATRICE!$F$5:$F$490="60 ans et +")*([1]MATRICE!$G$5:$G$490="S")*([1]MATRICE!$I$5:$I$490="O"))</f>
        <v>0</v>
      </c>
      <c r="V11" s="122">
        <f t="shared" si="2"/>
        <v>7</v>
      </c>
      <c r="W11" s="91"/>
      <c r="X11" s="123">
        <f>SUMPRODUCT(--(TRIM([1]MATRICE!$D$5:$D$490)="MT CG PR")*([1]MATRICE!$G$5:$G$490="S")*([1]MATRICE!$I$5:$I$490="O")*([1]MATRICE!$P$5:$P$490="janvier"))</f>
        <v>2</v>
      </c>
      <c r="Y11" s="124">
        <f>SUMPRODUCT(--(TRIM([1]MATRICE!$D$5:$D$490)="MT CG PR")*([1]MATRICE!$G$5:$G$490="S")*([1]MATRICE!$I$5:$I$490="O")*([1]MATRICE!$P$5:$P$490="février"))</f>
        <v>1</v>
      </c>
      <c r="Z11" s="124">
        <f>SUMPRODUCT(--(TRIM([1]MATRICE!$D$5:$D$490)="MT CG PR")*([1]MATRICE!$G$5:$G$490="S")*([1]MATRICE!$I$5:$I$490="O")*([1]MATRICE!$P$5:$P$490="mars"))</f>
        <v>1</v>
      </c>
      <c r="AA11" s="124">
        <f>SUMPRODUCT(--(TRIM([1]MATRICE!$D$5:$D$490)="MT CG PR")*([1]MATRICE!$G$5:$G$490="S")*([1]MATRICE!$I$5:$I$490="O")*([1]MATRICE!$P$5:$P$490="avril"))</f>
        <v>0</v>
      </c>
      <c r="AB11" s="124">
        <f>SUMPRODUCT(--(TRIM([1]MATRICE!$D$5:$D$490)="MT CG PR")*([1]MATRICE!$G$5:$G$490="S")*([1]MATRICE!$I$5:$I$490="O")*([1]MATRICE!$P$5:$P$490="mai"))</f>
        <v>1</v>
      </c>
      <c r="AC11" s="124">
        <f>SUMPRODUCT(--(TRIM([1]MATRICE!$D$5:$D$490)="MT CG PR")*([1]MATRICE!$G$5:$G$490="S")*([1]MATRICE!$I$5:$I$490="O")*([1]MATRICE!$P$5:$P$490="juin"))</f>
        <v>1</v>
      </c>
      <c r="AD11" s="124">
        <f>SUMPRODUCT(--(TRIM([1]MATRICE!$D$5:$D$490)="MT CG PR")*([1]MATRICE!$G$5:$G$490="S")*([1]MATRICE!$I$5:$I$490="O")*([1]MATRICE!$P$5:$P$490="juillet"))</f>
        <v>0</v>
      </c>
      <c r="AE11" s="124">
        <f>SUMPRODUCT(--(TRIM([1]MATRICE!$D$5:$D$490)="MT CG PR")*([1]MATRICE!$G$5:$G$490="S")*([1]MATRICE!$I$5:$I$490="O")*([1]MATRICE!$P$5:$P$490="août"))</f>
        <v>0</v>
      </c>
      <c r="AF11" s="124">
        <f>SUMPRODUCT(--(TRIM([1]MATRICE!$D$5:$D$490)="MT CG PR")*([1]MATRICE!$G$5:$G$490="S")*([1]MATRICE!$I$5:$I$490="O")*([1]MATRICE!$P$5:$P$490="septembre"))</f>
        <v>1</v>
      </c>
      <c r="AG11" s="124">
        <f>SUMPRODUCT(--(TRIM([1]MATRICE!$D$5:$D$490)="MT CG PR")*([1]MATRICE!$G$5:$G$490="S")*([1]MATRICE!$I$5:$I$490="O")*([1]MATRICE!$P$5:$P$490="octobre"))</f>
        <v>0</v>
      </c>
      <c r="AH11" s="124">
        <f>SUMPRODUCT(--(TRIM([1]MATRICE!$D$5:$D$490)="MT CG PR")*([1]MATRICE!$G$5:$G$490="S")*([1]MATRICE!$I$5:$I$490="O")*([1]MATRICE!$P$5:$P$490="novembre"))</f>
        <v>0</v>
      </c>
      <c r="AI11" s="125">
        <f>SUMPRODUCT(--(TRIM([1]MATRICE!$D$5:$D$490)="MT CG PR")*([1]MATRICE!$G$5:$G$490="S")*([1]MATRICE!$I$5:$I$490="O")*([1]MATRICE!$P$5:$P$490="décembre"))</f>
        <v>0</v>
      </c>
      <c r="AJ11" s="126">
        <f t="shared" si="3"/>
        <v>7</v>
      </c>
      <c r="AK11" s="54"/>
      <c r="AL11" s="54"/>
      <c r="AM11" s="54"/>
      <c r="AN11" s="54"/>
      <c r="AO11" s="54"/>
      <c r="AP11" s="54"/>
    </row>
    <row r="12" spans="1:42" ht="17.25" customHeight="1" x14ac:dyDescent="0.3">
      <c r="A12" s="54"/>
      <c r="B12" s="127" t="s">
        <v>868</v>
      </c>
      <c r="C12" s="112">
        <f>SUMPRODUCT(--(TRIM('[1]AT GLOBAL DEA'!$I$3:$I$1490)="MT CG PW")*('[1]AT GLOBAL DEA'!$L$3:$L$1490="O")*('[1]AT GLOBAL DEA'!$K$3:$K$1490="S"))</f>
        <v>1</v>
      </c>
      <c r="D12" s="113">
        <f>SUMPRODUCT(--(TRIM('[1]AT GLOBAL DEA'!$I$3:$I$1490)="MT CG PW")*('[1]AT GLOBAL DEA'!$L$3:$L$1490="N")*('[1]AT GLOBAL DEA'!$M$3:$M$1490="N")*('[1]AT GLOBAL DEA'!$K$3:$K$1490="S"))</f>
        <v>2</v>
      </c>
      <c r="E12" s="114">
        <f>SUMPRODUCT(--(TRIM('[1]AT GLOBAL DEA'!$I$3:$I$1490)="MT CG PW")*('[1]AT GLOBAL DEA'!$M$3:$M$1490="O")*('[1]AT GLOBAL DEA'!$K$3:$K$1490="S"))</f>
        <v>0</v>
      </c>
      <c r="F12" s="115">
        <f>SUMPRODUCT(--(TRIM('[1]AT GLOBAL DEA'!$I$3:$I$1490)="MT CG PW")*('[1]AT GLOBAL DEA'!$L$3:$L$1490="O")*('[1]AT GLOBAL DEA'!$K$3:$K$1490="S")*('[1]AT GLOBAL DEA'!$N$3:$N$1490))</f>
        <v>7</v>
      </c>
      <c r="G12" s="116">
        <f>SUMPRODUCT(--(TRIM('[1]AT GLOBAL DEA'!$I$3:$I$1490)="MT CG PW")*('[1]AT GLOBAL DEA'!$L$3:$L$1490="o")*('[1]AT GLOBAL DEA'!$K$3:$K$1490="t"))</f>
        <v>0</v>
      </c>
      <c r="H12" s="117">
        <f>SUMPRODUCT(--(TRIM('[1]AT GLOBAL DEA'!$I$3:$I$1490)="MT CG PW")*('[1]AT GLOBAL DEA'!$L$3:$L$1490="n")*('[1]AT GLOBAL DEA'!$K$3:$K$1490="t"))</f>
        <v>0</v>
      </c>
      <c r="I12" s="118">
        <f>SUMPRODUCT(--(TRIM('[1]AT GLOBAL DEA'!$I$3:$I$1490)="MT CG PW")*('[1]AT GLOBAL DEA'!$L$3:$L$1490="O")*('[1]AT GLOBAL DEA'!$K$3:$K$1490="T")*('[1]AT GLOBAL DEA'!$N$3:$N$1490))</f>
        <v>0</v>
      </c>
      <c r="J12" s="101"/>
      <c r="K12" s="127" t="s">
        <v>868</v>
      </c>
      <c r="L12" s="128">
        <f>SUMPRODUCT(--(TRIM([1]MATRICE!$D$5:$D$490)="MT CG PW")*([1]MATRICE!$F$5:$F$490="Moins de 20 ans")*([1]MATRICE!$G$5:$G$490="S")*([1]MATRICE!$I$5:$I$490="O"))</f>
        <v>0</v>
      </c>
      <c r="M12" s="129">
        <f>SUMPRODUCT(--(TRIM([1]MATRICE!$D$5:$D$490)="MT CG PW")*([1]MATRICE!$F$5:$F$490="20 à 24 ans")*([1]MATRICE!$G$5:$G$490="S")*([1]MATRICE!$I$5:$I$490="O"))</f>
        <v>0</v>
      </c>
      <c r="N12" s="129">
        <f>SUMPRODUCT(--(TRIM([1]MATRICE!$D$5:$D$490)="MT CG PW")*([1]MATRICE!$F$5:$F$490="Moins de 20 ans")*([1]MATRICE!$G$5:$G$490="S")*([1]MATRICE!$I$5:$I$490="O"))</f>
        <v>0</v>
      </c>
      <c r="O12" s="129">
        <f>SUMPRODUCT(--(TRIM([1]MATRICE!$D$5:$D$490)="MT CG PW")*([1]MATRICE!$F$5:$F$490="Moins de 20 ans")*([1]MATRICE!$G$5:$G$490="S")*([1]MATRICE!$I$5:$I$490="O"))</f>
        <v>0</v>
      </c>
      <c r="P12" s="129">
        <f>SUMPRODUCT(--(TRIM([1]MATRICE!$D$5:$D$490)="MT CG PW")*([1]MATRICE!$F$5:$F$490="Moins de 20 ans")*([1]MATRICE!$G$5:$G$490="S")*([1]MATRICE!$I$5:$I$490="O"))</f>
        <v>0</v>
      </c>
      <c r="Q12" s="129">
        <f>SUMPRODUCT(--(TRIM([1]MATRICE!$D$5:$D$490)="MT CG PW")*([1]MATRICE!$F$5:$F$490="Moins de 20 ans")*([1]MATRICE!$G$5:$G$490="S")*([1]MATRICE!$I$5:$I$490="O"))</f>
        <v>0</v>
      </c>
      <c r="R12" s="129">
        <f>SUMPRODUCT(--(TRIM([1]MATRICE!$D$5:$D$490)="MT CG PW")*([1]MATRICE!$F$5:$F$490="Moins de 20 ans")*([1]MATRICE!$G$5:$G$490="S")*([1]MATRICE!$I$5:$I$490="O"))</f>
        <v>0</v>
      </c>
      <c r="S12" s="129">
        <f>SUMPRODUCT(--(TRIM([1]MATRICE!$D$5:$D$490)="MT CG PW")*([1]MATRICE!$F$5:$F$490="Moins de 20 ans")*([1]MATRICE!$G$5:$G$490="S")*([1]MATRICE!$I$5:$I$490="O"))</f>
        <v>0</v>
      </c>
      <c r="T12" s="129">
        <f>SUMPRODUCT(--(TRIM([1]MATRICE!$D$5:$D$490)="MT CG PW")*([1]MATRICE!$F$5:$F$490="Moins de 20 ans")*([1]MATRICE!$G$5:$G$490="S")*([1]MATRICE!$I$5:$I$490="O"))</f>
        <v>0</v>
      </c>
      <c r="U12" s="129">
        <f>SUMPRODUCT(--(TRIM([1]MATRICE!$D$5:$D$490)="MT CG PW")*([1]MATRICE!$F$5:$F$490="Moins de 20 ans")*([1]MATRICE!$G$5:$G$490="S")*([1]MATRICE!$I$5:$I$490="O"))</f>
        <v>0</v>
      </c>
      <c r="V12" s="130">
        <f t="shared" si="2"/>
        <v>0</v>
      </c>
      <c r="W12" s="91"/>
      <c r="X12" s="131">
        <f>SUMPRODUCT(--(TRIM([1]MATRICE!$D$5:$D$490)="MT CG PW")*([1]MATRICE!$G$5:$G$490="S")*([1]MATRICE!$I$5:$I$490="O")*([1]MATRICE!$P$5:$P$490="janvier"))</f>
        <v>0</v>
      </c>
      <c r="Y12" s="132">
        <f>SUMPRODUCT(--(TRIM([1]MATRICE!$D$5:$D$490)="MT CG PW")*([1]MATRICE!$G$5:$G$490="S")*([1]MATRICE!$I$5:$I$490="O")*([1]MATRICE!$P$5:$P$490="février"))</f>
        <v>0</v>
      </c>
      <c r="Z12" s="132">
        <f>SUMPRODUCT(--(TRIM([1]MATRICE!$D$5:$D$490)="MT CG PW")*([1]MATRICE!$G$5:$G$490="S")*([1]MATRICE!$I$5:$I$490="O")*([1]MATRICE!$P$5:$P$490="mars"))</f>
        <v>0</v>
      </c>
      <c r="AA12" s="132">
        <f>SUMPRODUCT(--(TRIM([1]MATRICE!$D$5:$D$490)="MT CG PW")*([1]MATRICE!$G$5:$G$490="S")*([1]MATRICE!$I$5:$I$490="O")*([1]MATRICE!$P$5:$P$490="avril"))</f>
        <v>0</v>
      </c>
      <c r="AB12" s="132">
        <f>SUMPRODUCT(--(TRIM([1]MATRICE!$D$5:$D$490)="MT CG PW")*([1]MATRICE!$G$5:$G$490="S")*([1]MATRICE!$I$5:$I$490="O")*([1]MATRICE!$P$5:$P$490="mai"))</f>
        <v>0</v>
      </c>
      <c r="AC12" s="132">
        <f>SUMPRODUCT(--(TRIM([1]MATRICE!$D$5:$D$490)="MT CG PW")*([1]MATRICE!$G$5:$G$490="S")*([1]MATRICE!$I$5:$I$490="O")*([1]MATRICE!$P$5:$P$490="juin"))</f>
        <v>0</v>
      </c>
      <c r="AD12" s="132">
        <f>SUMPRODUCT(--(TRIM([1]MATRICE!$D$5:$D$490)="MT CG PW")*([1]MATRICE!$G$5:$G$490="S")*([1]MATRICE!$I$5:$I$490="O")*([1]MATRICE!$P$5:$P$490="juillet"))</f>
        <v>0</v>
      </c>
      <c r="AE12" s="132">
        <f>SUMPRODUCT(--(TRIM([1]MATRICE!$D$5:$D$490)="MT CG PW")*([1]MATRICE!$G$5:$G$490="S")*([1]MATRICE!$I$5:$I$490="O")*([1]MATRICE!$P$5:$P$490="août"))</f>
        <v>1</v>
      </c>
      <c r="AF12" s="132">
        <f>SUMPRODUCT(--(TRIM([1]MATRICE!$D$5:$D$490)="MT CG PW")*([1]MATRICE!$G$5:$G$490="S")*([1]MATRICE!$I$5:$I$490="O")*([1]MATRICE!$P$5:$P$490="septembre"))</f>
        <v>0</v>
      </c>
      <c r="AG12" s="132">
        <f>SUMPRODUCT(--(TRIM([1]MATRICE!$D$5:$D$490)="MT CG PW")*([1]MATRICE!$G$5:$G$490="S")*([1]MATRICE!$I$5:$I$490="O")*([1]MATRICE!$P$5:$P$490="octobre"))</f>
        <v>0</v>
      </c>
      <c r="AH12" s="132">
        <f>SUMPRODUCT(--(TRIM([1]MATRICE!$D$5:$D$490)="MT CG PW")*([1]MATRICE!$G$5:$G$490="S")*([1]MATRICE!$I$5:$I$490="O")*([1]MATRICE!$P$5:$P$490="novembre"))</f>
        <v>0</v>
      </c>
      <c r="AI12" s="133">
        <f>SUMPRODUCT(--(TRIM([1]MATRICE!$D$5:$D$490)="MT CG PW")*([1]MATRICE!$G$5:$G$490="S")*([1]MATRICE!$I$5:$I$490="O")*([1]MATRICE!$P$5:$P$490="décembre"))</f>
        <v>0</v>
      </c>
      <c r="AJ12" s="134">
        <f t="shared" si="3"/>
        <v>1</v>
      </c>
      <c r="AK12" s="54"/>
      <c r="AL12" s="54"/>
      <c r="AM12" s="54"/>
      <c r="AN12" s="54"/>
      <c r="AO12" s="54"/>
      <c r="AP12" s="54"/>
    </row>
    <row r="13" spans="1:42" ht="17.25" customHeight="1" x14ac:dyDescent="0.3">
      <c r="A13" s="54"/>
      <c r="B13" s="111" t="s">
        <v>869</v>
      </c>
      <c r="C13" s="112">
        <f>SUMPRODUCT(--(TRIM('[1]AT GLOBAL DEA'!$I$3:$I$1490)="MT UD QU")*('[1]AT GLOBAL DEA'!$L$3:$L$1490="O")*('[1]AT GLOBAL DEA'!$K$3:$K$1490="S"))</f>
        <v>0</v>
      </c>
      <c r="D13" s="113">
        <f>SUMPRODUCT(--(TRIM('[1]AT GLOBAL DEA'!$I$3:$I$1490)="MT UD QU")*('[1]AT GLOBAL DEA'!$L$3:$L$1490="N")*('[1]AT GLOBAL DEA'!$L$3:$L$1490="N")*('[1]AT GLOBAL DEA'!$K$3:$K$1490="S"))</f>
        <v>0</v>
      </c>
      <c r="E13" s="114">
        <f>SUMPRODUCT(--(TRIM('[1]AT GLOBAL DEA'!$I$3:$I$1490)="MT UD QU")*('[1]AT GLOBAL DEA'!$M$3:$M$1490="O")*('[1]AT GLOBAL DEA'!$K$3:$K$1490="S"))</f>
        <v>0</v>
      </c>
      <c r="F13" s="115">
        <f>SUMPRODUCT(--(TRIM('[1]AT GLOBAL DEA'!$I$3:$I$1490)="MT UD QU")*('[1]AT GLOBAL DEA'!$L$3:$L$1490="O")*('[1]AT GLOBAL DEA'!$K$3:$K$1490="S")*('[1]AT GLOBAL DEA'!$N$3:$N$1490))</f>
        <v>0</v>
      </c>
      <c r="G13" s="116">
        <f>SUMPRODUCT(--(TRIM('[1]AT GLOBAL DEA'!$I$3:$I$1490)="MT UD QU")*('[1]AT GLOBAL DEA'!$L$3:$L$1490="o")*('[1]AT GLOBAL DEA'!$K$3:$K$1490="t"))</f>
        <v>0</v>
      </c>
      <c r="H13" s="117">
        <f>SUMPRODUCT(--(TRIM('[1]AT GLOBAL DEA'!$I$3:$I$1490)="MT UD QU")*('[1]AT GLOBAL DEA'!$L$3:$L$1490="n")*('[1]AT GLOBAL DEA'!$K$3:$K$1490="t"))</f>
        <v>0</v>
      </c>
      <c r="I13" s="118">
        <f>SUMPRODUCT(--(TRIM('[1]AT GLOBAL DEA'!$I$3:$I$1490)="MT UD QU")*('[1]AT GLOBAL DEA'!$L$3:$L$1490="O")*('[1]AT GLOBAL DEA'!$K$3:$K$1490="T")*('[1]AT GLOBAL DEA'!$N$3:$N$1490))</f>
        <v>0</v>
      </c>
      <c r="J13" s="101"/>
      <c r="K13" s="119" t="s">
        <v>869</v>
      </c>
      <c r="L13" s="120">
        <f>SUMPRODUCT(--(TRIM([1]MATRICE!$D$5:$D$490)="MT UD QU")*([1]MATRICE!$F$5:$F$490="Moins de 20 ans")*([1]MATRICE!$G$5:$G$490="S")*([1]MATRICE!$I$5:$I$490="O"))</f>
        <v>0</v>
      </c>
      <c r="M13" s="121">
        <f>SUMPRODUCT(--(TRIM([1]MATRICE!$D$5:$D$490)="MT UD QU")*([1]MATRICE!$F$5:$F$490="20 à 24 ans")*([1]MATRICE!$G$5:$G$490="S")*([1]MATRICE!$I$5:$I$490="O"))</f>
        <v>0</v>
      </c>
      <c r="N13" s="121">
        <f>SUMPRODUCT(--(TRIM([1]MATRICE!$D$5:$D$490)="MT UD QU")*([1]MATRICE!$F$5:$F$490="Moins de 20 ans")*([1]MATRICE!$G$5:$G$490="S")*([1]MATRICE!$I$5:$I$490="O"))</f>
        <v>0</v>
      </c>
      <c r="O13" s="121">
        <f>SUMPRODUCT(--(TRIM([1]MATRICE!$D$5:$D$490)="MT UD QU")*([1]MATRICE!$F$5:$F$490="Moins de 20 ans")*([1]MATRICE!$G$5:$G$490="S")*([1]MATRICE!$I$5:$I$490="O"))</f>
        <v>0</v>
      </c>
      <c r="P13" s="121">
        <f>SUMPRODUCT(--(TRIM([1]MATRICE!$D$5:$D$490)="MT UD QU")*([1]MATRICE!$F$5:$F$490="Moins de 20 ans")*([1]MATRICE!$G$5:$G$490="S")*([1]MATRICE!$I$5:$I$490="O"))</f>
        <v>0</v>
      </c>
      <c r="Q13" s="121">
        <f>SUMPRODUCT(--(TRIM([1]MATRICE!$D$5:$D$490)="MT UD QU")*([1]MATRICE!$F$5:$F$490="Moins de 20 ans")*([1]MATRICE!$G$5:$G$490="S")*([1]MATRICE!$I$5:$I$490="O"))</f>
        <v>0</v>
      </c>
      <c r="R13" s="121">
        <f>SUMPRODUCT(--(TRIM([1]MATRICE!$D$5:$D$490)="MT UD QU")*([1]MATRICE!$F$5:$F$490="Moins de 20 ans")*([1]MATRICE!$G$5:$G$490="S")*([1]MATRICE!$I$5:$I$490="O"))</f>
        <v>0</v>
      </c>
      <c r="S13" s="121">
        <f>SUMPRODUCT(--(TRIM([1]MATRICE!$D$5:$D$490)="MT UD QU")*([1]MATRICE!$F$5:$F$490="Moins de 20 ans")*([1]MATRICE!$G$5:$G$490="S")*([1]MATRICE!$I$5:$I$490="O"))</f>
        <v>0</v>
      </c>
      <c r="T13" s="121">
        <f>SUMPRODUCT(--(TRIM([1]MATRICE!$D$5:$D$490)="MT UD QU")*([1]MATRICE!$F$5:$F$490="Moins de 20 ans")*([1]MATRICE!$G$5:$G$490="S")*([1]MATRICE!$I$5:$I$490="O"))</f>
        <v>0</v>
      </c>
      <c r="U13" s="121">
        <f>SUMPRODUCT(--(TRIM([1]MATRICE!$D$5:$D$490)="MT UD QU")*([1]MATRICE!$F$5:$F$490="Moins de 20 ans")*([1]MATRICE!$G$5:$G$490="S")*([1]MATRICE!$I$5:$I$490="O"))</f>
        <v>0</v>
      </c>
      <c r="V13" s="122">
        <f t="shared" si="2"/>
        <v>0</v>
      </c>
      <c r="W13" s="91"/>
      <c r="X13" s="123">
        <f>SUMPRODUCT(--(TRIM([1]MATRICE!$D$5:$D$490)="MT UD QU")*([1]MATRICE!$G$5:$G$490="S")*([1]MATRICE!$I$5:$I$490="O")*([1]MATRICE!$P$5:$P$490="janvier"))</f>
        <v>0</v>
      </c>
      <c r="Y13" s="124">
        <f>SUMPRODUCT(--(TRIM([1]MATRICE!$D$5:$D$490)="MT UD QU")*([1]MATRICE!$G$5:$G$490="S")*([1]MATRICE!$I$5:$I$490="O")*([1]MATRICE!$P$5:$P$490="février"))</f>
        <v>0</v>
      </c>
      <c r="Z13" s="124">
        <f>SUMPRODUCT(--(TRIM([1]MATRICE!$D$5:$D$490)="MT UD QU")*([1]MATRICE!$G$5:$G$490="S")*([1]MATRICE!$I$5:$I$490="O")*([1]MATRICE!$P$5:$P$490="mars"))</f>
        <v>0</v>
      </c>
      <c r="AA13" s="124">
        <f>SUMPRODUCT(--(TRIM([1]MATRICE!$D$5:$D$490)="MT UD QU")*([1]MATRICE!$G$5:$G$490="S")*([1]MATRICE!$I$5:$I$490="O")*([1]MATRICE!$P$5:$P$490="avril"))</f>
        <v>0</v>
      </c>
      <c r="AB13" s="124">
        <f>SUMPRODUCT(--(TRIM([1]MATRICE!$D$5:$D$490)="MT UD QU")*([1]MATRICE!$G$5:$G$490="S")*([1]MATRICE!$I$5:$I$490="O")*([1]MATRICE!$P$5:$P$490="mai"))</f>
        <v>0</v>
      </c>
      <c r="AC13" s="124">
        <f>SUMPRODUCT(--(TRIM([1]MATRICE!$D$5:$D$490)="MT UD QU")*([1]MATRICE!$G$5:$G$490="S")*([1]MATRICE!$I$5:$I$490="O")*([1]MATRICE!$P$5:$P$490="juin"))</f>
        <v>0</v>
      </c>
      <c r="AD13" s="124">
        <f>SUMPRODUCT(--(TRIM([1]MATRICE!$D$5:$D$490)="MT UD QU")*([1]MATRICE!$G$5:$G$490="S")*([1]MATRICE!$I$5:$I$490="O")*([1]MATRICE!$P$5:$P$490="juillet"))</f>
        <v>0</v>
      </c>
      <c r="AE13" s="124">
        <f>SUMPRODUCT(--(TRIM([1]MATRICE!$D$5:$D$490)="MT UD QU")*([1]MATRICE!$G$5:$G$490="S")*([1]MATRICE!$I$5:$I$490="O")*([1]MATRICE!$P$5:$P$490="août"))</f>
        <v>0</v>
      </c>
      <c r="AF13" s="124">
        <f>SUMPRODUCT(--(TRIM([1]MATRICE!$D$5:$D$490)="MT UD QU")*([1]MATRICE!$G$5:$G$490="S")*([1]MATRICE!$I$5:$I$490="O")*([1]MATRICE!$P$5:$P$490="septembre"))</f>
        <v>0</v>
      </c>
      <c r="AG13" s="124">
        <f>SUMPRODUCT(--(TRIM([1]MATRICE!$D$5:$D$490)="MT UD QU")*([1]MATRICE!$G$5:$G$490="S")*([1]MATRICE!$I$5:$I$490="O")*([1]MATRICE!$P$5:$P$490="octobre"))</f>
        <v>0</v>
      </c>
      <c r="AH13" s="124">
        <f>SUMPRODUCT(--(TRIM([1]MATRICE!$D$5:$D$490)="MT UD QU")*([1]MATRICE!$G$5:$G$490="S")*([1]MATRICE!$I$5:$I$490="O")*([1]MATRICE!$P$5:$P$490="novembre"))</f>
        <v>0</v>
      </c>
      <c r="AI13" s="125">
        <f>SUMPRODUCT(--(TRIM([1]MATRICE!$D$5:$D$490)="MT UD QU")*([1]MATRICE!$G$5:$G$490="S")*([1]MATRICE!$I$5:$I$490="O")*([1]MATRICE!$P$5:$P$490="décembre"))</f>
        <v>0</v>
      </c>
      <c r="AJ13" s="126">
        <f t="shared" si="3"/>
        <v>0</v>
      </c>
      <c r="AK13" s="54"/>
      <c r="AL13" s="54"/>
      <c r="AM13" s="54"/>
      <c r="AN13" s="54"/>
      <c r="AO13" s="54"/>
      <c r="AP13" s="54"/>
    </row>
    <row r="14" spans="1:42" ht="17.25" customHeight="1" x14ac:dyDescent="0.3">
      <c r="A14" s="54"/>
      <c r="B14" s="127" t="s">
        <v>870</v>
      </c>
      <c r="C14" s="112">
        <f>SUMPRODUCT(--(TRIM('[1]AT GLOBAL DEA'!$I$3:$I$1490)="MT UD TE")*('[1]AT GLOBAL DEA'!$L$3:$L$1490="O")*('[1]AT GLOBAL DEA'!$K$3:$K$1490="S"))</f>
        <v>0</v>
      </c>
      <c r="D14" s="113">
        <f>SUMPRODUCT(--(TRIM('[1]AT GLOBAL DEA'!$I$3:$I$1490)="MT UD TE")*('[1]AT GLOBAL DEA'!$L$3:$L$1490="N")*('[1]AT GLOBAL DEA'!$M$3:$M$1490="N")*('[1]AT GLOBAL DEA'!$K$3:$K$1490="S"))</f>
        <v>0</v>
      </c>
      <c r="E14" s="114">
        <f>SUMPRODUCT(--(TRIM('[1]AT GLOBAL DEA'!$I$3:$I$1490)="MT UD TE")*('[1]AT GLOBAL DEA'!$M$3:$M$1490="O")*('[1]AT GLOBAL DEA'!$K$3:$K$1490="S"))</f>
        <v>0</v>
      </c>
      <c r="F14" s="115">
        <f>SUMPRODUCT(--(TRIM('[1]AT GLOBAL DEA'!$I$3:$I$1490)="MT UD TE")*('[1]AT GLOBAL DEA'!$L$3:$L$1490="O")*('[1]AT GLOBAL DEA'!$K$3:$K$1490="S")*('[1]AT GLOBAL DEA'!$N$3:$N$1490))</f>
        <v>0</v>
      </c>
      <c r="G14" s="116">
        <f>SUMPRODUCT(--(TRIM('[1]AT GLOBAL DEA'!$I$3:$I$1490)="MT UD TE")*('[1]AT GLOBAL DEA'!$L$3:$L$1490="o")*('[1]AT GLOBAL DEA'!$K$3:$K$1490="t"))</f>
        <v>0</v>
      </c>
      <c r="H14" s="117">
        <f>SUMPRODUCT(--(TRIM('[1]AT GLOBAL DEA'!$I$3:$I$1490)="MT UD TE")*('[1]AT GLOBAL DEA'!$L$3:$L$1490="n")*('[1]AT GLOBAL DEA'!$K$3:$K$1490="t"))</f>
        <v>0</v>
      </c>
      <c r="I14" s="118">
        <f>SUMPRODUCT(--(TRIM('[1]AT GLOBAL DEA'!$I$3:$I$1490)="MT UD TE")*('[1]AT GLOBAL DEA'!$L$3:$L$1490="O")*('[1]AT GLOBAL DEA'!$K$3:$K$1490="T")*('[1]AT GLOBAL DEA'!$N$3:$N$1490))</f>
        <v>0</v>
      </c>
      <c r="J14" s="101"/>
      <c r="K14" s="127" t="s">
        <v>870</v>
      </c>
      <c r="L14" s="128">
        <f>SUMPRODUCT(--(TRIM([1]MATRICE!$D$5:$D$490)="MT UD TE")*([1]MATRICE!$F$5:$F$490="Moins de 20 ans")*([1]MATRICE!$G$5:$G$490="S")*([1]MATRICE!$I$5:$I$490="O"))</f>
        <v>0</v>
      </c>
      <c r="M14" s="129">
        <f>SUMPRODUCT(--(TRIM([1]MATRICE!$D$5:$D$490)="MT UD TE")*([1]MATRICE!$F$5:$F$490="20 à 24 ans")*([1]MATRICE!$G$5:$G$490="S")*([1]MATRICE!$I$5:$I$490="O"))</f>
        <v>0</v>
      </c>
      <c r="N14" s="129">
        <f>SUMPRODUCT(--(TRIM([1]MATRICE!$D$5:$D$490)="MT UD TE")*([1]MATRICE!$F$5:$F$490="Moins de 20 ans")*([1]MATRICE!$G$5:$G$490="S")*([1]MATRICE!$I$5:$I$490="O"))</f>
        <v>0</v>
      </c>
      <c r="O14" s="129">
        <f>SUMPRODUCT(--(TRIM([1]MATRICE!$D$5:$D$490)="MT UD TE")*([1]MATRICE!$F$5:$F$490="Moins de 20 ans")*([1]MATRICE!$G$5:$G$490="S")*([1]MATRICE!$I$5:$I$490="O"))</f>
        <v>0</v>
      </c>
      <c r="P14" s="129">
        <f>SUMPRODUCT(--(TRIM([1]MATRICE!$D$5:$D$490)="MT UD TE")*([1]MATRICE!$F$5:$F$490="Moins de 20 ans")*([1]MATRICE!$G$5:$G$490="S")*([1]MATRICE!$I$5:$I$490="O"))</f>
        <v>0</v>
      </c>
      <c r="Q14" s="129">
        <f>SUMPRODUCT(--(TRIM([1]MATRICE!$D$5:$D$490)="MT UD TE")*([1]MATRICE!$F$5:$F$490="Moins de 20 ans")*([1]MATRICE!$G$5:$G$490="S")*([1]MATRICE!$I$5:$I$490="O"))</f>
        <v>0</v>
      </c>
      <c r="R14" s="129">
        <f>SUMPRODUCT(--(TRIM([1]MATRICE!$D$5:$D$490)="MT UD TE")*([1]MATRICE!$F$5:$F$490="Moins de 20 ans")*([1]MATRICE!$G$5:$G$490="S")*([1]MATRICE!$I$5:$I$490="O"))</f>
        <v>0</v>
      </c>
      <c r="S14" s="129">
        <f>SUMPRODUCT(--(TRIM([1]MATRICE!$D$5:$D$490)="MT UD TE")*([1]MATRICE!$F$5:$F$490="Moins de 20 ans")*([1]MATRICE!$G$5:$G$490="S")*([1]MATRICE!$I$5:$I$490="O"))</f>
        <v>0</v>
      </c>
      <c r="T14" s="129">
        <f>SUMPRODUCT(--(TRIM([1]MATRICE!$D$5:$D$490)="MT UD TE")*([1]MATRICE!$F$5:$F$490="Moins de 20 ans")*([1]MATRICE!$G$5:$G$490="S")*([1]MATRICE!$I$5:$I$490="O"))</f>
        <v>0</v>
      </c>
      <c r="U14" s="129">
        <f>SUMPRODUCT(--(TRIM([1]MATRICE!$D$5:$D$490)="MT UD TE")*([1]MATRICE!$F$5:$F$490="Moins de 20 ans")*([1]MATRICE!$G$5:$G$490="S")*([1]MATRICE!$I$5:$I$490="O"))</f>
        <v>0</v>
      </c>
      <c r="V14" s="130">
        <f t="shared" si="2"/>
        <v>0</v>
      </c>
      <c r="W14" s="91"/>
      <c r="X14" s="131">
        <f>SUMPRODUCT(--(TRIM([1]MATRICE!$D$5:$D$490)="MT UD TE")*([1]MATRICE!$G$5:$G$490="S")*([1]MATRICE!$I$5:$I$490="O")*([1]MATRICE!$P$5:$P$490="janvier"))</f>
        <v>0</v>
      </c>
      <c r="Y14" s="132">
        <f>SUMPRODUCT(--(TRIM([1]MATRICE!$D$5:$D$490)="MT UD TE")*([1]MATRICE!$G$5:$G$490="S")*([1]MATRICE!$I$5:$I$490="O")*([1]MATRICE!$P$5:$P$490="février"))</f>
        <v>0</v>
      </c>
      <c r="Z14" s="132">
        <f>SUMPRODUCT(--(TRIM([1]MATRICE!$D$5:$D$490)="MT UD TE")*([1]MATRICE!$G$5:$G$490="S")*([1]MATRICE!$I$5:$I$490="O")*([1]MATRICE!$P$5:$P$490="mars"))</f>
        <v>0</v>
      </c>
      <c r="AA14" s="132">
        <f>SUMPRODUCT(--(TRIM([1]MATRICE!$D$5:$D$490)="MT UD TE")*([1]MATRICE!$G$5:$G$490="S")*([1]MATRICE!$I$5:$I$490="O")*([1]MATRICE!$P$5:$P$490="avril"))</f>
        <v>0</v>
      </c>
      <c r="AB14" s="132">
        <f>SUMPRODUCT(--(TRIM([1]MATRICE!$D$5:$D$490)="MT UD TE")*([1]MATRICE!$G$5:$G$490="S")*([1]MATRICE!$I$5:$I$490="O")*([1]MATRICE!$P$5:$P$490="mai"))</f>
        <v>0</v>
      </c>
      <c r="AC14" s="132">
        <f>SUMPRODUCT(--(TRIM([1]MATRICE!$D$5:$D$490)="MT UD TE")*([1]MATRICE!$G$5:$G$490="S")*([1]MATRICE!$I$5:$I$490="O")*([1]MATRICE!$P$5:$P$490="juin"))</f>
        <v>0</v>
      </c>
      <c r="AD14" s="132">
        <f>SUMPRODUCT(--(TRIM([1]MATRICE!$D$5:$D$490)="MT UD TE")*([1]MATRICE!$G$5:$G$490="S")*([1]MATRICE!$I$5:$I$490="O")*([1]MATRICE!$P$5:$P$490="juillet"))</f>
        <v>0</v>
      </c>
      <c r="AE14" s="132">
        <f>SUMPRODUCT(--(TRIM([1]MATRICE!$D$5:$D$490)="MT UD TE")*([1]MATRICE!$G$5:$G$490="S")*([1]MATRICE!$I$5:$I$490="O")*([1]MATRICE!$P$5:$P$490="août"))</f>
        <v>0</v>
      </c>
      <c r="AF14" s="132">
        <f>SUMPRODUCT(--(TRIM([1]MATRICE!$D$5:$D$490)="MT UD TE")*([1]MATRICE!$G$5:$G$490="S")*([1]MATRICE!$I$5:$I$490="O")*([1]MATRICE!$P$5:$P$490="septembre"))</f>
        <v>0</v>
      </c>
      <c r="AG14" s="132">
        <f>SUMPRODUCT(--(TRIM([1]MATRICE!$D$5:$D$490)="MT UD TE")*([1]MATRICE!$G$5:$G$490="S")*([1]MATRICE!$I$5:$I$490="O")*([1]MATRICE!$P$5:$P$490="octobre"))</f>
        <v>0</v>
      </c>
      <c r="AH14" s="132">
        <f>SUMPRODUCT(--(TRIM([1]MATRICE!$D$5:$D$490)="MT UD TE")*([1]MATRICE!$G$5:$G$490="S")*([1]MATRICE!$I$5:$I$490="O")*([1]MATRICE!$P$5:$P$490="novembre"))</f>
        <v>0</v>
      </c>
      <c r="AI14" s="133">
        <f>SUMPRODUCT(--(TRIM([1]MATRICE!$D$5:$D$490)="MT UD TE")*([1]MATRICE!$G$5:$G$490="S")*([1]MATRICE!$I$5:$I$490="O")*([1]MATRICE!$P$5:$P$490="décembre"))</f>
        <v>0</v>
      </c>
      <c r="AJ14" s="134">
        <f t="shared" si="3"/>
        <v>0</v>
      </c>
      <c r="AK14" s="54"/>
      <c r="AL14" s="54"/>
      <c r="AM14" s="54"/>
      <c r="AN14" s="54"/>
      <c r="AO14" s="54"/>
      <c r="AP14" s="54"/>
    </row>
    <row r="15" spans="1:42" ht="17.25" customHeight="1" thickBot="1" x14ac:dyDescent="0.35">
      <c r="A15" s="54"/>
      <c r="B15" s="135" t="s">
        <v>871</v>
      </c>
      <c r="C15" s="136">
        <f>SUMPRODUCT(--(TRIM('[1]AT GLOBAL DEA'!$I$3:$I$1490)="MT UD TO")*('[1]AT GLOBAL DEA'!$L$3:$L$1490="O")*('[1]AT GLOBAL DEA'!$K$3:$K$1490="S"))</f>
        <v>0</v>
      </c>
      <c r="D15" s="137">
        <f>SUMPRODUCT(--(TRIM('[1]AT GLOBAL DEA'!$I$3:$I$1490)="MT UD TO")*('[1]AT GLOBAL DEA'!$L$3:$L$1490="N")*('[1]AT GLOBAL DEA'!$M$3:$M$1490="N")*('[1]AT GLOBAL DEA'!$K$3:$K$1490="S"))</f>
        <v>1</v>
      </c>
      <c r="E15" s="138">
        <f>SUMPRODUCT(--(TRIM('[1]AT GLOBAL DEA'!$I$3:$I$1490)="MT UD TO")*('[1]AT GLOBAL DEA'!$M$3:$M$1490="O")*('[1]AT GLOBAL DEA'!$K$3:$K$1490="S"))</f>
        <v>0</v>
      </c>
      <c r="F15" s="139">
        <f>SUMPRODUCT(--(TRIM('[1]AT GLOBAL DEA'!$I$3:$I$1490)="MT UD TO")*('[1]AT GLOBAL DEA'!$L$3:$L$1490="O")*('[1]AT GLOBAL DEA'!$K$3:$K$1490="S")*('[1]AT GLOBAL DEA'!$N$3:$N$1490))</f>
        <v>0</v>
      </c>
      <c r="G15" s="140">
        <f>SUMPRODUCT(--(TRIM('[1]AT GLOBAL DEA'!$I$3:$I$1490)="MT UD TO")*('[1]AT GLOBAL DEA'!$L$3:$L$1490="o")*('[1]AT GLOBAL DEA'!$K$3:$K$1490="t"))</f>
        <v>1</v>
      </c>
      <c r="H15" s="141">
        <f>SUMPRODUCT(--(TRIM('[1]AT GLOBAL DEA'!$I$3:$I$1490)="MT UD TO")*('[1]AT GLOBAL DEA'!$L$3:$L$1490="n")*('[1]AT GLOBAL DEA'!$K$3:$K$1490="t"))</f>
        <v>0</v>
      </c>
      <c r="I15" s="142">
        <f>SUMPRODUCT(--(TRIM('[1]AT GLOBAL DEA'!$I$3:$I$1490)="MT UD TO")*('[1]AT GLOBAL DEA'!$L$3:$L$1490="O")*('[1]AT GLOBAL DEA'!$K$3:$K$1490="T")*('[1]AT GLOBAL DEA'!$N$3:$N$1490))</f>
        <v>88</v>
      </c>
      <c r="J15" s="101"/>
      <c r="K15" s="143" t="s">
        <v>871</v>
      </c>
      <c r="L15" s="144">
        <f>SUMPRODUCT(--(TRIM([1]MATRICE!$D$5:$D$490)="MT UD TO")*([1]MATRICE!$F$5:$F$490="Moins de 20 ans")*([1]MATRICE!$G$5:$G$490="S")*([1]MATRICE!$I$5:$I$490="O"))</f>
        <v>0</v>
      </c>
      <c r="M15" s="145">
        <f>SUMPRODUCT(--(TRIM([1]MATRICE!$D$5:$D$490)="MT UD TO")*([1]MATRICE!$F$5:$F$490="20 à 24 ans")*([1]MATRICE!$G$5:$G$490="S")*([1]MATRICE!$I$5:$I$490="O"))</f>
        <v>0</v>
      </c>
      <c r="N15" s="145">
        <f>SUMPRODUCT(--(TRIM([1]MATRICE!$D$5:$D$490)="MT UD TO")*([1]MATRICE!$F$5:$F$490="Moins de 20 ans")*([1]MATRICE!$G$5:$G$490="S")*([1]MATRICE!$I$5:$I$490="O"))</f>
        <v>0</v>
      </c>
      <c r="O15" s="145">
        <f>SUMPRODUCT(--(TRIM([1]MATRICE!$D$5:$D$490)="MT UD TO")*([1]MATRICE!$F$5:$F$490="Moins de 20 ans")*([1]MATRICE!$G$5:$G$490="S")*([1]MATRICE!$I$5:$I$490="O"))</f>
        <v>0</v>
      </c>
      <c r="P15" s="145">
        <f>SUMPRODUCT(--(TRIM([1]MATRICE!$D$5:$D$490)="MT UD TO")*([1]MATRICE!$F$5:$F$490="Moins de 20 ans")*([1]MATRICE!$G$5:$G$490="S")*([1]MATRICE!$I$5:$I$490="O"))</f>
        <v>0</v>
      </c>
      <c r="Q15" s="145">
        <f>SUMPRODUCT(--(TRIM([1]MATRICE!$D$5:$D$490)="MT UD TO")*([1]MATRICE!$F$5:$F$490="Moins de 20 ans")*([1]MATRICE!$G$5:$G$490="S")*([1]MATRICE!$I$5:$I$490="O"))</f>
        <v>0</v>
      </c>
      <c r="R15" s="145">
        <f>SUMPRODUCT(--(TRIM([1]MATRICE!$D$5:$D$490)="MT UD TO")*([1]MATRICE!$F$5:$F$490="Moins de 20 ans")*([1]MATRICE!$G$5:$G$490="S")*([1]MATRICE!$I$5:$I$490="O"))</f>
        <v>0</v>
      </c>
      <c r="S15" s="145">
        <f>SUMPRODUCT(--(TRIM([1]MATRICE!$D$5:$D$490)="MT UD TO")*([1]MATRICE!$F$5:$F$490="Moins de 20 ans")*([1]MATRICE!$G$5:$G$490="S")*([1]MATRICE!$I$5:$I$490="O"))</f>
        <v>0</v>
      </c>
      <c r="T15" s="145">
        <f>SUMPRODUCT(--(TRIM([1]MATRICE!$D$5:$D$490)="MT UD TO")*([1]MATRICE!$F$5:$F$490="Moins de 20 ans")*([1]MATRICE!$G$5:$G$490="S")*([1]MATRICE!$I$5:$I$490="O"))</f>
        <v>0</v>
      </c>
      <c r="U15" s="145">
        <f>SUMPRODUCT(--(TRIM([1]MATRICE!$D$5:$D$490)="MT UD TO")*([1]MATRICE!$F$5:$F$490="Moins de 20 ans")*([1]MATRICE!$G$5:$G$490="S")*([1]MATRICE!$I$5:$I$490="O"))</f>
        <v>0</v>
      </c>
      <c r="V15" s="146">
        <f t="shared" si="2"/>
        <v>0</v>
      </c>
      <c r="W15" s="91"/>
      <c r="X15" s="147">
        <f>SUMPRODUCT(--(TRIM([1]MATRICE!$D$5:$D$490)="MT UD TO")*([1]MATRICE!$G$5:$G$490="S")*([1]MATRICE!$I$5:$I$490="O")*([1]MATRICE!$P$5:$P$490="janvier"))</f>
        <v>0</v>
      </c>
      <c r="Y15" s="148">
        <f>SUMPRODUCT(--(TRIM([1]MATRICE!$D$5:$D$490)="MT UD TO")*([1]MATRICE!$G$5:$G$490="S")*([1]MATRICE!$I$5:$I$490="O")*([1]MATRICE!$P$5:$P$490="février"))</f>
        <v>0</v>
      </c>
      <c r="Z15" s="148">
        <f>SUMPRODUCT(--(TRIM([1]MATRICE!$D$5:$D$490)="MT UD TO")*([1]MATRICE!$G$5:$G$490="S")*([1]MATRICE!$I$5:$I$490="O")*([1]MATRICE!$P$5:$P$490="mars"))</f>
        <v>0</v>
      </c>
      <c r="AA15" s="148">
        <f>SUMPRODUCT(--(TRIM([1]MATRICE!$D$5:$D$490)="MT UD TO")*([1]MATRICE!$G$5:$G$490="S")*([1]MATRICE!$I$5:$I$490="O")*([1]MATRICE!$P$5:$P$490="avril"))</f>
        <v>0</v>
      </c>
      <c r="AB15" s="148">
        <f>SUMPRODUCT(--(TRIM([1]MATRICE!$D$5:$D$490)="MT UD TO")*([1]MATRICE!$G$5:$G$490="S")*([1]MATRICE!$I$5:$I$490="O")*([1]MATRICE!$P$5:$P$490="mai"))</f>
        <v>0</v>
      </c>
      <c r="AC15" s="148">
        <f>SUMPRODUCT(--(TRIM([1]MATRICE!$D$5:$D$490)="MT UD TO")*([1]MATRICE!$G$5:$G$490="S")*([1]MATRICE!$I$5:$I$490="O")*([1]MATRICE!$P$5:$P$490="juin"))</f>
        <v>0</v>
      </c>
      <c r="AD15" s="148">
        <f>SUMPRODUCT(--(TRIM([1]MATRICE!$D$5:$D$490)="MT UD TO")*([1]MATRICE!$G$5:$G$490="S")*([1]MATRICE!$I$5:$I$490="O")*([1]MATRICE!$P$5:$P$490="juillet"))</f>
        <v>0</v>
      </c>
      <c r="AE15" s="148">
        <f>SUMPRODUCT(--(TRIM([1]MATRICE!$D$5:$D$490)="MT UD TO")*([1]MATRICE!$G$5:$G$490="S")*([1]MATRICE!$I$5:$I$490="O")*([1]MATRICE!$P$5:$P$490="août"))</f>
        <v>0</v>
      </c>
      <c r="AF15" s="148">
        <f>SUMPRODUCT(--(TRIM([1]MATRICE!$D$5:$D$490)="MT UD TO")*([1]MATRICE!$G$5:$G$490="S")*([1]MATRICE!$I$5:$I$490="O")*([1]MATRICE!$P$5:$P$490="septembre"))</f>
        <v>0</v>
      </c>
      <c r="AG15" s="148">
        <f>SUMPRODUCT(--(TRIM([1]MATRICE!$D$5:$D$490)="MT UD TO")*([1]MATRICE!$G$5:$G$490="S")*([1]MATRICE!$I$5:$I$490="O")*([1]MATRICE!$P$5:$P$490="octobre"))</f>
        <v>0</v>
      </c>
      <c r="AH15" s="148">
        <f>SUMPRODUCT(--(TRIM([1]MATRICE!$D$5:$D$490)="MT UD TO")*([1]MATRICE!$G$5:$G$490="S")*([1]MATRICE!$I$5:$I$490="O")*([1]MATRICE!$P$5:$P$490="novembre"))</f>
        <v>0</v>
      </c>
      <c r="AI15" s="149">
        <f>SUMPRODUCT(--(TRIM([1]MATRICE!$D$5:$D$490)="MT UD TO")*([1]MATRICE!$G$5:$G$490="S")*([1]MATRICE!$I$5:$I$490="O")*([1]MATRICE!$P$5:$P$490="décembre"))</f>
        <v>0</v>
      </c>
      <c r="AJ15" s="150">
        <f t="shared" si="3"/>
        <v>0</v>
      </c>
      <c r="AK15" s="54"/>
      <c r="AL15" s="54"/>
      <c r="AM15" s="54"/>
      <c r="AN15" s="54"/>
      <c r="AO15" s="54"/>
      <c r="AP15" s="54"/>
    </row>
    <row r="16" spans="1:42" ht="15.95" customHeight="1" thickBot="1" x14ac:dyDescent="0.35">
      <c r="A16" s="54"/>
      <c r="B16" s="151"/>
      <c r="C16" s="152"/>
      <c r="D16" s="152"/>
      <c r="E16" s="152"/>
      <c r="F16" s="153"/>
      <c r="G16" s="154"/>
      <c r="H16" s="154"/>
      <c r="I16" s="155"/>
      <c r="J16" s="156"/>
      <c r="K16" s="157"/>
      <c r="L16" s="158"/>
      <c r="M16" s="158"/>
      <c r="N16" s="158"/>
      <c r="O16" s="158"/>
      <c r="P16" s="158"/>
      <c r="Q16" s="158"/>
      <c r="R16" s="158"/>
      <c r="S16" s="158"/>
      <c r="T16" s="158"/>
      <c r="U16" s="158"/>
      <c r="V16" s="159"/>
      <c r="W16" s="91"/>
      <c r="X16" s="160"/>
      <c r="Y16" s="161"/>
      <c r="Z16" s="162"/>
      <c r="AA16" s="161"/>
      <c r="AB16" s="160"/>
      <c r="AC16" s="163"/>
      <c r="AD16" s="160"/>
      <c r="AE16" s="163"/>
      <c r="AF16" s="160"/>
      <c r="AG16" s="163"/>
      <c r="AH16" s="160"/>
      <c r="AI16" s="163"/>
      <c r="AJ16" s="92"/>
      <c r="AK16" s="54"/>
      <c r="AL16" s="54"/>
      <c r="AM16" s="54"/>
      <c r="AN16" s="54"/>
      <c r="AO16" s="54"/>
      <c r="AP16" s="54"/>
    </row>
    <row r="17" spans="1:50" ht="15.95" customHeight="1" x14ac:dyDescent="0.3">
      <c r="A17" s="54"/>
      <c r="B17" s="93" t="s">
        <v>861</v>
      </c>
      <c r="C17" s="94">
        <f t="shared" ref="C17:I17" si="4">SUM(C18:C25)</f>
        <v>35</v>
      </c>
      <c r="D17" s="95">
        <f t="shared" si="4"/>
        <v>36</v>
      </c>
      <c r="E17" s="96">
        <f t="shared" si="4"/>
        <v>5</v>
      </c>
      <c r="F17" s="97">
        <f t="shared" si="4"/>
        <v>572</v>
      </c>
      <c r="G17" s="98">
        <f t="shared" si="4"/>
        <v>2</v>
      </c>
      <c r="H17" s="99">
        <f t="shared" si="4"/>
        <v>2</v>
      </c>
      <c r="I17" s="100">
        <f t="shared" si="4"/>
        <v>12</v>
      </c>
      <c r="J17" s="101"/>
      <c r="K17" s="93" t="s">
        <v>861</v>
      </c>
      <c r="L17" s="103"/>
      <c r="M17" s="104"/>
      <c r="N17" s="104"/>
      <c r="O17" s="104"/>
      <c r="P17" s="104"/>
      <c r="Q17" s="104"/>
      <c r="R17" s="104"/>
      <c r="S17" s="104"/>
      <c r="T17" s="104"/>
      <c r="U17" s="104"/>
      <c r="V17" s="105"/>
      <c r="W17" s="91"/>
      <c r="X17" s="106">
        <f t="shared" ref="X17:AI17" si="5">SUM(X18:X25,X29:X38,X52:X54,X57:X58)</f>
        <v>10</v>
      </c>
      <c r="Y17" s="107">
        <f t="shared" si="5"/>
        <v>8</v>
      </c>
      <c r="Z17" s="107">
        <f t="shared" si="5"/>
        <v>6</v>
      </c>
      <c r="AA17" s="107">
        <f t="shared" si="5"/>
        <v>5</v>
      </c>
      <c r="AB17" s="107">
        <f t="shared" si="5"/>
        <v>2</v>
      </c>
      <c r="AC17" s="107">
        <f t="shared" si="5"/>
        <v>5</v>
      </c>
      <c r="AD17" s="107">
        <f t="shared" si="5"/>
        <v>6</v>
      </c>
      <c r="AE17" s="107">
        <f t="shared" si="5"/>
        <v>4</v>
      </c>
      <c r="AF17" s="107">
        <f t="shared" si="5"/>
        <v>2</v>
      </c>
      <c r="AG17" s="107">
        <f t="shared" si="5"/>
        <v>0</v>
      </c>
      <c r="AH17" s="107">
        <f t="shared" si="5"/>
        <v>0</v>
      </c>
      <c r="AI17" s="107">
        <f t="shared" si="5"/>
        <v>0</v>
      </c>
      <c r="AJ17" s="109">
        <f>SUM(X17:AI17)</f>
        <v>48</v>
      </c>
      <c r="AK17" s="110" t="s">
        <v>872</v>
      </c>
      <c r="AL17" s="54"/>
      <c r="AM17" s="54"/>
      <c r="AN17" s="54"/>
      <c r="AO17" s="54"/>
      <c r="AP17" s="54"/>
    </row>
    <row r="18" spans="1:50" ht="17.25" customHeight="1" x14ac:dyDescent="0.3">
      <c r="A18" s="54"/>
      <c r="B18" s="111" t="s">
        <v>873</v>
      </c>
      <c r="C18" s="112">
        <f>SUMPRODUCT(--(TRIM('[1]AT GLOBAL DEA'!$I$3:$I$1490)="MT HB PR")*('[1]AT GLOBAL DEA'!$L$3:$L$1490="O")*('[1]AT GLOBAL DEA'!$K$3:$K$1490="S"))</f>
        <v>26</v>
      </c>
      <c r="D18" s="113">
        <f>SUMPRODUCT(--(TRIM('[1]AT GLOBAL DEA'!$I$3:$I$1490)="MT HB PR")*('[1]AT GLOBAL DEA'!$L$3:$L$1490="N")*('[1]AT GLOBAL DEA'!$M$3:$M$1490="N")*('[1]AT GLOBAL DEA'!$K$3:$K$1490="S"))</f>
        <v>23</v>
      </c>
      <c r="E18" s="114">
        <f>SUMPRODUCT(--(TRIM('[1]AT GLOBAL DEA'!$I$3:$I$1490)="MT HB PR")*('[1]AT GLOBAL DEA'!$M$3:$M$1490="O")*('[1]AT GLOBAL DEA'!$K$3:$K$1490="S"))</f>
        <v>1</v>
      </c>
      <c r="F18" s="115">
        <f>SUMPRODUCT(--(TRIM('[1]AT GLOBAL DEA'!$I$3:$I$1490)="MT HB PR")*('[1]AT GLOBAL DEA'!$L$3:$L$1490="O")*('[1]AT GLOBAL DEA'!$K$3:$K$1490="S")*('[1]AT GLOBAL DEA'!$N$3:$N$1490))</f>
        <v>464</v>
      </c>
      <c r="G18" s="116">
        <f>SUMPRODUCT(--(TRIM('[1]AT GLOBAL DEA'!$I$3:$I$1490)="MT HB PR")*('[1]AT GLOBAL DEA'!$L$3:$L$1490="O")*('[1]AT GLOBAL DEA'!$K$3:$K$1490="T"))</f>
        <v>2</v>
      </c>
      <c r="H18" s="117">
        <f>SUMPRODUCT(--(TRIM('[1]AT GLOBAL DEA'!$I$3:$I$1490)="MT HB PR")*('[1]AT GLOBAL DEA'!$L$3:$L$1490="N")*('[1]AT GLOBAL DEA'!$K$3:$K$1490="T"))</f>
        <v>1</v>
      </c>
      <c r="I18" s="118">
        <f>SUMPRODUCT(--(TRIM('[1]AT GLOBAL DEA'!$I$3:$I$1490)="MT HB PR")*('[1]AT GLOBAL DEA'!$L$3:$L$1490="O")*('[1]AT GLOBAL DEA'!$K$3:$K$1490="T")*('[1]AT GLOBAL DEA'!$N$3:$N$1490))</f>
        <v>12</v>
      </c>
      <c r="J18" s="101"/>
      <c r="K18" s="164" t="s">
        <v>873</v>
      </c>
      <c r="L18" s="120">
        <f>SUMPRODUCT(--(TRIM([1]MATRICE!$D$5:$D$490)="MT HB PR")*([1]MATRICE!$F$5:$F$490="Moins de 20 ans")*([1]MATRICE!$G$5:$G$490="S")*([1]MATRICE!$I$5:$I$490="O"))</f>
        <v>0</v>
      </c>
      <c r="M18" s="121">
        <f>SUMPRODUCT(--(TRIM([1]MATRICE!$D$5:$D$490)="MT HB PR")*([1]MATRICE!$F$5:$F$490="20 à 24 ans")*([1]MATRICE!$G$5:$G$490="S")*([1]MATRICE!$I$5:$I$490="O"))</f>
        <v>0</v>
      </c>
      <c r="N18" s="121">
        <f>SUMPRODUCT(--(TRIM([1]MATRICE!$D$5:$D$490)="MT HB PR")*([1]MATRICE!$F$5:$F$490="25 à 29 ans")*([1]MATRICE!$G$5:$G$490="S")*([1]MATRICE!$I$5:$I$490="O"))</f>
        <v>0</v>
      </c>
      <c r="O18" s="165">
        <f>SUMPRODUCT(--(TRIM([1]MATRICE!$D$5:$D$490)="MT HB PR")*([1]MATRICE!$F$5:$F$490="30 à 34 ans")*([1]MATRICE!$G$5:$G$490="S")*([1]MATRICE!$I$5:$I$490="O"))</f>
        <v>1</v>
      </c>
      <c r="P18" s="121">
        <f>SUMPRODUCT(--(TRIM([1]MATRICE!$D$5:$D$490)="MT HB PR")*([1]MATRICE!$F$5:$F$490="35 à 39 ans")*([1]MATRICE!$G$5:$G$490="S")*([1]MATRICE!$I$5:$I$490="O"))</f>
        <v>6</v>
      </c>
      <c r="Q18" s="121">
        <f>SUMPRODUCT(--(TRIM([1]MATRICE!$D$5:$D$490)="MT HB PR")*([1]MATRICE!$F$5:$F$490="40 à 44 ans")*([1]MATRICE!$G$5:$G$490="S")*([1]MATRICE!$I$5:$I$490="O"))</f>
        <v>6</v>
      </c>
      <c r="R18" s="121">
        <f>SUMPRODUCT(--(TRIM([1]MATRICE!$D$5:$D$490)="MT HB PR")*([1]MATRICE!$F$5:$F$490="45 à 49 ans")*([1]MATRICE!$G$5:$G$490="S")*([1]MATRICE!$I$5:$I$490="O")-([1]MATRICE!$AE$5:$AE$490="0")*([1]MATRICE!$AE$5:$AE$490="Rejet"))</f>
        <v>5</v>
      </c>
      <c r="S18" s="121">
        <f>SUMPRODUCT(--(TRIM([1]MATRICE!$D$5:$D$490)="MT HB PR")*([1]MATRICE!$F$5:$F$490="50 à 54 ans")*([1]MATRICE!$G$5:$G$490="S")*([1]MATRICE!$I$5:$I$490="O"))</f>
        <v>5</v>
      </c>
      <c r="T18" s="121">
        <f>SUMPRODUCT(--(TRIM([1]MATRICE!$D$5:$D$490)="MT HB PR")*([1]MATRICE!$F$5:$F$490="55 à 59 ans")*([1]MATRICE!$G$5:$G$490="S")*([1]MATRICE!$I$5:$I$490="O"))</f>
        <v>3</v>
      </c>
      <c r="U18" s="121">
        <f>SUMPRODUCT(--(TRIM([1]MATRICE!$D$5:$D$490)="MT HB PR")*([1]MATRICE!$F$5:$F$490="60 ans et +")*([1]MATRICE!$G$5:$G$490="S")*([1]MATRICE!$I$5:$I$490="O"))</f>
        <v>0</v>
      </c>
      <c r="V18" s="122">
        <f t="shared" ref="V18:V26" si="6">SUM(L18:U18)</f>
        <v>26</v>
      </c>
      <c r="W18" s="91"/>
      <c r="X18" s="123">
        <f>SUMPRODUCT(--(TRIM([1]MATRICE!$D$5:$D$490)="MT hb PR")*([1]MATRICE!$G$5:$G$490="S")*([1]MATRICE!$I$5:$I$490="O")*([1]MATRICE!$P$5:$P$490="janvier"))</f>
        <v>6</v>
      </c>
      <c r="Y18" s="124">
        <f>SUMPRODUCT(--(TRIM([1]MATRICE!$D$5:$D$490)="MT HB PR")*([1]MATRICE!$G$5:$G$490="S")*([1]MATRICE!$I$5:$I$490="O")*([1]MATRICE!$P$5:$P$490="février"))</f>
        <v>4</v>
      </c>
      <c r="Z18" s="124">
        <f>SUMPRODUCT(--(TRIM([1]MATRICE!$D$5:$D$490)="MT HB PR")*([1]MATRICE!$G$5:$G$490="S")*([1]MATRICE!$I$5:$I$490="O")*([1]MATRICE!$P$5:$P$490="mars"))</f>
        <v>5</v>
      </c>
      <c r="AA18" s="124">
        <f>SUMPRODUCT(--(TRIM([1]MATRICE!$D$5:$D$490)="MT HB PR")*([1]MATRICE!$G$5:$G$490="S")*([1]MATRICE!$I$5:$I$490="O")*([1]MATRICE!$P$5:$P$490="avril"))</f>
        <v>4</v>
      </c>
      <c r="AB18" s="124">
        <f>SUMPRODUCT(--(TRIM([1]MATRICE!$D$5:$D$490)="MT HB PR")*([1]MATRICE!$G$5:$G$490="S")*([1]MATRICE!$I$5:$I$490="O")*([1]MATRICE!$P$5:$P$490="mai"))</f>
        <v>0</v>
      </c>
      <c r="AC18" s="124">
        <f>SUMPRODUCT(--(TRIM([1]MATRICE!$D$5:$D$490)="MT HB PR")*([1]MATRICE!$G$5:$G$490="S")*([1]MATRICE!$I$5:$I$490="O")*([1]MATRICE!$P$5:$P$490="juin"))</f>
        <v>2</v>
      </c>
      <c r="AD18" s="124">
        <f>SUMPRODUCT(--(TRIM([1]MATRICE!$D$5:$D$490)="MT HB PR")*([1]MATRICE!$G$5:$G$490="S")*([1]MATRICE!$I$5:$I$490="O")*([1]MATRICE!$P$5:$P$490="juillet"))</f>
        <v>3</v>
      </c>
      <c r="AE18" s="124">
        <f>SUMPRODUCT(--(TRIM([1]MATRICE!$D$5:$D$490)="MT HB PR")*([1]MATRICE!$G$5:$G$490="S")*([1]MATRICE!$I$5:$I$490="O")*([1]MATRICE!$P$5:$P$490="août"))</f>
        <v>2</v>
      </c>
      <c r="AF18" s="124">
        <f>SUMPRODUCT(--(TRIM([1]MATRICE!$D$5:$D$490)="MT HB PR")*([1]MATRICE!$G$5:$G$490="S")*([1]MATRICE!$I$5:$I$490="O")*([1]MATRICE!$P$5:$P$490="septembre"))</f>
        <v>0</v>
      </c>
      <c r="AG18" s="124">
        <f>SUMPRODUCT(--(TRIM([1]MATRICE!$D$5:$D$490)="MT HB PR")*([1]MATRICE!$G$5:$G$490="S")*([1]MATRICE!$I$5:$I$490="O")*([1]MATRICE!$P$5:$P$490="octobre"))</f>
        <v>0</v>
      </c>
      <c r="AH18" s="124">
        <f>SUMPRODUCT(--(TRIM([1]MATRICE!$D$5:$D$490)="MT HB PR")*([1]MATRICE!$G$5:$G$490="S")*([1]MATRICE!$I$5:$I$490="O")*([1]MATRICE!$P$5:$P$490="novembre"))</f>
        <v>0</v>
      </c>
      <c r="AI18" s="125">
        <f>SUMPRODUCT(--(TRIM([1]MATRICE!$D$5:$D$490)="MT HB PR")*([1]MATRICE!$G$5:$G$490="S")*([1]MATRICE!$I$5:$I$490="O")*([1]MATRICE!$P$5:$P$490="décembre"))</f>
        <v>0</v>
      </c>
      <c r="AJ18" s="126">
        <f>SUM(X18:AI18)</f>
        <v>26</v>
      </c>
      <c r="AK18" s="54"/>
      <c r="AL18" s="54"/>
      <c r="AM18" s="54"/>
      <c r="AN18" s="54"/>
      <c r="AO18" s="54"/>
      <c r="AP18" s="54"/>
    </row>
    <row r="19" spans="1:50" ht="17.25" customHeight="1" x14ac:dyDescent="0.3">
      <c r="A19" s="54"/>
      <c r="B19" s="111" t="s">
        <v>874</v>
      </c>
      <c r="C19" s="112">
        <f>SUMPRODUCT(--(TRIM('[1]AT GLOBAL DEA'!$I$3:$I$1490)="MT HB QO")*('[1]AT GLOBAL DEA'!$L$3:$L$1490="O")*('[1]AT GLOBAL DEA'!$K$3:$K$1490="S"))</f>
        <v>2</v>
      </c>
      <c r="D19" s="113">
        <f>SUMPRODUCT(--(TRIM('[1]AT GLOBAL DEA'!$I$3:$I$1490)="MT HB QO")*('[1]AT GLOBAL DEA'!$L$3:$L$1490="N")*('[1]AT GLOBAL DEA'!$M$3:$M$1490="N")*('[1]AT GLOBAL DEA'!$K$3:$K$1490="S"))</f>
        <v>2</v>
      </c>
      <c r="E19" s="114">
        <f>SUMPRODUCT(--(TRIM('[1]AT GLOBAL DEA'!$I$3:$I$1490)="MT HB QO")*('[1]AT GLOBAL DEA'!$M$3:$M$1490="O")*('[1]AT GLOBAL DEA'!$K$3:$K$1490="S"))</f>
        <v>0</v>
      </c>
      <c r="F19" s="115">
        <f>SUMPRODUCT(--(TRIM('[1]AT GLOBAL DEA'!$I$3:$I$1490)="MT HB QO")*('[1]AT GLOBAL DEA'!$L$3:$L$1490="O")*('[1]AT GLOBAL DEA'!$K$3:$K$1490="S")*('[1]AT GLOBAL DEA'!$N$3:$N$1490))</f>
        <v>33</v>
      </c>
      <c r="G19" s="116">
        <f>SUMPRODUCT(--(TRIM('[1]AT GLOBAL DEA'!$I$3:$I$1490)="MT HB QO")*('[1]AT GLOBAL DEA'!$L$3:$L$1490="O")*('[1]AT GLOBAL DEA'!$K$3:$K$1490="T"))</f>
        <v>0</v>
      </c>
      <c r="H19" s="117">
        <f>SUMPRODUCT(--(TRIM('[1]AT GLOBAL DEA'!$I$3:$I$1490)="MT HB QO")*('[1]AT GLOBAL DEA'!$L$3:$L$1490="N")*('[1]AT GLOBAL DEA'!$K$3:$K$1490="T"))</f>
        <v>0</v>
      </c>
      <c r="I19" s="118">
        <f>SUMPRODUCT(--(TRIM('[1]AT GLOBAL DEA'!$I$3:$I$1490)="MT HB QO")*('[1]AT GLOBAL DEA'!$L$3:$L$1490="O")*('[1]AT GLOBAL DEA'!$K$3:$K$1490="T")*('[1]AT GLOBAL DEA'!$N$3:$N$1490))</f>
        <v>0</v>
      </c>
      <c r="J19" s="101"/>
      <c r="K19" s="166" t="s">
        <v>874</v>
      </c>
      <c r="L19" s="128">
        <f>SUMPRODUCT(--(TRIM([1]MATRICE!$D$5:$D$490)="MT HB QO")*([1]MATRICE!$F$5:$F$490="Moins de 20 ans")*([1]MATRICE!$G$5:$G$490="S")*([1]MATRICE!$I$5:$I$490="O"))</f>
        <v>0</v>
      </c>
      <c r="M19" s="129">
        <f>SUMPRODUCT(--(TRIM([1]MATRICE!$D$5:$D$490)="MT HB QO")*([1]MATRICE!$F$5:$F$490="20 à 24 ans")*([1]MATRICE!$G$5:$G$490="S")*([1]MATRICE!$I$5:$I$490="O"))</f>
        <v>0</v>
      </c>
      <c r="N19" s="129">
        <f>SUMPRODUCT(--(TRIM([1]MATRICE!$D$5:$D$490)="MT HB QO")*([1]MATRICE!$F$5:$F$490="25 à 29 ans")*([1]MATRICE!$G$5:$G$490="S")*([1]MATRICE!$I$5:$I$490="O"))</f>
        <v>0</v>
      </c>
      <c r="O19" s="129">
        <f>SUMPRODUCT(--(TRIM([1]MATRICE!$D$5:$D$490)="MT HB QO")*([1]MATRICE!$F$5:$F$490="30 à 34 ans")*([1]MATRICE!$G$5:$G$490="S")*([1]MATRICE!$I$5:$I$490="O"))</f>
        <v>0</v>
      </c>
      <c r="P19" s="129">
        <f>SUMPRODUCT(--(TRIM([1]MATRICE!$D$5:$D$490)="MT HB QO")*([1]MATRICE!$F$5:$F$490="35 à 39 ans")*([1]MATRICE!$G$5:$G$490="S")*([1]MATRICE!$I$5:$I$490="O"))</f>
        <v>0</v>
      </c>
      <c r="Q19" s="129">
        <f>SUMPRODUCT(--(TRIM([1]MATRICE!$D$5:$D$490)="MT HB QO")*([1]MATRICE!$F$5:$F$490="40 à 44 ans")*([1]MATRICE!$G$5:$G$490="S")*([1]MATRICE!$I$5:$I$490="O"))</f>
        <v>0</v>
      </c>
      <c r="R19" s="129">
        <f>SUMPRODUCT(--(TRIM([1]MATRICE!$D$5:$D$490)="MT HB QO")*([1]MATRICE!$F$5:$F$490="45 à 49 ans")*([1]MATRICE!$G$5:$G$490="S")*([1]MATRICE!$I$5:$I$490="O"))</f>
        <v>1</v>
      </c>
      <c r="S19" s="129">
        <f>SUMPRODUCT(--(TRIM([1]MATRICE!$D$5:$D$490)="MT HB QO")*([1]MATRICE!$F$5:$F$490="50 à 54 ans")*([1]MATRICE!$G$5:$G$490="S")*([1]MATRICE!$I$5:$I$490="O"))</f>
        <v>0</v>
      </c>
      <c r="T19" s="129">
        <f>SUMPRODUCT(--(TRIM([1]MATRICE!$D$5:$D$490)="MT HB QO")*([1]MATRICE!$F$5:$F$490="55 à 59 ans")*([1]MATRICE!$G$5:$G$490="S")*([1]MATRICE!$I$5:$I$490="O"))</f>
        <v>1</v>
      </c>
      <c r="U19" s="129">
        <f>SUMPRODUCT(--(TRIM([1]MATRICE!$D$5:$D$490)="MT HB QO")*([1]MATRICE!$F$5:$F$490="40 à 44 ans")*([1]MATRICE!$G$5:$G$490="S")*([1]MATRICE!$I$5:$I$490="O"))</f>
        <v>0</v>
      </c>
      <c r="V19" s="130">
        <f t="shared" si="6"/>
        <v>2</v>
      </c>
      <c r="W19" s="91"/>
      <c r="X19" s="131">
        <f>SUMPRODUCT(--(TRIM([1]MATRICE!$D$5:$D$490)="MT HB QO")*([1]MATRICE!$G$5:$G$490="S")*([1]MATRICE!$I$5:$I$490="O")*([1]MATRICE!$P$5:$P$490="janvier"))</f>
        <v>0</v>
      </c>
      <c r="Y19" s="132">
        <f>SUMPRODUCT(--(TRIM([1]MATRICE!$D$5:$D$490)="MT HB QO")*([1]MATRICE!$G$5:$G$490="S")*([1]MATRICE!$I$5:$I$490="O")*([1]MATRICE!$P$5:$P$490="février"))</f>
        <v>0</v>
      </c>
      <c r="Z19" s="132">
        <f>SUMPRODUCT(--(TRIM([1]MATRICE!$D$5:$D$490)="MT HB QO")*([1]MATRICE!$G$5:$G$490="S")*([1]MATRICE!$I$5:$I$490="O")*([1]MATRICE!$P$5:$P$490="mars"))</f>
        <v>0</v>
      </c>
      <c r="AA19" s="132">
        <f>SUMPRODUCT(--(TRIM([1]MATRICE!$D$5:$D$490)="MT HB QO")*([1]MATRICE!$G$5:$G$490="S")*([1]MATRICE!$I$5:$I$490="O")*([1]MATRICE!$P$5:$P$490="avril"))</f>
        <v>0</v>
      </c>
      <c r="AB19" s="132">
        <f>SUMPRODUCT(--(TRIM([1]MATRICE!$D$5:$D$490)="MT HB QO")*([1]MATRICE!$G$5:$G$490="S")*([1]MATRICE!$I$5:$I$490="O")*([1]MATRICE!$P$5:$P$490="mai"))</f>
        <v>0</v>
      </c>
      <c r="AC19" s="132">
        <f>SUMPRODUCT(--(TRIM([1]MATRICE!$D$5:$D$490)="MT HB QO")*([1]MATRICE!$G$5:$G$490="S")*([1]MATRICE!$I$5:$I$490="O")*([1]MATRICE!$P$5:$P$490="juin"))</f>
        <v>0</v>
      </c>
      <c r="AD19" s="132">
        <f>SUMPRODUCT(--(TRIM([1]MATRICE!$D$5:$D$490)="MT HB QO")*([1]MATRICE!$G$5:$G$490="S")*([1]MATRICE!$I$5:$I$490="O")*([1]MATRICE!$P$5:$P$490="juillet"))</f>
        <v>1</v>
      </c>
      <c r="AE19" s="132">
        <f>SUMPRODUCT(--(TRIM([1]MATRICE!$D$5:$D$490)="MT HB QO")*([1]MATRICE!$G$5:$G$490="S")*([1]MATRICE!$I$5:$I$490="O")*([1]MATRICE!$P$5:$P$490="août"))</f>
        <v>1</v>
      </c>
      <c r="AF19" s="132">
        <f>SUMPRODUCT(--(TRIM([1]MATRICE!$D$5:$D$490)="MT HB QO")*([1]MATRICE!$G$5:$G$490="S")*([1]MATRICE!$I$5:$I$490="O")*([1]MATRICE!$P$5:$P$490="septembre"))</f>
        <v>0</v>
      </c>
      <c r="AG19" s="132">
        <f>SUMPRODUCT(--(TRIM([1]MATRICE!$D$5:$D$490)="MT HB QO")*([1]MATRICE!$G$5:$G$490="S")*([1]MATRICE!$I$5:$I$490="O")*([1]MATRICE!$P$5:$P$490="mars"))</f>
        <v>0</v>
      </c>
      <c r="AH19" s="132">
        <f>SUMPRODUCT(--(TRIM([1]MATRICE!$D$5:$D$490)="MT HB QO")*([1]MATRICE!$G$5:$G$490="S")*([1]MATRICE!$I$5:$I$490="O")*([1]MATRICE!$P$5:$P$490="mars"))</f>
        <v>0</v>
      </c>
      <c r="AI19" s="133">
        <f>SUMPRODUCT(--(TRIM([1]MATRICE!$D$5:$D$490)="MT HB QO")*([1]MATRICE!$G$5:$G$490="S")*([1]MATRICE!$I$5:$I$490="O")*([1]MATRICE!$P$5:$P$490="mars"))</f>
        <v>0</v>
      </c>
      <c r="AJ19" s="134">
        <f t="shared" ref="AJ19:AJ26" si="7">SUM(X19:AI19)</f>
        <v>2</v>
      </c>
      <c r="AK19" s="54"/>
      <c r="AL19" s="167" t="s">
        <v>875</v>
      </c>
      <c r="AM19" s="168"/>
      <c r="AN19" s="54"/>
      <c r="AO19" s="54"/>
      <c r="AP19" s="54"/>
    </row>
    <row r="20" spans="1:50" ht="17.25" customHeight="1" x14ac:dyDescent="0.3">
      <c r="A20" s="54"/>
      <c r="B20" s="111" t="s">
        <v>876</v>
      </c>
      <c r="C20" s="112">
        <f>SUMPRODUCT(--(TRIM('[1]AT GLOBAL DEA'!$I$3:$I$1490)="MT HB QU")*('[1]AT GLOBAL DEA'!$L$3:$L$1490="O")*('[1]AT GLOBAL DEA'!$K$3:$K$1490="S"))</f>
        <v>1</v>
      </c>
      <c r="D20" s="113">
        <f>SUMPRODUCT(--(TRIM('[1]AT GLOBAL DEA'!$I$3:$I$1490)="MT HB QU")*('[1]AT GLOBAL DEA'!$L$3:$L$1490="N")*('[1]AT GLOBAL DEA'!$M$3:$M$1490="N")*('[1]AT GLOBAL DEA'!$K$3:$K$1490="S"))</f>
        <v>1</v>
      </c>
      <c r="E20" s="114">
        <f>SUMPRODUCT(--(TRIM('[1]AT GLOBAL DEA'!$I$3:$I$1490)="MT HB QU")*('[1]AT GLOBAL DEA'!$M$3:$M$1490="O")*('[1]AT GLOBAL DEA'!$K$3:$K$1490="S"))</f>
        <v>1</v>
      </c>
      <c r="F20" s="115">
        <f>SUMPRODUCT(--(TRIM('[1]AT GLOBAL DEA'!$I$3:$I$1490)="MT HB QU")*('[1]AT GLOBAL DEA'!$L$3:$L$1490="O")*('[1]AT GLOBAL DEA'!$K$3:$K$1490="S")*('[1]AT GLOBAL DEA'!$N$3:$N$1490))</f>
        <v>10</v>
      </c>
      <c r="G20" s="116">
        <f>SUMPRODUCT(--(TRIM('[1]AT GLOBAL DEA'!$I$3:$I$1490)="MT HB QU")*('[1]AT GLOBAL DEA'!$L$3:$L$1490="O")*('[1]AT GLOBAL DEA'!$K$3:$K$1490="T"))</f>
        <v>0</v>
      </c>
      <c r="H20" s="117">
        <f>SUMPRODUCT(--(TRIM('[1]AT GLOBAL DEA'!$I$3:$I$1490)="MT HB QU")*('[1]AT GLOBAL DEA'!$L$3:$L$1490="N")*('[1]AT GLOBAL DEA'!$K$3:$K$1490="T"))</f>
        <v>0</v>
      </c>
      <c r="I20" s="118">
        <f>SUMPRODUCT(--(TRIM('[1]AT GLOBAL DEA'!$I$3:$I$1490)="MT HB QU")*('[1]AT GLOBAL DEA'!$L$3:$L$1490="O")*('[1]AT GLOBAL DEA'!$K$3:$K$1490="T")*('[1]AT GLOBAL DEA'!$N$3:$N$1490))</f>
        <v>0</v>
      </c>
      <c r="J20" s="101"/>
      <c r="K20" s="164" t="s">
        <v>876</v>
      </c>
      <c r="L20" s="120">
        <f>SUMPRODUCT(--(TRIM([1]MATRICE!$D$5:$D$490)="MT HB QU")*([1]MATRICE!$F$5:$F$490="Moins de 20 ans")*([1]MATRICE!$G$5:$G$490="S")*([1]MATRICE!$I$5:$I$490="O"))</f>
        <v>0</v>
      </c>
      <c r="M20" s="121">
        <f>SUMPRODUCT(--(TRIM([1]MATRICE!$D$5:$D$490)="MT HB QU")*([1]MATRICE!$F$5:$F$490="20 à 24 ans")*([1]MATRICE!$G$5:$G$490="S")*([1]MATRICE!$I$5:$I$490="O"))</f>
        <v>0</v>
      </c>
      <c r="N20" s="121">
        <f>SUMPRODUCT(--(TRIM([1]MATRICE!$D$5:$D$490)="MT HB QU")*([1]MATRICE!$F$5:$F$490="25 à 29 ans")*([1]MATRICE!$G$5:$G$490="S")*([1]MATRICE!$I$5:$I$490="O"))</f>
        <v>0</v>
      </c>
      <c r="O20" s="121">
        <f>SUMPRODUCT(--(TRIM([1]MATRICE!$D$5:$D$490)="MT HB QU")*([1]MATRICE!$F$5:$F$490="30 à 34 ans")*([1]MATRICE!$G$5:$G$490="S")*([1]MATRICE!$I$5:$I$490="O"))</f>
        <v>0</v>
      </c>
      <c r="P20" s="121">
        <f>SUMPRODUCT(--(TRIM([1]MATRICE!$D$5:$D$490)="MT HB QU")*([1]MATRICE!$F$5:$F$490="35 à 39 ans")*([1]MATRICE!$G$5:$G$490="S")*([1]MATRICE!$I$5:$I$490="O"))</f>
        <v>0</v>
      </c>
      <c r="Q20" s="121">
        <f>SUMPRODUCT(--(TRIM([1]MATRICE!$D$5:$D$490)="MT HB QU")*([1]MATRICE!$F$5:$F$490="40 à 44 ans")*([1]MATRICE!$G$5:$G$490="S")*([1]MATRICE!$I$5:$I$490="O"))</f>
        <v>0</v>
      </c>
      <c r="R20" s="121">
        <f>SUMPRODUCT(--(TRIM([1]MATRICE!$D$5:$D$490)="MT HB QU")*([1]MATRICE!$F$5:$F$490="45 à 49 ans")*([1]MATRICE!$G$5:$G$490="S")*([1]MATRICE!$I$5:$I$490="O"))</f>
        <v>1</v>
      </c>
      <c r="S20" s="121">
        <f>SUMPRODUCT(--(TRIM([1]MATRICE!$D$5:$D$490)="MT HB QU")*([1]MATRICE!$F$5:$F$490="50 à 54 ans")*([1]MATRICE!$G$5:$G$490="S")*([1]MATRICE!$I$5:$I$490="O"))</f>
        <v>0</v>
      </c>
      <c r="T20" s="121">
        <f>SUMPRODUCT(--(TRIM([1]MATRICE!$D$5:$D$490)="MT HB QU")*([1]MATRICE!$F$5:$F$490="55 à 59 ans")*([1]MATRICE!$G$5:$G$490="S")*([1]MATRICE!$I$5:$I$490="O"))</f>
        <v>0</v>
      </c>
      <c r="U20" s="121">
        <f>SUMPRODUCT(--(TRIM([1]MATRICE!$D$5:$D$490)="MT HB QU")*([1]MATRICE!$F$5:$F$490="60 ans et +")*([1]MATRICE!$G$5:$G$490="S")*([1]MATRICE!$I$5:$I$490="O"))</f>
        <v>0</v>
      </c>
      <c r="V20" s="122">
        <f t="shared" si="6"/>
        <v>1</v>
      </c>
      <c r="W20" s="91"/>
      <c r="X20" s="123">
        <f>SUMPRODUCT(--(TRIM([1]MATRICE!$D$5:$D$490)="MT HB QU")*([1]MATRICE!$G$5:$G$490="S")*([1]MATRICE!$I$5:$I$490="O")*([1]MATRICE!$P$5:$P$490="janvier"))</f>
        <v>0</v>
      </c>
      <c r="Y20" s="124">
        <f>SUMPRODUCT(--(TRIM([1]MATRICE!$D$5:$D$490)="MT HB QU")*([1]MATRICE!$G$5:$G$490="S")*([1]MATRICE!$I$5:$I$490="O")*([1]MATRICE!$P$5:$P$490="février"))</f>
        <v>1</v>
      </c>
      <c r="Z20" s="124">
        <f>SUMPRODUCT(--(TRIM([1]MATRICE!$D$5:$D$490)="MT HB QU")*([1]MATRICE!$G$5:$G$490="S")*([1]MATRICE!$I$5:$I$490="O")*([1]MATRICE!$P$5:$P$490="mars"))</f>
        <v>0</v>
      </c>
      <c r="AA20" s="124">
        <f>SUMPRODUCT(--(TRIM([1]MATRICE!$D$5:$D$490)="MT HB QU")*([1]MATRICE!$G$5:$G$490="S")*([1]MATRICE!$I$5:$I$490="O")*([1]MATRICE!$P$5:$P$490="avril"))</f>
        <v>0</v>
      </c>
      <c r="AB20" s="124">
        <f>SUMPRODUCT(--(TRIM([1]MATRICE!$D$5:$D$490)="MT HB QU")*([1]MATRICE!$G$5:$G$490="S")*([1]MATRICE!$I$5:$I$490="O")*([1]MATRICE!$P$5:$P$490="mai"))</f>
        <v>0</v>
      </c>
      <c r="AC20" s="124">
        <f>SUMPRODUCT(--(TRIM([1]MATRICE!$D$5:$D$490)="MT HB QU")*([1]MATRICE!$G$5:$G$490="S")*([1]MATRICE!$I$5:$I$490="O")*([1]MATRICE!$P$5:$P$490="juin"))</f>
        <v>0</v>
      </c>
      <c r="AD20" s="124">
        <f>SUMPRODUCT(--(TRIM([1]MATRICE!$D$5:$D$490)="MT HB QU")*([1]MATRICE!$G$5:$G$490="S")*([1]MATRICE!$I$5:$I$490="O")*([1]MATRICE!$P$5:$P$490="juillet"))</f>
        <v>0</v>
      </c>
      <c r="AE20" s="124">
        <f>SUMPRODUCT(--(TRIM([1]MATRICE!$D$5:$D$490)="MT HB QU")*([1]MATRICE!$G$5:$G$490="S")*([1]MATRICE!$I$5:$I$490="O")*([1]MATRICE!$P$5:$P$490="août"))</f>
        <v>0</v>
      </c>
      <c r="AF20" s="124">
        <f>SUMPRODUCT(--(TRIM([1]MATRICE!$D$5:$D$490)="MT HB QU")*([1]MATRICE!$G$5:$G$490="S")*([1]MATRICE!$I$5:$I$490="O")*([1]MATRICE!$P$5:$P$490="septembre"))</f>
        <v>0</v>
      </c>
      <c r="AG20" s="124">
        <f>SUMPRODUCT(--(TRIM([1]MATRICE!$D$5:$D$490)="MT HB QU")*([1]MATRICE!$G$5:$G$490="S")*([1]MATRICE!$I$5:$I$490="O")*([1]MATRICE!$P$5:$P$490="mars"))</f>
        <v>0</v>
      </c>
      <c r="AH20" s="124">
        <f>SUMPRODUCT(--(TRIM([1]MATRICE!$D$5:$D$490)="MT HB QU")*([1]MATRICE!$G$5:$G$490="S")*([1]MATRICE!$I$5:$I$490="O")*([1]MATRICE!$P$5:$P$490="mars"))</f>
        <v>0</v>
      </c>
      <c r="AI20" s="125">
        <f>SUMPRODUCT(--(TRIM([1]MATRICE!$D$5:$D$490)="MT HB QU")*([1]MATRICE!$G$5:$G$490="S")*([1]MATRICE!$I$5:$I$490="O")*([1]MATRICE!$P$5:$P$490="mars"))</f>
        <v>0</v>
      </c>
      <c r="AJ20" s="126">
        <f t="shared" si="7"/>
        <v>1</v>
      </c>
      <c r="AK20" s="54"/>
      <c r="AL20" s="169">
        <f>SUM(X19:X20)</f>
        <v>0</v>
      </c>
      <c r="AM20" s="169">
        <f t="shared" ref="AM20:AW20" si="8">SUM(Y19:Y20)</f>
        <v>1</v>
      </c>
      <c r="AN20" s="169">
        <f t="shared" si="8"/>
        <v>0</v>
      </c>
      <c r="AO20" s="169">
        <f t="shared" si="8"/>
        <v>0</v>
      </c>
      <c r="AP20" s="169">
        <f t="shared" si="8"/>
        <v>0</v>
      </c>
      <c r="AQ20" s="169">
        <f t="shared" si="8"/>
        <v>0</v>
      </c>
      <c r="AR20" s="169">
        <f t="shared" si="8"/>
        <v>1</v>
      </c>
      <c r="AS20" s="169">
        <f t="shared" si="8"/>
        <v>1</v>
      </c>
      <c r="AT20" s="169">
        <f t="shared" si="8"/>
        <v>0</v>
      </c>
      <c r="AU20" s="169">
        <f t="shared" si="8"/>
        <v>0</v>
      </c>
      <c r="AV20" s="169">
        <f t="shared" si="8"/>
        <v>0</v>
      </c>
      <c r="AW20" s="169">
        <f t="shared" si="8"/>
        <v>0</v>
      </c>
      <c r="AX20" s="169">
        <f>SUM(AL20:AW20)</f>
        <v>3</v>
      </c>
    </row>
    <row r="21" spans="1:50" ht="17.25" customHeight="1" x14ac:dyDescent="0.3">
      <c r="A21" s="54"/>
      <c r="B21" s="127" t="s">
        <v>877</v>
      </c>
      <c r="C21" s="112">
        <f>SUMPRODUCT(--(TRIM('[1]AT GLOBAL DEA'!$I$3:$I$1490)="MT HB SA")*('[1]AT GLOBAL DEA'!$L$3:$L$1490="O")*('[1]AT GLOBAL DEA'!$K$3:$K$1490="S"))</f>
        <v>1</v>
      </c>
      <c r="D21" s="113">
        <f>SUMPRODUCT(--(TRIM('[1]AT GLOBAL DEA'!$I$3:$I$1490)="MT HB SA")*('[1]AT GLOBAL DEA'!$L$3:$L$1490="N")*('[1]AT GLOBAL DEA'!$M$3:$M$1490="N")*('[1]AT GLOBAL DEA'!$K$3:$K$1490="S"))</f>
        <v>0</v>
      </c>
      <c r="E21" s="114">
        <f>SUMPRODUCT(--(TRIM('[1]AT GLOBAL DEA'!$I$3:$I$1490)="MT HB SA")*('[1]AT GLOBAL DEA'!$M$3:$M$1490="O")*('[1]AT GLOBAL DEA'!$K$3:$K$1490="S"))</f>
        <v>0</v>
      </c>
      <c r="F21" s="115">
        <f>SUMPRODUCT(--(TRIM('[1]AT GLOBAL DEA'!$I$3:$I$1490)="MT HB SA")*('[1]AT GLOBAL DEA'!$L$3:$L$1490="O")*('[1]AT GLOBAL DEA'!$K$3:$K$1490="S")*('[1]AT GLOBAL DEA'!$N$3:$N$1490))</f>
        <v>37</v>
      </c>
      <c r="G21" s="116">
        <f>SUMPRODUCT(--(TRIM('[1]AT GLOBAL DEA'!$I$3:$I$1490)="MT HB SA")*('[1]AT GLOBAL DEA'!$L$3:$L$1490="O")*('[1]AT GLOBAL DEA'!$K$3:$K$1490="T"))</f>
        <v>0</v>
      </c>
      <c r="H21" s="117">
        <f>SUMPRODUCT(--(TRIM('[1]AT GLOBAL DEA'!$I$3:$I$1490)="MT HB SA")*('[1]AT GLOBAL DEA'!$L$3:$L$1490="N")*('[1]AT GLOBAL DEA'!$K$3:$K$1490="T"))</f>
        <v>0</v>
      </c>
      <c r="I21" s="118">
        <f>SUMPRODUCT(--(TRIM('[1]AT GLOBAL DEA'!$I$3:$I$1490)="MT HB SA")*('[1]AT GLOBAL DEA'!$L$3:$L$1490="O")*('[1]AT GLOBAL DEA'!$K$3:$K$1490="T")*('[1]AT GLOBAL DEA'!$N$3:$N$1490))</f>
        <v>0</v>
      </c>
      <c r="J21" s="170"/>
      <c r="K21" s="171" t="s">
        <v>877</v>
      </c>
      <c r="L21" s="128">
        <f>SUMPRODUCT(--(TRIM([1]MATRICE!$D$5:$D$490)="MT HB SA")*([1]MATRICE!$F$5:$F$490="Moins de 20 ans")*([1]MATRICE!$G$5:$G$490="S")*([1]MATRICE!$I$5:$I$490="O"))</f>
        <v>0</v>
      </c>
      <c r="M21" s="129">
        <f>SUMPRODUCT(--(TRIM([1]MATRICE!$D$5:$D$490)="MT HB SA")*([1]MATRICE!$F$5:$F$490="20 à 24 ans")*([1]MATRICE!$G$5:$G$490="S")*([1]MATRICE!$I$5:$I$490="O"))</f>
        <v>0</v>
      </c>
      <c r="N21" s="129">
        <f>SUMPRODUCT(--(TRIM([1]MATRICE!$D$5:$D$490)="MT HB SA")*([1]MATRICE!$F$5:$F$490="25 à 29 ans")*([1]MATRICE!$G$5:$G$490="S")*([1]MATRICE!$I$5:$I$490="O"))</f>
        <v>0</v>
      </c>
      <c r="O21" s="129">
        <f>SUMPRODUCT(--(TRIM([1]MATRICE!$D$5:$D$490)="MT HB SA")*([1]MATRICE!$F$5:$F$490="30 à 34 ans")*([1]MATRICE!$G$5:$G$490="S")*([1]MATRICE!$I$5:$I$490="O"))</f>
        <v>0</v>
      </c>
      <c r="P21" s="129">
        <f>SUMPRODUCT(--(TRIM([1]MATRICE!$D$5:$D$490)="MT HB SA")*([1]MATRICE!$F$5:$F$490="35 à 39 ans")*([1]MATRICE!$G$5:$G$490="S")*([1]MATRICE!$I$5:$I$490="O"))</f>
        <v>0</v>
      </c>
      <c r="Q21" s="129">
        <f>SUMPRODUCT(--(TRIM([1]MATRICE!$D$5:$D$490)="MT HB SA")*([1]MATRICE!$F$5:$F$490="40 à 44 ans")*([1]MATRICE!$G$5:$G$490="S")*([1]MATRICE!$I$5:$I$490="O"))</f>
        <v>0</v>
      </c>
      <c r="R21" s="129">
        <f>SUMPRODUCT(--(TRIM([1]MATRICE!$D$5:$D$490)="MT HB SA")*([1]MATRICE!$F$5:$F$490="45 à 49 ans")*([1]MATRICE!$G$5:$G$490="S")*([1]MATRICE!$I$5:$I$490="O"))</f>
        <v>0</v>
      </c>
      <c r="S21" s="129">
        <f>SUMPRODUCT(--(TRIM([1]MATRICE!$D$5:$D$490)="MT HB SA")*([1]MATRICE!$F$5:$F$490="50 à 54 ans")*([1]MATRICE!$G$5:$G$490="S")*([1]MATRICE!$I$5:$I$490="O"))</f>
        <v>0</v>
      </c>
      <c r="T21" s="129">
        <f>SUMPRODUCT(--(TRIM([1]MATRICE!$D$5:$D$490)="MT HB SA")*([1]MATRICE!$F$5:$F$490="55 à 59 ans")*([1]MATRICE!$G$5:$G$490="S")*([1]MATRICE!$I$5:$I$490="O"))</f>
        <v>1</v>
      </c>
      <c r="U21" s="129">
        <f>SUMPRODUCT(--(TRIM([1]MATRICE!$D$5:$D$490)="MT HB SA")*([1]MATRICE!$F$5:$F$490="60 ans et +")*([1]MATRICE!$G$5:$G$490="S")*([1]MATRICE!$I$5:$I$490="O"))</f>
        <v>0</v>
      </c>
      <c r="V21" s="130">
        <f t="shared" si="6"/>
        <v>1</v>
      </c>
      <c r="W21" s="77"/>
      <c r="X21" s="131">
        <f>SUMPRODUCT(--(TRIM([1]MATRICE!$D$5:$D$490)="MT HB SA")*([1]MATRICE!$G$5:$G$490="S")*([1]MATRICE!$I$5:$I$490="O")*([1]MATRICE!$P$5:$P$490="janvier"))</f>
        <v>0</v>
      </c>
      <c r="Y21" s="132">
        <f>SUMPRODUCT(--(TRIM([1]MATRICE!$D$5:$D$490)="MT HB SA")*([1]MATRICE!$G$5:$G$490="S")*([1]MATRICE!$I$5:$I$490="O")*([1]MATRICE!$P$5:$P$490="février"))</f>
        <v>0</v>
      </c>
      <c r="Z21" s="132">
        <f>SUMPRODUCT(--(TRIM([1]MATRICE!$D$5:$D$490)="MT HB SA")*([1]MATRICE!$G$5:$G$490="S")*([1]MATRICE!$I$5:$I$490="O")*([1]MATRICE!$P$5:$P$490="mars"))</f>
        <v>0</v>
      </c>
      <c r="AA21" s="132">
        <f>SUMPRODUCT(--(TRIM([1]MATRICE!$D$5:$D$490)="MT HB SA")*([1]MATRICE!$G$5:$G$490="S")*([1]MATRICE!$I$5:$I$490="O")*([1]MATRICE!$P$5:$P$490="avril"))</f>
        <v>0</v>
      </c>
      <c r="AB21" s="132">
        <f>SUMPRODUCT(--(TRIM([1]MATRICE!$D$5:$D$490)="MT HB SA")*([1]MATRICE!$G$5:$G$490="S")*([1]MATRICE!$I$5:$I$490="O")*([1]MATRICE!$P$5:$P$490="mai"))</f>
        <v>0</v>
      </c>
      <c r="AC21" s="132">
        <f>SUMPRODUCT(--(TRIM([1]MATRICE!$D$5:$D$490)="MT HB SA")*([1]MATRICE!$G$5:$G$490="S")*([1]MATRICE!$I$5:$I$490="O")*([1]MATRICE!$P$5:$P$490="juin"))</f>
        <v>0</v>
      </c>
      <c r="AD21" s="132">
        <f>SUMPRODUCT(--(TRIM([1]MATRICE!$D$5:$D$490)="MT HB SA")*([1]MATRICE!$G$5:$G$490="S")*([1]MATRICE!$I$5:$I$490="O")*([1]MATRICE!$P$5:$P$490="juillet"))</f>
        <v>1</v>
      </c>
      <c r="AE21" s="132">
        <f>SUMPRODUCT(--(TRIM([1]MATRICE!$D$5:$D$490)="MT HB SA")*([1]MATRICE!$G$5:$G$490="S")*([1]MATRICE!$I$5:$I$490="O")*([1]MATRICE!$P$5:$P$490="août"))</f>
        <v>0</v>
      </c>
      <c r="AF21" s="132">
        <f>SUMPRODUCT(--(TRIM([1]MATRICE!$D$5:$D$490)="MT HB SA")*([1]MATRICE!$G$5:$G$490="S")*([1]MATRICE!$I$5:$I$490="O")*([1]MATRICE!$P$5:$P$490="septembre"))</f>
        <v>0</v>
      </c>
      <c r="AG21" s="132">
        <f>SUMPRODUCT(--(TRIM([1]MATRICE!$D$5:$D$490)="MT HB SA")*([1]MATRICE!$G$5:$G$490="S")*([1]MATRICE!$I$5:$I$490="O")*([1]MATRICE!$P$5:$P$490="mars"))</f>
        <v>0</v>
      </c>
      <c r="AH21" s="132">
        <f>SUMPRODUCT(--(TRIM([1]MATRICE!$D$5:$D$490)="MT HB SA")*([1]MATRICE!$G$5:$G$490="S")*([1]MATRICE!$I$5:$I$490="O")*([1]MATRICE!$P$5:$P$490="mars"))</f>
        <v>0</v>
      </c>
      <c r="AI21" s="133">
        <f>SUMPRODUCT(--(TRIM([1]MATRICE!$D$5:$D$490)="MT HB SA")*([1]MATRICE!$G$5:$G$490="S")*([1]MATRICE!$I$5:$I$490="O")*([1]MATRICE!$P$5:$P$490="mars"))</f>
        <v>0</v>
      </c>
      <c r="AJ21" s="134">
        <f t="shared" si="7"/>
        <v>1</v>
      </c>
      <c r="AK21" s="54"/>
      <c r="AL21" s="54"/>
      <c r="AM21" s="54"/>
      <c r="AN21" s="54"/>
      <c r="AO21" s="54"/>
      <c r="AP21" s="54"/>
    </row>
    <row r="22" spans="1:50" ht="17.25" customHeight="1" x14ac:dyDescent="0.3">
      <c r="A22" s="54"/>
      <c r="B22" s="127" t="s">
        <v>878</v>
      </c>
      <c r="C22" s="112">
        <f>SUMPRODUCT(--(TRIM('[1]AT GLOBAL DEA'!$I$3:$I$1490)="MT HB SL")*('[1]AT GLOBAL DEA'!$L$3:$L$1490="O")*('[1]AT GLOBAL DEA'!$K$3:$K$1490="S"))</f>
        <v>0</v>
      </c>
      <c r="D22" s="113">
        <f>SUMPRODUCT(--(TRIM('[1]AT GLOBAL DEA'!$I$3:$I$1490)="MT HB SL")*('[1]AT GLOBAL DEA'!$L$3:$L$1490="N")*('[1]AT GLOBAL DEA'!$M$3:$M$1490="N")*('[1]AT GLOBAL DEA'!$K$3:$K$1490="S"))</f>
        <v>0</v>
      </c>
      <c r="E22" s="114">
        <f>SUMPRODUCT(--(TRIM('[1]AT GLOBAL DEA'!$I$3:$I$1490)="MT HB SL")*('[1]AT GLOBAL DEA'!$M$3:$M$1490="O")*('[1]AT GLOBAL DEA'!$K$3:$K$1490="S"))</f>
        <v>0</v>
      </c>
      <c r="F22" s="115">
        <f>SUMPRODUCT(--(TRIM('[1]AT GLOBAL DEA'!$I$3:$I$1490)="MT HB SL")*('[1]AT GLOBAL DEA'!$L$3:$L$1490="O")*('[1]AT GLOBAL DEA'!$K$3:$K$1490="S")*('[1]AT GLOBAL DEA'!$N$3:$N$1490))</f>
        <v>0</v>
      </c>
      <c r="G22" s="116">
        <f>SUMPRODUCT(--(TRIM('[1]AT GLOBAL DEA'!$I$3:$I$1490)="MT HB SL")*('[1]AT GLOBAL DEA'!$L$3:$L$1490="O")*('[1]AT GLOBAL DEA'!$K$3:$K$1490="T"))</f>
        <v>0</v>
      </c>
      <c r="H22" s="117">
        <f>SUMPRODUCT(--(TRIM('[1]AT GLOBAL DEA'!$I$3:$I$1490)="MT HB SL")*('[1]AT GLOBAL DEA'!$L$3:$L$1490="N")*('[1]AT GLOBAL DEA'!$K$3:$K$1490="T"))</f>
        <v>0</v>
      </c>
      <c r="I22" s="118">
        <f>SUMPRODUCT(--(TRIM('[1]AT GLOBAL DEA'!$I$3:$I$1490)="MT HB SL")*('[1]AT GLOBAL DEA'!$L$3:$L$1490="O")*('[1]AT GLOBAL DEA'!$K$3:$K$1490="T")*('[1]AT GLOBAL DEA'!$N$3:$N$1490))</f>
        <v>0</v>
      </c>
      <c r="J22" s="170"/>
      <c r="K22" s="164" t="s">
        <v>878</v>
      </c>
      <c r="L22" s="120">
        <f>SUMPRODUCT(--(TRIM([1]MATRICE!$D$5:$D$490)="MT HB SL")*([1]MATRICE!$F$5:$F$490="Moins de 20 ans")*([1]MATRICE!$G$5:$G$490="S")*([1]MATRICE!$I$5:$I$490="O"))</f>
        <v>0</v>
      </c>
      <c r="M22" s="121">
        <f>SUMPRODUCT(--(TRIM([1]MATRICE!$D$5:$D$490)="MT HB SL")*([1]MATRICE!$F$5:$F$490="20 à 24 ans")*([1]MATRICE!$G$5:$G$490="S")*([1]MATRICE!$I$5:$I$490="O"))</f>
        <v>0</v>
      </c>
      <c r="N22" s="121">
        <f>SUMPRODUCT(--(TRIM([1]MATRICE!$D$5:$D$490)="MT HB SL")*([1]MATRICE!$F$5:$F$490="25 à 29 ans")*([1]MATRICE!$G$5:$G$490="S")*([1]MATRICE!$I$5:$I$490="O"))</f>
        <v>0</v>
      </c>
      <c r="O22" s="121">
        <f>SUMPRODUCT(--(TRIM([1]MATRICE!$D$5:$D$490)="MT HB SL")*([1]MATRICE!$F$5:$F$490="30 à 34 ans")*([1]MATRICE!$G$5:$G$490="S")*([1]MATRICE!$I$5:$I$490="O"))</f>
        <v>0</v>
      </c>
      <c r="P22" s="121">
        <f>SUMPRODUCT(--(TRIM([1]MATRICE!$D$5:$D$490)="MT HB SL")*([1]MATRICE!$F$5:$F$490="35 à 39 ans")*([1]MATRICE!$G$5:$G$490="S")*([1]MATRICE!$I$5:$I$490="O"))</f>
        <v>0</v>
      </c>
      <c r="Q22" s="121">
        <f>SUMPRODUCT(--(TRIM([1]MATRICE!$D$5:$D$490)="MT HB SL")*([1]MATRICE!$F$5:$F$490="40 à 44 ans")*([1]MATRICE!$G$5:$G$490="S")*([1]MATRICE!$I$5:$I$490="O"))</f>
        <v>0</v>
      </c>
      <c r="R22" s="121">
        <f>SUMPRODUCT(--(TRIM([1]MATRICE!$D$5:$D$490)="MT HB SL")*([1]MATRICE!$F$5:$F$490="Moins de 20 ans")*([1]MATRICE!$G$5:$G$490="S")*([1]MATRICE!$I$5:$I$490="O"))</f>
        <v>0</v>
      </c>
      <c r="S22" s="121">
        <f>SUMPRODUCT(--(TRIM([1]MATRICE!$D$5:$D$490)="MT HB SL")*([1]MATRICE!$F$5:$F$490="Moins de 20 ans")*([1]MATRICE!$G$5:$G$490="S")*([1]MATRICE!$I$5:$I$490="O"))</f>
        <v>0</v>
      </c>
      <c r="T22" s="121">
        <f>SUMPRODUCT(--(TRIM([1]MATRICE!$D$5:$D$490)="MT HB SL")*([1]MATRICE!$F$5:$F$490="Moins de 20 ans")*([1]MATRICE!$G$5:$G$490="S")*([1]MATRICE!$I$5:$I$490="O"))</f>
        <v>0</v>
      </c>
      <c r="U22" s="121">
        <f>SUMPRODUCT(--(TRIM([1]MATRICE!$D$5:$D$490)="MT HB SL")*([1]MATRICE!$F$5:$F$490="Moins de 20 ans")*([1]MATRICE!$G$5:$G$490="S")*([1]MATRICE!$I$5:$I$490="O"))</f>
        <v>0</v>
      </c>
      <c r="V22" s="122">
        <f t="shared" si="6"/>
        <v>0</v>
      </c>
      <c r="W22" s="77"/>
      <c r="X22" s="123">
        <f>SUMPRODUCT(--(TRIM([1]MATRICE!$D$5:$D$490)="MT HB SL")*([1]MATRICE!$G$5:$G$490="S")*([1]MATRICE!$I$5:$I$490="O")*([1]MATRICE!$P$5:$P$490="janvier"))</f>
        <v>0</v>
      </c>
      <c r="Y22" s="124">
        <f>SUMPRODUCT(--(TRIM([1]MATRICE!$D$5:$D$490)="MT HB SL")*([1]MATRICE!$G$5:$G$490="S")*([1]MATRICE!$I$5:$I$490="O")*([1]MATRICE!$P$5:$P$490="février"))</f>
        <v>0</v>
      </c>
      <c r="Z22" s="124">
        <f>SUMPRODUCT(--(TRIM([1]MATRICE!$D$5:$D$490)="MT HB SL")*([1]MATRICE!$G$5:$G$490="S")*([1]MATRICE!$I$5:$I$490="O")*([1]MATRICE!$P$5:$P$490="mars"))</f>
        <v>0</v>
      </c>
      <c r="AA22" s="124">
        <f>SUMPRODUCT(--(TRIM([1]MATRICE!$D$5:$D$490)="MT HB SL")*([1]MATRICE!$G$5:$G$490="S")*([1]MATRICE!$I$5:$I$490="O")*([1]MATRICE!$P$5:$P$490="avril"))</f>
        <v>0</v>
      </c>
      <c r="AB22" s="124">
        <f>SUMPRODUCT(--(TRIM([1]MATRICE!$D$5:$D$490)="MT HB SL")*([1]MATRICE!$G$5:$G$490="S")*([1]MATRICE!$I$5:$I$490="O")*([1]MATRICE!$P$5:$P$490="mai"))</f>
        <v>0</v>
      </c>
      <c r="AC22" s="124">
        <f>SUMPRODUCT(--(TRIM([1]MATRICE!$D$5:$D$490)="MT HB SL")*([1]MATRICE!$G$5:$G$490="S")*([1]MATRICE!$I$5:$I$490="O")*([1]MATRICE!$P$5:$P$490="juin"))</f>
        <v>0</v>
      </c>
      <c r="AD22" s="124">
        <f>SUMPRODUCT(--(TRIM([1]MATRICE!$D$5:$D$490)="MT HB SL")*([1]MATRICE!$G$5:$G$490="S")*([1]MATRICE!$I$5:$I$490="O")*([1]MATRICE!$P$5:$P$490="juillet"))</f>
        <v>0</v>
      </c>
      <c r="AE22" s="124">
        <f>SUMPRODUCT(--(TRIM([1]MATRICE!$D$5:$D$490)="MT HB SL")*([1]MATRICE!$G$5:$G$490="S")*([1]MATRICE!$I$5:$I$490="O")*([1]MATRICE!$P$5:$P$490="août"))</f>
        <v>0</v>
      </c>
      <c r="AF22" s="124">
        <f>SUMPRODUCT(--(TRIM([1]MATRICE!$D$5:$D$490)="MT HB SL")*([1]MATRICE!$G$5:$G$490="S")*([1]MATRICE!$I$5:$I$490="O")*([1]MATRICE!$P$5:$P$490="septembre"))</f>
        <v>0</v>
      </c>
      <c r="AG22" s="124">
        <f>SUMPRODUCT(--(TRIM([1]MATRICE!$D$5:$D$490)="MT HB SL")*([1]MATRICE!$G$5:$G$490="S")*([1]MATRICE!$I$5:$I$490="O")*([1]MATRICE!$P$5:$P$490="mars"))</f>
        <v>0</v>
      </c>
      <c r="AH22" s="124">
        <f>SUMPRODUCT(--(TRIM([1]MATRICE!$D$5:$D$490)="MT HB SL")*([1]MATRICE!$G$5:$G$490="S")*([1]MATRICE!$I$5:$I$490="O")*([1]MATRICE!$P$5:$P$490="mars"))</f>
        <v>0</v>
      </c>
      <c r="AI22" s="125">
        <f>SUMPRODUCT(--(TRIM([1]MATRICE!$D$5:$D$490)="MT HB SL")*([1]MATRICE!$G$5:$G$490="S")*([1]MATRICE!$I$5:$I$490="O")*([1]MATRICE!$P$5:$P$490="mars"))</f>
        <v>0</v>
      </c>
      <c r="AJ22" s="126">
        <f t="shared" si="7"/>
        <v>0</v>
      </c>
      <c r="AK22" s="54"/>
      <c r="AL22" s="54"/>
      <c r="AM22" s="54"/>
      <c r="AN22" s="54"/>
      <c r="AO22" s="54"/>
      <c r="AP22" s="54"/>
    </row>
    <row r="23" spans="1:50" ht="17.25" customHeight="1" x14ac:dyDescent="0.3">
      <c r="A23" s="54"/>
      <c r="B23" s="111" t="s">
        <v>879</v>
      </c>
      <c r="C23" s="112">
        <f>SUMPRODUCT(--(TRIM('[1]AT GLOBAL DEA'!$I$3:$I$1490)="MT HB TH")*('[1]AT GLOBAL DEA'!$L$3:$L$1490="O")*('[1]AT GLOBAL DEA'!$K$3:$K$1490="S"))</f>
        <v>0</v>
      </c>
      <c r="D23" s="113">
        <f>SUMPRODUCT(--(TRIM('[1]AT GLOBAL DEA'!$I$3:$I$1490)="MT HB TH")*('[1]AT GLOBAL DEA'!$L$3:$L$1490="N")*('[1]AT GLOBAL DEA'!$M$3:$M$1490="N")*('[1]AT GLOBAL DEA'!$K$3:$K$1490="S"))</f>
        <v>1</v>
      </c>
      <c r="E23" s="114">
        <f>SUMPRODUCT(--(TRIM('[1]AT GLOBAL DEA'!$I$3:$I$1490)="MT HB TH")*('[1]AT GLOBAL DEA'!$M$3:$M$1490="O")*('[1]AT GLOBAL DEA'!$K$3:$K$1490="S"))</f>
        <v>0</v>
      </c>
      <c r="F23" s="115">
        <f>SUMPRODUCT(--(TRIM('[1]AT GLOBAL DEA'!$I$3:$I$1490)="HB TH")*('[1]AT GLOBAL DEA'!$L$3:$L$1490="O")*('[1]AT GLOBAL DEA'!$K$3:$K$1490="S")*('[1]AT GLOBAL DEA'!$N$3:$N$1490))</f>
        <v>0</v>
      </c>
      <c r="G23" s="116">
        <f>SUMPRODUCT(--(TRIM('[1]AT GLOBAL DEA'!$I$3:$I$1490)="MT HB TH")*('[1]AT GLOBAL DEA'!$L$3:$L$1490="O")*('[1]AT GLOBAL DEA'!$K$3:$K$1490="T"))</f>
        <v>0</v>
      </c>
      <c r="H23" s="117">
        <f>SUMPRODUCT(--(TRIM('[1]AT GLOBAL DEA'!$I$3:$I$1490)="MT HB TH")*('[1]AT GLOBAL DEA'!$L$3:$L$1490="N")*('[1]AT GLOBAL DEA'!$K$3:$K$1490="T"))</f>
        <v>0</v>
      </c>
      <c r="I23" s="118">
        <f>SUMPRODUCT(--(TRIM('[1]AT GLOBAL DEA'!$I$3:$I$1490)="HB TH")*('[1]AT GLOBAL DEA'!$L$3:$L$1490="O")*('[1]AT GLOBAL DEA'!$K$3:$K$1490="T")*('[1]AT GLOBAL DEA'!$N$3:$N$1490))</f>
        <v>0</v>
      </c>
      <c r="J23" s="170"/>
      <c r="K23" s="166" t="s">
        <v>879</v>
      </c>
      <c r="L23" s="128">
        <f>SUMPRODUCT(--(TRIM([1]MATRICE!$D$5:$D$490)="MT HB TH")*([1]MATRICE!$F$5:$F$490="Moins de 20 ans")*([1]MATRICE!$G$5:$G$490="S")*([1]MATRICE!$I$5:$I$490="O"))</f>
        <v>0</v>
      </c>
      <c r="M23" s="129">
        <f>SUMPRODUCT(--(TRIM([1]MATRICE!$D$5:$D$490)="MT HB TH")*([1]MATRICE!$F$5:$F$490="20 à 24 ans")*([1]MATRICE!$G$5:$G$490="S")*([1]MATRICE!$I$5:$I$490="O"))</f>
        <v>0</v>
      </c>
      <c r="N23" s="129">
        <f>SUMPRODUCT(--(TRIM([1]MATRICE!$D$5:$D$490)="MT HB TH")*([1]MATRICE!$F$5:$F$490="25 à 29 ans")*([1]MATRICE!$G$5:$G$490="S")*([1]MATRICE!$I$5:$I$490="O"))</f>
        <v>0</v>
      </c>
      <c r="O23" s="129">
        <f>SUMPRODUCT(--(TRIM([1]MATRICE!$D$5:$D$490)="MT HB TH")*([1]MATRICE!$F$5:$F$490="30 à 34 ans")*([1]MATRICE!$G$5:$G$490="S")*([1]MATRICE!$I$5:$I$490="O"))</f>
        <v>0</v>
      </c>
      <c r="P23" s="129">
        <f>SUMPRODUCT(--(TRIM([1]MATRICE!$D$5:$D$490)="MT HB TH")*([1]MATRICE!$F$5:$F$490="35 à 39 ans")*([1]MATRICE!$G$5:$G$490="S")*([1]MATRICE!$I$5:$I$490="O"))</f>
        <v>0</v>
      </c>
      <c r="Q23" s="129">
        <f>SUMPRODUCT(--(TRIM([1]MATRICE!$D$5:$D$490)="MT HB TH")*([1]MATRICE!$F$5:$F$490="40 à 44 ans")*([1]MATRICE!$G$5:$G$490="S")*([1]MATRICE!$I$5:$I$490="O"))</f>
        <v>0</v>
      </c>
      <c r="R23" s="129">
        <f>SUMPRODUCT(--(TRIM([1]MATRICE!$D$5:$D$490)="MT HB TH")*([1]MATRICE!$F$5:$F$490="Moins de 20 ans")*([1]MATRICE!$G$5:$G$490="S")*([1]MATRICE!$I$5:$I$490="O"))</f>
        <v>0</v>
      </c>
      <c r="S23" s="129">
        <f>SUMPRODUCT(--(TRIM([1]MATRICE!$D$5:$D$490)="MT HB TH")*([1]MATRICE!$F$5:$F$490="Moins de 20 ans")*([1]MATRICE!$G$5:$G$490="S")*([1]MATRICE!$I$5:$I$490="O"))</f>
        <v>0</v>
      </c>
      <c r="T23" s="129">
        <f>SUMPRODUCT(--(TRIM([1]MATRICE!$D$5:$D$490)="MT HB TH")*([1]MATRICE!$F$5:$F$490="Moins de 20 ans")*([1]MATRICE!$G$5:$G$490="S")*([1]MATRICE!$I$5:$I$490="O"))</f>
        <v>0</v>
      </c>
      <c r="U23" s="129">
        <f>SUMPRODUCT(--(TRIM([1]MATRICE!$D$5:$D$490)="MT HB TH")*([1]MATRICE!$F$5:$F$490="Moins de 20 ans")*([1]MATRICE!$G$5:$G$490="S")*([1]MATRICE!$I$5:$I$490="O"))</f>
        <v>0</v>
      </c>
      <c r="V23" s="130">
        <f t="shared" si="6"/>
        <v>0</v>
      </c>
      <c r="W23" s="77"/>
      <c r="X23" s="131">
        <f>SUMPRODUCT(--(TRIM([1]MATRICE!$D$5:$D$490)="MT HB TH")*([1]MATRICE!$G$5:$G$490="S")*([1]MATRICE!$I$5:$I$490="O")*([1]MATRICE!$P$5:$P$490="janvier"))</f>
        <v>0</v>
      </c>
      <c r="Y23" s="132">
        <f>SUMPRODUCT(--(TRIM([1]MATRICE!$D$5:$D$490)="MT HB TH")*([1]MATRICE!$G$5:$G$490="S")*([1]MATRICE!$I$5:$I$490="O")*([1]MATRICE!$P$5:$P$490="février"))</f>
        <v>0</v>
      </c>
      <c r="Z23" s="132">
        <f>SUMPRODUCT(--(TRIM([1]MATRICE!$D$5:$D$490)="MT HB TH")*([1]MATRICE!$G$5:$G$490="S")*([1]MATRICE!$I$5:$I$490="O")*([1]MATRICE!$P$5:$P$490="mars"))</f>
        <v>0</v>
      </c>
      <c r="AA23" s="132">
        <f>SUMPRODUCT(--(TRIM([1]MATRICE!$D$5:$D$490)="MT HB TH")*([1]MATRICE!$G$5:$G$490="S")*([1]MATRICE!$I$5:$I$490="O")*([1]MATRICE!$P$5:$P$490="avril"))</f>
        <v>0</v>
      </c>
      <c r="AB23" s="132">
        <f>SUMPRODUCT(--(TRIM([1]MATRICE!$D$5:$D$490)="MT HB TH")*([1]MATRICE!$G$5:$G$490="S")*([1]MATRICE!$I$5:$I$490="O")*([1]MATRICE!$P$5:$P$490="mai"))</f>
        <v>0</v>
      </c>
      <c r="AC23" s="132">
        <f>SUMPRODUCT(--(TRIM([1]MATRICE!$D$5:$D$490)="MT HB TH")*([1]MATRICE!$G$5:$G$490="S")*([1]MATRICE!$I$5:$I$490="O")*([1]MATRICE!$P$5:$P$490="juin"))</f>
        <v>0</v>
      </c>
      <c r="AD23" s="132">
        <f>SUMPRODUCT(--(TRIM([1]MATRICE!$D$5:$D$490)="MT HB TH")*([1]MATRICE!$G$5:$G$490="S")*([1]MATRICE!$I$5:$I$490="O")*([1]MATRICE!$P$5:$P$490="juillet"))</f>
        <v>0</v>
      </c>
      <c r="AE23" s="132">
        <f>SUMPRODUCT(--(TRIM([1]MATRICE!$D$5:$D$490)="MT HB TH")*([1]MATRICE!$G$5:$G$490="S")*([1]MATRICE!$I$5:$I$490="O")*([1]MATRICE!$P$5:$P$490="août"))</f>
        <v>0</v>
      </c>
      <c r="AF23" s="132">
        <f>SUMPRODUCT(--(TRIM([1]MATRICE!$D$5:$D$490)="MT HB TH")*([1]MATRICE!$G$5:$G$490="S")*([1]MATRICE!$I$5:$I$490="O")*([1]MATRICE!$P$5:$P$490="septembre"))</f>
        <v>0</v>
      </c>
      <c r="AG23" s="132">
        <f>SUMPRODUCT(--(TRIM([1]MATRICE!$D$5:$D$490)="MT HB TH")*([1]MATRICE!$G$5:$G$490="S")*([1]MATRICE!$I$5:$I$490="O")*([1]MATRICE!$P$5:$P$490="mars"))</f>
        <v>0</v>
      </c>
      <c r="AH23" s="132">
        <f>SUMPRODUCT(--(TRIM([1]MATRICE!$D$5:$D$490)="MT HB TH")*([1]MATRICE!$G$5:$G$490="S")*([1]MATRICE!$I$5:$I$490="O")*([1]MATRICE!$P$5:$P$490="mars"))</f>
        <v>0</v>
      </c>
      <c r="AI23" s="133">
        <f>SUMPRODUCT(--(TRIM([1]MATRICE!$D$5:$D$490)="MT HB TH")*([1]MATRICE!$G$5:$G$490="S")*([1]MATRICE!$I$5:$I$490="O")*([1]MATRICE!$P$5:$P$490="mars"))</f>
        <v>0</v>
      </c>
      <c r="AJ23" s="134">
        <f t="shared" si="7"/>
        <v>0</v>
      </c>
      <c r="AK23" s="54"/>
      <c r="AL23" s="54"/>
      <c r="AM23" s="54"/>
      <c r="AN23" s="54"/>
      <c r="AO23" s="54"/>
      <c r="AP23" s="54"/>
    </row>
    <row r="24" spans="1:50" ht="17.25" customHeight="1" x14ac:dyDescent="0.3">
      <c r="A24" s="54"/>
      <c r="B24" s="127" t="s">
        <v>880</v>
      </c>
      <c r="C24" s="112">
        <f>SUMPRODUCT(--(TRIM('[1]AT GLOBAL DEA'!$I$3:$I$1490)="MT ME CI")*('[1]AT GLOBAL DEA'!$L$3:$L$1490="O")*('[1]AT GLOBAL DEA'!$K$3:$K$1490="S"))</f>
        <v>0</v>
      </c>
      <c r="D24" s="113">
        <f>SUMPRODUCT(--(TRIM('[1]AT GLOBAL DEA'!$I$3:$I$1490)="MT ME CI")*('[1]AT GLOBAL DEA'!$L$3:$L$1490="N")*('[1]AT GLOBAL DEA'!$M$3:$M$1490="N")*('[1]AT GLOBAL DEA'!$K$3:$K$1490="S"))</f>
        <v>0</v>
      </c>
      <c r="E24" s="114">
        <f>SUMPRODUCT(--(TRIM('[1]AT GLOBAL DEA'!$I$3:$I$1490)="MT ME CI")*('[1]AT GLOBAL DEA'!$M$3:$M$1490="O")*('[1]AT GLOBAL DEA'!$K$3:$K$1490="S"))</f>
        <v>0</v>
      </c>
      <c r="F24" s="115">
        <f>SUMPRODUCT(--(TRIM('[1]AT GLOBAL DEA'!$I$3:$I$1490)="MT ME CI")*('[1]AT GLOBAL DEA'!$L$3:$L$1490="O")*('[1]AT GLOBAL DEA'!$K$3:$K$1490="S")*('[1]AT GLOBAL DEA'!$N$3:$N$1490))</f>
        <v>0</v>
      </c>
      <c r="G24" s="116">
        <f>SUMPRODUCT(--(TRIM('[1]AT GLOBAL DEA'!$I$3:$I$1490)="MT ME CI")*('[1]AT GLOBAL DEA'!$L$3:$L$1490="O")*('[1]AT GLOBAL DEA'!$K$3:$K$1490="T"))</f>
        <v>0</v>
      </c>
      <c r="H24" s="117">
        <f>SUMPRODUCT(--(TRIM('[1]AT GLOBAL DEA'!$I$3:$I$1490)="MT ME CI")*('[1]AT GLOBAL DEA'!$L$3:$L$1490="N")*('[1]AT GLOBAL DEA'!$K$3:$K$1490="T"))</f>
        <v>0</v>
      </c>
      <c r="I24" s="118">
        <f>SUMPRODUCT(--(TRIM('[1]AT GLOBAL DEA'!$I$3:$I$1490)="MT ME CI")*('[1]AT GLOBAL DEA'!$L$3:$L$1490="O")*('[1]AT GLOBAL DEA'!$K$3:$K$1490="T")*('[1]AT GLOBAL DEA'!$N$3:$N$1490))</f>
        <v>0</v>
      </c>
      <c r="J24" s="170"/>
      <c r="K24" s="164" t="s">
        <v>880</v>
      </c>
      <c r="L24" s="120">
        <f>SUMPRODUCT(--(TRIM([1]MATRICE!$D$5:$D$490)="MT ME CI")*([1]MATRICE!$F$5:$F$490="Moins de 20 ans")*([1]MATRICE!$G$5:$G$490="S")*([1]MATRICE!$I$5:$I$490="O"))</f>
        <v>0</v>
      </c>
      <c r="M24" s="121">
        <f>SUMPRODUCT(--(TRIM([1]MATRICE!$D$5:$D$490)="MT ME CI")*([1]MATRICE!$F$5:$F$490="20 à 24 ans")*([1]MATRICE!$G$5:$G$490="S")*([1]MATRICE!$I$5:$I$490="O"))</f>
        <v>0</v>
      </c>
      <c r="N24" s="121">
        <f>SUMPRODUCT(--(TRIM([1]MATRICE!$D$5:$D$490)="MT ME CI")*([1]MATRICE!$F$5:$F$490="25 à 29 ans")*([1]MATRICE!$G$5:$G$490="S")*([1]MATRICE!$I$5:$I$490="O"))</f>
        <v>0</v>
      </c>
      <c r="O24" s="121">
        <f>SUMPRODUCT(--(TRIM([1]MATRICE!$D$5:$D$490)="MT ME CI")*([1]MATRICE!$F$5:$F$490="30 à 34 ans")*([1]MATRICE!$G$5:$G$490="S")*([1]MATRICE!$I$5:$I$490="O"))</f>
        <v>0</v>
      </c>
      <c r="P24" s="121">
        <f>SUMPRODUCT(--(TRIM([1]MATRICE!$D$5:$D$490)="MT ME CI")*([1]MATRICE!$F$5:$F$490="35 à 39 ans")*([1]MATRICE!$G$5:$G$490="S")*([1]MATRICE!$I$5:$I$490="O"))</f>
        <v>0</v>
      </c>
      <c r="Q24" s="121">
        <f>SUMPRODUCT(--(TRIM([1]MATRICE!$D$5:$D$490)="MT ME CI")*([1]MATRICE!$F$5:$F$490="40 à 44 ans")*([1]MATRICE!$G$5:$G$490="S")*([1]MATRICE!$I$5:$I$490="O"))</f>
        <v>0</v>
      </c>
      <c r="R24" s="121">
        <f>SUMPRODUCT(--(TRIM([1]MATRICE!$D$5:$D$490)="MT ME CI")*([1]MATRICE!$F$5:$F$490="Moins de 20 ans")*([1]MATRICE!$G$5:$G$490="S")*([1]MATRICE!$I$5:$I$490="O"))</f>
        <v>0</v>
      </c>
      <c r="S24" s="121">
        <f>SUMPRODUCT(--(TRIM([1]MATRICE!$D$5:$D$490)="MT ME CI")*([1]MATRICE!$F$5:$F$490="Moins de 20 ans")*([1]MATRICE!$G$5:$G$490="S")*([1]MATRICE!$I$5:$I$490="O"))</f>
        <v>0</v>
      </c>
      <c r="T24" s="121">
        <f>SUMPRODUCT(--(TRIM([1]MATRICE!$D$5:$D$490)="MT ME CI")*([1]MATRICE!$F$5:$F$490="Moins de 20 ans")*([1]MATRICE!$G$5:$G$490="S")*([1]MATRICE!$I$5:$I$490="O"))</f>
        <v>0</v>
      </c>
      <c r="U24" s="121">
        <f>SUMPRODUCT(--(TRIM([1]MATRICE!$D$5:$D$490)="MT ME CI")*([1]MATRICE!$F$5:$F$490="Moins de 20 ans")*([1]MATRICE!$G$5:$G$490="S")*([1]MATRICE!$I$5:$I$490="O"))</f>
        <v>0</v>
      </c>
      <c r="V24" s="122">
        <f t="shared" si="6"/>
        <v>0</v>
      </c>
      <c r="W24" s="77"/>
      <c r="X24" s="123">
        <f>SUMPRODUCT(--(TRIM([1]MATRICE!$D$5:$D$490)="MT ME CI")*([1]MATRICE!$G$5:$G$490="S")*([1]MATRICE!$I$5:$I$490="O")*([1]MATRICE!$P$5:$P$490="janvier"))</f>
        <v>0</v>
      </c>
      <c r="Y24" s="124">
        <f>SUMPRODUCT(--(TRIM([1]MATRICE!$D$5:$D$490)="MT ME CI")*([1]MATRICE!$G$5:$G$490="S")*([1]MATRICE!$I$5:$I$490="O")*([1]MATRICE!$P$5:$P$490="février"))</f>
        <v>0</v>
      </c>
      <c r="Z24" s="124">
        <f>SUMPRODUCT(--(TRIM([1]MATRICE!$D$5:$D$490)="MT ME CI")*([1]MATRICE!$G$5:$G$490="S")*([1]MATRICE!$I$5:$I$490="O")*([1]MATRICE!$P$5:$P$490="mars"))</f>
        <v>0</v>
      </c>
      <c r="AA24" s="124">
        <f>SUMPRODUCT(--(TRIM([1]MATRICE!$D$5:$D$490)="MT ME CI")*([1]MATRICE!$G$5:$G$490="S")*([1]MATRICE!$I$5:$I$490="O")*([1]MATRICE!$P$5:$P$490="avril"))</f>
        <v>0</v>
      </c>
      <c r="AB24" s="124">
        <f>SUMPRODUCT(--(TRIM([1]MATRICE!$D$5:$D$490)="MT ME CI")*([1]MATRICE!$G$5:$G$490="S")*([1]MATRICE!$I$5:$I$490="O")*([1]MATRICE!$P$5:$P$490="mai"))</f>
        <v>0</v>
      </c>
      <c r="AC24" s="124">
        <f>SUMPRODUCT(--(TRIM([1]MATRICE!$D$5:$D$490)="MT ME CI")*([1]MATRICE!$G$5:$G$490="S")*([1]MATRICE!$I$5:$I$490="O")*([1]MATRICE!$P$5:$P$490="juin"))</f>
        <v>0</v>
      </c>
      <c r="AD24" s="124">
        <f>SUMPRODUCT(--(TRIM([1]MATRICE!$D$5:$D$490)="MT ME CI")*([1]MATRICE!$G$5:$G$490="S")*([1]MATRICE!$I$5:$I$490="O")*([1]MATRICE!$P$5:$P$490="juillet"))</f>
        <v>0</v>
      </c>
      <c r="AE24" s="124">
        <f>SUMPRODUCT(--(TRIM([1]MATRICE!$D$5:$D$490)="MT ME CI")*([1]MATRICE!$G$5:$G$490="S")*([1]MATRICE!$I$5:$I$490="O")*([1]MATRICE!$P$5:$P$490="août"))</f>
        <v>0</v>
      </c>
      <c r="AF24" s="124">
        <f>SUMPRODUCT(--(TRIM([1]MATRICE!$D$5:$D$490)="MT ME CI")*([1]MATRICE!$G$5:$G$490="S")*([1]MATRICE!$I$5:$I$490="O")*([1]MATRICE!$P$5:$P$490="septembre"))</f>
        <v>0</v>
      </c>
      <c r="AG24" s="124">
        <f>SUMPRODUCT(--(TRIM([1]MATRICE!$D$5:$D$490)="MT ME CI")*([1]MATRICE!$G$5:$G$490="S")*([1]MATRICE!$I$5:$I$490="O")*([1]MATRICE!$P$5:$P$490="mars"))</f>
        <v>0</v>
      </c>
      <c r="AH24" s="124">
        <f>SUMPRODUCT(--(TRIM([1]MATRICE!$D$5:$D$490)="MT ME CI")*([1]MATRICE!$G$5:$G$490="S")*([1]MATRICE!$I$5:$I$490="O")*([1]MATRICE!$P$5:$P$490="mars"))</f>
        <v>0</v>
      </c>
      <c r="AI24" s="125">
        <f>SUMPRODUCT(--(TRIM([1]MATRICE!$D$5:$D$490)="MT ME CI")*([1]MATRICE!$G$5:$G$490="S")*([1]MATRICE!$I$5:$I$490="O")*([1]MATRICE!$P$5:$P$490="mars"))</f>
        <v>0</v>
      </c>
      <c r="AJ24" s="126">
        <f t="shared" si="7"/>
        <v>0</v>
      </c>
      <c r="AK24" s="54"/>
      <c r="AL24" s="54"/>
      <c r="AM24" s="54"/>
      <c r="AN24" s="54"/>
      <c r="AO24" s="54"/>
      <c r="AP24" s="54"/>
    </row>
    <row r="25" spans="1:50" ht="17.25" customHeight="1" x14ac:dyDescent="0.3">
      <c r="A25" s="54"/>
      <c r="B25" s="257" t="s">
        <v>881</v>
      </c>
      <c r="C25" s="258">
        <f>SUMPRODUCT(--(TRIM('[1]AT GLOBAL DEA'!$I$3:$I$1490)="MT QJ")*('[1]AT GLOBAL DEA'!$L$3:$L$1490="O")*('[1]AT GLOBAL DEA'!$K$3:$K$1490="S"))</f>
        <v>5</v>
      </c>
      <c r="D25" s="113">
        <f>SUMPRODUCT(--(TRIM('[1]AT GLOBAL DEA'!$I$3:$I$1490)="MT QJ")*('[1]AT GLOBAL DEA'!$L$3:$L$1490="N")*('[1]AT GLOBAL DEA'!$M$3:$M$1490="N")*('[1]AT GLOBAL DEA'!$K$3:$K$1490="S"))</f>
        <v>9</v>
      </c>
      <c r="E25" s="114">
        <f>SUMPRODUCT(--(TRIM('[1]AT GLOBAL DEA'!$I$3:$I$1490)="MT QJ")*('[1]AT GLOBAL DEA'!$M$3:$M$1490="O")*('[1]AT GLOBAL DEA'!$K$3:$K$1490="S"))</f>
        <v>3</v>
      </c>
      <c r="F25" s="115">
        <f>SUMPRODUCT(--(TRIM('[1]AT GLOBAL DEA'!$I$3:$I$1490)="MT QJ")*('[1]AT GLOBAL DEA'!$L$3:$L$1490="O")*('[1]AT GLOBAL DEA'!$K$3:$K$1490="S")*('[1]AT GLOBAL DEA'!$N$3:$N$1490))</f>
        <v>28</v>
      </c>
      <c r="G25" s="116">
        <f>SUMPRODUCT(--(TRIM('[1]AT GLOBAL DEA'!$I$3:$I$1490)="MT QJ")*('[1]AT GLOBAL DEA'!$L$3:$L$1490="O")*('[1]AT GLOBAL DEA'!$K$3:$K$1490="T"))</f>
        <v>0</v>
      </c>
      <c r="H25" s="117">
        <f>SUMPRODUCT(--(TRIM('[1]AT GLOBAL DEA'!$I$3:$I$1490)="MT QJ")*('[1]AT GLOBAL DEA'!$L$3:$L$1490="N")*('[1]AT GLOBAL DEA'!$K$3:$K$1490="T"))</f>
        <v>1</v>
      </c>
      <c r="I25" s="118">
        <f>SUMPRODUCT(--(TRIM('[1]AT GLOBAL DEA'!$I$3:$I$1490)="MT QJ")*('[1]AT GLOBAL DEA'!$L$3:$L$1490="O")*('[1]AT GLOBAL DEA'!$K$3:$K$1490="T")*('[1]AT GLOBAL DEA'!$N$3:$N$1490))</f>
        <v>0</v>
      </c>
      <c r="J25" s="172"/>
      <c r="K25" s="166" t="s">
        <v>881</v>
      </c>
      <c r="L25" s="128">
        <f>SUMPRODUCT(--(TRIM([1]MATRICE!$D$5:$D$490)="MT QJ")*([1]MATRICE!$F$5:$F$490="Moins de 20 ans")*([1]MATRICE!$G$5:$G$490="S")*([1]MATRICE!$I$5:$I$490="O"))</f>
        <v>0</v>
      </c>
      <c r="M25" s="129">
        <f>SUMPRODUCT(--(TRIM([1]MATRICE!$D$5:$D$490)="MT QJ")*([1]MATRICE!$F$5:$F$490="20 à 24 ans")*([1]MATRICE!$G$5:$G$490="S")*([1]MATRICE!$I$5:$I$490="O"))</f>
        <v>0</v>
      </c>
      <c r="N25" s="129">
        <f>SUMPRODUCT(--(TRIM([1]MATRICE!$D$5:$D$490)="MT QJ")*([1]MATRICE!$F$5:$F$490="25 à 29 ans")*([1]MATRICE!$G$5:$G$490="S")*([1]MATRICE!$I$5:$I$490="O"))</f>
        <v>0</v>
      </c>
      <c r="O25" s="129">
        <f>SUMPRODUCT(--(TRIM([1]MATRICE!$D$5:$D$490)="MT QJ")*([1]MATRICE!$F$5:$F$490="30 à 34 ans")*([1]MATRICE!$G$5:$G$490="S")*([1]MATRICE!$I$5:$I$490="O"))</f>
        <v>0</v>
      </c>
      <c r="P25" s="129">
        <f>SUMPRODUCT(--(TRIM([1]MATRICE!$D$5:$D$490)="MT QJ")*([1]MATRICE!$F$5:$F$490="35 à 39 ans")*([1]MATRICE!$G$5:$G$490="S")*([1]MATRICE!$I$5:$I$490="O"))</f>
        <v>1</v>
      </c>
      <c r="Q25" s="173">
        <f>SUMPRODUCT(--(TRIM([1]MATRICE!$D$5:$D$490)="MT QJ")*([1]MATRICE!$F$5:$F$490="40 à 44 ans")*([1]MATRICE!$G$5:$G$490="S")*([1]MATRICE!$I$5:$I$490="O")-([1]MATRICE!$AE$5:$AE$490="0"))</f>
        <v>2</v>
      </c>
      <c r="R25" s="129">
        <f>SUMPRODUCT(--(TRIM([1]MATRICE!$D$5:$D$490)="MT QJ")*([1]MATRICE!$F$5:$F$490="45 à 49 ans")*([1]MATRICE!$G$5:$G$490="S")*([1]MATRICE!$I$5:$I$490="O")-([1]MATRICE!$AE$5:$AE$490="0"))</f>
        <v>2</v>
      </c>
      <c r="S25" s="129">
        <f>SUMPRODUCT(--(TRIM([1]MATRICE!$D$5:$D$490)="MT QJ")*([1]MATRICE!$F$5:$F$490="Moins de 20 ans")*([1]MATRICE!$G$5:$G$490="S")*([1]MATRICE!$I$5:$I$490="O"))</f>
        <v>0</v>
      </c>
      <c r="T25" s="129">
        <f>SUMPRODUCT(--(TRIM([1]MATRICE!$D$5:$D$490)="MT QJ")*([1]MATRICE!$F$5:$F$490="Moins de 20 ans")*([1]MATRICE!$G$5:$G$490="S")*([1]MATRICE!$I$5:$I$490="O"))</f>
        <v>0</v>
      </c>
      <c r="U25" s="129">
        <f>SUMPRODUCT(--(TRIM([1]MATRICE!$D$5:$D$490)="MT QJ")*([1]MATRICE!$F$5:$F$490="Moins de 20 ans")*([1]MATRICE!$G$5:$G$490="S")*([1]MATRICE!$I$5:$I$490="O"))</f>
        <v>0</v>
      </c>
      <c r="V25" s="130">
        <f t="shared" si="6"/>
        <v>5</v>
      </c>
      <c r="W25" s="172"/>
      <c r="X25" s="131">
        <f>SUMPRODUCT(--(TRIM([1]MATRICE!$D$5:$D$490)="MT QJ")*([1]MATRICE!$G$5:$G$490="S")*([1]MATRICE!$I$5:$I$490="O")*([1]MATRICE!$P$5:$P$490="janvier"))</f>
        <v>3</v>
      </c>
      <c r="Y25" s="132">
        <f>SUMPRODUCT(--(TRIM([1]MATRICE!$D$5:$D$490)="MT QJ")*([1]MATRICE!$G$5:$G$490="S")*([1]MATRICE!$I$5:$I$490="O")*([1]MATRICE!$P$5:$P$490="février"))</f>
        <v>0</v>
      </c>
      <c r="Z25" s="132">
        <f>SUMPRODUCT(--(TRIM([1]MATRICE!$D$5:$D$490)="MT QJ")*([1]MATRICE!$G$5:$G$490="S")*([1]MATRICE!$I$5:$I$490="O")*([1]MATRICE!$P$5:$P$490="mars"))</f>
        <v>0</v>
      </c>
      <c r="AA25" s="132">
        <f>SUMPRODUCT(--(TRIM([1]MATRICE!$D$5:$D$490)="MT QJ")*([1]MATRICE!$G$5:$G$490="S")*([1]MATRICE!$I$5:$I$490="O")*([1]MATRICE!$P$5:$P$490="avril"))</f>
        <v>0</v>
      </c>
      <c r="AB25" s="132">
        <f>SUMPRODUCT(--(TRIM([1]MATRICE!$D$5:$D$490)="MT QJ")*([1]MATRICE!$G$5:$G$490="S")*([1]MATRICE!$I$5:$I$490="O")*([1]MATRICE!$P$5:$P$490="mai"))</f>
        <v>0</v>
      </c>
      <c r="AC25" s="132">
        <f>SUMPRODUCT(--(TRIM([1]MATRICE!$D$5:$D$490)="MT QJ")*([1]MATRICE!$G$5:$G$490="S")*([1]MATRICE!$I$5:$I$490="O")*([1]MATRICE!$P$5:$P$490="juin"))</f>
        <v>1</v>
      </c>
      <c r="AD25" s="132">
        <f>SUMPRODUCT(--(TRIM([1]MATRICE!$D$5:$D$490)="MT QJ")*([1]MATRICE!$G$5:$G$490="S")*([1]MATRICE!$I$5:$I$490="O")*([1]MATRICE!$P$5:$P$490="juillet"))</f>
        <v>0</v>
      </c>
      <c r="AE25" s="132">
        <f>SUMPRODUCT(--(TRIM([1]MATRICE!$D$5:$D$490)="MT QJ")*([1]MATRICE!$G$5:$G$490="S")*([1]MATRICE!$I$5:$I$490="O")*([1]MATRICE!$P$5:$P$490="août"))</f>
        <v>0</v>
      </c>
      <c r="AF25" s="132">
        <f>SUMPRODUCT(--(TRIM([1]MATRICE!$D$5:$D$490)="MT QJ")*([1]MATRICE!$G$5:$G$490="S")*([1]MATRICE!$I$5:$I$490="O")*([1]MATRICE!$P$5:$P$490="septembre"))</f>
        <v>1</v>
      </c>
      <c r="AG25" s="132">
        <f>SUMPRODUCT(--(TRIM([1]MATRICE!$D$5:$D$490)="MT QJ")*([1]MATRICE!$G$5:$G$490="S")*([1]MATRICE!$I$5:$I$490="O")*([1]MATRICE!$P$5:$P$490="mars"))</f>
        <v>0</v>
      </c>
      <c r="AH25" s="132">
        <f>SUMPRODUCT(--(TRIM([1]MATRICE!$D$5:$D$490)="MT QJ")*([1]MATRICE!$G$5:$G$490="S")*([1]MATRICE!$I$5:$I$490="O")*([1]MATRICE!$P$5:$P$490="mars"))</f>
        <v>0</v>
      </c>
      <c r="AI25" s="133">
        <f>SUMPRODUCT(--(TRIM([1]MATRICE!$D$5:$D$490)="MT QJ")*([1]MATRICE!$G$5:$G$490="S")*([1]MATRICE!$I$5:$I$490="O")*([1]MATRICE!$P$5:$P$490="mars"))</f>
        <v>0</v>
      </c>
      <c r="AJ25" s="134">
        <f t="shared" si="7"/>
        <v>5</v>
      </c>
      <c r="AK25" s="54"/>
      <c r="AL25" s="54"/>
      <c r="AM25" s="54"/>
      <c r="AN25" s="54"/>
      <c r="AO25" s="54"/>
      <c r="AP25" s="54"/>
    </row>
    <row r="26" spans="1:50" ht="17.25" customHeight="1" thickBot="1" x14ac:dyDescent="0.35">
      <c r="A26" s="54"/>
      <c r="B26" s="127" t="s">
        <v>882</v>
      </c>
      <c r="C26" s="112">
        <f>SUMPRODUCT(--(TRIM('[1]AT GLOBAL DEA'!$I$3:$I$1490)="MT FB PR")*('[1]AT GLOBAL DEA'!$L$3:$L$1490="O")*('[1]AT GLOBAL DEA'!$K$3:$K$1490="S"))</f>
        <v>0</v>
      </c>
      <c r="D26" s="113">
        <f>SUMPRODUCT(--(TRIM('[1]AT GLOBAL DEA'!$I$3:$I$1490)="MT FB PR")*('[1]AT GLOBAL DEA'!$L$3:$L$1490="N")*('[1]AT GLOBAL DEA'!$M$3:$M$1490="N")*('[1]AT GLOBAL DEA'!$K$3:$K$1490="S"))</f>
        <v>2</v>
      </c>
      <c r="E26" s="114">
        <f>SUMPRODUCT(--(TRIM('[1]AT GLOBAL DEA'!$I$3:$I$1490)="MT FB PR")*('[1]AT GLOBAL DEA'!$M$3:$M$1490="O")*('[1]AT GLOBAL DEA'!$K$3:$K$1490="S"))</f>
        <v>0</v>
      </c>
      <c r="F26" s="115">
        <f>SUMPRODUCT(--(TRIM('[1]AT GLOBAL DEA'!$I$3:$I$1490)="MT FB PR")*('[1]AT GLOBAL DEA'!$L$3:$L$1490="O")*('[1]AT GLOBAL DEA'!$K$3:$K$1490="S")*('[1]AT GLOBAL DEA'!$N$3:$N$1490))</f>
        <v>0</v>
      </c>
      <c r="G26" s="116">
        <f>SUMPRODUCT(--(TRIM('[1]AT GLOBAL DEA'!$I$3:$I$1490)="MT FB PR")*('[1]AT GLOBAL DEA'!$L$3:$L$1490="O")*('[1]AT GLOBAL DEA'!$K$3:$K$1490="T"))</f>
        <v>0</v>
      </c>
      <c r="H26" s="117">
        <f>SUMPRODUCT(--(TRIM('[1]AT GLOBAL DEA'!$I$3:$I$1490)="MT FB PR")*('[1]AT GLOBAL DEA'!$L$3:$L$1490="N")*('[1]AT GLOBAL DEA'!$K$3:$K$1490="T"))</f>
        <v>0</v>
      </c>
      <c r="I26" s="118">
        <f>SUMPRODUCT(--(TRIM('[1]AT GLOBAL DEA'!$I$3:$I$1490)="MT FB PR")*('[1]AT GLOBAL DEA'!$L$3:$L$1490="O")*('[1]AT GLOBAL DEA'!$K$3:$K$1490="T")*('[1]AT GLOBAL DEA'!$N$3:$N$1490))</f>
        <v>0</v>
      </c>
      <c r="J26" s="170"/>
      <c r="K26" s="171" t="s">
        <v>882</v>
      </c>
      <c r="L26" s="128">
        <f>SUMPRODUCT(--(TRIM([1]MATRICE!$D$5:$D$490)="MT FB PR")*([1]MATRICE!$F$5:$F$490="Moins de 20 ans")*([1]MATRICE!$G$5:$G$490="S")*([1]MATRICE!$I$5:$I$490="O"))</f>
        <v>0</v>
      </c>
      <c r="M26" s="129">
        <f>SUMPRODUCT(--(TRIM([1]MATRICE!$D$5:$D$490)="MT FB PR")*([1]MATRICE!$F$5:$F$490="20 à 24 ans")*([1]MATRICE!$G$5:$G$490="S")*([1]MATRICE!$I$5:$I$490="O"))</f>
        <v>0</v>
      </c>
      <c r="N26" s="129">
        <f>SUMPRODUCT(--(TRIM([1]MATRICE!$D$5:$D$490)="MT FB PR")*([1]MATRICE!$F$5:$F$490="25 à 29 ans")*([1]MATRICE!$G$5:$G$490="S")*([1]MATRICE!$I$5:$I$490="O"))</f>
        <v>0</v>
      </c>
      <c r="O26" s="129">
        <f>SUMPRODUCT(--(TRIM([1]MATRICE!$D$5:$D$490)="MT FB PR")*([1]MATRICE!$F$5:$F$490="30 à 34 ans")*([1]MATRICE!$G$5:$G$490="S")*([1]MATRICE!$I$5:$I$490="O"))</f>
        <v>0</v>
      </c>
      <c r="P26" s="174">
        <f>SUMPRODUCT(--(TRIM([1]MATRICE!$D$5:$D$490)="MT FB PR")*([1]MATRICE!$F$5:$F$490="35 à 39 ans")*([1]MATRICE!$G$5:$G$490="S")*([1]MATRICE!$I$5:$I$490="O"))</f>
        <v>0</v>
      </c>
      <c r="Q26" s="173">
        <f>SUMPRODUCT(--(TRIM([1]MATRICE!$D$5:$D$490)="MT FB PR")*([1]MATRICE!$F$5:$F$490="40 à 44 ans")*([1]MATRICE!$G$5:$G$490="S")*([1]MATRICE!$I$5:$I$490="O")-([1]MATRICE!$AE$5:$AE$490="0"))</f>
        <v>0</v>
      </c>
      <c r="R26" s="129">
        <f>SUMPRODUCT(--(TRIM([1]MATRICE!$D$5:$D$490)="MT FB PR")*([1]MATRICE!$F$5:$F$490="45 à 49 ans")*([1]MATRICE!$G$5:$G$490="S")*([1]MATRICE!$I$5:$I$490="O")-([1]MATRICE!$AE$5:$AE$490="0"))</f>
        <v>0</v>
      </c>
      <c r="S26" s="129">
        <f>SUMPRODUCT(--(TRIM([1]MATRICE!$D$5:$D$490)="MT FB PR")*([1]MATRICE!$F$5:$F$490="Moins de 20 ans")*([1]MATRICE!$G$5:$G$490="S")*([1]MATRICE!$I$5:$I$490="O"))</f>
        <v>0</v>
      </c>
      <c r="T26" s="129">
        <f>SUMPRODUCT(--(TRIM([1]MATRICE!$D$5:$D$490)="MT FB PR")*([1]MATRICE!$F$5:$F$490="Moins de 20 ans")*([1]MATRICE!$G$5:$G$490="S")*([1]MATRICE!$I$5:$I$490="O"))</f>
        <v>0</v>
      </c>
      <c r="U26" s="129">
        <f>SUMPRODUCT(--(TRIM([1]MATRICE!$D$5:$D$490)="MT FB PR")*([1]MATRICE!$F$5:$F$490="Moins de 20 ans")*([1]MATRICE!$G$5:$G$490="S")*([1]MATRICE!$I$5:$I$490="O"))</f>
        <v>0</v>
      </c>
      <c r="V26" s="130">
        <f t="shared" si="6"/>
        <v>0</v>
      </c>
      <c r="W26" s="77"/>
      <c r="X26" s="175">
        <f>SUMPRODUCT(--(TRIM([1]MATRICE!$D$5:$D$490)="MT FB PR")*([1]MATRICE!$G$5:$G$490="S")*([1]MATRICE!$I$5:$I$490="O")-([1]MATRICE!$AF$5:$AF$490="Rejet")*([1]MATRICE!$P$5:$P$490="janvier"))</f>
        <v>-1</v>
      </c>
      <c r="Y26" s="176">
        <f>SUMPRODUCT(--(TRIM([1]MATRICE!$D$5:$D$490)="MT FB PR")*([1]MATRICE!$G$5:$G$490="S")*([1]MATRICE!$I$5:$I$490="O")*([1]MATRICE!$P$5:$P$490="février"))</f>
        <v>0</v>
      </c>
      <c r="Z26" s="176">
        <f>SUMPRODUCT(--(TRIM([1]MATRICE!$D$5:$D$490)="MT FB PR")*([1]MATRICE!$G$5:$G$490="S")*([1]MATRICE!$I$5:$I$490="O")*([1]MATRICE!$P$5:$P$490="mars"))</f>
        <v>0</v>
      </c>
      <c r="AA26" s="176">
        <f>SUMPRODUCT(--(TRIM([1]MATRICE!$D$5:$D$490)="MT FB PR")*([1]MATRICE!$G$5:$G$490="S")*([1]MATRICE!$I$5:$I$490="O")*([1]MATRICE!$P$5:$P$490="avril"))</f>
        <v>0</v>
      </c>
      <c r="AB26" s="176">
        <f>SUMPRODUCT(--(TRIM([1]MATRICE!$D$5:$D$490)="MT FB PR")*([1]MATRICE!$G$5:$G$490="S")*([1]MATRICE!$I$5:$I$490="O")*([1]MATRICE!$P$5:$P$490="mai"))</f>
        <v>0</v>
      </c>
      <c r="AC26" s="176">
        <f>SUMPRODUCT(--(TRIM([1]MATRICE!$D$5:$D$490)="MT FB PR")*([1]MATRICE!$G$5:$G$490="S")*([1]MATRICE!$I$5:$I$490="O")*([1]MATRICE!$P$5:$P$490="juin"))</f>
        <v>0</v>
      </c>
      <c r="AD26" s="176">
        <f>SUMPRODUCT(--(TRIM([1]MATRICE!$D$5:$D$490)="MT FB PR")*([1]MATRICE!$G$5:$G$490="S")*([1]MATRICE!$I$5:$I$490="O")*([1]MATRICE!$P$5:$P$490="juillet"))</f>
        <v>0</v>
      </c>
      <c r="AE26" s="176">
        <f>SUMPRODUCT(--(TRIM([1]MATRICE!$D$5:$D$490)="MT FB PR")*([1]MATRICE!$G$5:$G$490="S")*([1]MATRICE!$I$5:$I$490="O")*([1]MATRICE!$P$5:$P$490="août"))</f>
        <v>0</v>
      </c>
      <c r="AF26" s="176">
        <f>SUMPRODUCT(--(TRIM([1]MATRICE!$D$5:$D$490)="MT FB PR")*([1]MATRICE!$G$5:$G$490="S")*([1]MATRICE!$I$5:$I$490="O")*([1]MATRICE!$P$5:$P$490="septembre"))</f>
        <v>0</v>
      </c>
      <c r="AG26" s="176">
        <f>SUMPRODUCT(--(TRIM([1]MATRICE!$D$5:$D$490)="MT FB PR")*([1]MATRICE!$G$5:$G$490="S")*([1]MATRICE!$I$5:$I$490="O")*([1]MATRICE!$P$5:$P$490="octobre"))</f>
        <v>0</v>
      </c>
      <c r="AH26" s="176">
        <f>SUMPRODUCT(--(TRIM([1]MATRICE!$D$5:$D$490)="MT FB PR")*([1]MATRICE!$G$5:$G$490="S")*([1]MATRICE!$I$5:$I$490="O")*([1]MATRICE!$P$5:$P$490="novembre"))</f>
        <v>0</v>
      </c>
      <c r="AI26" s="177">
        <f>SUMPRODUCT(--(TRIM([1]MATRICE!$D$5:$D$490)="MT FB PR")*([1]MATRICE!$G$5:$G$490="S")*([1]MATRICE!$I$5:$I$490="O")*([1]MATRICE!$P$5:$P$490="décembre"))</f>
        <v>0</v>
      </c>
      <c r="AJ26" s="178">
        <f t="shared" si="7"/>
        <v>-1</v>
      </c>
      <c r="AK26" s="54"/>
      <c r="AL26" s="54"/>
      <c r="AM26" s="54"/>
      <c r="AN26" s="54"/>
      <c r="AO26" s="54"/>
      <c r="AP26" s="54"/>
    </row>
    <row r="27" spans="1:50" ht="18" thickBot="1" x14ac:dyDescent="0.35">
      <c r="A27" s="54"/>
      <c r="B27" s="151"/>
      <c r="C27" s="179"/>
      <c r="D27" s="155"/>
      <c r="E27" s="155"/>
      <c r="F27" s="153"/>
      <c r="G27" s="155"/>
      <c r="H27" s="154"/>
      <c r="I27" s="155"/>
      <c r="J27" s="66"/>
      <c r="K27" s="157"/>
      <c r="L27" s="158"/>
      <c r="M27" s="158"/>
      <c r="N27" s="158"/>
      <c r="O27" s="158"/>
      <c r="P27" s="158"/>
      <c r="Q27" s="158"/>
      <c r="R27" s="158"/>
      <c r="S27" s="158"/>
      <c r="T27" s="158"/>
      <c r="U27" s="158"/>
      <c r="V27" s="159"/>
      <c r="W27" s="77"/>
      <c r="X27" s="160"/>
      <c r="Y27" s="163"/>
      <c r="Z27" s="160"/>
      <c r="AA27" s="163"/>
      <c r="AB27" s="160"/>
      <c r="AC27" s="163"/>
      <c r="AD27" s="160"/>
      <c r="AE27" s="163"/>
      <c r="AF27" s="160"/>
      <c r="AG27" s="163"/>
      <c r="AH27" s="160"/>
      <c r="AI27" s="163"/>
      <c r="AJ27" s="92"/>
      <c r="AK27" s="54"/>
      <c r="AL27" s="54"/>
      <c r="AM27" s="54"/>
      <c r="AN27" s="54"/>
      <c r="AO27" s="54"/>
      <c r="AP27" s="54"/>
    </row>
    <row r="28" spans="1:50" ht="17.25" x14ac:dyDescent="0.3">
      <c r="A28" s="54"/>
      <c r="B28" s="93" t="s">
        <v>861</v>
      </c>
      <c r="C28" s="94">
        <f t="shared" ref="C28:I28" si="9">SUM(C29:C38)</f>
        <v>5</v>
      </c>
      <c r="D28" s="95">
        <f t="shared" si="9"/>
        <v>12</v>
      </c>
      <c r="E28" s="96">
        <f t="shared" si="9"/>
        <v>0</v>
      </c>
      <c r="F28" s="97">
        <f>SUM(F29:F38)</f>
        <v>194</v>
      </c>
      <c r="G28" s="98">
        <f t="shared" si="9"/>
        <v>1</v>
      </c>
      <c r="H28" s="99">
        <f t="shared" si="9"/>
        <v>1</v>
      </c>
      <c r="I28" s="100">
        <f t="shared" si="9"/>
        <v>38</v>
      </c>
      <c r="J28" s="170"/>
      <c r="K28" s="93" t="s">
        <v>861</v>
      </c>
      <c r="L28" s="103"/>
      <c r="M28" s="104"/>
      <c r="N28" s="104"/>
      <c r="O28" s="104"/>
      <c r="P28" s="104"/>
      <c r="Q28" s="104"/>
      <c r="R28" s="104"/>
      <c r="S28" s="104"/>
      <c r="T28" s="104"/>
      <c r="U28" s="104"/>
      <c r="V28" s="105"/>
      <c r="W28" s="77"/>
      <c r="X28" s="106">
        <f t="shared" ref="X28:AJ28" si="10">SUM(X29:X38)</f>
        <v>1</v>
      </c>
      <c r="Y28" s="107">
        <f t="shared" si="10"/>
        <v>1</v>
      </c>
      <c r="Z28" s="107">
        <f t="shared" si="10"/>
        <v>1</v>
      </c>
      <c r="AA28" s="107">
        <f t="shared" si="10"/>
        <v>0</v>
      </c>
      <c r="AB28" s="107">
        <f t="shared" si="10"/>
        <v>0</v>
      </c>
      <c r="AC28" s="107">
        <f t="shared" si="10"/>
        <v>0</v>
      </c>
      <c r="AD28" s="107">
        <f t="shared" si="10"/>
        <v>1</v>
      </c>
      <c r="AE28" s="107">
        <f t="shared" si="10"/>
        <v>0</v>
      </c>
      <c r="AF28" s="107">
        <f t="shared" si="10"/>
        <v>1</v>
      </c>
      <c r="AG28" s="107">
        <f t="shared" si="10"/>
        <v>0</v>
      </c>
      <c r="AH28" s="107">
        <f t="shared" si="10"/>
        <v>0</v>
      </c>
      <c r="AI28" s="108">
        <f t="shared" si="10"/>
        <v>0</v>
      </c>
      <c r="AJ28" s="109">
        <f t="shared" si="10"/>
        <v>5</v>
      </c>
      <c r="AK28" s="54"/>
      <c r="AL28" s="54"/>
      <c r="AM28" s="54"/>
      <c r="AN28" s="54"/>
      <c r="AO28" s="54"/>
      <c r="AP28" s="54"/>
    </row>
    <row r="29" spans="1:50" ht="17.25" x14ac:dyDescent="0.3">
      <c r="A29" s="54"/>
      <c r="B29" s="111" t="s">
        <v>883</v>
      </c>
      <c r="C29" s="112">
        <f>SUMPRODUCT(--(TRIM('[1]AT GLOBAL DEA'!$I$3:$I$1490)="BODKI")*('[1]AT GLOBAL DEA'!$L$3:$L$1490="O")*('[1]AT GLOBAL DEA'!$K$3:$K$1490="S"))</f>
        <v>0</v>
      </c>
      <c r="D29" s="113">
        <f>SUMPRODUCT(--(TRIM('[1]AT GLOBAL DEA'!$I$3:$I$1490)="BODKI")*('[1]AT GLOBAL DEA'!$M$3:$M$1490="N")*('[1]AT GLOBAL DEA'!$K$3:$K$1490="S"))</f>
        <v>0</v>
      </c>
      <c r="E29" s="114">
        <f>SUMPRODUCT(--(TRIM('[1]AT GLOBAL DEA'!$I$3:$I$1490)="BODKI")*('[1]AT GLOBAL DEA'!$M$3:$M$1490="O")*('[1]AT GLOBAL DEA'!$K$3:$K$1490="S"))</f>
        <v>0</v>
      </c>
      <c r="F29" s="115">
        <f>SUMPRODUCT(--(TRIM('[1]AT GLOBAL DEA'!$I$3:$I$1490)="BODKI")*('[1]AT GLOBAL DEA'!$L$3:$L$1490="O")*('[1]AT GLOBAL DEA'!$K$3:$K$1490="S")*('[1]AT GLOBAL DEA'!$N$3:$N$1490))</f>
        <v>0</v>
      </c>
      <c r="G29" s="116">
        <f>SUMPRODUCT(--(TRIM('[1]AT GLOBAL DEA'!$I$3:$I$1490)="BODKI")*('[1]AT GLOBAL DEA'!$L$3:$L$1490="O")*('[1]AT GLOBAL DEA'!$K$3:$K$1490="T"))</f>
        <v>0</v>
      </c>
      <c r="H29" s="117">
        <f>SUMPRODUCT(--(TRIM('[1]AT GLOBAL DEA'!$I$3:$I$1490)="BODKI")*('[1]AT GLOBAL DEA'!$L$3:$L$1490="N")*('[1]AT GLOBAL DEA'!$K$3:$K$1490="T"))</f>
        <v>0</v>
      </c>
      <c r="I29" s="118">
        <f>SUMPRODUCT(--(TRIM('[1]AT GLOBAL DEA'!$I$3:$I$1490)="BODKI")*('[1]AT GLOBAL DEA'!$L$3:$L$1490="O")*('[1]AT GLOBAL DEA'!$K$3:$K$1490="T")*('[1]AT GLOBAL DEA'!$N$3:$N$1490))</f>
        <v>0</v>
      </c>
      <c r="J29" s="170"/>
      <c r="K29" s="164" t="s">
        <v>883</v>
      </c>
      <c r="L29" s="120"/>
      <c r="M29" s="121"/>
      <c r="N29" s="121"/>
      <c r="O29" s="121"/>
      <c r="P29" s="121"/>
      <c r="Q29" s="121"/>
      <c r="R29" s="121"/>
      <c r="S29" s="121"/>
      <c r="T29" s="121"/>
      <c r="U29" s="121"/>
      <c r="V29" s="122"/>
      <c r="W29" s="77"/>
      <c r="X29" s="123">
        <f>SUMPRODUCT(--(TRIM([1]MATRICE!$D$5:$D$490)="BODKI")*([1]MATRICE!$G$5:$G$490="S")*([1]MATRICE!$I$5:$I$490="O")*([1]MATRICE!$P$5:$P$490="janvier"))</f>
        <v>0</v>
      </c>
      <c r="Y29" s="124">
        <f>SUMPRODUCT(--(TRIM([1]MATRICE!$D$5:$D$490)="BODKI")*([1]MATRICE!$G$5:$G$490="S")*([1]MATRICE!$I$5:$I$490="O")*([1]MATRICE!$P$5:$P$490="février"))</f>
        <v>0</v>
      </c>
      <c r="Z29" s="124">
        <f>SUMPRODUCT(--(TRIM([1]MATRICE!$D$5:$D$490)="BODKI")*([1]MATRICE!$G$5:$G$490="S")*([1]MATRICE!$I$5:$I$490="O")*([1]MATRICE!$P$5:$P$490="mars"))</f>
        <v>0</v>
      </c>
      <c r="AA29" s="124">
        <f>SUMPRODUCT(--(TRIM([1]MATRICE!$D$5:$D$490)="BODKI")*([1]MATRICE!$G$5:$G$490="S")*([1]MATRICE!$I$5:$I$490="O")*([1]MATRICE!$P$5:$P$490="avril"))</f>
        <v>0</v>
      </c>
      <c r="AB29" s="124">
        <f>SUMPRODUCT(--(TRIM([1]MATRICE!$D$5:$D$490)="BODKI")*([1]MATRICE!$G$5:$G$490="S")*([1]MATRICE!$I$5:$I$490="O")*([1]MATRICE!$P$5:$P$490="mai"))</f>
        <v>0</v>
      </c>
      <c r="AC29" s="124">
        <f>SUMPRODUCT(--(TRIM([1]MATRICE!$D$5:$D$490)="BODKI")*([1]MATRICE!$G$5:$G$490="S")*([1]MATRICE!$I$5:$I$490="O")*([1]MATRICE!$P$5:$P$490="juin"))</f>
        <v>0</v>
      </c>
      <c r="AD29" s="124">
        <f>SUMPRODUCT(--(TRIM([1]MATRICE!$D$5:$D$490)="BODKI")*([1]MATRICE!$G$5:$G$490="S")*([1]MATRICE!$I$5:$I$490="O")*([1]MATRICE!$P$5:$P$490="juillet"))</f>
        <v>0</v>
      </c>
      <c r="AE29" s="124">
        <f>SUMPRODUCT(--(TRIM([1]MATRICE!$D$5:$D$490)="BODKI")*([1]MATRICE!$G$5:$G$490="S")*([1]MATRICE!$I$5:$I$490="O")*([1]MATRICE!$P$5:$P$490="août"))</f>
        <v>0</v>
      </c>
      <c r="AF29" s="124">
        <f>SUMPRODUCT(--(TRIM([1]MATRICE!$D$5:$D$490)="BODKI")*([1]MATRICE!$G$5:$G$490="S")*([1]MATRICE!$I$5:$I$490="O")*([1]MATRICE!$P$5:$P$490="septembre"))</f>
        <v>0</v>
      </c>
      <c r="AG29" s="124">
        <f>SUMPRODUCT(--(TRIM([1]MATRICE!$D$5:$D$490)="BODKI")*([1]MATRICE!$G$5:$G$490="S")*([1]MATRICE!$I$5:$I$490="O")*([1]MATRICE!$P$5:$P$490="janvier"))</f>
        <v>0</v>
      </c>
      <c r="AH29" s="124">
        <f>SUMPRODUCT(--(TRIM([1]MATRICE!$D$5:$D$490)="BODKI")*([1]MATRICE!$G$5:$G$490="S")*([1]MATRICE!$I$5:$I$490="O")*([1]MATRICE!$P$5:$P$490="janvier"))</f>
        <v>0</v>
      </c>
      <c r="AI29" s="125">
        <f>SUMPRODUCT(--(TRIM([1]MATRICE!$D$5:$D$490)="BODKI")*([1]MATRICE!$G$5:$G$490="S")*([1]MATRICE!$I$5:$I$490="O")*([1]MATRICE!$P$5:$P$490="janvier"))</f>
        <v>0</v>
      </c>
      <c r="AJ29" s="126">
        <f>SUM(X29:AI29)</f>
        <v>0</v>
      </c>
      <c r="AK29" s="54"/>
      <c r="AL29" s="54"/>
      <c r="AM29" s="54"/>
      <c r="AN29" s="54"/>
      <c r="AO29" s="54"/>
      <c r="AP29" s="54"/>
    </row>
    <row r="30" spans="1:50" ht="17.25" x14ac:dyDescent="0.3">
      <c r="A30" s="54"/>
      <c r="B30" s="111" t="s">
        <v>884</v>
      </c>
      <c r="C30" s="112">
        <f>SUMPRODUCT(--(TRIM('[1]AT GLOBAL DEA'!$I$3:$I$1490)="LYSKI")*('[1]AT GLOBAL DEA'!$L$3:$L$1490="O")*('[1]AT GLOBAL DEA'!$K$3:$K$1490="S"))</f>
        <v>0</v>
      </c>
      <c r="D30" s="113">
        <f>SUMPRODUCT(--(TRIM('[1]AT GLOBAL DEA'!$I$3:$I$1490)="LYSKI")*('[1]AT GLOBAL DEA'!$M$3:$M$1490="N")*('[1]AT GLOBAL DEA'!$K$3:$K$1490="S"))</f>
        <v>0</v>
      </c>
      <c r="E30" s="114">
        <f>SUMPRODUCT(--(TRIM('[1]AT GLOBAL DEA'!$I$3:$I$1490)="LYSKI")*('[1]AT GLOBAL DEA'!$M$3:$M$1490="O")*('[1]AT GLOBAL DEA'!$K$3:$K$1490="S"))</f>
        <v>0</v>
      </c>
      <c r="F30" s="115">
        <f>SUMPRODUCT(--(TRIM('[1]AT GLOBAL DEA'!$I$3:$I$1490)="LYSKI")*('[1]AT GLOBAL DEA'!$L$3:$L$1490="O")*('[1]AT GLOBAL DEA'!$K$3:$K$1490="S")*('[1]AT GLOBAL DEA'!$N$3:$N$1490))</f>
        <v>0</v>
      </c>
      <c r="G30" s="116">
        <f>SUMPRODUCT(--(TRIM('[1]AT GLOBAL DEA'!$I$3:$I$1490)="LYSKI")*('[1]AT GLOBAL DEA'!$L$3:$L$1490="O")*('[1]AT GLOBAL DEA'!$K$3:$K$1490="T"))</f>
        <v>0</v>
      </c>
      <c r="H30" s="117">
        <f>SUMPRODUCT(--(TRIM('[1]AT GLOBAL DEA'!$I$3:$I$1490)="LYSKI")*('[1]AT GLOBAL DEA'!$L$3:$L$1490="N")*('[1]AT GLOBAL DEA'!$K$3:$K$1490="T"))</f>
        <v>0</v>
      </c>
      <c r="I30" s="118">
        <f>SUMPRODUCT(--(TRIM('[1]AT GLOBAL DEA'!$I$3:$I$1490)="LYSKI")*('[1]AT GLOBAL DEA'!$L$3:$L$1490="O")*('[1]AT GLOBAL DEA'!$K$3:$K$1490="T")*('[1]AT GLOBAL DEA'!$N$3:$N$1490))</f>
        <v>0</v>
      </c>
      <c r="J30" s="170"/>
      <c r="K30" s="166" t="s">
        <v>884</v>
      </c>
      <c r="L30" s="128"/>
      <c r="M30" s="129"/>
      <c r="N30" s="129"/>
      <c r="O30" s="129"/>
      <c r="P30" s="129"/>
      <c r="Q30" s="129"/>
      <c r="R30" s="129"/>
      <c r="S30" s="129"/>
      <c r="T30" s="129"/>
      <c r="U30" s="129"/>
      <c r="V30" s="130"/>
      <c r="W30" s="77"/>
      <c r="X30" s="131">
        <f>SUMPRODUCT(--(TRIM([1]MATRICE!$D$5:$D$490)="LYSKI")*([1]MATRICE!$G$5:$G$490="S")*([1]MATRICE!$I$5:$I$490="O")*([1]MATRICE!$P$5:$P$490="janvier"))</f>
        <v>0</v>
      </c>
      <c r="Y30" s="132">
        <f>SUMPRODUCT(--(TRIM([1]MATRICE!$D$5:$D$490)="LYSKI")*([1]MATRICE!$G$5:$G$490="S")*([1]MATRICE!$I$5:$I$490="O")*([1]MATRICE!$P$5:$P$490="février"))</f>
        <v>0</v>
      </c>
      <c r="Z30" s="132">
        <f>SUMPRODUCT(--(TRIM([1]MATRICE!$D$5:$D$490)="LYSKI")*([1]MATRICE!$G$5:$G$490="S")*([1]MATRICE!$I$5:$I$490="O")*([1]MATRICE!$P$5:$P$490="mars"))</f>
        <v>0</v>
      </c>
      <c r="AA30" s="132">
        <f>SUMPRODUCT(--(TRIM([1]MATRICE!$D$5:$D$490)="LYSKI")*([1]MATRICE!$G$5:$G$490="S")*([1]MATRICE!$I$5:$I$490="O")*([1]MATRICE!$P$5:$P$490="avril"))</f>
        <v>0</v>
      </c>
      <c r="AB30" s="132">
        <f>SUMPRODUCT(--(TRIM([1]MATRICE!$D$5:$D$490)="LYSKI")*([1]MATRICE!$G$5:$G$490="S")*([1]MATRICE!$I$5:$I$490="O")*([1]MATRICE!$P$5:$P$490="mai"))</f>
        <v>0</v>
      </c>
      <c r="AC30" s="132">
        <f>SUMPRODUCT(--(TRIM([1]MATRICE!$D$5:$D$490)="LYSKI")*([1]MATRICE!$G$5:$G$490="S")*([1]MATRICE!$I$5:$I$490="O")*([1]MATRICE!$P$5:$P$490="juin"))</f>
        <v>0</v>
      </c>
      <c r="AD30" s="132">
        <f>SUMPRODUCT(--(TRIM([1]MATRICE!$D$5:$D$490)="LYSKI")*([1]MATRICE!$G$5:$G$490="S")*([1]MATRICE!$I$5:$I$490="O")*([1]MATRICE!$P$5:$P$490="juillet"))</f>
        <v>0</v>
      </c>
      <c r="AE30" s="132">
        <f>SUMPRODUCT(--(TRIM([1]MATRICE!$D$5:$D$490)="LYSKI")*([1]MATRICE!$G$5:$G$490="S")*([1]MATRICE!$I$5:$I$490="O")*([1]MATRICE!$P$5:$P$490="août"))</f>
        <v>0</v>
      </c>
      <c r="AF30" s="132">
        <f>SUMPRODUCT(--(TRIM([1]MATRICE!$D$5:$D$490)="LYSKI")*([1]MATRICE!$G$5:$G$490="S")*([1]MATRICE!$I$5:$I$490="O")*([1]MATRICE!$P$5:$P$490="septembre"))</f>
        <v>0</v>
      </c>
      <c r="AG30" s="132">
        <f>SUMPRODUCT(--(TRIM([1]MATRICE!$D$5:$D$490)="LYSKI")*([1]MATRICE!$G$5:$G$490="S")*([1]MATRICE!$I$5:$I$490="O")*([1]MATRICE!$P$5:$P$490="janvier"))</f>
        <v>0</v>
      </c>
      <c r="AH30" s="132">
        <f>SUMPRODUCT(--(TRIM([1]MATRICE!$D$5:$D$490)="LYSKI")*([1]MATRICE!$G$5:$G$490="S")*([1]MATRICE!$I$5:$I$490="O")*([1]MATRICE!$P$5:$P$490="janvier"))</f>
        <v>0</v>
      </c>
      <c r="AI30" s="133">
        <f>SUMPRODUCT(--(TRIM([1]MATRICE!$D$5:$D$490)="LYSKI")*([1]MATRICE!$G$5:$G$490="S")*([1]MATRICE!$I$5:$I$490="O")*([1]MATRICE!$P$5:$P$490="janvier"))</f>
        <v>0</v>
      </c>
      <c r="AJ30" s="134">
        <f t="shared" ref="AJ30:AJ35" si="11">SUM(X30:AI30)</f>
        <v>0</v>
      </c>
      <c r="AK30" s="54"/>
      <c r="AL30" s="54"/>
      <c r="AM30" s="54"/>
      <c r="AN30" s="54"/>
      <c r="AO30" s="54"/>
      <c r="AP30" s="54"/>
    </row>
    <row r="31" spans="1:50" ht="17.25" x14ac:dyDescent="0.3">
      <c r="A31" s="54"/>
      <c r="B31" s="111" t="s">
        <v>885</v>
      </c>
      <c r="C31" s="112">
        <f>SUMPRODUCT(--(TRIM('[1]AT GLOBAL DEA'!$I$3:$I$1490)="MPLKI")*('[1]AT GLOBAL DEA'!$L$3:$L$1490="O")*('[1]AT GLOBAL DEA'!$K$3:$K$1490="S"))</f>
        <v>0</v>
      </c>
      <c r="D31" s="113">
        <f>SUMPRODUCT(--(TRIM('[1]AT GLOBAL DEA'!$I$3:$I$1490)="MPLKI")*('[1]AT GLOBAL DEA'!$M$3:$M$1490="N")*('[1]AT GLOBAL DEA'!$K$3:$K$1490="S"))</f>
        <v>0</v>
      </c>
      <c r="E31" s="114">
        <f>SUMPRODUCT(--(TRIM('[1]AT GLOBAL DEA'!$I$3:$I$1490)="MRSKI")*('[1]AT GLOBAL DEA'!$M$3:$M$1490="O")*('[1]AT GLOBAL DEA'!$K$3:$K$1490="S"))</f>
        <v>0</v>
      </c>
      <c r="F31" s="115">
        <f>SUMPRODUCT(--(TRIM('[1]AT GLOBAL DEA'!$I$3:$I$1490)="MPLKI")*('[1]AT GLOBAL DEA'!$L$3:$L$1490="O")*('[1]AT GLOBAL DEA'!$K$3:$K$1490="S")*('[1]AT GLOBAL DEA'!$N$3:$N$1490))</f>
        <v>0</v>
      </c>
      <c r="G31" s="116">
        <f>SUMPRODUCT(--(TRIM('[1]AT GLOBAL DEA'!$I$3:$I$1490)="MPLKI")*('[1]AT GLOBAL DEA'!$L$3:$L$1490="O")*('[1]AT GLOBAL DEA'!$K$3:$K$1490="T"))</f>
        <v>0</v>
      </c>
      <c r="H31" s="117">
        <f>SUMPRODUCT(--(TRIM('[1]AT GLOBAL DEA'!$I$3:$I$1490)="MPLKI")*('[1]AT GLOBAL DEA'!$L$3:$L$1490="N")*('[1]AT GLOBAL DEA'!$K$3:$K$1490="T"))</f>
        <v>0</v>
      </c>
      <c r="I31" s="118">
        <f>SUMPRODUCT(--(TRIM('[1]AT GLOBAL DEA'!$I$3:$I$1490)="MPLKI")*('[1]AT GLOBAL DEA'!$L$3:$L$1490="O")*('[1]AT GLOBAL DEA'!$K$3:$K$1490="T")*('[1]AT GLOBAL DEA'!$N$3:$N$1490))</f>
        <v>0</v>
      </c>
      <c r="J31" s="170"/>
      <c r="K31" s="164" t="s">
        <v>885</v>
      </c>
      <c r="L31" s="120"/>
      <c r="M31" s="121"/>
      <c r="N31" s="121"/>
      <c r="O31" s="121"/>
      <c r="P31" s="121"/>
      <c r="Q31" s="121"/>
      <c r="R31" s="121"/>
      <c r="S31" s="121"/>
      <c r="T31" s="121"/>
      <c r="U31" s="121"/>
      <c r="V31" s="122"/>
      <c r="W31" s="77"/>
      <c r="X31" s="123">
        <f>SUMPRODUCT(--(TRIM([1]MATRICE!$D$5:$D$490)="MPLKI")*([1]MATRICE!$G$5:$G$490="S")*([1]MATRICE!$I$5:$I$490="O")*([1]MATRICE!$P$5:$P$490="janvier"))</f>
        <v>0</v>
      </c>
      <c r="Y31" s="124">
        <f>SUMPRODUCT(--(TRIM([1]MATRICE!$D$5:$D$490)="MPLKI")*([1]MATRICE!$G$5:$G$490="S")*([1]MATRICE!$I$5:$I$490="O")*([1]MATRICE!$P$5:$P$490="février"))</f>
        <v>0</v>
      </c>
      <c r="Z31" s="124">
        <f>SUMPRODUCT(--(TRIM([1]MATRICE!$D$5:$D$490)="MPLKI")*([1]MATRICE!$G$5:$G$490="S")*([1]MATRICE!$I$5:$I$490="O")*([1]MATRICE!$P$5:$P$490="mars"))</f>
        <v>0</v>
      </c>
      <c r="AA31" s="124">
        <f>SUMPRODUCT(--(TRIM([1]MATRICE!$D$5:$D$490)="MPLKI")*([1]MATRICE!$G$5:$G$490="S")*([1]MATRICE!$I$5:$I$490="O")*([1]MATRICE!$P$5:$P$490="avril"))</f>
        <v>0</v>
      </c>
      <c r="AB31" s="124">
        <f>SUMPRODUCT(--(TRIM([1]MATRICE!$D$5:$D$490)="MPLKI")*([1]MATRICE!$G$5:$G$490="S")*([1]MATRICE!$I$5:$I$490="O")*([1]MATRICE!$P$5:$P$490="mai"))</f>
        <v>0</v>
      </c>
      <c r="AC31" s="124">
        <f>SUMPRODUCT(--(TRIM([1]MATRICE!$D$5:$D$490)="MPLKI")*([1]MATRICE!$G$5:$G$490="S")*([1]MATRICE!$I$5:$I$490="O")*([1]MATRICE!$P$5:$P$490="juin"))</f>
        <v>0</v>
      </c>
      <c r="AD31" s="124">
        <f>SUMPRODUCT(--(TRIM([1]MATRICE!$D$5:$D$490)="MPLKI")*([1]MATRICE!$G$5:$G$490="S")*([1]MATRICE!$I$5:$I$490="O")*([1]MATRICE!$P$5:$P$490="juillet"))</f>
        <v>0</v>
      </c>
      <c r="AE31" s="124">
        <f>SUMPRODUCT(--(TRIM([1]MATRICE!$D$5:$D$490)="MPLKI")*([1]MATRICE!$G$5:$G$490="S")*([1]MATRICE!$I$5:$I$490="O")*([1]MATRICE!$P$5:$P$490="août"))</f>
        <v>0</v>
      </c>
      <c r="AF31" s="124">
        <f>SUMPRODUCT(--(TRIM([1]MATRICE!$D$5:$D$490)="MPLKI")*([1]MATRICE!$G$5:$G$490="S")*([1]MATRICE!$I$5:$I$490="O")*([1]MATRICE!$P$5:$P$490="septembre"))</f>
        <v>0</v>
      </c>
      <c r="AG31" s="124">
        <f>SUMPRODUCT(--(TRIM([1]MATRICE!$D$5:$D$490)="MPLKI")*([1]MATRICE!$G$5:$G$490="S")*([1]MATRICE!$I$5:$I$490="O")*([1]MATRICE!$P$5:$P$490="janvier"))</f>
        <v>0</v>
      </c>
      <c r="AH31" s="124">
        <f>SUMPRODUCT(--(TRIM([1]MATRICE!$D$5:$D$490)="MPLKI")*([1]MATRICE!$G$5:$G$490="S")*([1]MATRICE!$I$5:$I$490="O")*([1]MATRICE!$P$5:$P$490="janvier"))</f>
        <v>0</v>
      </c>
      <c r="AI31" s="125">
        <f>SUMPRODUCT(--(TRIM([1]MATRICE!$D$5:$D$490)="MPLKI")*([1]MATRICE!$G$5:$G$490="S")*([1]MATRICE!$I$5:$I$490="O")*([1]MATRICE!$P$5:$P$490="janvier"))</f>
        <v>0</v>
      </c>
      <c r="AJ31" s="126">
        <f t="shared" si="11"/>
        <v>0</v>
      </c>
      <c r="AK31" s="54"/>
      <c r="AL31" s="54"/>
      <c r="AM31" s="54"/>
      <c r="AN31" s="54"/>
      <c r="AO31" s="54"/>
      <c r="AP31" s="54"/>
    </row>
    <row r="32" spans="1:50" ht="17.25" x14ac:dyDescent="0.3">
      <c r="A32" s="54"/>
      <c r="B32" s="111" t="s">
        <v>886</v>
      </c>
      <c r="C32" s="112">
        <f>SUMPRODUCT(--(TRIM('[1]AT GLOBAL DEA'!$I$3:$I$1490)="MRSKI")*('[1]AT GLOBAL DEA'!$L$3:$L$1490="O")*('[1]AT GLOBAL DEA'!$K$3:$K$1490="S"))</f>
        <v>0</v>
      </c>
      <c r="D32" s="113">
        <f>SUMPRODUCT(--(TRIM('[1]AT GLOBAL DEA'!$I$3:$I$1490)="MRSKI")*('[1]AT GLOBAL DEA'!$M$3:$M$1490="N")*('[1]AT GLOBAL DEA'!$K$3:$K$1490="S"))</f>
        <v>1</v>
      </c>
      <c r="E32" s="114">
        <f>SUMPRODUCT(--(TRIM('[1]AT GLOBAL DEA'!$I$3:$I$1490)="MRSKI")*('[1]AT GLOBAL DEA'!$M$3:$M$1490="O")*('[1]AT GLOBAL DEA'!$K$3:$K$1490="S"))</f>
        <v>0</v>
      </c>
      <c r="F32" s="115">
        <f>SUMPRODUCT(--(TRIM('[1]AT GLOBAL DEA'!$I$3:$I$1490)="MRSKI")*('[1]AT GLOBAL DEA'!$L$3:$L$1490="O")*('[1]AT GLOBAL DEA'!$K$3:$K$1490="S")*('[1]AT GLOBAL DEA'!$N$3:$N$1490))</f>
        <v>0</v>
      </c>
      <c r="G32" s="116">
        <f>SUMPRODUCT(--(TRIM('[1]AT GLOBAL DEA'!$I$3:$I$1490)="MRSKI")*('[1]AT GLOBAL DEA'!$L$3:$L$1490="O")*('[1]AT GLOBAL DEA'!$K$3:$K$1490="T"))</f>
        <v>0</v>
      </c>
      <c r="H32" s="117">
        <f>SUMPRODUCT(--(TRIM('[1]AT GLOBAL DEA'!$I$3:$I$1490)="MRSKI")*('[1]AT GLOBAL DEA'!$L$3:$L$1490="N")*('[1]AT GLOBAL DEA'!$K$3:$K$1490="T"))</f>
        <v>0</v>
      </c>
      <c r="I32" s="118">
        <f>SUMPRODUCT(--(TRIM('[1]AT GLOBAL DEA'!$I$3:$I$1490)="MRSKI")*('[1]AT GLOBAL DEA'!$L$3:$L$1490="O")*('[1]AT GLOBAL DEA'!$K$3:$K$1490="T")*('[1]AT GLOBAL DEA'!$N$3:$N$1490))</f>
        <v>0</v>
      </c>
      <c r="J32" s="170"/>
      <c r="K32" s="166" t="s">
        <v>886</v>
      </c>
      <c r="L32" s="128"/>
      <c r="M32" s="129"/>
      <c r="N32" s="129"/>
      <c r="O32" s="129"/>
      <c r="P32" s="129"/>
      <c r="Q32" s="129"/>
      <c r="R32" s="129"/>
      <c r="S32" s="129"/>
      <c r="T32" s="129"/>
      <c r="U32" s="129"/>
      <c r="V32" s="130"/>
      <c r="W32" s="77"/>
      <c r="X32" s="131">
        <f>SUMPRODUCT(--(TRIM([1]MATRICE!$D$5:$D$490)="MRSKI")*([1]MATRICE!$G$5:$G$490="S")*([1]MATRICE!$I$5:$I$490="O")*([1]MATRICE!$P$5:$P$490="janvier"))</f>
        <v>0</v>
      </c>
      <c r="Y32" s="132">
        <f>SUMPRODUCT(--(TRIM([1]MATRICE!$D$5:$D$490)="MRSKI")*([1]MATRICE!$G$5:$G$490="S")*([1]MATRICE!$I$5:$I$490="O")*([1]MATRICE!$P$5:$P$490="février"))</f>
        <v>0</v>
      </c>
      <c r="Z32" s="132">
        <f>SUMPRODUCT(--(TRIM([1]MATRICE!$D$5:$D$490)="MRSKI")*([1]MATRICE!$G$5:$G$490="S")*([1]MATRICE!$I$5:$I$490="O")*([1]MATRICE!$P$5:$P$490="mars"))</f>
        <v>0</v>
      </c>
      <c r="AA32" s="132">
        <f>SUMPRODUCT(--(TRIM([1]MATRICE!$D$5:$D$490)="MRSKI")*([1]MATRICE!$G$5:$G$490="S")*([1]MATRICE!$I$5:$I$490="O")*([1]MATRICE!$P$5:$P$490="avril"))</f>
        <v>0</v>
      </c>
      <c r="AB32" s="132">
        <f>SUMPRODUCT(--(TRIM([1]MATRICE!$D$5:$D$490)="MRSKI")*([1]MATRICE!$G$5:$G$490="S")*([1]MATRICE!$I$5:$I$490="O")*([1]MATRICE!$P$5:$P$490="mai"))</f>
        <v>0</v>
      </c>
      <c r="AC32" s="132">
        <f>SUMPRODUCT(--(TRIM([1]MATRICE!$D$5:$D$490)="MRSKI")*([1]MATRICE!$G$5:$G$490="S")*([1]MATRICE!$I$5:$I$490="O")*([1]MATRICE!$P$5:$P$490="juin"))</f>
        <v>0</v>
      </c>
      <c r="AD32" s="132">
        <f>SUMPRODUCT(--(TRIM([1]MATRICE!$D$5:$D$490)="MRSKI")*([1]MATRICE!$G$5:$G$490="S")*([1]MATRICE!$I$5:$I$490="O")*([1]MATRICE!$P$5:$P$490="juillet"))</f>
        <v>0</v>
      </c>
      <c r="AE32" s="132">
        <f>SUMPRODUCT(--(TRIM([1]MATRICE!$D$5:$D$490)="MRSKI")*([1]MATRICE!$G$5:$G$490="S")*([1]MATRICE!$I$5:$I$490="O")*([1]MATRICE!$P$5:$P$490="août"))</f>
        <v>0</v>
      </c>
      <c r="AF32" s="132">
        <f>SUMPRODUCT(--(TRIM([1]MATRICE!$D$5:$D$490)="MRSKI")*([1]MATRICE!$G$5:$G$490="S")*([1]MATRICE!$I$5:$I$490="O")*([1]MATRICE!$P$5:$P$490="septembre"))</f>
        <v>0</v>
      </c>
      <c r="AG32" s="132">
        <f>SUMPRODUCT(--(TRIM([1]MATRICE!$D$5:$D$490)="MRSKI")*([1]MATRICE!$G$5:$G$490="S")*([1]MATRICE!$I$5:$I$490="O")*([1]MATRICE!$P$5:$P$490="janvier"))</f>
        <v>0</v>
      </c>
      <c r="AH32" s="132">
        <f>SUMPRODUCT(--(TRIM([1]MATRICE!$D$5:$D$490)="MRSKI")*([1]MATRICE!$G$5:$G$490="S")*([1]MATRICE!$I$5:$I$490="O")*([1]MATRICE!$P$5:$P$490="janvier"))</f>
        <v>0</v>
      </c>
      <c r="AI32" s="133">
        <f>SUMPRODUCT(--(TRIM([1]MATRICE!$D$5:$D$490)="MRSKI")*([1]MATRICE!$G$5:$G$490="S")*([1]MATRICE!$I$5:$I$490="O")*([1]MATRICE!$P$5:$P$490="janvier"))</f>
        <v>0</v>
      </c>
      <c r="AJ32" s="134">
        <f t="shared" si="11"/>
        <v>0</v>
      </c>
      <c r="AK32" s="54"/>
      <c r="AL32" s="54"/>
      <c r="AM32" s="54"/>
      <c r="AN32" s="54"/>
      <c r="AO32" s="54"/>
      <c r="AP32" s="54"/>
    </row>
    <row r="33" spans="1:42" ht="17.25" x14ac:dyDescent="0.3">
      <c r="A33" s="54"/>
      <c r="B33" s="111" t="s">
        <v>887</v>
      </c>
      <c r="C33" s="112">
        <f>SUMPRODUCT(--(TRIM('[1]AT GLOBAL DEA'!$I$3:$I$1490)="MT JK PR")*('[1]AT GLOBAL DEA'!$L$3:$L$1490="O")*('[1]AT GLOBAL DEA'!$K$3:$K$1490="S"))</f>
        <v>3</v>
      </c>
      <c r="D33" s="113">
        <f>SUMPRODUCT(--(TRIM('[1]AT GLOBAL DEA'!$I$3:$I$1490)="MT JK PR")*('[1]AT GLOBAL DEA'!$M$3:$M$1490="N")*('[1]AT GLOBAL DEA'!$K$3:$K$1490="S"))</f>
        <v>7</v>
      </c>
      <c r="E33" s="114">
        <f>SUMPRODUCT(--(TRIM('[1]AT GLOBAL DEA'!$I$3:$I$1490)="MT JK PR")*('[1]AT GLOBAL DEA'!$M$3:$M$1490="O")*('[1]AT GLOBAL DEA'!$K$3:$K$1490="S"))</f>
        <v>0</v>
      </c>
      <c r="F33" s="115">
        <f>SUMPRODUCT(--(TRIM('[1]AT GLOBAL DEA'!$I$3:$I$1490)="MT JK PR")*('[1]AT GLOBAL DEA'!$L$3:$L$1490="O")*('[1]AT GLOBAL DEA'!$K$3:$K$1490="S")*('[1]AT GLOBAL DEA'!$N$3:$N$1490))</f>
        <v>19</v>
      </c>
      <c r="G33" s="116">
        <f>SUMPRODUCT(--(TRIM('[1]AT GLOBAL DEA'!$I$3:$I$1490)="MT JK PR")*('[1]AT GLOBAL DEA'!$L$3:$L$1490="O")*('[1]AT GLOBAL DEA'!$K$3:$K$1490="T"))</f>
        <v>0</v>
      </c>
      <c r="H33" s="117">
        <f>SUMPRODUCT(--(TRIM('[1]AT GLOBAL DEA'!$I$3:$I$1490)="MT JK PR")*('[1]AT GLOBAL DEA'!$L$3:$L$1490="N")*('[1]AT GLOBAL DEA'!$K$3:$K$1490="T"))</f>
        <v>0</v>
      </c>
      <c r="I33" s="118">
        <f>SUMPRODUCT(--(TRIM('[1]AT GLOBAL DEA'!$I$3:$I$1490)="MT JK PR")*('[1]AT GLOBAL DEA'!$L$3:$L$1490="O")*('[1]AT GLOBAL DEA'!$K$3:$K$1490="T")*('[1]AT GLOBAL DEA'!$N$3:$N$1490))</f>
        <v>0</v>
      </c>
      <c r="J33" s="170"/>
      <c r="K33" s="164" t="s">
        <v>887</v>
      </c>
      <c r="L33" s="120">
        <f>SUMPRODUCT(--(TRIM([1]MATRICE!$D$5:$D$490)="MT JK PR")*([1]MATRICE!$F$5:$F$490="Moins de 20 ans")*([1]MATRICE!$G$5:$G$490="S")*([1]MATRICE!$I$5:$I$490="O"))</f>
        <v>0</v>
      </c>
      <c r="M33" s="121">
        <f>SUMPRODUCT(--(TRIM([1]MATRICE!$D$5:$D$490)="MT JK PR")*([1]MATRICE!$F$5:$F$490="20 à 24 ans")*([1]MATRICE!$G$5:$G$490="S")*([1]MATRICE!$I$5:$I$490="O"))</f>
        <v>0</v>
      </c>
      <c r="N33" s="121">
        <f>SUMPRODUCT(--(TRIM([1]MATRICE!$D$5:$D$490)="MT JK PR")*([1]MATRICE!$F$5:$F$490="25 à 29 ans")*([1]MATRICE!$G$5:$G$490="S")*([1]MATRICE!$I$5:$I$490="O"))</f>
        <v>0</v>
      </c>
      <c r="O33" s="165">
        <f>SUMPRODUCT(--(TRIM([1]MATRICE!$D$5:$D$490)="MT JK PR")*([1]MATRICE!$F$5:$F$490="30 à 34 ans")*([1]MATRICE!$G$5:$G$490="S")*([1]MATRICE!$I$5:$I$490="O"))</f>
        <v>0</v>
      </c>
      <c r="P33" s="121">
        <f>SUMPRODUCT(--(TRIM([1]MATRICE!$D$5:$D$490)="MT JK PR")*([1]MATRICE!$F$5:$F$490="35 à 39 ans")*([1]MATRICE!$G$5:$G$490="S")*([1]MATRICE!$I$5:$I$490="O"))</f>
        <v>1</v>
      </c>
      <c r="Q33" s="121">
        <f>SUMPRODUCT(--(TRIM([1]MATRICE!$D$5:$D$490)="MT JK PR")*([1]MATRICE!$F$5:$F$490="40 à 44 ans")*([1]MATRICE!$G$5:$G$490="S")*([1]MATRICE!$I$5:$I$490="O"))</f>
        <v>0</v>
      </c>
      <c r="R33" s="121">
        <f>SUMPRODUCT(--(TRIM([1]MATRICE!$D$5:$D$490)="MT JK PR")*([1]MATRICE!$F$5:$F$490="45 à 49 ans")*([1]MATRICE!$G$5:$G$490="S")*([1]MATRICE!$I$5:$I$490="O"))</f>
        <v>0</v>
      </c>
      <c r="S33" s="121">
        <f>SUMPRODUCT(--(TRIM([1]MATRICE!$D$5:$D$490)="MT JK PR")*([1]MATRICE!$F$5:$F$490="50 à 54 ans")*([1]MATRICE!$G$5:$G$490="S")*([1]MATRICE!$I$5:$I$490="O"))</f>
        <v>1</v>
      </c>
      <c r="T33" s="121">
        <f>SUMPRODUCT(--(TRIM([1]MATRICE!$D$5:$D$490)="MT JK PR")*([1]MATRICE!$F$5:$F$490="55 à 59 ans")*([1]MATRICE!$G$5:$G$490="S")*([1]MATRICE!$I$5:$I$490="O"))</f>
        <v>1</v>
      </c>
      <c r="U33" s="121">
        <f>SUMPRODUCT(--(TRIM([1]MATRICE!$D$5:$D$490)="MT JK PR")*([1]MATRICE!$F$5:$F$490="60 ans et +")*([1]MATRICE!$G$5:$G$490="S")*([1]MATRICE!$I$5:$I$490="O"))</f>
        <v>0</v>
      </c>
      <c r="V33" s="122">
        <f>SUM(L33:U33)</f>
        <v>3</v>
      </c>
      <c r="W33" s="77"/>
      <c r="X33" s="123">
        <f>SUMPRODUCT(--(TRIM([1]MATRICE!$D$5:$D$490)="MT JK PR")*([1]MATRICE!$G$5:$G$490="S")*([1]MATRICE!$I$5:$I$490="O")*([1]MATRICE!$P$5:$P$490="janvier"))</f>
        <v>1</v>
      </c>
      <c r="Y33" s="124">
        <f>SUMPRODUCT(--(TRIM([1]MATRICE!$D$5:$D$490)="MT JK PR")*([1]MATRICE!$G$5:$G$490="S")*([1]MATRICE!$I$5:$I$490="O")*([1]MATRICE!$P$5:$P$490="février"))</f>
        <v>1</v>
      </c>
      <c r="Z33" s="124">
        <f>SUMPRODUCT(--(TRIM([1]MATRICE!$D$5:$D$490)="MT JK PR")*([1]MATRICE!$G$5:$G$490="S")*([1]MATRICE!$I$5:$I$490="O")*([1]MATRICE!$P$5:$P$490="mars"))</f>
        <v>0</v>
      </c>
      <c r="AA33" s="124">
        <f>SUMPRODUCT(--(TRIM([1]MATRICE!$D$5:$D$490)="MT JK PR")*([1]MATRICE!$G$5:$G$490="S")*([1]MATRICE!$I$5:$I$490="O")*([1]MATRICE!$P$5:$P$490="avril"))</f>
        <v>0</v>
      </c>
      <c r="AB33" s="124">
        <f>SUMPRODUCT(--(TRIM([1]MATRICE!$D$5:$D$490)="MT JK PR")*([1]MATRICE!$G$5:$G$490="S")*([1]MATRICE!$I$5:$I$490="O")*([1]MATRICE!$P$5:$P$490="mai"))</f>
        <v>0</v>
      </c>
      <c r="AC33" s="124">
        <f>SUMPRODUCT(--(TRIM([1]MATRICE!$D$5:$D$490)="MT JK PR")*([1]MATRICE!$G$5:$G$490="S")*([1]MATRICE!$I$5:$I$490="O")*([1]MATRICE!$P$5:$P$490="juin"))</f>
        <v>0</v>
      </c>
      <c r="AD33" s="124">
        <f>SUMPRODUCT(--(TRIM([1]MATRICE!$D$5:$D$490)="MT JK PR")*([1]MATRICE!$G$5:$G$490="S")*([1]MATRICE!$I$5:$I$490="O")*([1]MATRICE!$P$5:$P$490="juillet"))</f>
        <v>1</v>
      </c>
      <c r="AE33" s="124">
        <f>SUMPRODUCT(--(TRIM([1]MATRICE!$D$5:$D$490)="MT JK PR")*([1]MATRICE!$G$5:$G$490="S")*([1]MATRICE!$I$5:$I$490="O")*([1]MATRICE!$P$5:$P$490="août"))</f>
        <v>0</v>
      </c>
      <c r="AF33" s="124">
        <f>SUMPRODUCT(--(TRIM([1]MATRICE!$D$5:$D$490)="MT JK PR")*([1]MATRICE!$G$5:$G$490="S")*([1]MATRICE!$I$5:$I$490="O")*([1]MATRICE!$P$5:$P$490="septembre"))</f>
        <v>0</v>
      </c>
      <c r="AG33" s="124">
        <f>SUMPRODUCT(--(TRIM([1]MATRICE!$D$5:$D$490)="MT JK PR")*([1]MATRICE!$G$5:$G$490="S")*([1]MATRICE!$I$5:$I$490="O")*([1]MATRICE!$P$5:$P$490="mars"))</f>
        <v>0</v>
      </c>
      <c r="AH33" s="124">
        <f>SUMPRODUCT(--(TRIM([1]MATRICE!$D$5:$D$490)="MT JK PR")*([1]MATRICE!$G$5:$G$490="S")*([1]MATRICE!$I$5:$I$490="O")*([1]MATRICE!$P$5:$P$490="mars"))</f>
        <v>0</v>
      </c>
      <c r="AI33" s="125">
        <f>SUMPRODUCT(--(TRIM([1]MATRICE!$D$5:$D$490)="MT JK PR")*([1]MATRICE!$G$5:$G$490="S")*([1]MATRICE!$I$5:$I$490="O")*([1]MATRICE!$P$5:$P$490="mars"))</f>
        <v>0</v>
      </c>
      <c r="AJ33" s="126">
        <f t="shared" si="11"/>
        <v>3</v>
      </c>
      <c r="AK33" s="54"/>
      <c r="AL33" s="54"/>
      <c r="AM33" s="54"/>
      <c r="AN33" s="54"/>
      <c r="AO33" s="54"/>
      <c r="AP33" s="54"/>
    </row>
    <row r="34" spans="1:42" ht="17.25" x14ac:dyDescent="0.3">
      <c r="A34" s="54"/>
      <c r="B34" s="127" t="s">
        <v>888</v>
      </c>
      <c r="C34" s="112">
        <f>SUMPRODUCT(--(TRIM('[1]AT GLOBAL DEA'!$I$3:$I$1490)="MT LK PR")*('[1]AT GLOBAL DEA'!$L$3:$L$1490="O")*('[1]AT GLOBAL DEA'!$K$3:$K$1490="S"))</f>
        <v>0</v>
      </c>
      <c r="D34" s="113">
        <f>SUMPRODUCT(--(TRIM('[1]AT GLOBAL DEA'!$I$3:$I$1490)="MT LK PR")*('[1]AT GLOBAL DEA'!$M$3:$M$1490="N")*('[1]AT GLOBAL DEA'!$K$3:$K$1490="S"))</f>
        <v>1</v>
      </c>
      <c r="E34" s="114">
        <f>SUMPRODUCT(--(TRIM('[1]AT GLOBAL DEA'!$I$3:$I$1490)="MT LK PR")*('[1]AT GLOBAL DEA'!$M$3:$M$1490="O")*('[1]AT GLOBAL DEA'!$K$3:$K$1490="S"))</f>
        <v>0</v>
      </c>
      <c r="F34" s="115">
        <f>SUMPRODUCT(--(TRIM('[1]AT GLOBAL DEA'!$I$3:$I$1490)="MT LK PR")*('[1]AT GLOBAL DEA'!$L$3:$L$1490="O")*('[1]AT GLOBAL DEA'!$K$3:$K$1490="S")*('[1]AT GLOBAL DEA'!$N$3:$N$1490))</f>
        <v>0</v>
      </c>
      <c r="G34" s="116">
        <f>SUMPRODUCT(--(TRIM('[1]AT GLOBAL DEA'!$I$3:$I$1490)="MT LK PR")*('[1]AT GLOBAL DEA'!$L$3:$L$1490="O")*('[1]AT GLOBAL DEA'!$K$3:$K$1490="T"))</f>
        <v>0</v>
      </c>
      <c r="H34" s="117">
        <f>SUMPRODUCT(--(TRIM('[1]AT GLOBAL DEA'!$I$3:$I$1490)="MT LK PR")*('[1]AT GLOBAL DEA'!$L$3:$L$1490="N")*('[1]AT GLOBAL DEA'!$K$3:$K$1490="T"))</f>
        <v>0</v>
      </c>
      <c r="I34" s="118">
        <f>SUMPRODUCT(--(TRIM('[1]AT GLOBAL DEA'!$I$3:$I$1490)="MT LK PR")*('[1]AT GLOBAL DEA'!$L$3:$L$1490="O")*('[1]AT GLOBAL DEA'!$K$3:$K$1490="T")*('[1]AT GLOBAL DEA'!$N$3:$N$1490))</f>
        <v>0</v>
      </c>
      <c r="J34" s="170"/>
      <c r="K34" s="171" t="s">
        <v>888</v>
      </c>
      <c r="L34" s="128"/>
      <c r="M34" s="129"/>
      <c r="N34" s="129"/>
      <c r="O34" s="129"/>
      <c r="P34" s="129"/>
      <c r="Q34" s="129"/>
      <c r="R34" s="129"/>
      <c r="S34" s="129"/>
      <c r="T34" s="129"/>
      <c r="U34" s="129"/>
      <c r="V34" s="130"/>
      <c r="W34" s="77"/>
      <c r="X34" s="131">
        <f>SUMPRODUCT(--(TRIM([1]MATRICE!$D$5:$D$490)="MT LK PR")*([1]MATRICE!$G$5:$G$490="S")*([1]MATRICE!$I$5:$I$490="O")*([1]MATRICE!$P$5:$P$490="janvier"))</f>
        <v>0</v>
      </c>
      <c r="Y34" s="132">
        <f>SUMPRODUCT(--(TRIM([1]MATRICE!$D$5:$D$490)="MT LK PR")*([1]MATRICE!$G$5:$G$490="S")*([1]MATRICE!$I$5:$I$490="O")*([1]MATRICE!$P$5:$P$490="février"))</f>
        <v>0</v>
      </c>
      <c r="Z34" s="132">
        <f>SUMPRODUCT(--(TRIM([1]MATRICE!$D$5:$D$490)="MT LK PR")*([1]MATRICE!$G$5:$G$490="S")*([1]MATRICE!$I$5:$I$490="O")*([1]MATRICE!$P$5:$P$490="mars"))</f>
        <v>0</v>
      </c>
      <c r="AA34" s="132">
        <f>SUMPRODUCT(--(TRIM([1]MATRICE!$D$5:$D$490)="MT LK PR")*([1]MATRICE!$G$5:$G$490="S")*([1]MATRICE!$I$5:$I$490="O")*([1]MATRICE!$P$5:$P$490="avril"))</f>
        <v>0</v>
      </c>
      <c r="AB34" s="132">
        <f>SUMPRODUCT(--(TRIM([1]MATRICE!$D$5:$D$490)="MT LK PR")*([1]MATRICE!$G$5:$G$490="S")*([1]MATRICE!$I$5:$I$490="O")*([1]MATRICE!$P$5:$P$490="mai"))</f>
        <v>0</v>
      </c>
      <c r="AC34" s="132">
        <f>SUMPRODUCT(--(TRIM([1]MATRICE!$D$5:$D$490)="MT LK PR")*([1]MATRICE!$G$5:$G$490="S")*([1]MATRICE!$I$5:$I$490="O")*([1]MATRICE!$P$5:$P$490="juin"))</f>
        <v>0</v>
      </c>
      <c r="AD34" s="132">
        <f>SUMPRODUCT(--(TRIM([1]MATRICE!$D$5:$D$490)="MT LK PR")*([1]MATRICE!$G$5:$G$490="S")*([1]MATRICE!$I$5:$I$490="O")*([1]MATRICE!$P$5:$P$490="juillet"))</f>
        <v>0</v>
      </c>
      <c r="AE34" s="132">
        <f>SUMPRODUCT(--(TRIM([1]MATRICE!$D$5:$D$490)="MT LK PR")*([1]MATRICE!$G$5:$G$490="S")*([1]MATRICE!$I$5:$I$490="O")*([1]MATRICE!$P$5:$P$490="août"))</f>
        <v>0</v>
      </c>
      <c r="AF34" s="132">
        <f>SUMPRODUCT(--(TRIM([1]MATRICE!$D$5:$D$490)="MT LK PR")*([1]MATRICE!$G$5:$G$490="S")*([1]MATRICE!$I$5:$I$490="O")*([1]MATRICE!$P$5:$P$490="septembre"))</f>
        <v>0</v>
      </c>
      <c r="AG34" s="132">
        <f>SUMPRODUCT(--(TRIM([1]MATRICE!$D$5:$D$490)="MT LK PR")*([1]MATRICE!$G$5:$G$490="S")*([1]MATRICE!$I$5:$I$490="O")*([1]MATRICE!$P$5:$P$490="janvier"))</f>
        <v>0</v>
      </c>
      <c r="AH34" s="132">
        <f>SUMPRODUCT(--(TRIM([1]MATRICE!$D$5:$D$490)="MT LK PR")*([1]MATRICE!$G$5:$G$490="S")*([1]MATRICE!$I$5:$I$490="O")*([1]MATRICE!$P$5:$P$490="janvier"))</f>
        <v>0</v>
      </c>
      <c r="AI34" s="133">
        <f>SUMPRODUCT(--(TRIM([1]MATRICE!$D$5:$D$490)="MT LK PR")*([1]MATRICE!$G$5:$G$490="S")*([1]MATRICE!$I$5:$I$490="O")*([1]MATRICE!$P$5:$P$490="janvier"))</f>
        <v>0</v>
      </c>
      <c r="AJ34" s="134">
        <f t="shared" si="11"/>
        <v>0</v>
      </c>
      <c r="AK34" s="54"/>
      <c r="AL34" s="54"/>
      <c r="AM34" s="54"/>
      <c r="AN34" s="54"/>
      <c r="AO34" s="54"/>
      <c r="AP34" s="54"/>
    </row>
    <row r="35" spans="1:42" ht="17.25" x14ac:dyDescent="0.3">
      <c r="A35" s="54"/>
      <c r="B35" s="127" t="s">
        <v>889</v>
      </c>
      <c r="C35" s="112">
        <f>SUMPRODUCT(--(TRIM('[1]AT GLOBAL DEA'!$I$3:$I$1490)="MT LK SI")*('[1]AT GLOBAL DEA'!$L$3:$L$1490="O")*('[1]AT GLOBAL DEA'!$K$3:$K$1490="S"))</f>
        <v>0</v>
      </c>
      <c r="D35" s="113">
        <f>SUMPRODUCT(--(TRIM('[1]AT GLOBAL DEA'!$I$3:$I$1490)="MT LK SI")*('[1]AT GLOBAL DEA'!$M$3:$M$1490="N")*('[1]AT GLOBAL DEA'!$K$3:$K$1490="S"))</f>
        <v>0</v>
      </c>
      <c r="E35" s="114">
        <f>SUMPRODUCT(--(TRIM('[1]AT GLOBAL DEA'!$I$3:$I$1490)="MT LK SI")*('[1]AT GLOBAL DEA'!$M$3:$M$1490="O")*('[1]AT GLOBAL DEA'!$K$3:$K$1490="S"))</f>
        <v>0</v>
      </c>
      <c r="F35" s="115">
        <f>SUMPRODUCT(--(TRIM('[1]AT GLOBAL DEA'!$I$3:$I$1490)="MT LK SI")*('[1]AT GLOBAL DEA'!$L$3:$L$1490="O")*('[1]AT GLOBAL DEA'!$K$3:$K$1490="S")*('[1]AT GLOBAL DEA'!$N$3:$N$1490))</f>
        <v>0</v>
      </c>
      <c r="G35" s="116">
        <f>SUMPRODUCT(--(TRIM('[1]AT GLOBAL DEA'!$I$3:$I$1490)="MT LK SI")*('[1]AT GLOBAL DEA'!$L$3:$L$1490="O")*('[1]AT GLOBAL DEA'!$K$3:$K$1490="T"))</f>
        <v>0</v>
      </c>
      <c r="H35" s="117">
        <f>SUMPRODUCT(--(TRIM('[1]AT GLOBAL DEA'!$I$3:$I$1490)="MT LK SI")*('[1]AT GLOBAL DEA'!$L$3:$L$1490="N")*('[1]AT GLOBAL DEA'!$K$3:$K$1490="T"))</f>
        <v>0</v>
      </c>
      <c r="I35" s="118">
        <f>SUMPRODUCT(--(TRIM('[1]AT GLOBAL DEA'!$I$3:$I$1490)="MT LK SI")*('[1]AT GLOBAL DEA'!$L$3:$L$1490="O")*('[1]AT GLOBAL DEA'!$K$3:$K$1490="T")*('[1]AT GLOBAL DEA'!$N$3:$N$1490))</f>
        <v>0</v>
      </c>
      <c r="J35" s="170"/>
      <c r="K35" s="164" t="s">
        <v>889</v>
      </c>
      <c r="L35" s="120"/>
      <c r="M35" s="121"/>
      <c r="N35" s="121"/>
      <c r="O35" s="121"/>
      <c r="P35" s="121"/>
      <c r="Q35" s="121"/>
      <c r="R35" s="121"/>
      <c r="S35" s="121"/>
      <c r="T35" s="121"/>
      <c r="U35" s="121"/>
      <c r="V35" s="122"/>
      <c r="W35" s="77"/>
      <c r="X35" s="123">
        <f>SUMPRODUCT(--(TRIM([1]MATRICE!$D$5:$D$490)="MT LK SI")*([1]MATRICE!$G$5:$G$490="S")*([1]MATRICE!$I$5:$I$490="O")*([1]MATRICE!$P$5:$P$490="janvier"))</f>
        <v>0</v>
      </c>
      <c r="Y35" s="124">
        <f>SUMPRODUCT(--(TRIM([1]MATRICE!$D$5:$D$490)="MT LK SI")*([1]MATRICE!$G$5:$G$490="S")*([1]MATRICE!$I$5:$I$490="O")*([1]MATRICE!$P$5:$P$490="février"))</f>
        <v>0</v>
      </c>
      <c r="Z35" s="124">
        <f>SUMPRODUCT(--(TRIM([1]MATRICE!$D$5:$D$490)="MT LK SI")*([1]MATRICE!$G$5:$G$490="S")*([1]MATRICE!$I$5:$I$490="O")*([1]MATRICE!$P$5:$P$490="mars"))</f>
        <v>0</v>
      </c>
      <c r="AA35" s="124">
        <f>SUMPRODUCT(--(TRIM([1]MATRICE!$D$5:$D$490)="MT LK SI")*([1]MATRICE!$G$5:$G$490="S")*([1]MATRICE!$I$5:$I$490="O")*([1]MATRICE!$P$5:$P$490="avril"))</f>
        <v>0</v>
      </c>
      <c r="AB35" s="124">
        <f>SUMPRODUCT(--(TRIM([1]MATRICE!$D$5:$D$490)="MT LK SI")*([1]MATRICE!$G$5:$G$490="S")*([1]MATRICE!$I$5:$I$490="O")*([1]MATRICE!$P$5:$P$490="mai"))</f>
        <v>0</v>
      </c>
      <c r="AC35" s="124">
        <f>SUMPRODUCT(--(TRIM([1]MATRICE!$D$5:$D$490)="MT LK SI")*([1]MATRICE!$G$5:$G$490="S")*([1]MATRICE!$I$5:$I$490="O")*([1]MATRICE!$P$5:$P$490="juin"))</f>
        <v>0</v>
      </c>
      <c r="AD35" s="124">
        <f>SUMPRODUCT(--(TRIM([1]MATRICE!$D$5:$D$490)="MT LK SI")*([1]MATRICE!$G$5:$G$490="S")*([1]MATRICE!$I$5:$I$490="O")*([1]MATRICE!$P$5:$P$490="juillet"))</f>
        <v>0</v>
      </c>
      <c r="AE35" s="124">
        <f>SUMPRODUCT(--(TRIM([1]MATRICE!$D$5:$D$490)="MT LK SI")*([1]MATRICE!$G$5:$G$490="S")*([1]MATRICE!$I$5:$I$490="O")*([1]MATRICE!$P$5:$P$490="août"))</f>
        <v>0</v>
      </c>
      <c r="AF35" s="124">
        <f>SUMPRODUCT(--(TRIM([1]MATRICE!$D$5:$D$490)="MT LK SI")*([1]MATRICE!$G$5:$G$490="S")*([1]MATRICE!$I$5:$I$490="O")*([1]MATRICE!$P$5:$P$490="septembre"))</f>
        <v>0</v>
      </c>
      <c r="AG35" s="124">
        <f>SUMPRODUCT(--(TRIM([1]MATRICE!$D$5:$D$490)="MT LK SI")*([1]MATRICE!$G$5:$G$490="S")*([1]MATRICE!$I$5:$I$490="O")*([1]MATRICE!$P$5:$P$490="janvier"))</f>
        <v>0</v>
      </c>
      <c r="AH35" s="124">
        <f>SUMPRODUCT(--(TRIM([1]MATRICE!$D$5:$D$490)="MT LK SI")*([1]MATRICE!$G$5:$G$490="S")*([1]MATRICE!$I$5:$I$490="O")*([1]MATRICE!$P$5:$P$490="janvier"))</f>
        <v>0</v>
      </c>
      <c r="AI35" s="125">
        <f>SUMPRODUCT(--(TRIM([1]MATRICE!$D$5:$D$490)="MT LK SI")*([1]MATRICE!$G$5:$G$490="S")*([1]MATRICE!$I$5:$I$490="O")*([1]MATRICE!$P$5:$P$490="janvier"))</f>
        <v>0</v>
      </c>
      <c r="AJ35" s="126">
        <f t="shared" si="11"/>
        <v>0</v>
      </c>
      <c r="AK35" s="54"/>
      <c r="AL35" s="54"/>
      <c r="AM35" s="54"/>
      <c r="AN35" s="54"/>
      <c r="AO35" s="54"/>
      <c r="AP35" s="54"/>
    </row>
    <row r="36" spans="1:42" ht="17.25" x14ac:dyDescent="0.3">
      <c r="A36" s="54"/>
      <c r="B36" s="127" t="s">
        <v>890</v>
      </c>
      <c r="C36" s="112">
        <f>SUMPRODUCT(--(TRIM('[1]AT GLOBAL DEA'!$I$3:$I$1490)="MT LK SU")*('[1]AT GLOBAL DEA'!$L$3:$L$1490="O")*('[1]AT GLOBAL DEA'!$K$3:$K$1490="S"))</f>
        <v>0</v>
      </c>
      <c r="D36" s="113">
        <f>SUMPRODUCT(--(TRIM('[1]AT GLOBAL DEA'!$I$3:$I$1490)="MT LK SU")*('[1]AT GLOBAL DEA'!$M$3:$M$1490="N")*('[1]AT GLOBAL DEA'!$K$3:$K$1490="S"))</f>
        <v>0</v>
      </c>
      <c r="E36" s="114">
        <f>SUMPRODUCT(--(TRIM('[1]AT GLOBAL DEA'!$I$3:$I$1490)="MT LK SU")*('[1]AT GLOBAL DEA'!$M$3:$M$1490="O")*('[1]AT GLOBAL DEA'!$K$3:$K$1490="S"))</f>
        <v>0</v>
      </c>
      <c r="F36" s="115">
        <f>SUMPRODUCT(--(TRIM('[1]AT GLOBAL DEA'!$I$3:$I$1490)="MT LK SU")*('[1]AT GLOBAL DEA'!$L$3:$L$1490="O")*('[1]AT GLOBAL DEA'!$K$3:$K$1490="S")*('[1]AT GLOBAL DEA'!$N$3:$N$1490))</f>
        <v>0</v>
      </c>
      <c r="G36" s="116">
        <f>SUMPRODUCT(--(TRIM('[1]AT GLOBAL DEA'!$I$3:$I$1490)="MT LK SU")*('[1]AT GLOBAL DEA'!$L$3:$L$1490="O")*('[1]AT GLOBAL DEA'!$K$3:$K$1490="T"))</f>
        <v>0</v>
      </c>
      <c r="H36" s="117">
        <f>SUMPRODUCT(--(TRIM('[1]AT GLOBAL DEA'!$I$3:$I$1490)="MT LK SU")*('[1]AT GLOBAL DEA'!$L$3:$L$1490="N")*('[1]AT GLOBAL DEA'!$K$3:$K$1490="T"))</f>
        <v>0</v>
      </c>
      <c r="I36" s="118">
        <f>SUMPRODUCT(--(TRIM('[1]AT GLOBAL DEA'!$I$3:$I$1490)="MT LK SU")*('[1]AT GLOBAL DEA'!$L$3:$L$1490="O")*('[1]AT GLOBAL DEA'!$K$3:$K$1490="T")*('[1]AT GLOBAL DEA'!$N$3:$N$1490))</f>
        <v>0</v>
      </c>
      <c r="J36" s="170"/>
      <c r="K36" s="171" t="s">
        <v>890</v>
      </c>
      <c r="L36" s="128"/>
      <c r="M36" s="129"/>
      <c r="N36" s="129"/>
      <c r="O36" s="129"/>
      <c r="P36" s="129"/>
      <c r="Q36" s="129"/>
      <c r="R36" s="129"/>
      <c r="S36" s="129"/>
      <c r="T36" s="129"/>
      <c r="U36" s="129"/>
      <c r="V36" s="130"/>
      <c r="W36" s="77"/>
      <c r="X36" s="131">
        <f>SUMPRODUCT(--(TRIM([1]MATRICE!$D$5:$D$490)="MT LK SU")*([1]MATRICE!$G$5:$G$490="S")*([1]MATRICE!$I$5:$I$490="O")*([1]MATRICE!$P$5:$P$490="janvier"))</f>
        <v>0</v>
      </c>
      <c r="Y36" s="132">
        <f>SUMPRODUCT(--(TRIM([1]MATRICE!$D$5:$D$490)="MT LK SU")*([1]MATRICE!$G$5:$G$490="S")*([1]MATRICE!$I$5:$I$490="O")*([1]MATRICE!$P$5:$P$490="février"))</f>
        <v>0</v>
      </c>
      <c r="Z36" s="132">
        <f>SUMPRODUCT(--(TRIM([1]MATRICE!$D$5:$D$490)="MT LK SU")*([1]MATRICE!$G$5:$G$490="S")*([1]MATRICE!$I$5:$I$490="O")*([1]MATRICE!$P$5:$P$490="mars"))</f>
        <v>0</v>
      </c>
      <c r="AA36" s="132">
        <f>SUMPRODUCT(--(TRIM([1]MATRICE!$D$5:$D$490)="MT LK SU")*([1]MATRICE!$G$5:$G$490="S")*([1]MATRICE!$I$5:$I$490="O")*([1]MATRICE!$P$5:$P$490="avril"))</f>
        <v>0</v>
      </c>
      <c r="AB36" s="132">
        <f>SUMPRODUCT(--(TRIM([1]MATRICE!$D$5:$D$490)="MT LK SU")*([1]MATRICE!$G$5:$G$490="S")*([1]MATRICE!$I$5:$I$490="O")*([1]MATRICE!$P$5:$P$490="mai"))</f>
        <v>0</v>
      </c>
      <c r="AC36" s="132">
        <f>SUMPRODUCT(--(TRIM([1]MATRICE!$D$5:$D$490)="MT LK SU")*([1]MATRICE!$G$5:$G$490="S")*([1]MATRICE!$I$5:$I$490="O")*([1]MATRICE!$P$5:$P$490="juin"))</f>
        <v>0</v>
      </c>
      <c r="AD36" s="132">
        <f>SUMPRODUCT(--(TRIM([1]MATRICE!$D$5:$D$490)="MT LK SU")*([1]MATRICE!$G$5:$G$490="S")*([1]MATRICE!$I$5:$I$490="O")*([1]MATRICE!$P$5:$P$490="juillet"))</f>
        <v>0</v>
      </c>
      <c r="AE36" s="132">
        <f>SUMPRODUCT(--(TRIM([1]MATRICE!$D$5:$D$490)="MT LK SU")*([1]MATRICE!$G$5:$G$490="S")*([1]MATRICE!$I$5:$I$490="O")*([1]MATRICE!$P$5:$P$490="août"))</f>
        <v>0</v>
      </c>
      <c r="AF36" s="132">
        <f>SUMPRODUCT(--(TRIM([1]MATRICE!$D$5:$D$490)="MT LK SU")*([1]MATRICE!$G$5:$G$490="S")*([1]MATRICE!$I$5:$I$490="O")*([1]MATRICE!$P$5:$P$490="septembre"))</f>
        <v>0</v>
      </c>
      <c r="AG36" s="132">
        <f>SUMPRODUCT(--(TRIM([1]MATRICE!$D$5:$D$490)="MT LK SU")*([1]MATRICE!$G$5:$G$490="S")*([1]MATRICE!$I$5:$I$490="O")*([1]MATRICE!$P$5:$P$490="janvier"))</f>
        <v>0</v>
      </c>
      <c r="AH36" s="132">
        <f>SUMPRODUCT(--(TRIM([1]MATRICE!$D$5:$D$490)="MT LK SU")*([1]MATRICE!$G$5:$G$490="S")*([1]MATRICE!$I$5:$I$490="O")*([1]MATRICE!$P$5:$P$490="janvier"))</f>
        <v>0</v>
      </c>
      <c r="AI36" s="133">
        <f>SUMPRODUCT(--(TRIM([1]MATRICE!$D$5:$D$490)="MT LK SU")*([1]MATRICE!$G$5:$G$490="S")*([1]MATRICE!$I$5:$I$490="O")*([1]MATRICE!$P$5:$P$490="janvier"))</f>
        <v>0</v>
      </c>
      <c r="AJ36" s="134">
        <f>SUM(X36:AI36)</f>
        <v>0</v>
      </c>
      <c r="AK36" s="54"/>
      <c r="AL36" s="54"/>
      <c r="AM36" s="54"/>
      <c r="AN36" s="54"/>
      <c r="AO36" s="54"/>
      <c r="AP36" s="54"/>
    </row>
    <row r="37" spans="1:42" ht="17.25" x14ac:dyDescent="0.3">
      <c r="A37" s="54"/>
      <c r="B37" s="166" t="s">
        <v>891</v>
      </c>
      <c r="C37" s="112">
        <f>SUMPRODUCT(--(TRIM('[1]AT GLOBAL DEA'!$I$3:$I$1490)="NCEKI")*('[1]AT GLOBAL DEA'!$L$3:$L$1490="O")*('[1]AT GLOBAL DEA'!$K$3:$K$1490="S"))</f>
        <v>2</v>
      </c>
      <c r="D37" s="113">
        <f>SUMPRODUCT(--(TRIM('[1]AT GLOBAL DEA'!$I$3:$I$1490)="NCEKI")*('[1]AT GLOBAL DEA'!$M$3:$M$1490="N")*('[1]AT GLOBAL DEA'!$K$3:$K$1490="S"))</f>
        <v>3</v>
      </c>
      <c r="E37" s="114">
        <f>SUMPRODUCT(--(TRIM('[1]AT GLOBAL DEA'!$I$3:$I$1490)="NCEKI")*('[1]AT GLOBAL DEA'!$M$3:$M$1490="O")*('[1]AT GLOBAL DEA'!$K$3:$K$1490="S"))</f>
        <v>0</v>
      </c>
      <c r="F37" s="115">
        <f>SUMPRODUCT(--(TRIM('[1]AT GLOBAL DEA'!$I$3:$I$1490)="NCEKI")*('[1]AT GLOBAL DEA'!$L$3:$L$1490="O")*('[1]AT GLOBAL DEA'!$K$3:$K$1490="S")*('[1]AT GLOBAL DEA'!$N$3:$N$1490))</f>
        <v>175</v>
      </c>
      <c r="G37" s="116">
        <f>SUMPRODUCT(--(TRIM('[1]AT GLOBAL DEA'!$I$3:$I$1490)="NCEKI")*('[1]AT GLOBAL DEA'!$L$3:$L$1490="O")*('[1]AT GLOBAL DEA'!$K$3:$K$1490="T"))</f>
        <v>1</v>
      </c>
      <c r="H37" s="117">
        <f>SUMPRODUCT(--(TRIM('[1]AT GLOBAL DEA'!$I$3:$I$1490)="NCEKI")*('[1]AT GLOBAL DEA'!$L$3:$L$1490="N")*('[1]AT GLOBAL DEA'!$K$3:$K$1490="T"))</f>
        <v>1</v>
      </c>
      <c r="I37" s="118">
        <f>SUMPRODUCT(--(TRIM('[1]AT GLOBAL DEA'!$I$3:$I$1490)="NCEKI")*('[1]AT GLOBAL DEA'!$L$3:$L$1490="O")*('[1]AT GLOBAL DEA'!$K$3:$K$1490="T")*('[1]AT GLOBAL DEA'!$N$3:$N$1490))</f>
        <v>38</v>
      </c>
      <c r="J37" s="170"/>
      <c r="K37" s="164" t="s">
        <v>354</v>
      </c>
      <c r="L37" s="120">
        <f>SUMPRODUCT(--(TRIM([1]MATRICE!$D$5:$D$490)="NCEKI")*([1]MATRICE!$F$5:$F$490="Moins de 20 ans")*([1]MATRICE!$G$5:$G$490="S")*([1]MATRICE!$I$5:$I$490="O"))</f>
        <v>0</v>
      </c>
      <c r="M37" s="121">
        <f>SUMPRODUCT(--(TRIM([1]MATRICE!$D$5:$D$490)="NCEKI")*([1]MATRICE!$F$5:$F$490="20 à 24 ans")*([1]MATRICE!$G$5:$G$490="S")*([1]MATRICE!$I$5:$I$490="O"))</f>
        <v>0</v>
      </c>
      <c r="N37" s="121">
        <f>SUMPRODUCT(--(TRIM([1]MATRICE!$D$5:$D$490)="NCEKI")*([1]MATRICE!$F$5:$F$490="25 à 29 ans")*([1]MATRICE!$G$5:$G$490="S")*([1]MATRICE!$I$5:$I$490="O"))</f>
        <v>0</v>
      </c>
      <c r="O37" s="165">
        <f>SUMPRODUCT(--(TRIM([1]MATRICE!$D$5:$D$490)="NCEKI")*([1]MATRICE!$F$5:$F$490="30 à 34 ans")*([1]MATRICE!$G$5:$G$490="S")*([1]MATRICE!$I$5:$I$490="O"))</f>
        <v>0</v>
      </c>
      <c r="P37" s="121">
        <f>SUMPRODUCT(--(TRIM([1]MATRICE!$D$5:$D$490)="NCEKI")*([1]MATRICE!$F$5:$F$490="35 à 39 ans")*([1]MATRICE!$G$5:$G$490="S")*([1]MATRICE!$I$5:$I$490="O"))</f>
        <v>0</v>
      </c>
      <c r="Q37" s="121">
        <f>SUMPRODUCT(--(TRIM([1]MATRICE!$D$5:$D$490)="NCEKI")*([1]MATRICE!$F$5:$F$490="40 à 44 ans")*([1]MATRICE!$G$5:$G$490="S")*([1]MATRICE!$I$5:$I$490="O"))</f>
        <v>0</v>
      </c>
      <c r="R37" s="121">
        <f>SUMPRODUCT(--(TRIM([1]MATRICE!$D$5:$D$490)="NCEKI")*([1]MATRICE!$F$5:$F$490="45 à 49 ans")*([1]MATRICE!$G$5:$G$490="S")*([1]MATRICE!$I$5:$I$490="O"))</f>
        <v>1</v>
      </c>
      <c r="S37" s="121">
        <f>SUMPRODUCT(--(TRIM([1]MATRICE!$D$5:$D$490)="NCEKI")*([1]MATRICE!$F$5:$F$490="50 à 54 ans")*([1]MATRICE!$G$5:$G$490="S")*([1]MATRICE!$I$5:$I$490="O"))</f>
        <v>0</v>
      </c>
      <c r="T37" s="121">
        <f>SUMPRODUCT(--(TRIM([1]MATRICE!$D$5:$D$490)="NCEKI")*([1]MATRICE!$F$5:$F$490="55 à 59 ans")*([1]MATRICE!$G$5:$G$490="S")*([1]MATRICE!$I$5:$I$490="O"))</f>
        <v>1</v>
      </c>
      <c r="U37" s="121">
        <f>SUMPRODUCT(--(TRIM([1]MATRICE!$D$5:$D$490)="NCEKI")*([1]MATRICE!$F$5:$F$490="60 ans et +")*([1]MATRICE!$G$5:$G$490="S")*([1]MATRICE!$I$5:$I$490="O"))</f>
        <v>0</v>
      </c>
      <c r="V37" s="122">
        <f>SUM(L37:U37)</f>
        <v>2</v>
      </c>
      <c r="W37" s="77"/>
      <c r="X37" s="123">
        <f>SUMPRODUCT(--(TRIM([1]MATRICE!$D$5:$D$490)="NCEKI")*([1]MATRICE!$G$5:$G$490="S")*([1]MATRICE!$I$5:$I$490="O")*([1]MATRICE!$P$5:$P$490="janvier"))</f>
        <v>0</v>
      </c>
      <c r="Y37" s="124">
        <f>SUMPRODUCT(--(TRIM([1]MATRICE!$D$5:$D$490)="NCEKI")*([1]MATRICE!$G$5:$G$490="S")*([1]MATRICE!$I$5:$I$490="O")*([1]MATRICE!$P$5:$P$490="février"))</f>
        <v>0</v>
      </c>
      <c r="Z37" s="124">
        <f>SUMPRODUCT(--(TRIM([1]MATRICE!$D$5:$D$490)="NCEKI")*([1]MATRICE!$G$5:$G$490="S")*([1]MATRICE!$I$5:$I$490="O")*([1]MATRICE!$P$5:$P$490="mars"))</f>
        <v>1</v>
      </c>
      <c r="AA37" s="124">
        <f>SUMPRODUCT(--(TRIM([1]MATRICE!$D$5:$D$490)="NCEKI")*([1]MATRICE!$G$5:$G$490="S")*([1]MATRICE!$I$5:$I$490="O")*([1]MATRICE!$P$5:$P$490="avril"))</f>
        <v>0</v>
      </c>
      <c r="AB37" s="124">
        <f>SUMPRODUCT(--(TRIM([1]MATRICE!$D$5:$D$490)="NCEKI")*([1]MATRICE!$G$5:$G$490="S")*([1]MATRICE!$I$5:$I$490="O")*([1]MATRICE!$P$5:$P$490="mai"))</f>
        <v>0</v>
      </c>
      <c r="AC37" s="124">
        <f>SUMPRODUCT(--(TRIM([1]MATRICE!$D$5:$D$490)="NCEKI")*([1]MATRICE!$G$5:$G$490="S")*([1]MATRICE!$I$5:$I$490="O")*([1]MATRICE!$P$5:$P$490="juin"))</f>
        <v>0</v>
      </c>
      <c r="AD37" s="124">
        <f>SUMPRODUCT(--(TRIM([1]MATRICE!$D$5:$D$490)="NCEKI")*([1]MATRICE!$G$5:$G$490="S")*([1]MATRICE!$I$5:$I$490="O")*([1]MATRICE!$P$5:$P$490="juillet"))</f>
        <v>0</v>
      </c>
      <c r="AE37" s="124">
        <f>SUMPRODUCT(--(TRIM([1]MATRICE!$D$5:$D$490)="NCEKI")*([1]MATRICE!$G$5:$G$490="S")*([1]MATRICE!$I$5:$I$490="O")*([1]MATRICE!$P$5:$P$490="août"))</f>
        <v>0</v>
      </c>
      <c r="AF37" s="124">
        <f>SUMPRODUCT(--(TRIM([1]MATRICE!$D$5:$D$490)="NCEKI")*([1]MATRICE!$G$5:$G$490="S")*([1]MATRICE!$I$5:$I$490="O")*([1]MATRICE!$P$5:$P$490="septembre"))</f>
        <v>1</v>
      </c>
      <c r="AG37" s="124">
        <f>SUMPRODUCT(--(TRIM([1]MATRICE!$D$5:$D$490)="NCEKI")*([1]MATRICE!$G$5:$G$490="S")*([1]MATRICE!$I$5:$I$490="O")*([1]MATRICE!$P$5:$P$490="octobre"))</f>
        <v>0</v>
      </c>
      <c r="AH37" s="124">
        <f>SUMPRODUCT(--(TRIM([1]MATRICE!$D$5:$D$490)="NCEKI")*([1]MATRICE!$G$5:$G$490="S")*([1]MATRICE!$I$5:$I$490="O")*([1]MATRICE!$P$5:$P$490="novembre"))</f>
        <v>0</v>
      </c>
      <c r="AI37" s="125">
        <f>SUMPRODUCT(--(TRIM([1]MATRICE!$D$5:$D$490)="NCEKI")*([1]MATRICE!$G$5:$G$490="S")*([1]MATRICE!$I$5:$I$490="O")*([1]MATRICE!$P$5:$P$490="décembre"))</f>
        <v>0</v>
      </c>
      <c r="AJ37" s="180">
        <f>SUM(X37:AI37)</f>
        <v>2</v>
      </c>
      <c r="AK37" s="54"/>
      <c r="AL37" s="54"/>
      <c r="AM37" s="54"/>
      <c r="AN37" s="54"/>
      <c r="AO37" s="54"/>
      <c r="AP37" s="54"/>
    </row>
    <row r="38" spans="1:42" ht="18" thickBot="1" x14ac:dyDescent="0.35">
      <c r="A38" s="54"/>
      <c r="B38" s="181" t="s">
        <v>892</v>
      </c>
      <c r="C38" s="136">
        <f>SUMPRODUCT(--(TRIM('[1]AT GLOBAL DEA'!$I$3:$I$1490)="TLSKI")*('[1]AT GLOBAL DEA'!$L$3:$L$1490="O")*('[1]AT GLOBAL DEA'!$K$3:$K$1490="S"))</f>
        <v>0</v>
      </c>
      <c r="D38" s="137">
        <f>SUMPRODUCT(--(TRIM('[1]AT GLOBAL DEA'!$I$3:$I$1490)="TLSKI")*('[1]AT GLOBAL DEA'!$M$3:$M$1490="N")*('[1]AT GLOBAL DEA'!$K$3:$K$1490="S"))</f>
        <v>0</v>
      </c>
      <c r="E38" s="138">
        <f>SUMPRODUCT(--(TRIM('[1]AT GLOBAL DEA'!$I$3:$I$1490)="TLSKI")*('[1]AT GLOBAL DEA'!$M$3:$M$1490="O")*('[1]AT GLOBAL DEA'!$K$3:$K$1490="S"))</f>
        <v>0</v>
      </c>
      <c r="F38" s="139">
        <f>SUMPRODUCT(--(TRIM('[1]AT GLOBAL DEA'!$I$3:$I$1490)="TLSKI")*('[1]AT GLOBAL DEA'!$L$3:$L$1490="O")*('[1]AT GLOBAL DEA'!$K$3:$K$1490="S")*('[1]AT GLOBAL DEA'!$N$3:$N$1490))</f>
        <v>0</v>
      </c>
      <c r="G38" s="140">
        <f>SUMPRODUCT(--(TRIM('[1]AT GLOBAL DEA'!$I$3:$I$1490)="TLSKI")*('[1]AT GLOBAL DEA'!$L$3:$L$1490="O")*('[1]AT GLOBAL DEA'!$K$3:$K$1490="T"))</f>
        <v>0</v>
      </c>
      <c r="H38" s="141">
        <f>SUMPRODUCT(--(TRIM('[1]AT GLOBAL DEA'!$I$3:$I$1490)="TLSKI")*('[1]AT GLOBAL DEA'!$L$3:$L$1490="N")*('[1]AT GLOBAL DEA'!$K$3:$K$1490="T"))</f>
        <v>0</v>
      </c>
      <c r="I38" s="142">
        <f>SUMPRODUCT(--(TRIM('[1]AT GLOBAL DEA'!$I$3:$I$1490)="TLSKI")*('[1]AT GLOBAL DEA'!$L$3:$L$1490="O")*('[1]AT GLOBAL DEA'!$K$3:$K$1490="T")*('[1]AT GLOBAL DEA'!$N$3:$N$1490))</f>
        <v>0</v>
      </c>
      <c r="J38" s="170"/>
      <c r="K38" s="182" t="s">
        <v>892</v>
      </c>
      <c r="L38" s="183"/>
      <c r="M38" s="184"/>
      <c r="N38" s="184"/>
      <c r="O38" s="184"/>
      <c r="P38" s="184"/>
      <c r="Q38" s="184"/>
      <c r="R38" s="184"/>
      <c r="S38" s="184"/>
      <c r="T38" s="184"/>
      <c r="U38" s="184"/>
      <c r="V38" s="185"/>
      <c r="W38" s="77"/>
      <c r="X38" s="186">
        <f>SUMPRODUCT(--(TRIM([1]MATRICE!$D$5:$D$490)="TLSKI")*([1]MATRICE!$G$5:$G$490="S")*([1]MATRICE!$I$5:$I$490="O")*([1]MATRICE!$P$5:$P$490="janvier"))</f>
        <v>0</v>
      </c>
      <c r="Y38" s="187">
        <f>SUMPRODUCT(--(TRIM([1]MATRICE!$D$5:$D$490)="TLSKI")*([1]MATRICE!$G$5:$G$490="S")*([1]MATRICE!$I$5:$I$490="O")*([1]MATRICE!$P$5:$P$490="février"))</f>
        <v>0</v>
      </c>
      <c r="Z38" s="187">
        <f>SUMPRODUCT(--(TRIM([1]MATRICE!$D$5:$D$490)="TLSKI")*([1]MATRICE!$G$5:$G$490="S")*([1]MATRICE!$I$5:$I$490="O")*([1]MATRICE!$P$5:$P$490="mars"))</f>
        <v>0</v>
      </c>
      <c r="AA38" s="187">
        <f>SUMPRODUCT(--(TRIM([1]MATRICE!$D$5:$D$490)="TLSKI")*([1]MATRICE!$G$5:$G$490="S")*([1]MATRICE!$I$5:$I$490="O")*([1]MATRICE!$P$5:$P$490="avril"))</f>
        <v>0</v>
      </c>
      <c r="AB38" s="187">
        <f>SUMPRODUCT(--(TRIM([1]MATRICE!$D$5:$D$490)="TLSKI")*([1]MATRICE!$G$5:$G$490="S")*([1]MATRICE!$I$5:$I$490="O")*([1]MATRICE!$P$5:$P$490="mai"))</f>
        <v>0</v>
      </c>
      <c r="AC38" s="187">
        <f>SUMPRODUCT(--(TRIM([1]MATRICE!$D$5:$D$490)="TLSKI")*([1]MATRICE!$G$5:$G$490="S")*([1]MATRICE!$I$5:$I$490="O")*([1]MATRICE!$P$5:$P$490="juin"))</f>
        <v>0</v>
      </c>
      <c r="AD38" s="187">
        <f>SUMPRODUCT(--(TRIM([1]MATRICE!$D$5:$D$490)="TLSKI")*([1]MATRICE!$G$5:$G$490="S")*([1]MATRICE!$I$5:$I$490="O")*([1]MATRICE!$P$5:$P$490="juillet"))</f>
        <v>0</v>
      </c>
      <c r="AE38" s="187">
        <f>SUMPRODUCT(--(TRIM([1]MATRICE!$D$5:$D$490)="TLSKI")*([1]MATRICE!$G$5:$G$490="S")*([1]MATRICE!$I$5:$I$490="O")*([1]MATRICE!$P$5:$P$490="août"))</f>
        <v>0</v>
      </c>
      <c r="AF38" s="187">
        <f>SUMPRODUCT(--(TRIM([1]MATRICE!$D$5:$D$490)="TLSKI")*([1]MATRICE!$G$5:$G$490="S")*([1]MATRICE!$I$5:$I$490="O")*([1]MATRICE!$P$5:$P$490="septembre"))</f>
        <v>0</v>
      </c>
      <c r="AG38" s="187">
        <f>SUMPRODUCT(--(TRIM([1]MATRICE!$D$5:$D$490)="TLSKI")*([1]MATRICE!$G$5:$G$490="S")*([1]MATRICE!$I$5:$I$490="O")*([1]MATRICE!$P$5:$P$490="octobre"))</f>
        <v>0</v>
      </c>
      <c r="AH38" s="187">
        <f>SUMPRODUCT(--(TRIM([1]MATRICE!$D$5:$D$490)="TLSKI")*([1]MATRICE!$G$5:$G$490="S")*([1]MATRICE!$I$5:$I$490="O")*([1]MATRICE!$P$5:$P$490="novembre"))</f>
        <v>0</v>
      </c>
      <c r="AI38" s="188">
        <f>SUMPRODUCT(--(TRIM([1]MATRICE!$D$5:$D$490)="TLSKI")*([1]MATRICE!$G$5:$G$490="S")*([1]MATRICE!$I$5:$I$490="O")*([1]MATRICE!$P$5:$P$490="décembre"))</f>
        <v>0</v>
      </c>
      <c r="AJ38" s="189">
        <f t="shared" ref="AJ38" si="12">SUM(X38:AI38)</f>
        <v>0</v>
      </c>
      <c r="AK38" s="54"/>
      <c r="AL38" s="54"/>
      <c r="AM38" s="54"/>
      <c r="AN38" s="54"/>
      <c r="AO38" s="54"/>
      <c r="AP38" s="54"/>
    </row>
    <row r="39" spans="1:42" ht="18" thickBot="1" x14ac:dyDescent="0.35">
      <c r="A39" s="54"/>
      <c r="B39" s="151"/>
      <c r="C39" s="179"/>
      <c r="D39" s="155"/>
      <c r="E39" s="155"/>
      <c r="F39" s="190"/>
      <c r="G39" s="155"/>
      <c r="H39" s="155"/>
      <c r="I39" s="191"/>
      <c r="J39" s="66"/>
      <c r="K39" s="157"/>
      <c r="L39" s="158"/>
      <c r="M39" s="158"/>
      <c r="N39" s="158"/>
      <c r="O39" s="158"/>
      <c r="P39" s="158"/>
      <c r="Q39" s="158"/>
      <c r="R39" s="158"/>
      <c r="S39" s="158"/>
      <c r="T39" s="158"/>
      <c r="U39" s="158"/>
      <c r="V39" s="159"/>
      <c r="W39" s="77"/>
      <c r="X39" s="160"/>
      <c r="Y39" s="163"/>
      <c r="Z39" s="160"/>
      <c r="AA39" s="163"/>
      <c r="AB39" s="160"/>
      <c r="AC39" s="163"/>
      <c r="AD39" s="160"/>
      <c r="AE39" s="163"/>
      <c r="AF39" s="160"/>
      <c r="AG39" s="163"/>
      <c r="AH39" s="160"/>
      <c r="AI39" s="163"/>
      <c r="AJ39" s="92"/>
      <c r="AK39" s="54"/>
      <c r="AL39" s="54"/>
      <c r="AM39" s="54"/>
      <c r="AN39" s="54"/>
      <c r="AO39" s="54"/>
      <c r="AP39" s="54"/>
    </row>
    <row r="40" spans="1:42" ht="17.25" customHeight="1" x14ac:dyDescent="0.3">
      <c r="A40" s="54"/>
      <c r="B40" s="93" t="s">
        <v>861</v>
      </c>
      <c r="C40" s="94">
        <f>SUM(C41:C49)</f>
        <v>1</v>
      </c>
      <c r="D40" s="95">
        <f>SUM(D41:D49)</f>
        <v>2</v>
      </c>
      <c r="E40" s="96">
        <f>SUM(E41:E49)</f>
        <v>0</v>
      </c>
      <c r="F40" s="192"/>
      <c r="G40" s="99">
        <f>SUM(G41:G49)</f>
        <v>0</v>
      </c>
      <c r="H40" s="99"/>
      <c r="I40" s="193"/>
      <c r="J40" s="170"/>
      <c r="K40" s="93" t="s">
        <v>861</v>
      </c>
      <c r="L40" s="103"/>
      <c r="M40" s="104"/>
      <c r="N40" s="104"/>
      <c r="O40" s="104"/>
      <c r="P40" s="104"/>
      <c r="Q40" s="104"/>
      <c r="R40" s="104"/>
      <c r="S40" s="104"/>
      <c r="T40" s="104"/>
      <c r="U40" s="104"/>
      <c r="V40" s="105"/>
      <c r="W40" s="77"/>
      <c r="X40" s="106"/>
      <c r="Y40" s="107"/>
      <c r="Z40" s="107"/>
      <c r="AA40" s="107"/>
      <c r="AB40" s="107"/>
      <c r="AC40" s="107"/>
      <c r="AD40" s="107"/>
      <c r="AE40" s="107"/>
      <c r="AF40" s="107"/>
      <c r="AG40" s="107"/>
      <c r="AH40" s="107"/>
      <c r="AI40" s="108"/>
      <c r="AJ40" s="194"/>
      <c r="AK40" s="54"/>
      <c r="AL40" s="54"/>
      <c r="AM40" s="54"/>
      <c r="AN40" s="54"/>
      <c r="AO40" s="54"/>
      <c r="AP40" s="54"/>
    </row>
    <row r="41" spans="1:42" ht="17.25" x14ac:dyDescent="0.3">
      <c r="A41" s="54"/>
      <c r="B41" s="127" t="s">
        <v>893</v>
      </c>
      <c r="C41" s="112">
        <f>SUMPRODUCT(--(TRIM('[1]AT GLOBAL DEA'!$I$3:$I$1490)="MT IA AV")*('[1]AT GLOBAL DEA'!$L$3:$L$1490="O")*('[1]AT GLOBAL DEA'!$K$3:$K$1490="S"))</f>
        <v>0</v>
      </c>
      <c r="D41" s="113">
        <f>SUMPRODUCT(--(TRIM('[1]AT GLOBAL DEA'!$I$3:$I$1490)="MT IA AV")*('[1]AT GLOBAL DEA'!$M$3:$M$1490="N")*('[1]AT GLOBAL DEA'!$K$3:$K$1490="S"))</f>
        <v>0</v>
      </c>
      <c r="E41" s="114"/>
      <c r="F41" s="195"/>
      <c r="G41" s="117"/>
      <c r="H41" s="117"/>
      <c r="I41" s="196"/>
      <c r="J41" s="170"/>
      <c r="K41" s="164" t="s">
        <v>893</v>
      </c>
      <c r="L41" s="120"/>
      <c r="M41" s="121"/>
      <c r="N41" s="121"/>
      <c r="O41" s="121"/>
      <c r="P41" s="121"/>
      <c r="Q41" s="121"/>
      <c r="R41" s="121"/>
      <c r="S41" s="121"/>
      <c r="T41" s="121"/>
      <c r="U41" s="121"/>
      <c r="V41" s="122"/>
      <c r="W41" s="77"/>
      <c r="X41" s="123"/>
      <c r="Y41" s="124"/>
      <c r="Z41" s="124"/>
      <c r="AA41" s="124"/>
      <c r="AB41" s="124"/>
      <c r="AC41" s="124"/>
      <c r="AD41" s="124"/>
      <c r="AE41" s="124"/>
      <c r="AF41" s="124"/>
      <c r="AG41" s="124"/>
      <c r="AH41" s="124"/>
      <c r="AI41" s="125"/>
      <c r="AJ41" s="126"/>
      <c r="AK41" s="54"/>
      <c r="AL41" s="54"/>
      <c r="AM41" s="54"/>
      <c r="AN41" s="54"/>
      <c r="AO41" s="54"/>
      <c r="AP41" s="54"/>
    </row>
    <row r="42" spans="1:42" ht="17.25" x14ac:dyDescent="0.3">
      <c r="A42" s="54"/>
      <c r="B42" s="111" t="s">
        <v>894</v>
      </c>
      <c r="C42" s="112">
        <f>SUMPRODUCT(--(TRIM('[1]AT GLOBAL DEA'!$I$3:$I$1490)="MT IA ME")*('[1]AT GLOBAL DEA'!$L$3:$L$1490="O")*('[1]AT GLOBAL DEA'!$K$3:$K$1490="S"))</f>
        <v>0</v>
      </c>
      <c r="D42" s="113">
        <f>SUMPRODUCT(--(TRIM('[1]AT GLOBAL DEA'!$I$3:$I$1490)="MT IA ME")*('[1]AT GLOBAL DEA'!$M$3:$M$1490="N")*('[1]AT GLOBAL DEA'!$K$3:$K$1490="S"))</f>
        <v>0</v>
      </c>
      <c r="E42" s="114"/>
      <c r="F42" s="195"/>
      <c r="G42" s="117"/>
      <c r="H42" s="117"/>
      <c r="I42" s="196"/>
      <c r="J42" s="170"/>
      <c r="K42" s="166" t="s">
        <v>894</v>
      </c>
      <c r="L42" s="128"/>
      <c r="M42" s="129"/>
      <c r="N42" s="129"/>
      <c r="O42" s="129"/>
      <c r="P42" s="129"/>
      <c r="Q42" s="129"/>
      <c r="R42" s="129"/>
      <c r="S42" s="129"/>
      <c r="T42" s="129"/>
      <c r="U42" s="129"/>
      <c r="V42" s="130"/>
      <c r="W42" s="77"/>
      <c r="X42" s="131"/>
      <c r="Y42" s="132"/>
      <c r="Z42" s="132"/>
      <c r="AA42" s="132"/>
      <c r="AB42" s="132"/>
      <c r="AC42" s="132"/>
      <c r="AD42" s="132"/>
      <c r="AE42" s="132"/>
      <c r="AF42" s="132"/>
      <c r="AG42" s="132"/>
      <c r="AH42" s="132"/>
      <c r="AI42" s="133"/>
      <c r="AJ42" s="134"/>
      <c r="AK42" s="54"/>
      <c r="AL42" s="54"/>
      <c r="AM42" s="54"/>
      <c r="AN42" s="54"/>
      <c r="AO42" s="54"/>
      <c r="AP42" s="54"/>
    </row>
    <row r="43" spans="1:42" ht="17.25" x14ac:dyDescent="0.3">
      <c r="A43" s="54"/>
      <c r="B43" s="111" t="s">
        <v>895</v>
      </c>
      <c r="C43" s="112">
        <f>SUMPRODUCT(--(TRIM('[1]AT GLOBAL DEA'!$I$3:$I$1490)="MT IC AV")*('[1]AT GLOBAL DEA'!$L$3:$L$1490="O")*('[1]AT GLOBAL DEA'!$K$3:$K$1490="S"))</f>
        <v>0</v>
      </c>
      <c r="D43" s="113">
        <f>SUMPRODUCT(--(TRIM('[1]AT GLOBAL DEA'!$I$3:$I$1490)="MT IC AV")*('[1]AT GLOBAL DEA'!$M$3:$M$1490="N")*('[1]AT GLOBAL DEA'!$K$3:$K$1490="S"))</f>
        <v>0</v>
      </c>
      <c r="E43" s="114"/>
      <c r="F43" s="195"/>
      <c r="G43" s="117"/>
      <c r="H43" s="117"/>
      <c r="I43" s="196"/>
      <c r="J43" s="170"/>
      <c r="K43" s="164" t="s">
        <v>895</v>
      </c>
      <c r="L43" s="120"/>
      <c r="M43" s="121"/>
      <c r="N43" s="121"/>
      <c r="O43" s="121"/>
      <c r="P43" s="121"/>
      <c r="Q43" s="121"/>
      <c r="R43" s="121"/>
      <c r="S43" s="121"/>
      <c r="T43" s="121"/>
      <c r="U43" s="121"/>
      <c r="V43" s="122"/>
      <c r="W43" s="77"/>
      <c r="X43" s="123"/>
      <c r="Y43" s="124"/>
      <c r="Z43" s="124"/>
      <c r="AA43" s="124"/>
      <c r="AB43" s="124"/>
      <c r="AC43" s="124"/>
      <c r="AD43" s="124"/>
      <c r="AE43" s="124"/>
      <c r="AF43" s="124"/>
      <c r="AG43" s="124"/>
      <c r="AH43" s="124"/>
      <c r="AI43" s="125"/>
      <c r="AJ43" s="126"/>
      <c r="AK43" s="54"/>
      <c r="AL43" s="54"/>
      <c r="AM43" s="54"/>
      <c r="AN43" s="54"/>
      <c r="AO43" s="54"/>
      <c r="AP43" s="54"/>
    </row>
    <row r="44" spans="1:42" ht="17.25" x14ac:dyDescent="0.3">
      <c r="A44" s="54"/>
      <c r="B44" s="127" t="s">
        <v>896</v>
      </c>
      <c r="C44" s="112">
        <f>SUMPRODUCT(--(TRIM('[1]AT GLOBAL DEA'!$I$3:$I$1490)="MT QF RG")*('[1]AT GLOBAL DEA'!$L$3:$L$1490="O")*('[1]AT GLOBAL DEA'!$K$3:$K$1490="S"))</f>
        <v>0</v>
      </c>
      <c r="D44" s="113">
        <f>SUMPRODUCT(--(TRIM('[1]AT GLOBAL DEA'!$I$3:$I$1490)="MT QF RG")*('[1]AT GLOBAL DEA'!$M$3:$M$1490="N")*('[1]AT GLOBAL DEA'!$K$3:$K$1490="S"))</f>
        <v>0</v>
      </c>
      <c r="E44" s="114"/>
      <c r="F44" s="195"/>
      <c r="G44" s="117"/>
      <c r="H44" s="117"/>
      <c r="I44" s="196"/>
      <c r="J44" s="170"/>
      <c r="K44" s="171" t="s">
        <v>896</v>
      </c>
      <c r="L44" s="128"/>
      <c r="M44" s="129"/>
      <c r="N44" s="129"/>
      <c r="O44" s="129"/>
      <c r="P44" s="129"/>
      <c r="Q44" s="129"/>
      <c r="R44" s="129"/>
      <c r="S44" s="129"/>
      <c r="T44" s="129"/>
      <c r="U44" s="129"/>
      <c r="V44" s="130"/>
      <c r="W44" s="77"/>
      <c r="X44" s="131"/>
      <c r="Y44" s="132"/>
      <c r="Z44" s="132"/>
      <c r="AA44" s="132"/>
      <c r="AB44" s="132"/>
      <c r="AC44" s="132"/>
      <c r="AD44" s="132"/>
      <c r="AE44" s="132"/>
      <c r="AF44" s="132"/>
      <c r="AG44" s="132"/>
      <c r="AH44" s="132"/>
      <c r="AI44" s="133"/>
      <c r="AJ44" s="134"/>
      <c r="AK44" s="54"/>
      <c r="AL44" s="54"/>
      <c r="AM44" s="54"/>
      <c r="AN44" s="54"/>
      <c r="AO44" s="54"/>
      <c r="AP44" s="54"/>
    </row>
    <row r="45" spans="1:42" ht="17.25" x14ac:dyDescent="0.3">
      <c r="A45" s="54"/>
      <c r="B45" s="111" t="s">
        <v>897</v>
      </c>
      <c r="C45" s="112">
        <f>SUMPRODUCT(--(TRIM('[1]AT GLOBAL DEA'!$I$3:$I$1490)="MT QP")*('[1]AT GLOBAL DEA'!$L$3:$L$1490="O")*('[1]AT GLOBAL DEA'!$K$3:$K$1490="S"))</f>
        <v>0</v>
      </c>
      <c r="D45" s="113">
        <f>SUMPRODUCT(--(TRIM('[1]AT GLOBAL DEA'!$I$3:$I$1490)="MT QP")*('[1]AT GLOBAL DEA'!$M$3:$M$1490="N")*('[1]AT GLOBAL DEA'!$K$3:$K$1490="S"))</f>
        <v>1</v>
      </c>
      <c r="E45" s="114"/>
      <c r="F45" s="195"/>
      <c r="G45" s="117"/>
      <c r="H45" s="117"/>
      <c r="I45" s="196"/>
      <c r="J45" s="170"/>
      <c r="K45" s="164" t="s">
        <v>897</v>
      </c>
      <c r="L45" s="120"/>
      <c r="M45" s="121"/>
      <c r="N45" s="121"/>
      <c r="O45" s="121"/>
      <c r="P45" s="121"/>
      <c r="Q45" s="121"/>
      <c r="R45" s="121"/>
      <c r="S45" s="121"/>
      <c r="T45" s="121"/>
      <c r="U45" s="121"/>
      <c r="V45" s="122"/>
      <c r="W45" s="77"/>
      <c r="X45" s="123"/>
      <c r="Y45" s="124"/>
      <c r="Z45" s="124"/>
      <c r="AA45" s="124"/>
      <c r="AB45" s="124"/>
      <c r="AC45" s="124"/>
      <c r="AD45" s="124"/>
      <c r="AE45" s="124"/>
      <c r="AF45" s="124"/>
      <c r="AG45" s="124"/>
      <c r="AH45" s="124"/>
      <c r="AI45" s="125"/>
      <c r="AJ45" s="126"/>
      <c r="AK45" s="54"/>
      <c r="AL45" s="54"/>
      <c r="AM45" s="54"/>
      <c r="AN45" s="54"/>
      <c r="AO45" s="54"/>
      <c r="AP45" s="54"/>
    </row>
    <row r="46" spans="1:42" ht="17.25" x14ac:dyDescent="0.3">
      <c r="A46" s="54"/>
      <c r="B46" s="127" t="s">
        <v>898</v>
      </c>
      <c r="C46" s="112">
        <f>SUMPRODUCT(--(TRIM('[1]AT GLOBAL DEA'!$I$3:$I$1490)="MT QS FT")*('[1]AT GLOBAL DEA'!$L$3:$L$1490="O")*('[1]AT GLOBAL DEA'!$K$3:$K$1490="S"))</f>
        <v>0</v>
      </c>
      <c r="D46" s="113">
        <f>SUMPRODUCT(--(TRIM('[1]AT GLOBAL DEA'!$I$3:$I$1490)="MT QS FT")*('[1]AT GLOBAL DEA'!$M$3:$M$1490="N")*('[1]AT GLOBAL DEA'!$K$3:$K$1490="S"))</f>
        <v>0</v>
      </c>
      <c r="E46" s="114"/>
      <c r="F46" s="195"/>
      <c r="G46" s="117"/>
      <c r="H46" s="117"/>
      <c r="I46" s="196"/>
      <c r="J46" s="170"/>
      <c r="K46" s="171" t="s">
        <v>898</v>
      </c>
      <c r="L46" s="128"/>
      <c r="M46" s="129"/>
      <c r="N46" s="129"/>
      <c r="O46" s="129"/>
      <c r="P46" s="129"/>
      <c r="Q46" s="129"/>
      <c r="R46" s="129"/>
      <c r="S46" s="129"/>
      <c r="T46" s="129"/>
      <c r="U46" s="129"/>
      <c r="V46" s="130"/>
      <c r="W46" s="77"/>
      <c r="X46" s="131"/>
      <c r="Y46" s="132"/>
      <c r="Z46" s="132"/>
      <c r="AA46" s="132"/>
      <c r="AB46" s="132"/>
      <c r="AC46" s="132"/>
      <c r="AD46" s="132"/>
      <c r="AE46" s="132"/>
      <c r="AF46" s="132"/>
      <c r="AG46" s="132"/>
      <c r="AH46" s="132"/>
      <c r="AI46" s="133"/>
      <c r="AJ46" s="134"/>
      <c r="AK46" s="54"/>
      <c r="AL46" s="54"/>
      <c r="AM46" s="54"/>
      <c r="AN46" s="54"/>
      <c r="AO46" s="54"/>
      <c r="AP46" s="54"/>
    </row>
    <row r="47" spans="1:42" ht="17.25" x14ac:dyDescent="0.3">
      <c r="A47" s="54"/>
      <c r="B47" s="111" t="s">
        <v>899</v>
      </c>
      <c r="C47" s="112">
        <f>SUMPRODUCT(--(TRIM('[1]AT GLOBAL DEA'!$I$3:$I$1490)="MT QS OU")*('[1]AT GLOBAL DEA'!$L$3:$L$1490="O")*('[1]AT GLOBAL DEA'!$K$3:$K$1490="S"))</f>
        <v>0</v>
      </c>
      <c r="D47" s="113">
        <f>SUMPRODUCT(--(TRIM('[1]AT GLOBAL DEA'!$I$3:$I$1490)="MT QS OU")*('[1]AT GLOBAL DEA'!$M$3:$M$1490="N")*('[1]AT GLOBAL DEA'!$K$3:$K$1490="S"))</f>
        <v>0</v>
      </c>
      <c r="E47" s="114"/>
      <c r="F47" s="195"/>
      <c r="G47" s="117"/>
      <c r="H47" s="117"/>
      <c r="I47" s="196"/>
      <c r="J47" s="170"/>
      <c r="K47" s="164" t="s">
        <v>899</v>
      </c>
      <c r="L47" s="120"/>
      <c r="M47" s="121"/>
      <c r="N47" s="121"/>
      <c r="O47" s="121"/>
      <c r="P47" s="121"/>
      <c r="Q47" s="121"/>
      <c r="R47" s="121"/>
      <c r="S47" s="121"/>
      <c r="T47" s="121"/>
      <c r="U47" s="121"/>
      <c r="V47" s="122"/>
      <c r="W47" s="77"/>
      <c r="X47" s="123"/>
      <c r="Y47" s="124"/>
      <c r="Z47" s="124"/>
      <c r="AA47" s="124"/>
      <c r="AB47" s="124"/>
      <c r="AC47" s="124"/>
      <c r="AD47" s="124"/>
      <c r="AE47" s="124"/>
      <c r="AF47" s="124"/>
      <c r="AG47" s="124"/>
      <c r="AH47" s="124"/>
      <c r="AI47" s="125"/>
      <c r="AJ47" s="126"/>
      <c r="AK47" s="54"/>
      <c r="AL47" s="54"/>
      <c r="AM47" s="54"/>
      <c r="AN47" s="54"/>
      <c r="AO47" s="54"/>
      <c r="AP47" s="54"/>
    </row>
    <row r="48" spans="1:42" ht="17.25" x14ac:dyDescent="0.3">
      <c r="A48" s="54"/>
      <c r="B48" s="127" t="s">
        <v>900</v>
      </c>
      <c r="C48" s="112">
        <f>SUMPRODUCT(--(TRIM('[1]AT GLOBAL DEA'!$I$3:$I$1490)="MT QS UG")*('[1]AT GLOBAL DEA'!$L$3:$L$1490="O")*('[1]AT GLOBAL DEA'!$K$3:$K$1490="S"))</f>
        <v>1</v>
      </c>
      <c r="D48" s="113">
        <f>SUMPRODUCT(--(TRIM('[1]AT GLOBAL DEA'!$I$3:$I$1490)="MT QS UG")*('[1]AT GLOBAL DEA'!$M$3:$M$1490="N")*('[1]AT GLOBAL DEA'!$K$3:$K$1490="S"))</f>
        <v>1</v>
      </c>
      <c r="E48" s="114"/>
      <c r="F48" s="195"/>
      <c r="G48" s="117"/>
      <c r="H48" s="117"/>
      <c r="I48" s="196"/>
      <c r="J48" s="170"/>
      <c r="K48" s="171" t="s">
        <v>900</v>
      </c>
      <c r="L48" s="128"/>
      <c r="M48" s="129"/>
      <c r="N48" s="129"/>
      <c r="O48" s="129"/>
      <c r="P48" s="129"/>
      <c r="Q48" s="129"/>
      <c r="R48" s="129"/>
      <c r="S48" s="129"/>
      <c r="T48" s="129"/>
      <c r="U48" s="129"/>
      <c r="V48" s="130"/>
      <c r="W48" s="77"/>
      <c r="X48" s="131"/>
      <c r="Y48" s="132"/>
      <c r="Z48" s="132"/>
      <c r="AA48" s="132"/>
      <c r="AB48" s="132"/>
      <c r="AC48" s="132"/>
      <c r="AD48" s="132"/>
      <c r="AE48" s="132"/>
      <c r="AF48" s="132"/>
      <c r="AG48" s="132"/>
      <c r="AH48" s="132"/>
      <c r="AI48" s="133"/>
      <c r="AJ48" s="134"/>
      <c r="AK48" s="54"/>
      <c r="AL48" s="54"/>
      <c r="AM48" s="54"/>
      <c r="AN48" s="54"/>
      <c r="AO48" s="54"/>
      <c r="AP48" s="54"/>
    </row>
    <row r="49" spans="1:42" ht="18" thickBot="1" x14ac:dyDescent="0.35">
      <c r="A49" s="54"/>
      <c r="B49" s="181" t="s">
        <v>901</v>
      </c>
      <c r="C49" s="136">
        <f>SUMPRODUCT(--(TRIM('[1]AT GLOBAL DEA'!$I$3:$I$1490)="MT QX PP")*('[1]AT GLOBAL DEA'!$L$3:$L$1490="O")*('[1]AT GLOBAL DEA'!$K$3:$K$1490="S"))</f>
        <v>0</v>
      </c>
      <c r="D49" s="137">
        <f>SUMPRODUCT(--(TRIM('[1]AT GLOBAL DEA'!$I$3:$I$1490)="MT QX PP")*('[1]AT GLOBAL DEA'!$M$3:$M$1490="N")*('[1]AT GLOBAL DEA'!$K$3:$K$1490="S"))</f>
        <v>0</v>
      </c>
      <c r="E49" s="138"/>
      <c r="F49" s="197"/>
      <c r="G49" s="141"/>
      <c r="H49" s="141"/>
      <c r="I49" s="198"/>
      <c r="J49" s="170"/>
      <c r="K49" s="199" t="s">
        <v>901</v>
      </c>
      <c r="L49" s="144"/>
      <c r="M49" s="145"/>
      <c r="N49" s="145"/>
      <c r="O49" s="145"/>
      <c r="P49" s="145"/>
      <c r="Q49" s="145"/>
      <c r="R49" s="145"/>
      <c r="S49" s="145"/>
      <c r="T49" s="145"/>
      <c r="U49" s="145"/>
      <c r="V49" s="146"/>
      <c r="W49" s="77"/>
      <c r="X49" s="147"/>
      <c r="Y49" s="148"/>
      <c r="Z49" s="148"/>
      <c r="AA49" s="148"/>
      <c r="AB49" s="148"/>
      <c r="AC49" s="148"/>
      <c r="AD49" s="148"/>
      <c r="AE49" s="148"/>
      <c r="AF49" s="148"/>
      <c r="AG49" s="148"/>
      <c r="AH49" s="148"/>
      <c r="AI49" s="149"/>
      <c r="AJ49" s="150"/>
      <c r="AK49" s="54"/>
      <c r="AL49" s="54"/>
      <c r="AM49" s="54"/>
      <c r="AN49" s="54"/>
      <c r="AO49" s="54"/>
      <c r="AP49" s="54"/>
    </row>
    <row r="50" spans="1:42" ht="18" thickBot="1" x14ac:dyDescent="0.35">
      <c r="A50" s="54"/>
      <c r="J50" s="66"/>
      <c r="L50" s="200"/>
      <c r="M50" s="200"/>
      <c r="N50" s="200"/>
      <c r="O50" s="200"/>
      <c r="P50" s="200"/>
      <c r="Q50" s="200"/>
      <c r="R50" s="200"/>
      <c r="S50" s="200"/>
      <c r="T50" s="200"/>
      <c r="U50" s="200"/>
      <c r="V50" s="200"/>
      <c r="W50" s="77"/>
      <c r="X50" s="160"/>
      <c r="Y50" s="163"/>
      <c r="Z50" s="160"/>
      <c r="AA50" s="163"/>
      <c r="AB50" s="160"/>
      <c r="AC50" s="163"/>
      <c r="AD50" s="160"/>
      <c r="AE50" s="163"/>
      <c r="AF50" s="160"/>
      <c r="AG50" s="163"/>
      <c r="AH50" s="160"/>
      <c r="AI50" s="163"/>
      <c r="AJ50" s="92"/>
      <c r="AK50" s="54"/>
      <c r="AL50" s="54"/>
      <c r="AM50" s="54"/>
      <c r="AN50" s="54"/>
      <c r="AO50" s="54"/>
      <c r="AP50" s="54"/>
    </row>
    <row r="51" spans="1:42" ht="17.25" x14ac:dyDescent="0.3">
      <c r="A51" s="54"/>
      <c r="B51" s="93" t="s">
        <v>861</v>
      </c>
      <c r="C51" s="94">
        <f t="shared" ref="C51:I51" si="13">SUM(C52:C54)</f>
        <v>6</v>
      </c>
      <c r="D51" s="95">
        <f t="shared" si="13"/>
        <v>6</v>
      </c>
      <c r="E51" s="96">
        <f t="shared" si="13"/>
        <v>1</v>
      </c>
      <c r="F51" s="192">
        <f>SUM(F52:F54)</f>
        <v>154</v>
      </c>
      <c r="G51" s="99">
        <f t="shared" si="13"/>
        <v>2</v>
      </c>
      <c r="H51" s="99">
        <f t="shared" si="13"/>
        <v>1</v>
      </c>
      <c r="I51" s="193">
        <f t="shared" si="13"/>
        <v>21</v>
      </c>
      <c r="J51" s="101"/>
      <c r="K51" s="93" t="s">
        <v>861</v>
      </c>
      <c r="L51" s="103"/>
      <c r="M51" s="104"/>
      <c r="N51" s="104"/>
      <c r="O51" s="104"/>
      <c r="P51" s="104"/>
      <c r="Q51" s="104"/>
      <c r="R51" s="104"/>
      <c r="S51" s="104"/>
      <c r="T51" s="104"/>
      <c r="U51" s="104"/>
      <c r="V51" s="105"/>
      <c r="W51" s="91"/>
      <c r="X51" s="106">
        <f>SUM(X52:X54)</f>
        <v>0</v>
      </c>
      <c r="Y51" s="107">
        <f t="shared" ref="Y51:AI51" si="14">SUM(Y52:Y54)</f>
        <v>1</v>
      </c>
      <c r="Z51" s="107">
        <f t="shared" si="14"/>
        <v>0</v>
      </c>
      <c r="AA51" s="107">
        <f t="shared" si="14"/>
        <v>1</v>
      </c>
      <c r="AB51" s="107">
        <f t="shared" si="14"/>
        <v>1</v>
      </c>
      <c r="AC51" s="107">
        <f t="shared" si="14"/>
        <v>1</v>
      </c>
      <c r="AD51" s="107">
        <f t="shared" si="14"/>
        <v>0</v>
      </c>
      <c r="AE51" s="107">
        <f t="shared" si="14"/>
        <v>1</v>
      </c>
      <c r="AF51" s="107">
        <f t="shared" si="14"/>
        <v>0</v>
      </c>
      <c r="AG51" s="107">
        <f t="shared" si="14"/>
        <v>0</v>
      </c>
      <c r="AH51" s="107">
        <f t="shared" si="14"/>
        <v>0</v>
      </c>
      <c r="AI51" s="201">
        <f t="shared" si="14"/>
        <v>0</v>
      </c>
      <c r="AJ51" s="202">
        <f>SUM(AJ52:AJ54)</f>
        <v>5</v>
      </c>
      <c r="AK51" s="54"/>
      <c r="AL51" s="54"/>
      <c r="AM51" s="54"/>
      <c r="AN51" s="54"/>
      <c r="AO51" s="54"/>
      <c r="AP51" s="54"/>
    </row>
    <row r="52" spans="1:42" ht="17.25" x14ac:dyDescent="0.3">
      <c r="A52" s="54"/>
      <c r="B52" s="111" t="s">
        <v>902</v>
      </c>
      <c r="C52" s="112">
        <f>SUMPRODUCT(--(TRIM('[1]AT GLOBAL DEA'!$I$3:$I$1490)="MT YC AD")*('[1]AT GLOBAL DEA'!$L$3:$L$1490="O")*('[1]AT GLOBAL DEA'!$K$3:$K$1490="S"))</f>
        <v>0</v>
      </c>
      <c r="D52" s="113">
        <f>SUMPRODUCT(--(TRIM('[1]AT GLOBAL DEA'!$I$3:$I$1490)="MT YC AD")*('[1]AT GLOBAL DEA'!$L$3:$L$1490="N")*('[1]AT GLOBAL DEA'!$M$3:$M$1490="N")*('[1]AT GLOBAL DEA'!$K$3:$K$1490="S"))</f>
        <v>0</v>
      </c>
      <c r="E52" s="114">
        <f>SUMPRODUCT(--(TRIM('[1]AT GLOBAL DEA'!$I$3:$I$1490)="MT YC AD")*('[1]AT GLOBAL DEA'!$M$3:$M$1490="O")*('[1]AT GLOBAL DEA'!$K$3:$K$1490="S"))</f>
        <v>0</v>
      </c>
      <c r="F52" s="115">
        <f>SUMPRODUCT(--(TRIM('[1]AT GLOBAL DEA'!$I$3:$I$1490)="MT YC AD")*('[1]AT GLOBAL DEA'!$L$3:$L$1490="O")*('[1]AT GLOBAL DEA'!$K$3:$K$1490="S")*('[1]AT GLOBAL DEA'!$N$3:$N$1490))</f>
        <v>0</v>
      </c>
      <c r="G52" s="116">
        <f>SUMPRODUCT(--(TRIM('[1]AT GLOBAL DEA'!$I$3:$I$1490)="MT YC AD")*('[1]AT GLOBAL DEA'!$L$3:$L$1490="O")*('[1]AT GLOBAL DEA'!$K$3:$K$1490="T"))</f>
        <v>0</v>
      </c>
      <c r="H52" s="116">
        <f>SUMPRODUCT(--(TRIM('[1]AT GLOBAL DEA'!$I$3:$I$1490)="MT YC AD")*('[1]AT GLOBAL DEA'!$L$3:$L$1490="N")*('[1]AT GLOBAL DEA'!$K$3:$K$1490="T"))</f>
        <v>0</v>
      </c>
      <c r="I52" s="118">
        <f>SUMPRODUCT(--(TRIM('[1]AT GLOBAL DEA'!$I$3:$I$1490)="MT YC AD")*('[1]AT GLOBAL DEA'!$L$3:$L$1490="O")*('[1]AT GLOBAL DEA'!$K$3:$K$1490="T")*('[1]AT GLOBAL DEA'!$N$3:$N$1490))</f>
        <v>0</v>
      </c>
      <c r="J52" s="101"/>
      <c r="K52" s="164" t="s">
        <v>902</v>
      </c>
      <c r="L52" s="120"/>
      <c r="M52" s="121"/>
      <c r="N52" s="121"/>
      <c r="O52" s="121"/>
      <c r="P52" s="121"/>
      <c r="Q52" s="121"/>
      <c r="R52" s="121"/>
      <c r="S52" s="121"/>
      <c r="T52" s="121"/>
      <c r="U52" s="121"/>
      <c r="V52" s="122"/>
      <c r="W52" s="91"/>
      <c r="X52" s="123">
        <f>SUMPRODUCT(--(TRIM([1]MATRICE!$D$5:$D$490)="MT YC AD")*([1]MATRICE!$G$5:$G$490="S")*([1]MATRICE!$I$5:$I$490="O")*([1]MATRICE!$P$5:$P$490="janvier"))</f>
        <v>0</v>
      </c>
      <c r="Y52" s="124">
        <f>SUMPRODUCT(--(TRIM([1]MATRICE!$D$5:$D$490)="MT YC AD")*([1]MATRICE!$G$5:$G$490="S")*([1]MATRICE!$I$5:$I$490="O")*([1]MATRICE!$P$5:$P$490="février"))</f>
        <v>0</v>
      </c>
      <c r="Z52" s="124">
        <f>SUMPRODUCT(--(TRIM([1]MATRICE!$D$5:$D$490)="MT YC AD")*([1]MATRICE!$G$5:$G$490="S")*([1]MATRICE!$I$5:$I$490="O")*([1]MATRICE!$P$5:$P$490="mars"))</f>
        <v>0</v>
      </c>
      <c r="AA52" s="124">
        <f>SUMPRODUCT(--(TRIM([1]MATRICE!$D$5:$D$490)="MT YC AD")*([1]MATRICE!$G$5:$G$490="S")*([1]MATRICE!$I$5:$I$490="O")*([1]MATRICE!$P$5:$P$490="avril"))</f>
        <v>0</v>
      </c>
      <c r="AB52" s="124">
        <f>SUMPRODUCT(--(TRIM([1]MATRICE!$D$5:$D$490)="MT YC AD")*([1]MATRICE!$G$5:$G$490="S")*([1]MATRICE!$I$5:$I$490="O")*([1]MATRICE!$P$5:$P$490="mai"))</f>
        <v>0</v>
      </c>
      <c r="AC52" s="124">
        <f>SUMPRODUCT(--(TRIM([1]MATRICE!$D$5:$D$490)="MT YC AD")*([1]MATRICE!$G$5:$G$490="S")*([1]MATRICE!$I$5:$I$490="O")*([1]MATRICE!$P$5:$P$490="juin"))</f>
        <v>0</v>
      </c>
      <c r="AD52" s="124">
        <f>SUMPRODUCT(--(TRIM([1]MATRICE!$D$5:$D$490)="MT YC AD")*([1]MATRICE!$G$5:$G$490="S")*([1]MATRICE!$I$5:$I$490="O")*([1]MATRICE!$P$5:$P$490="juillet"))</f>
        <v>0</v>
      </c>
      <c r="AE52" s="124">
        <f>SUMPRODUCT(--(TRIM([1]MATRICE!$D$5:$D$490)="MT YC AD")*([1]MATRICE!$G$5:$G$490="S")*([1]MATRICE!$I$5:$I$490="O")*([1]MATRICE!$P$5:$P$490="août"))</f>
        <v>0</v>
      </c>
      <c r="AF52" s="124">
        <f>SUMPRODUCT(--(TRIM([1]MATRICE!$D$5:$D$490)="MT YC AD")*([1]MATRICE!$G$5:$G$490="S")*([1]MATRICE!$I$5:$I$490="O")*([1]MATRICE!$P$5:$P$490="septembre"))</f>
        <v>0</v>
      </c>
      <c r="AG52" s="124">
        <f>SUMPRODUCT(--(TRIM([1]MATRICE!$D$5:$D$490)="MT YC AD")*([1]MATRICE!$G$5:$G$490="S")*([1]MATRICE!$I$5:$I$490="O")*([1]MATRICE!$P$5:$P$490="mars"))</f>
        <v>0</v>
      </c>
      <c r="AH52" s="124">
        <f>SUMPRODUCT(--(TRIM([1]MATRICE!$D$5:$D$490)="MT YC AD")*([1]MATRICE!$G$5:$G$490="S")*([1]MATRICE!$I$5:$I$490="O")*([1]MATRICE!$P$5:$P$490="mars"))</f>
        <v>0</v>
      </c>
      <c r="AI52" s="125">
        <f>SUMPRODUCT(--(TRIM([1]MATRICE!$D$5:$D$490)="MT YC AD")*([1]MATRICE!$G$5:$G$490="S")*([1]MATRICE!$I$5:$I$490="O")*([1]MATRICE!$P$5:$P$490="mars"))</f>
        <v>0</v>
      </c>
      <c r="AJ52" s="126">
        <f>SUM(X52:AI52)</f>
        <v>0</v>
      </c>
      <c r="AK52" s="54"/>
      <c r="AL52" s="54"/>
      <c r="AM52" s="54"/>
      <c r="AN52" s="54"/>
      <c r="AO52" s="54"/>
      <c r="AP52" s="54"/>
    </row>
    <row r="53" spans="1:42" ht="17.25" x14ac:dyDescent="0.3">
      <c r="A53" s="54"/>
      <c r="B53" s="127" t="s">
        <v>903</v>
      </c>
      <c r="C53" s="112">
        <f>SUMPRODUCT(--(TRIM('[1]AT GLOBAL DEA'!$I$3:$I$1490)="MT YC PR")*('[1]AT GLOBAL DEA'!$L$3:$L$1490="O")*('[1]AT GLOBAL DEA'!$K$3:$K$1490="S"))</f>
        <v>6</v>
      </c>
      <c r="D53" s="113">
        <f>SUMPRODUCT(--(TRIM('[1]AT GLOBAL DEA'!$I$3:$I$1490)="MT YC PR")*('[1]AT GLOBAL DEA'!$L$3:$L$1490="N")*('[1]AT GLOBAL DEA'!$M$3:$M$1490="N")*('[1]AT GLOBAL DEA'!$K$3:$K$1490="S"))</f>
        <v>5</v>
      </c>
      <c r="E53" s="114">
        <f>SUMPRODUCT(--(TRIM('[1]AT GLOBAL DEA'!$I$3:$I$1490)="MT YC PR")*('[1]AT GLOBAL DEA'!$M$3:$M$1490="O")*('[1]AT GLOBAL DEA'!$K$3:$K$1490="S"))</f>
        <v>1</v>
      </c>
      <c r="F53" s="115">
        <f>SUMPRODUCT(--(TRIM('[1]AT GLOBAL DEA'!$I$3:$I$1490)="MT YC PR")*('[1]AT GLOBAL DEA'!$L$3:$L$1490="O")*('[1]AT GLOBAL DEA'!$K$3:$K$1490="S")*('[1]AT GLOBAL DEA'!$N$3:$N$1490))</f>
        <v>154</v>
      </c>
      <c r="G53" s="116">
        <f>SUMPRODUCT(--(TRIM('[1]AT GLOBAL DEA'!$I$3:$I$1490)="MT YC PR")*('[1]AT GLOBAL DEA'!$L$3:$L$1490="O")*('[1]AT GLOBAL DEA'!$K$3:$K$1490="T"))</f>
        <v>2</v>
      </c>
      <c r="H53" s="116">
        <f>SUMPRODUCT(--(TRIM('[1]AT GLOBAL DEA'!$I$3:$I$1490)="MT YC PR")*('[1]AT GLOBAL DEA'!$L$3:$L$1490="N")*('[1]AT GLOBAL DEA'!$K$3:$K$1490="T"))</f>
        <v>1</v>
      </c>
      <c r="I53" s="118">
        <f>SUMPRODUCT(--(TRIM('[1]AT GLOBAL DEA'!$I$3:$I$1490)="MT YC PR")*('[1]AT GLOBAL DEA'!$L$3:$L$1490="O")*('[1]AT GLOBAL DEA'!$K$3:$K$1490="T")*('[1]AT GLOBAL DEA'!$N$3:$N$1490))</f>
        <v>21</v>
      </c>
      <c r="J53" s="101"/>
      <c r="K53" s="171" t="s">
        <v>903</v>
      </c>
      <c r="L53" s="203">
        <f>SUMPRODUCT(--(TRIM([1]MATRICE!$D$5:$D$490)="MT YC PR")*([1]MATRICE!$F$5:$F$490="Moins de 20 ans")*([1]MATRICE!$G$5:$G$490="S")*([1]MATRICE!$I$5:$I$490="O"))</f>
        <v>0</v>
      </c>
      <c r="M53" s="204">
        <f>SUMPRODUCT(--(TRIM([1]MATRICE!$D$5:$D$490)="MT YC PR")*([1]MATRICE!$F$5:$F$490="20 à 24 ans")*([1]MATRICE!$G$5:$G$490="S")*([1]MATRICE!$I$5:$I$490="O"))</f>
        <v>0</v>
      </c>
      <c r="N53" s="204">
        <f>SUMPRODUCT(--(TRIM([1]MATRICE!$D$5:$D$490)="MT YC PR")*([1]MATRICE!$F$5:$F$490="25 à 29 ans")*([1]MATRICE!$G$5:$G$490="S")*([1]MATRICE!$I$5:$I$490="O"))</f>
        <v>0</v>
      </c>
      <c r="O53" s="204">
        <f>SUMPRODUCT(--(TRIM([1]MATRICE!$D$5:$D$490)="MT YC PR")*([1]MATRICE!$F$5:$F$490="30 à 34 ans")*([1]MATRICE!$G$5:$G$490="S")*([1]MATRICE!$I$5:$I$490="O"))</f>
        <v>0</v>
      </c>
      <c r="P53" s="204">
        <f>SUMPRODUCT(--(TRIM([1]MATRICE!$D$5:$D$490)="MT YC PR")*([1]MATRICE!$F$5:$F$490="35 à 39 ans")*([1]MATRICE!$G$5:$G$490="S")*([1]MATRICE!$I$5:$I$490="O"))</f>
        <v>0</v>
      </c>
      <c r="Q53" s="204">
        <f>SUMPRODUCT(--(TRIM([1]MATRICE!$D$5:$D$490)="MT YC PR")*([1]MATRICE!$F$5:$F$490="40 à 44 ans")*([1]MATRICE!$G$5:$G$490="S")*([1]MATRICE!$I$5:$I$490="O"))</f>
        <v>0</v>
      </c>
      <c r="R53" s="204">
        <f>SUMPRODUCT(--(TRIM([1]MATRICE!$D$5:$D$490)="MT YC PR")*([1]MATRICE!$F$5:$F$490="45 à 49 ans")*([1]MATRICE!$G$5:$G$490="S")*([1]MATRICE!$I$5:$I$490="O"))</f>
        <v>1</v>
      </c>
      <c r="S53" s="204">
        <f>SUMPRODUCT(--(TRIM([1]MATRICE!$D$5:$D$490)="MT YC PR")*([1]MATRICE!$F$5:$F$490="50 à 54 ans")*([1]MATRICE!$G$5:$G$490="S")*([1]MATRICE!$I$5:$I$490="O"))</f>
        <v>1</v>
      </c>
      <c r="T53" s="204">
        <f>SUMPRODUCT(--(TRIM([1]MATRICE!$D$5:$D$490)="MT YC PR")*([1]MATRICE!$F$5:$F$490="55 à 59 ans")*([1]MATRICE!$G$5:$G$490="S")*([1]MATRICE!$I$5:$I$490="O"))</f>
        <v>4</v>
      </c>
      <c r="U53" s="204">
        <f>SUMPRODUCT(--(TRIM([1]MATRICE!$D$5:$D$490)="MT YC PR")*([1]MATRICE!$F$5:$F$490="60 ans et +")*([1]MATRICE!$G$5:$G$490="S")*([1]MATRICE!$I$5:$I$490="O"))</f>
        <v>0</v>
      </c>
      <c r="V53" s="130">
        <f>SUM(L53:U53)</f>
        <v>6</v>
      </c>
      <c r="W53" s="91"/>
      <c r="X53" s="131">
        <f>SUMPRODUCT(--(TRIM([1]MATRICE!$D$5:$D$490)="MT YC PR")*([1]MATRICE!$G$5:$G$490="S")*([1]MATRICE!$I$5:$I$490="O")*([1]MATRICE!$P$5:$P$490="janvier"))</f>
        <v>0</v>
      </c>
      <c r="Y53" s="132">
        <f>SUMPRODUCT(--(TRIM([1]MATRICE!$D$5:$D$490)="MT YC PR")*([1]MATRICE!$G$5:$G$490="S")*([1]MATRICE!$I$5:$I$490="O")*([1]MATRICE!$P$5:$P$490="février")*([1]MATRICE!$AF$5:$AF$490="Classement")*([1]MATRICE!$AG$5:$AG$490="Classement"))</f>
        <v>1</v>
      </c>
      <c r="Z53" s="132">
        <f>SUMPRODUCT(--(TRIM([1]MATRICE!$D$5:$D$490)="MT YC PR")*([1]MATRICE!$G$5:$G$490="S")*([1]MATRICE!$I$5:$I$490="O")*([1]MATRICE!$P$5:$P$490="mars"))</f>
        <v>0</v>
      </c>
      <c r="AA53" s="132">
        <f>SUMPRODUCT(--(TRIM([1]MATRICE!$D$5:$D$490)="MT YC PR")*([1]MATRICE!$G$5:$G$490="S")*([1]MATRICE!$I$5:$I$490="O")*([1]MATRICE!$P$5:$P$490="avril"))</f>
        <v>1</v>
      </c>
      <c r="AB53" s="132">
        <f>SUMPRODUCT(--(TRIM([1]MATRICE!$D$5:$D$490)="MT YC PR")*([1]MATRICE!$G$5:$G$490="S")*([1]MATRICE!$I$5:$I$490="O")*([1]MATRICE!$P$5:$P$490="mai"))</f>
        <v>1</v>
      </c>
      <c r="AC53" s="132">
        <f>SUMPRODUCT(--(TRIM([1]MATRICE!$D$5:$D$490)="MT YC PR")*([1]MATRICE!$G$5:$G$490="S")*([1]MATRICE!$I$5:$I$490="O")*([1]MATRICE!$P$5:$P$490="juin"))</f>
        <v>1</v>
      </c>
      <c r="AD53" s="187">
        <f>SUMPRODUCT(--(TRIM([1]MATRICE!$D$5:$D$490)="MT YC PR")*([1]MATRICE!$G$5:$G$490="S")*([1]MATRICE!$I$5:$I$490="O")*([1]MATRICE!$P$5:$P$490="juillet"))</f>
        <v>0</v>
      </c>
      <c r="AE53" s="187">
        <f>SUMPRODUCT(--(TRIM([1]MATRICE!$D$5:$D$490)="MT YC PR")*([1]MATRICE!$G$5:$G$490="S")*([1]MATRICE!$I$5:$I$490="O")*([1]MATRICE!$P$5:$P$490="août"))</f>
        <v>1</v>
      </c>
      <c r="AF53" s="187">
        <f>SUMPRODUCT(--(TRIM([1]MATRICE!$D$5:$D$490)="MT YC PR")*([1]MATRICE!$G$5:$G$490="S")*([1]MATRICE!$I$5:$I$490="O")*([1]MATRICE!$P$5:$P$490="septembre"))</f>
        <v>0</v>
      </c>
      <c r="AG53" s="187">
        <f>SUMPRODUCT(--(TRIM([1]MATRICE!$D$5:$D$490)="MT YC PR")*([1]MATRICE!$G$5:$G$490="S")*([1]MATRICE!$I$5:$I$490="O")*([1]MATRICE!$P$5:$P$490="octobre"))</f>
        <v>0</v>
      </c>
      <c r="AH53" s="187">
        <f>SUMPRODUCT(--(TRIM([1]MATRICE!$D$5:$D$490)="MT YC PR")*([1]MATRICE!$G$5:$G$490="S")*([1]MATRICE!$I$5:$I$490="O")*([1]MATRICE!$P$5:$P$490="novembre"))</f>
        <v>0</v>
      </c>
      <c r="AI53" s="188">
        <f>SUMPRODUCT(--(TRIM([1]MATRICE!$D$5:$D$490)="MT YC PR")*([1]MATRICE!$G$5:$G$490="S")*([1]MATRICE!$I$5:$I$490="O")*([1]MATRICE!$P$5:$P$490="décembre"))</f>
        <v>0</v>
      </c>
      <c r="AJ53" s="134">
        <f>SUM(X53:AI53)</f>
        <v>5</v>
      </c>
      <c r="AK53" s="54"/>
      <c r="AL53" s="54"/>
      <c r="AM53" s="54"/>
      <c r="AN53" s="54"/>
      <c r="AO53" s="54"/>
      <c r="AP53" s="54"/>
    </row>
    <row r="54" spans="1:42" ht="18" thickBot="1" x14ac:dyDescent="0.35">
      <c r="A54" s="54"/>
      <c r="B54" s="181" t="s">
        <v>904</v>
      </c>
      <c r="C54" s="136">
        <f>SUMPRODUCT(--(TRIM('[1]AT GLOBAL DEA'!$I$3:$I$1490)="MT YC SU")*('[1]AT GLOBAL DEA'!$L$3:$L$1490="O")*('[1]AT GLOBAL DEA'!$K$3:$K$1490="S"))</f>
        <v>0</v>
      </c>
      <c r="D54" s="137">
        <f>SUMPRODUCT(--(TRIM('[1]AT GLOBAL DEA'!$I$3:$I$1490)="MT YC SU")*('[1]AT GLOBAL DEA'!$L$3:$L$1490="N")*('[1]AT GLOBAL DEA'!$M$3:$M$1490="N")*('[1]AT GLOBAL DEA'!$K$3:$K$1490="S"))</f>
        <v>1</v>
      </c>
      <c r="E54" s="138">
        <f>SUMPRODUCT(--(TRIM('[1]AT GLOBAL DEA'!$I$3:$I$1490)="MT YC SU")*('[1]AT GLOBAL DEA'!$M$3:$M$1490="O")*('[1]AT GLOBAL DEA'!$K$3:$K$1490="S"))</f>
        <v>0</v>
      </c>
      <c r="F54" s="139">
        <f>SUMPRODUCT(--(TRIM('[1]AT GLOBAL DEA'!$I$3:$I$1490)="MT HB SU")*('[1]AT GLOBAL DEA'!$L$3:$L$1490="O")*('[1]AT GLOBAL DEA'!$K$3:$K$1490="S")*('[1]AT GLOBAL DEA'!$N$3:$N$1490))</f>
        <v>0</v>
      </c>
      <c r="G54" s="140">
        <f>SUMPRODUCT(--(TRIM('[1]AT GLOBAL DEA'!$I$3:$I$1490)="MT YC SU")*('[1]AT GLOBAL DEA'!$L$3:$L$1490="O")*('[1]AT GLOBAL DEA'!$K$3:$K$1490="T"))</f>
        <v>0</v>
      </c>
      <c r="H54" s="140">
        <f>SUMPRODUCT(--(TRIM('[1]AT GLOBAL DEA'!$I$3:$I$1490)="MT YC SU")*('[1]AT GLOBAL DEA'!$L$3:$L$1490="N")*('[1]AT GLOBAL DEA'!$K$3:$K$1490="T"))</f>
        <v>0</v>
      </c>
      <c r="I54" s="142">
        <f>SUMPRODUCT(--(TRIM('[1]AT GLOBAL DEA'!$I$3:$I$1490)="MT YC SU")*('[1]AT GLOBAL DEA'!$L$3:$L$1490="O")*('[1]AT GLOBAL DEA'!$K$3:$K$1490="T")*('[1]AT GLOBAL DEA'!$N$3:$N$1490))</f>
        <v>0</v>
      </c>
      <c r="J54" s="101"/>
      <c r="K54" s="199" t="s">
        <v>904</v>
      </c>
      <c r="L54" s="144"/>
      <c r="M54" s="145"/>
      <c r="N54" s="145"/>
      <c r="O54" s="145"/>
      <c r="P54" s="145"/>
      <c r="Q54" s="145"/>
      <c r="R54" s="145"/>
      <c r="S54" s="145"/>
      <c r="T54" s="145"/>
      <c r="U54" s="145"/>
      <c r="V54" s="146"/>
      <c r="W54" s="91"/>
      <c r="X54" s="147">
        <f>SUMPRODUCT(--(TRIM([1]MATRICE!$D$5:$D$490)="MT YC SU")*([1]MATRICE!$G$5:$G$490="S")*([1]MATRICE!$I$5:$I$490="O")*([1]MATRICE!$P$5:$P$490="janvier"))</f>
        <v>0</v>
      </c>
      <c r="Y54" s="148">
        <f>SUMPRODUCT(--(TRIM([1]MATRICE!$D$5:$D$490)="MT YC SU")*([1]MATRICE!$G$5:$G$490="S")*([1]MATRICE!$I$5:$I$490="O")*([1]MATRICE!$P$5:$P$490="février"))</f>
        <v>0</v>
      </c>
      <c r="Z54" s="148">
        <f>SUMPRODUCT(--(TRIM([1]MATRICE!$D$5:$D$490)="MT YC SU")*([1]MATRICE!$G$5:$G$490="S")*([1]MATRICE!$I$5:$I$490="O")*([1]MATRICE!$P$5:$P$490="mars"))</f>
        <v>0</v>
      </c>
      <c r="AA54" s="148">
        <f>SUMPRODUCT(--(TRIM([1]MATRICE!$D$5:$D$490)="MT YC SU")*([1]MATRICE!$G$5:$G$490="S")*([1]MATRICE!$I$5:$I$490="O")*([1]MATRICE!$P$5:$P$490="avril"))</f>
        <v>0</v>
      </c>
      <c r="AB54" s="148">
        <f>SUMPRODUCT(--(TRIM([1]MATRICE!$D$5:$D$490)="MT YC SU")*([1]MATRICE!$G$5:$G$490="S")*([1]MATRICE!$I$5:$I$490="O")*([1]MATRICE!$P$5:$P$490="mai"))</f>
        <v>0</v>
      </c>
      <c r="AC54" s="148">
        <f>SUMPRODUCT(--(TRIM([1]MATRICE!$D$5:$D$490)="MT YC SU")*([1]MATRICE!$G$5:$G$490="S")*([1]MATRICE!$I$5:$I$490="O")*([1]MATRICE!$P$5:$P$490="juin"))</f>
        <v>0</v>
      </c>
      <c r="AD54" s="148">
        <f>SUMPRODUCT(--(TRIM([1]MATRICE!$D$5:$D$490)="MT YC SU")*([1]MATRICE!$G$5:$G$490="S")*([1]MATRICE!$I$5:$I$490="O")*([1]MATRICE!$P$5:$P$490="juillet"))</f>
        <v>0</v>
      </c>
      <c r="AE54" s="148">
        <f>SUMPRODUCT(--(TRIM([1]MATRICE!$D$5:$D$490)="MT YC SU")*([1]MATRICE!$G$5:$G$490="S")*([1]MATRICE!$I$5:$I$490="O")*([1]MATRICE!$P$5:$P$490="août"))</f>
        <v>0</v>
      </c>
      <c r="AF54" s="148">
        <f>SUMPRODUCT(--(TRIM([1]MATRICE!$D$5:$D$490)="MT YC SU")*([1]MATRICE!$G$5:$G$490="S")*([1]MATRICE!$I$5:$I$490="O")*([1]MATRICE!$P$5:$P$490="septembre"))</f>
        <v>0</v>
      </c>
      <c r="AG54" s="148">
        <f>SUMPRODUCT(--(TRIM([1]MATRICE!$D$5:$D$490)="MT YC SU")*([1]MATRICE!$G$5:$G$490="S")*([1]MATRICE!$I$5:$I$490="O")*([1]MATRICE!$P$5:$P$490="mars"))</f>
        <v>0</v>
      </c>
      <c r="AH54" s="148">
        <f>SUMPRODUCT(--(TRIM([1]MATRICE!$D$5:$D$490)="MT YC SU")*([1]MATRICE!$G$5:$G$490="S")*([1]MATRICE!$I$5:$I$490="O")*([1]MATRICE!$P$5:$P$490="mars"))</f>
        <v>0</v>
      </c>
      <c r="AI54" s="149">
        <f>SUMPRODUCT(--(TRIM([1]MATRICE!$D$5:$D$490)="MT YC SU")*([1]MATRICE!$G$5:$G$490="S")*([1]MATRICE!$I$5:$I$490="O")*([1]MATRICE!$P$5:$P$490="mars"))</f>
        <v>0</v>
      </c>
      <c r="AJ54" s="150">
        <f>SUM(X54:AI54)</f>
        <v>0</v>
      </c>
      <c r="AK54" s="54"/>
      <c r="AL54" s="54"/>
      <c r="AM54" s="54"/>
      <c r="AN54" s="54"/>
      <c r="AO54" s="54"/>
      <c r="AP54" s="54"/>
    </row>
    <row r="55" spans="1:42" ht="18" thickBot="1" x14ac:dyDescent="0.35">
      <c r="A55" s="54"/>
      <c r="B55" s="151"/>
      <c r="C55" s="152"/>
      <c r="D55" s="152"/>
      <c r="E55" s="152"/>
      <c r="F55" s="153"/>
      <c r="G55" s="154"/>
      <c r="H55" s="154"/>
      <c r="I55" s="155"/>
      <c r="J55" s="156"/>
      <c r="K55" s="157"/>
      <c r="L55" s="158"/>
      <c r="M55" s="158"/>
      <c r="N55" s="158"/>
      <c r="O55" s="158"/>
      <c r="P55" s="158"/>
      <c r="Q55" s="158"/>
      <c r="R55" s="158"/>
      <c r="S55" s="158"/>
      <c r="T55" s="158"/>
      <c r="U55" s="158"/>
      <c r="V55" s="159"/>
      <c r="W55" s="91"/>
      <c r="X55" s="160"/>
      <c r="Y55" s="163"/>
      <c r="Z55" s="160"/>
      <c r="AA55" s="163"/>
      <c r="AB55" s="160"/>
      <c r="AC55" s="163"/>
      <c r="AD55" s="160"/>
      <c r="AE55" s="163"/>
      <c r="AF55" s="160"/>
      <c r="AG55" s="163"/>
      <c r="AH55" s="160"/>
      <c r="AI55" s="163"/>
      <c r="AJ55" s="92"/>
      <c r="AK55" s="54"/>
      <c r="AL55" s="54"/>
      <c r="AM55" s="54"/>
      <c r="AN55" s="54"/>
      <c r="AO55" s="54"/>
      <c r="AP55" s="54"/>
    </row>
    <row r="56" spans="1:42" ht="17.25" customHeight="1" x14ac:dyDescent="0.3">
      <c r="A56" s="54"/>
      <c r="B56" s="93" t="s">
        <v>861</v>
      </c>
      <c r="C56" s="94">
        <f t="shared" ref="C56:I56" si="15">SUM(C57:C58)</f>
        <v>3</v>
      </c>
      <c r="D56" s="95">
        <f t="shared" si="15"/>
        <v>3</v>
      </c>
      <c r="E56" s="96">
        <f t="shared" si="15"/>
        <v>0</v>
      </c>
      <c r="F56" s="192">
        <f>SUM(F57:F58)</f>
        <v>133</v>
      </c>
      <c r="G56" s="99">
        <f t="shared" si="15"/>
        <v>0</v>
      </c>
      <c r="H56" s="99">
        <f t="shared" si="15"/>
        <v>0</v>
      </c>
      <c r="I56" s="193">
        <f t="shared" si="15"/>
        <v>0</v>
      </c>
      <c r="J56" s="101"/>
      <c r="K56" s="93" t="s">
        <v>861</v>
      </c>
      <c r="L56" s="103"/>
      <c r="M56" s="104"/>
      <c r="N56" s="104"/>
      <c r="O56" s="104"/>
      <c r="P56" s="104"/>
      <c r="Q56" s="104"/>
      <c r="R56" s="104"/>
      <c r="S56" s="104"/>
      <c r="T56" s="104"/>
      <c r="U56" s="104"/>
      <c r="V56" s="105"/>
      <c r="W56" s="91"/>
      <c r="X56" s="106">
        <f>SUM(X57:X58)</f>
        <v>0</v>
      </c>
      <c r="Y56" s="107">
        <f t="shared" ref="Y56:AI56" si="16">SUM(Y57:Y58)</f>
        <v>1</v>
      </c>
      <c r="Z56" s="107">
        <f t="shared" si="16"/>
        <v>0</v>
      </c>
      <c r="AA56" s="107">
        <f t="shared" si="16"/>
        <v>0</v>
      </c>
      <c r="AB56" s="107">
        <f t="shared" si="16"/>
        <v>1</v>
      </c>
      <c r="AC56" s="107">
        <f t="shared" si="16"/>
        <v>1</v>
      </c>
      <c r="AD56" s="107">
        <f t="shared" si="16"/>
        <v>0</v>
      </c>
      <c r="AE56" s="107">
        <f t="shared" si="16"/>
        <v>0</v>
      </c>
      <c r="AF56" s="107">
        <f t="shared" si="16"/>
        <v>0</v>
      </c>
      <c r="AG56" s="107">
        <f t="shared" si="16"/>
        <v>0</v>
      </c>
      <c r="AH56" s="107">
        <f t="shared" si="16"/>
        <v>0</v>
      </c>
      <c r="AI56" s="201">
        <f t="shared" si="16"/>
        <v>0</v>
      </c>
      <c r="AJ56" s="202">
        <f>SUM(AJ57:AJ58)</f>
        <v>3</v>
      </c>
      <c r="AK56" s="54"/>
      <c r="AL56" s="54"/>
      <c r="AM56" s="54"/>
      <c r="AN56" s="54"/>
      <c r="AO56" s="54"/>
      <c r="AP56" s="54"/>
    </row>
    <row r="57" spans="1:42" ht="17.25" x14ac:dyDescent="0.3">
      <c r="A57" s="54"/>
      <c r="B57" s="111" t="s">
        <v>905</v>
      </c>
      <c r="C57" s="112">
        <f>SUMPRODUCT(--(TRIM('[1]AT GLOBAL DEA'!$I$3:$I$1490)="MT YH AR")*('[1]AT GLOBAL DEA'!$L$3:$L$1490="O")*('[1]AT GLOBAL DEA'!$K$3:$K$1490="S"))</f>
        <v>1</v>
      </c>
      <c r="D57" s="113">
        <f>SUMPRODUCT(--(TRIM('[1]AT GLOBAL DEA'!$I$3:$I$1490)="MT YH AR")*('[1]AT GLOBAL DEA'!$L$3:$L$1490="N")*('[1]AT GLOBAL DEA'!$M$3:$M$1490="N")*('[1]AT GLOBAL DEA'!$K$3:$K$1490="S"))</f>
        <v>1</v>
      </c>
      <c r="E57" s="114">
        <f>SUMPRODUCT(--(TRIM('[1]AT GLOBAL DEA'!$I$3:$I$1490)="MT YH AR")*('[1]AT GLOBAL DEA'!$M$3:$M$1490="O")*('[1]AT GLOBAL DEA'!$K$3:$K$1490="S"))</f>
        <v>0</v>
      </c>
      <c r="F57" s="115">
        <f>SUMPRODUCT(--(TRIM('[1]AT GLOBAL DEA'!$I$3:$I$1490)="MT YH AR")*('[1]AT GLOBAL DEA'!$L$3:$L$1490="O")*('[1]AT GLOBAL DEA'!$K$3:$K$1490="S")*('[1]AT GLOBAL DEA'!$N$3:$N$1490))</f>
        <v>8</v>
      </c>
      <c r="G57" s="116">
        <f>SUMPRODUCT(--(TRIM('[1]AT GLOBAL DEA'!$I$3:$I$1490)="MT YH AR")*('[1]AT GLOBAL DEA'!$L$3:$L$1490="O")*('[1]AT GLOBAL DEA'!$K$3:$K$1490="T"))</f>
        <v>0</v>
      </c>
      <c r="H57" s="116">
        <f>SUMPRODUCT(--(TRIM('[1]AT GLOBAL DEA'!$I$3:$I$1490)="MT YH AR")*('[1]AT GLOBAL DEA'!$L$3:$L$1490="N")*('[1]AT GLOBAL DEA'!$K$3:$K$1490="T"))</f>
        <v>0</v>
      </c>
      <c r="I57" s="118">
        <f>SUMPRODUCT(--(TRIM('[1]AT GLOBAL DEA'!$I$3:$I$1490)="MT YH AR")*('[1]AT GLOBAL DEA'!$L$3:$L$1490="O")*('[1]AT GLOBAL DEA'!$K$3:$K$1490="T")*('[1]AT GLOBAL DEA'!$N$3:$N$1490))</f>
        <v>0</v>
      </c>
      <c r="J57" s="101"/>
      <c r="K57" s="164" t="s">
        <v>905</v>
      </c>
      <c r="L57" s="203">
        <f>SUMPRODUCT(--(TRIM([1]MATRICE!$D$5:$D$490)="MT YH AR")*([1]MATRICE!$F$5:$F$490="Moins de 20 ans")*([1]MATRICE!$G$5:$G$490="S")*([1]MATRICE!$I$5:$I$490="O"))</f>
        <v>0</v>
      </c>
      <c r="M57" s="204">
        <f>SUMPRODUCT(--(TRIM([1]MATRICE!$D$5:$D$490)="MT YH AR")*([1]MATRICE!$F$5:$F$490="20 à 24 ans")*([1]MATRICE!$G$5:$G$490="S")*([1]MATRICE!$I$5:$I$490="O"))</f>
        <v>0</v>
      </c>
      <c r="N57" s="204">
        <f>SUMPRODUCT(--(TRIM([1]MATRICE!$D$5:$D$490)="MT YH AR")*([1]MATRICE!$F$5:$F$490="25 à 29 ans")*([1]MATRICE!$G$5:$G$490="S")*([1]MATRICE!$I$5:$I$490="O"))</f>
        <v>0</v>
      </c>
      <c r="O57" s="204">
        <f>SUMPRODUCT(--(TRIM([1]MATRICE!$D$5:$D$490)="MT YH AR")*([1]MATRICE!$F$5:$F$490="30 à 34 ans")*([1]MATRICE!$G$5:$G$490="S")*([1]MATRICE!$I$5:$I$490="O"))</f>
        <v>0</v>
      </c>
      <c r="P57" s="204">
        <f>SUMPRODUCT(--(TRIM([1]MATRICE!$D$5:$D$490)="MT YH AR")*([1]MATRICE!$F$5:$F$490="35 à 39 ans")*([1]MATRICE!$G$5:$G$490="S")*([1]MATRICE!$I$5:$I$490="O"))</f>
        <v>0</v>
      </c>
      <c r="Q57" s="204">
        <f>SUMPRODUCT(--(TRIM([1]MATRICE!$D$5:$D$490)="MT YH AR")*([1]MATRICE!$F$5:$F$490="40 à 44 ans")*([1]MATRICE!$G$5:$G$490="S")*([1]MATRICE!$I$5:$I$490="O"))</f>
        <v>0</v>
      </c>
      <c r="R57" s="204">
        <f>SUMPRODUCT(--(TRIM([1]MATRICE!$D$5:$D$490)="MT YH AR")*([1]MATRICE!$F$5:$F$490="45 à 49 ans")*([1]MATRICE!$G$5:$G$490="S")*([1]MATRICE!$I$5:$I$490="O"))</f>
        <v>0</v>
      </c>
      <c r="S57" s="204">
        <f>SUMPRODUCT(--(TRIM([1]MATRICE!$D$5:$D$490)="MT YH AR")*([1]MATRICE!$F$5:$F$490="50 à 54 ans")*([1]MATRICE!$G$5:$G$490="S")*([1]MATRICE!$I$5:$I$490="O"))</f>
        <v>1</v>
      </c>
      <c r="T57" s="204">
        <f>SUMPRODUCT(--(TRIM([1]MATRICE!$D$5:$D$490)="MT YH AR")*([1]MATRICE!$F$5:$F$490="55 à 59 ans")*([1]MATRICE!$G$5:$G$490="S")*([1]MATRICE!$I$5:$I$490="O"))</f>
        <v>0</v>
      </c>
      <c r="U57" s="204">
        <f>SUMPRODUCT(--(TRIM([1]MATRICE!$D$5:$D$490)="MT YH AR")*([1]MATRICE!$F$5:$F$490="60 ans et +")*([1]MATRICE!$G$5:$G$490="S")*([1]MATRICE!$I$5:$I$490="O"))</f>
        <v>0</v>
      </c>
      <c r="V57" s="130">
        <f>SUM(L57:U57)</f>
        <v>1</v>
      </c>
      <c r="W57" s="91"/>
      <c r="X57" s="123">
        <f>SUMPRODUCT(--(TRIM([1]MATRICE!$D$5:$D$490)="MT YH AR")*([1]MATRICE!$G$5:$G$490="S")*([1]MATRICE!$I$5:$I$490="O")*([1]MATRICE!$P$5:$P$490="janvier"))</f>
        <v>0</v>
      </c>
      <c r="Y57" s="124">
        <f>SUMPRODUCT(--(TRIM([1]MATRICE!$D$5:$D$490)="MT YH AR")*([1]MATRICE!$G$5:$G$490="S")*([1]MATRICE!$I$5:$I$490="O")*([1]MATRICE!$P$5:$P$490="février"))</f>
        <v>1</v>
      </c>
      <c r="Z57" s="124">
        <f>SUMPRODUCT(--(TRIM([1]MATRICE!$D$5:$D$490)="MT YH AR")*([1]MATRICE!$G$5:$G$490="S")*([1]MATRICE!$I$5:$I$490="O")*([1]MATRICE!$P$5:$P$490="mars"))</f>
        <v>0</v>
      </c>
      <c r="AA57" s="124">
        <f>SUMPRODUCT(--(TRIM([1]MATRICE!$D$5:$D$490)="MT YH AR")*([1]MATRICE!$G$5:$G$490="S")*([1]MATRICE!$I$5:$I$490="O")*([1]MATRICE!$P$5:$P$490="avril"))</f>
        <v>0</v>
      </c>
      <c r="AB57" s="124">
        <f>SUMPRODUCT(--(TRIM([1]MATRICE!$D$5:$D$490)="MT YH AR")*([1]MATRICE!$G$5:$G$490="S")*([1]MATRICE!$I$5:$I$490="O")*([1]MATRICE!$P$5:$P$490="mai"))</f>
        <v>0</v>
      </c>
      <c r="AC57" s="124">
        <f>SUMPRODUCT(--(TRIM([1]MATRICE!$D$5:$D$490)="MT YH AR")*([1]MATRICE!$G$5:$G$490="S")*([1]MATRICE!$I$5:$I$490="O")*([1]MATRICE!$P$5:$P$490="juin"))</f>
        <v>0</v>
      </c>
      <c r="AD57" s="124">
        <f>SUMPRODUCT(--(TRIM([1]MATRICE!$D$5:$D$490)="MT YH AR")*([1]MATRICE!$G$5:$G$490="S")*([1]MATRICE!$I$5:$I$490="O")*([1]MATRICE!$P$5:$P$490="juillet"))</f>
        <v>0</v>
      </c>
      <c r="AE57" s="124">
        <f>SUMPRODUCT(--(TRIM([1]MATRICE!$D$5:$D$490)="MT YH AR")*([1]MATRICE!$G$5:$G$490="S")*([1]MATRICE!$I$5:$I$490="O")*([1]MATRICE!$P$5:$P$490="août"))</f>
        <v>0</v>
      </c>
      <c r="AF57" s="124">
        <f>SUMPRODUCT(--(TRIM([1]MATRICE!$D$5:$D$490)="MT YH AR")*([1]MATRICE!$G$5:$G$490="S")*([1]MATRICE!$I$5:$I$490="O")*([1]MATRICE!$P$5:$P$490="septembre"))</f>
        <v>0</v>
      </c>
      <c r="AG57" s="124">
        <f>SUMPRODUCT(--(TRIM([1]MATRICE!$D$5:$D$490)="MT YH AR")*([1]MATRICE!$G$5:$G$490="S")*([1]MATRICE!$I$5:$I$490="O")*([1]MATRICE!$P$5:$P$490="septembre"))</f>
        <v>0</v>
      </c>
      <c r="AH57" s="124">
        <f>SUMPRODUCT(--(TRIM([1]MATRICE!$D$5:$D$490)="MT JK PR")*([1]MATRICE!$G$5:$G$490="S")*([1]MATRICE!$I$5:$I$490="O")*([1]MATRICE!$P$5:$P$490="mars"))</f>
        <v>0</v>
      </c>
      <c r="AI57" s="125">
        <f>SUMPRODUCT(--(TRIM([1]MATRICE!$D$5:$D$490)="MT JK PR")*([1]MATRICE!$G$5:$G$490="S")*([1]MATRICE!$I$5:$I$490="O")*([1]MATRICE!$P$5:$P$490="mars"))</f>
        <v>0</v>
      </c>
      <c r="AJ57" s="126">
        <f>SUM(X57:AI57)</f>
        <v>1</v>
      </c>
      <c r="AK57" s="54"/>
      <c r="AL57" s="54"/>
      <c r="AM57" s="54"/>
      <c r="AN57" s="54"/>
      <c r="AO57" s="54"/>
      <c r="AP57" s="54"/>
    </row>
    <row r="58" spans="1:42" ht="18" thickBot="1" x14ac:dyDescent="0.35">
      <c r="A58" s="54"/>
      <c r="B58" s="181" t="s">
        <v>906</v>
      </c>
      <c r="C58" s="136">
        <f>SUMPRODUCT(--(TRIM('[1]AT GLOBAL DEA'!$I$3:$I$1490)="MT YH TA")*('[1]AT GLOBAL DEA'!$L$3:$L$1490="O")*('[1]AT GLOBAL DEA'!$K$3:$K$1490="S"))</f>
        <v>2</v>
      </c>
      <c r="D58" s="137">
        <f>SUMPRODUCT(--(TRIM('[1]AT GLOBAL DEA'!$I$3:$I$1490)="MT YH TA")*('[1]AT GLOBAL DEA'!$L$3:$L$1490="N")*('[1]AT GLOBAL DEA'!$M$3:$M$1490="N")*('[1]AT GLOBAL DEA'!$K$3:$K$1490="S"))</f>
        <v>2</v>
      </c>
      <c r="E58" s="138">
        <f>SUMPRODUCT(--(TRIM('[1]AT GLOBAL DEA'!$I$3:$I$1490)="MT YH TA")*('[1]AT GLOBAL DEA'!$M$3:$M$1490="O")*('[1]AT GLOBAL DEA'!$K$3:$K$1490="S"))</f>
        <v>0</v>
      </c>
      <c r="F58" s="139">
        <f>SUMPRODUCT(--(TRIM('[1]AT GLOBAL DEA'!$I$3:$I$1490)="MT YH TA")*('[1]AT GLOBAL DEA'!$L$3:$L$1490="O")*('[1]AT GLOBAL DEA'!$K$3:$K$1490="S")*('[1]AT GLOBAL DEA'!$N$3:$N$1490))</f>
        <v>125</v>
      </c>
      <c r="G58" s="140">
        <f>SUMPRODUCT(--(TRIM('[1]AT GLOBAL DEA'!$I$3:$I$1490)="MT YH TA")*('[1]AT GLOBAL DEA'!$L$3:$L$1490="O")*('[1]AT GLOBAL DEA'!$K$3:$K$1490="T"))</f>
        <v>0</v>
      </c>
      <c r="H58" s="140">
        <f>SUMPRODUCT(--(TRIM('[1]AT GLOBAL DEA'!$I$3:$I$1490)="MT YH TA")*('[1]AT GLOBAL DEA'!$L$3:$L$1490="N")*('[1]AT GLOBAL DEA'!$K$3:$K$1490="T"))</f>
        <v>0</v>
      </c>
      <c r="I58" s="142">
        <f>SUMPRODUCT(--(TRIM('[1]AT GLOBAL DEA'!$I$3:$I$1490)="MT YH TA")*('[1]AT GLOBAL DEA'!$L$3:$L$1490="O")*('[1]AT GLOBAL DEA'!$K$3:$K$1490="T")*('[1]AT GLOBAL DEA'!$N$3:$N$1490))</f>
        <v>0</v>
      </c>
      <c r="J58" s="101"/>
      <c r="K58" s="205" t="s">
        <v>906</v>
      </c>
      <c r="L58" s="203">
        <f>SUMPRODUCT(--(TRIM([1]MATRICE!$D$5:$D$490)="MT YH TA")*([1]MATRICE!$F$5:$F$490="Moins de 20 ans")*([1]MATRICE!$G$5:$G$490="S")*([1]MATRICE!$I$5:$I$490="O"))</f>
        <v>0</v>
      </c>
      <c r="M58" s="204">
        <f>SUMPRODUCT(--(TRIM([1]MATRICE!$D$5:$D$490)="MT YH TA")*([1]MATRICE!$F$5:$F$490="20 à 24 ans")*([1]MATRICE!$G$5:$G$490="S")*([1]MATRICE!$I$5:$I$490="O"))</f>
        <v>0</v>
      </c>
      <c r="N58" s="204">
        <f>SUMPRODUCT(--(TRIM([1]MATRICE!$D$5:$D$490)="MT YH TA")*([1]MATRICE!$F$5:$F$490="25 à 29 ans")*([1]MATRICE!$G$5:$G$490="S")*([1]MATRICE!$I$5:$I$490="O"))</f>
        <v>0</v>
      </c>
      <c r="O58" s="204">
        <f>SUMPRODUCT(--(TRIM([1]MATRICE!$D$5:$D$490)="MT YH TA")*([1]MATRICE!$F$5:$F$490="30 à 34 ans")*([1]MATRICE!$G$5:$G$490="S")*([1]MATRICE!$I$5:$I$490="O"))</f>
        <v>0</v>
      </c>
      <c r="P58" s="204">
        <f>SUMPRODUCT(--(TRIM([1]MATRICE!$D$5:$D$490)="MT YH TA")*([1]MATRICE!$F$5:$F$490="35 à 39 ans")*([1]MATRICE!$G$5:$G$490="S")*([1]MATRICE!$I$5:$I$490="O"))</f>
        <v>0</v>
      </c>
      <c r="Q58" s="204">
        <f>SUMPRODUCT(--(TRIM([1]MATRICE!$D$5:$D$490)="MT YH TA")*([1]MATRICE!$F$5:$F$490="40 à 44 ans")*([1]MATRICE!$G$5:$G$490="S")*([1]MATRICE!$I$5:$I$490="O"))</f>
        <v>0</v>
      </c>
      <c r="R58" s="204">
        <f>SUMPRODUCT(--(TRIM([1]MATRICE!$D$5:$D$490)="MT YH TA")*([1]MATRICE!$F$5:$F$490="45 à 49 ans")*([1]MATRICE!$G$5:$G$490="S")*([1]MATRICE!$I$5:$I$490="O"))</f>
        <v>1</v>
      </c>
      <c r="S58" s="204">
        <f>SUMPRODUCT(--(TRIM([1]MATRICE!$D$5:$D$490)="MT YH TA")*([1]MATRICE!$F$5:$F$490="50 à 54 ans")*([1]MATRICE!$G$5:$G$490="S")*([1]MATRICE!$I$5:$I$490="O"))</f>
        <v>1</v>
      </c>
      <c r="T58" s="204">
        <f>SUMPRODUCT(--(TRIM([1]MATRICE!$D$5:$D$490)="MT YH TA")*([1]MATRICE!$F$5:$F$490="55 à 59 ans")*([1]MATRICE!$G$5:$G$490="S")*([1]MATRICE!$I$5:$I$490="O"))</f>
        <v>0</v>
      </c>
      <c r="U58" s="204">
        <f>SUMPRODUCT(--(TRIM([1]MATRICE!$D$5:$D$490)="MT YH TA")*([1]MATRICE!$F$5:$F$490="60 ans et +")*([1]MATRICE!$G$5:$G$490="S")*([1]MATRICE!$I$5:$I$490="O"))</f>
        <v>0</v>
      </c>
      <c r="V58" s="130">
        <f>SUM(L58:U58)</f>
        <v>2</v>
      </c>
      <c r="W58" s="91"/>
      <c r="X58" s="175"/>
      <c r="Y58" s="176"/>
      <c r="Z58" s="176"/>
      <c r="AA58" s="176"/>
      <c r="AB58" s="176">
        <f>SUMPRODUCT(--(TRIM([1]MATRICE!$D$5:$D$490)="MT YH TA")*([1]MATRICE!$G$5:$G$490="S")*([1]MATRICE!$I$5:$I$490="O")*([1]MATRICE!$P$5:$P$490="mai"))</f>
        <v>1</v>
      </c>
      <c r="AC58" s="176">
        <f>SUMPRODUCT(--(TRIM([1]MATRICE!$D$5:$D$490)="MT YH TA")*([1]MATRICE!$G$5:$G$490="S")*([1]MATRICE!$I$5:$I$490="O")*([1]MATRICE!$P$5:$P$490="juin"))</f>
        <v>1</v>
      </c>
      <c r="AD58" s="176">
        <f>SUMPRODUCT(--(TRIM([1]MATRICE!$D$5:$D$490)="MT YH TA")*([1]MATRICE!$G$5:$G$490="S")*([1]MATRICE!$I$5:$I$490="O")*([1]MATRICE!$P$5:$P$490="juillet"))</f>
        <v>0</v>
      </c>
      <c r="AE58" s="176">
        <f>SUMPRODUCT(--(TRIM([1]MATRICE!$D$5:$D$490)="MT YH TA")*([1]MATRICE!$G$5:$G$490="S")*([1]MATRICE!$I$5:$I$490="O")*([1]MATRICE!$P$5:$P$490="août"))</f>
        <v>0</v>
      </c>
      <c r="AF58" s="176">
        <f>SUMPRODUCT(--(TRIM([1]MATRICE!$D$5:$D$490)="MT YH TA")*([1]MATRICE!$G$5:$G$490="S")*([1]MATRICE!$I$5:$I$490="O")*([1]MATRICE!$P$5:$P$490="septembre"))</f>
        <v>0</v>
      </c>
      <c r="AG58" s="176">
        <f>SUMPRODUCT(--(TRIM([1]MATRICE!$D$5:$D$490)="MT YH TA")*([1]MATRICE!$G$5:$G$490="S")*([1]MATRICE!$I$5:$I$490="O")*([1]MATRICE!$P$5:$P$490="octobre"))</f>
        <v>0</v>
      </c>
      <c r="AH58" s="176">
        <f>SUMPRODUCT(--(TRIM([1]MATRICE!$D$5:$D$490)="MT YH TA")*([1]MATRICE!$G$5:$G$490="S")*([1]MATRICE!$I$5:$I$490="O")*([1]MATRICE!$P$5:$P$490="novembre"))</f>
        <v>0</v>
      </c>
      <c r="AI58" s="176">
        <f>SUMPRODUCT(--(TRIM([1]MATRICE!$D$5:$D$490)="MT YH TA")*([1]MATRICE!$G$5:$G$490="S")*([1]MATRICE!$I$5:$I$490="O")*([1]MATRICE!$P$5:$P$490="décembre"))</f>
        <v>0</v>
      </c>
      <c r="AJ58" s="178">
        <f>SUM(X58:AI58)</f>
        <v>2</v>
      </c>
      <c r="AK58" s="54"/>
      <c r="AL58" s="54"/>
      <c r="AM58" s="54"/>
      <c r="AN58" s="54"/>
      <c r="AO58" s="54"/>
      <c r="AP58" s="54"/>
    </row>
    <row r="59" spans="1:42" ht="18" thickBot="1" x14ac:dyDescent="0.35">
      <c r="A59" s="54"/>
      <c r="J59" s="66"/>
      <c r="L59" s="200"/>
      <c r="M59" s="200"/>
      <c r="N59" s="200"/>
      <c r="O59" s="200"/>
      <c r="P59" s="200"/>
      <c r="Q59" s="200"/>
      <c r="R59" s="200"/>
      <c r="S59" s="200"/>
      <c r="T59" s="200"/>
      <c r="U59" s="200"/>
      <c r="V59" s="200"/>
      <c r="W59" s="77"/>
      <c r="X59" s="160"/>
      <c r="Y59" s="163"/>
      <c r="Z59" s="160"/>
      <c r="AA59" s="163"/>
      <c r="AB59" s="160"/>
      <c r="AC59" s="163"/>
      <c r="AD59" s="160"/>
      <c r="AE59" s="163"/>
      <c r="AF59" s="160"/>
      <c r="AG59" s="163"/>
      <c r="AH59" s="160"/>
      <c r="AI59" s="163"/>
      <c r="AJ59" s="92"/>
      <c r="AK59" s="54"/>
      <c r="AL59" s="54"/>
      <c r="AM59" s="54"/>
      <c r="AN59" s="54"/>
      <c r="AO59" s="54"/>
      <c r="AP59" s="54"/>
    </row>
    <row r="60" spans="1:42" ht="17.25" customHeight="1" x14ac:dyDescent="0.3">
      <c r="A60" s="54"/>
      <c r="B60" s="93" t="s">
        <v>861</v>
      </c>
      <c r="C60" s="94">
        <f t="shared" ref="C60:H60" si="17">SUM(C61:C68)</f>
        <v>3</v>
      </c>
      <c r="D60" s="95">
        <f t="shared" si="17"/>
        <v>5</v>
      </c>
      <c r="E60" s="96">
        <f t="shared" si="17"/>
        <v>3</v>
      </c>
      <c r="F60" s="192">
        <f>SUM(F61:F68)</f>
        <v>25</v>
      </c>
      <c r="G60" s="98">
        <f t="shared" si="17"/>
        <v>2</v>
      </c>
      <c r="H60" s="98">
        <f t="shared" si="17"/>
        <v>7</v>
      </c>
      <c r="I60" s="193"/>
      <c r="J60" s="101"/>
      <c r="K60" s="93" t="s">
        <v>861</v>
      </c>
      <c r="L60" s="103"/>
      <c r="M60" s="104"/>
      <c r="N60" s="104"/>
      <c r="O60" s="104"/>
      <c r="P60" s="104"/>
      <c r="Q60" s="104"/>
      <c r="R60" s="104"/>
      <c r="S60" s="104"/>
      <c r="T60" s="104"/>
      <c r="U60" s="104"/>
      <c r="V60" s="105"/>
      <c r="W60" s="91"/>
      <c r="X60" s="106"/>
      <c r="Y60" s="107"/>
      <c r="Z60" s="107"/>
      <c r="AA60" s="107"/>
      <c r="AB60" s="107"/>
      <c r="AC60" s="107"/>
      <c r="AD60" s="107"/>
      <c r="AE60" s="107"/>
      <c r="AF60" s="107"/>
      <c r="AG60" s="107"/>
      <c r="AH60" s="107"/>
      <c r="AI60" s="108"/>
      <c r="AJ60" s="194"/>
      <c r="AK60" s="54"/>
      <c r="AL60" s="54"/>
      <c r="AM60" s="54"/>
      <c r="AN60" s="54"/>
      <c r="AO60" s="54"/>
      <c r="AP60" s="54"/>
    </row>
    <row r="61" spans="1:42" ht="17.25" x14ac:dyDescent="0.3">
      <c r="A61" s="54"/>
      <c r="B61" s="111" t="s">
        <v>907</v>
      </c>
      <c r="C61" s="112">
        <f>SUMPRODUCT(--(TRIM('[1]AT GLOBAL DEA'!$I$3:$I$1490)="BLDPMERY")*('[1]AT GLOBAL DEA'!$L$3:$L$1490="O")*('[1]AT GLOBAL DEA'!$K$3:$K$1490="S"))</f>
        <v>0</v>
      </c>
      <c r="D61" s="113">
        <f>SUMPRODUCT(--(TRIM('[1]AT GLOBAL DEA'!$I$3:$I$1490)="BLDPMERY")*('[1]AT GLOBAL DEA'!$L$3:$L$1490="N")*('[1]AT GLOBAL DEA'!$M$3:$M$1490="N")*('[1]AT GLOBAL DEA'!$K$3:$K$1490="S"))</f>
        <v>0</v>
      </c>
      <c r="E61" s="114">
        <f>SUMPRODUCT(--(TRIM('[1]AT GLOBAL DEA'!$I$3:$I$1490)="BLDPMERY")*('[1]AT GLOBAL DEA'!$L$3:$L$1490="O")*('[1]AT GLOBAL DEA'!$K$3:$K$1490="S"))</f>
        <v>0</v>
      </c>
      <c r="F61" s="195"/>
      <c r="G61" s="116">
        <f>SUMPRODUCT(--(TRIM('[1]AT GLOBAL DEA'!$I$3:$I$1490)="BLDPMERY")*('[1]AT GLOBAL DEA'!$L$3:$L$1490="O")*('[1]AT GLOBAL DEA'!$K$3:$K$1490="T"))</f>
        <v>0</v>
      </c>
      <c r="H61" s="116">
        <f>SUMPRODUCT(--(TRIM('[1]AT GLOBAL DEA'!$I$3:$I$1490)="BLDPMERY")*('[1]AT GLOBAL DEA'!$L$3:$L$1490="N")*('[1]AT GLOBAL DEA'!$K$3:$K$1490="T"))</f>
        <v>0</v>
      </c>
      <c r="I61" s="118">
        <f>SUMPRODUCT(--(TRIM('[1]AT GLOBAL DEA'!$I$3:$I$1490)="BLDPMERY")*('[1]AT GLOBAL DEA'!$L$3:$L$1490="O")*('[1]AT GLOBAL DEA'!$K$3:$K$1490="T")*('[1]AT GLOBAL DEA'!$N$3:$N$1490))</f>
        <v>0</v>
      </c>
      <c r="J61" s="101"/>
      <c r="K61" s="164" t="s">
        <v>907</v>
      </c>
      <c r="L61" s="120"/>
      <c r="M61" s="121"/>
      <c r="N61" s="121"/>
      <c r="O61" s="121"/>
      <c r="P61" s="121"/>
      <c r="Q61" s="121"/>
      <c r="R61" s="121"/>
      <c r="S61" s="121"/>
      <c r="T61" s="121"/>
      <c r="U61" s="121"/>
      <c r="V61" s="122"/>
      <c r="W61" s="91"/>
      <c r="X61" s="123"/>
      <c r="Y61" s="124"/>
      <c r="Z61" s="124"/>
      <c r="AA61" s="124"/>
      <c r="AB61" s="124"/>
      <c r="AC61" s="124"/>
      <c r="AD61" s="124"/>
      <c r="AE61" s="124"/>
      <c r="AF61" s="124"/>
      <c r="AG61" s="124"/>
      <c r="AH61" s="124"/>
      <c r="AI61" s="125"/>
      <c r="AJ61" s="126"/>
      <c r="AK61" s="54"/>
      <c r="AL61" s="54"/>
      <c r="AM61" s="54"/>
      <c r="AN61" s="54"/>
      <c r="AO61" s="54"/>
      <c r="AP61" s="54"/>
    </row>
    <row r="62" spans="1:42" ht="17.25" x14ac:dyDescent="0.3">
      <c r="A62" s="54"/>
      <c r="B62" s="127" t="s">
        <v>908</v>
      </c>
      <c r="C62" s="112">
        <f>SUMPRODUCT(--(TRIM('[1]AT GLOBAL DEA'!$I$3:$I$1490)="BLDPMMOR")*('[1]AT GLOBAL DEA'!$L$3:$L$1490="O")*('[1]AT GLOBAL DEA'!$K$3:$K$1490="S"))</f>
        <v>1</v>
      </c>
      <c r="D62" s="113">
        <f>SUMPRODUCT(--(TRIM('[1]AT GLOBAL DEA'!$I$3:$I$1490)="BLDPMMOR")*('[1]AT GLOBAL DEA'!$L$3:$L$1490="N")*('[1]AT GLOBAL DEA'!$M$3:$M$1490="N")*('[1]AT GLOBAL DEA'!$K$3:$K$1490="S"))</f>
        <v>0</v>
      </c>
      <c r="E62" s="114">
        <f>SUMPRODUCT(--(TRIM('[1]AT GLOBAL DEA'!$I$3:$I$1490)="BLDPMMOR")*('[1]AT GLOBAL DEA'!$L$3:$L$1490="O")*('[1]AT GLOBAL DEA'!$K$3:$K$1490="S"))</f>
        <v>1</v>
      </c>
      <c r="F62" s="195"/>
      <c r="G62" s="116">
        <f>SUMPRODUCT(--(TRIM('[1]AT GLOBAL DEA'!$I$3:$I$1490)="BLDPMMOR")*('[1]AT GLOBAL DEA'!$L$3:$L$1490="O")*('[1]AT GLOBAL DEA'!$K$3:$K$1490="T"))</f>
        <v>0</v>
      </c>
      <c r="H62" s="116">
        <f>SUMPRODUCT(--(TRIM('[1]AT GLOBAL DEA'!$I$3:$I$1490)="BLDPMMOR")*('[1]AT GLOBAL DEA'!$L$3:$L$1490="N")*('[1]AT GLOBAL DEA'!$K$3:$K$1490="T"))</f>
        <v>4</v>
      </c>
      <c r="I62" s="118">
        <f>SUMPRODUCT(--(TRIM('[1]AT GLOBAL DEA'!$I$3:$I$1490)="BLDPMMOR")*('[1]AT GLOBAL DEA'!$L$3:$L$1490="O")*('[1]AT GLOBAL DEA'!$K$3:$K$1490="T")*('[1]AT GLOBAL DEA'!$N$3:$N$1490))</f>
        <v>0</v>
      </c>
      <c r="J62" s="101"/>
      <c r="K62" s="171" t="s">
        <v>908</v>
      </c>
      <c r="L62" s="128"/>
      <c r="M62" s="129"/>
      <c r="N62" s="129"/>
      <c r="O62" s="129"/>
      <c r="P62" s="129"/>
      <c r="Q62" s="129"/>
      <c r="R62" s="129"/>
      <c r="S62" s="129"/>
      <c r="T62" s="129"/>
      <c r="U62" s="129"/>
      <c r="V62" s="130"/>
      <c r="W62" s="91"/>
      <c r="X62" s="131"/>
      <c r="Y62" s="132"/>
      <c r="Z62" s="132"/>
      <c r="AA62" s="132"/>
      <c r="AB62" s="132"/>
      <c r="AC62" s="132"/>
      <c r="AD62" s="132"/>
      <c r="AE62" s="132"/>
      <c r="AF62" s="132"/>
      <c r="AG62" s="132"/>
      <c r="AH62" s="132"/>
      <c r="AI62" s="133"/>
      <c r="AJ62" s="134"/>
      <c r="AK62" s="54"/>
      <c r="AL62" s="54"/>
      <c r="AM62" s="54"/>
      <c r="AN62" s="54"/>
      <c r="AO62" s="54"/>
      <c r="AP62" s="54"/>
    </row>
    <row r="63" spans="1:42" ht="17.25" x14ac:dyDescent="0.3">
      <c r="A63" s="54"/>
      <c r="B63" s="127" t="s">
        <v>909</v>
      </c>
      <c r="C63" s="112">
        <f>SUMPRODUCT(--(TRIM('[1]AT GLOBAL DEA'!$I$3:$I$1490)="BLDPMSLB")*('[1]AT GLOBAL DEA'!$L$3:$L$1490="O")*('[1]AT GLOBAL DEA'!$K$3:$K$1490="S"))</f>
        <v>0</v>
      </c>
      <c r="D63" s="113">
        <f>SUMPRODUCT(--(TRIM('[1]AT GLOBAL DEA'!$I$3:$I$1490)="BLDPMSLB")*('[1]AT GLOBAL DEA'!$L$3:$L$1490="N")*('[1]AT GLOBAL DEA'!$M$3:$M$1490="N")*('[1]AT GLOBAL DEA'!$K$3:$K$1490="S"))</f>
        <v>0</v>
      </c>
      <c r="E63" s="114">
        <f>SUMPRODUCT(--(TRIM('[1]AT GLOBAL DEA'!$I$3:$I$1490)="BLDPMSLB")*('[1]AT GLOBAL DEA'!$L$3:$L$1490="O")*('[1]AT GLOBAL DEA'!$K$3:$K$1490="S"))</f>
        <v>0</v>
      </c>
      <c r="F63" s="195"/>
      <c r="G63" s="116">
        <f>SUMPRODUCT(--(TRIM('[1]AT GLOBAL DEA'!$I$3:$I$1490)="BLDPMSLB")*('[1]AT GLOBAL DEA'!$L$3:$L$1490="O")*('[1]AT GLOBAL DEA'!$K$3:$K$1490="T"))</f>
        <v>0</v>
      </c>
      <c r="H63" s="116">
        <f>SUMPRODUCT(--(TRIM('[1]AT GLOBAL DEA'!$I$3:$I$1490)="BLDPMSLB")*('[1]AT GLOBAL DEA'!$L$3:$L$1490="N")*('[1]AT GLOBAL DEA'!$K$3:$K$1490="T"))</f>
        <v>1</v>
      </c>
      <c r="I63" s="118">
        <f>SUMPRODUCT(--(TRIM('[1]AT GLOBAL DEA'!$I$3:$I$1490)="BLDPMSLB")*('[1]AT GLOBAL DEA'!$L$3:$L$1490="O")*('[1]AT GLOBAL DEA'!$K$3:$K$1490="T")*('[1]AT GLOBAL DEA'!$N$3:$N$1490))</f>
        <v>0</v>
      </c>
      <c r="J63" s="101"/>
      <c r="K63" s="164" t="s">
        <v>909</v>
      </c>
      <c r="L63" s="120"/>
      <c r="M63" s="121"/>
      <c r="N63" s="121"/>
      <c r="O63" s="121"/>
      <c r="P63" s="121"/>
      <c r="Q63" s="121"/>
      <c r="R63" s="121"/>
      <c r="S63" s="121"/>
      <c r="T63" s="121"/>
      <c r="U63" s="121"/>
      <c r="V63" s="122"/>
      <c r="W63" s="91"/>
      <c r="X63" s="123"/>
      <c r="Y63" s="124"/>
      <c r="Z63" s="124"/>
      <c r="AA63" s="124"/>
      <c r="AB63" s="124"/>
      <c r="AC63" s="124"/>
      <c r="AD63" s="124"/>
      <c r="AE63" s="124"/>
      <c r="AF63" s="124"/>
      <c r="AG63" s="124"/>
      <c r="AH63" s="124"/>
      <c r="AI63" s="125"/>
      <c r="AJ63" s="126"/>
      <c r="AK63" s="54"/>
      <c r="AL63" s="54"/>
      <c r="AM63" s="54"/>
      <c r="AN63" s="54"/>
      <c r="AO63" s="54"/>
      <c r="AP63" s="54"/>
    </row>
    <row r="64" spans="1:42" ht="17.25" x14ac:dyDescent="0.3">
      <c r="A64" s="54"/>
      <c r="B64" s="127" t="s">
        <v>910</v>
      </c>
      <c r="C64" s="112">
        <f>SUMPRODUCT(--(TRIM('[1]AT GLOBAL DEA'!$I$3:$I$1490)="BLDPMSRY")*('[1]AT GLOBAL DEA'!$L$3:$L$1490="O")*('[1]AT GLOBAL DEA'!$K$3:$K$1490="S"))</f>
        <v>0</v>
      </c>
      <c r="D64" s="113">
        <f>SUMPRODUCT(--(TRIM('[1]AT GLOBAL DEA'!$I$3:$I$1490)="BLDPMSRY")*('[1]AT GLOBAL DEA'!$L$3:$L$1490="N")*('[1]AT GLOBAL DEA'!$M$3:$M$1490="N")*('[1]AT GLOBAL DEA'!$K$3:$K$1490="S"))</f>
        <v>0</v>
      </c>
      <c r="E64" s="114">
        <f>SUMPRODUCT(--(TRIM('[1]AT GLOBAL DEA'!$I$3:$I$1490)="BLDPMSRY")*('[1]AT GLOBAL DEA'!$L$3:$L$1490="O")*('[1]AT GLOBAL DEA'!$K$3:$K$1490="S"))</f>
        <v>0</v>
      </c>
      <c r="F64" s="195"/>
      <c r="G64" s="116">
        <f>SUMPRODUCT(--(TRIM('[1]AT GLOBAL DEA'!$I$3:$I$1490)="BLDPMSRY")*('[1]AT GLOBAL DEA'!$L$3:$L$1490="O")*('[1]AT GLOBAL DEA'!$K$3:$K$1490="T"))</f>
        <v>0</v>
      </c>
      <c r="H64" s="116">
        <f>SUMPRODUCT(--(TRIM('[1]AT GLOBAL DEA'!$I$3:$I$1490)="BLDPMSRY")*('[1]AT GLOBAL DEA'!$L$3:$L$1490="N")*('[1]AT GLOBAL DEA'!$K$3:$K$1490="T"))</f>
        <v>1</v>
      </c>
      <c r="I64" s="118">
        <f>SUMPRODUCT(--(TRIM('[1]AT GLOBAL DEA'!$I$3:$I$1490)="BLDPMSRY")*('[1]AT GLOBAL DEA'!$L$3:$L$1490="O")*('[1]AT GLOBAL DEA'!$K$3:$K$1490="T")*('[1]AT GLOBAL DEA'!$N$3:$N$1490))</f>
        <v>0</v>
      </c>
      <c r="J64" s="101"/>
      <c r="K64" s="171" t="s">
        <v>910</v>
      </c>
      <c r="L64" s="128"/>
      <c r="M64" s="129"/>
      <c r="N64" s="129"/>
      <c r="O64" s="129"/>
      <c r="P64" s="129"/>
      <c r="Q64" s="129"/>
      <c r="R64" s="129"/>
      <c r="S64" s="129"/>
      <c r="T64" s="129"/>
      <c r="U64" s="129"/>
      <c r="V64" s="130"/>
      <c r="W64" s="91"/>
      <c r="X64" s="131"/>
      <c r="Y64" s="132"/>
      <c r="Z64" s="132"/>
      <c r="AA64" s="132"/>
      <c r="AB64" s="132"/>
      <c r="AC64" s="132"/>
      <c r="AD64" s="132"/>
      <c r="AE64" s="132"/>
      <c r="AF64" s="132"/>
      <c r="AG64" s="132"/>
      <c r="AH64" s="132"/>
      <c r="AI64" s="133"/>
      <c r="AJ64" s="134"/>
      <c r="AK64" s="54"/>
      <c r="AL64" s="54"/>
      <c r="AM64" s="54"/>
      <c r="AN64" s="54"/>
      <c r="AO64" s="54"/>
      <c r="AP64" s="54"/>
    </row>
    <row r="65" spans="1:42" ht="17.25" x14ac:dyDescent="0.3">
      <c r="A65" s="54"/>
      <c r="B65" s="111" t="s">
        <v>911</v>
      </c>
      <c r="C65" s="112">
        <f>SUMPRODUCT(--(TRIM('[1]AT GLOBAL DEA'!$I$3:$I$1490)="BLDPMSVL")*('[1]AT GLOBAL DEA'!$L$3:$L$1490="O")*('[1]AT GLOBAL DEA'!$K$3:$K$1490="S"))</f>
        <v>0</v>
      </c>
      <c r="D65" s="113">
        <f>SUMPRODUCT(--(TRIM('[1]AT GLOBAL DEA'!$I$3:$I$1490)="BLDPMSVL")*('[1]AT GLOBAL DEA'!$L$3:$L$1490="N")*('[1]AT GLOBAL DEA'!$M$3:$M$1490="N")*('[1]AT GLOBAL DEA'!$K$3:$K$1490="S"))</f>
        <v>5</v>
      </c>
      <c r="E65" s="114">
        <f>SUMPRODUCT(--(TRIM('[1]AT GLOBAL DEA'!$I$3:$I$1490)="BLDPMSVL")*('[1]AT GLOBAL DEA'!$L$3:$L$1490="O")*('[1]AT GLOBAL DEA'!$K$3:$K$1490="S"))</f>
        <v>0</v>
      </c>
      <c r="F65" s="195"/>
      <c r="G65" s="116">
        <f>SUMPRODUCT(--(TRIM('[1]AT GLOBAL DEA'!$I$3:$I$1490)="BLDPMSVL")*('[1]AT GLOBAL DEA'!$L$3:$L$1490="O")*('[1]AT GLOBAL DEA'!$K$3:$K$1490="T"))</f>
        <v>0</v>
      </c>
      <c r="H65" s="116">
        <f>SUMPRODUCT(--(TRIM('[1]AT GLOBAL DEA'!$I$3:$I$1490)="BLDPMSVL")*('[1]AT GLOBAL DEA'!$L$3:$L$1490="N")*('[1]AT GLOBAL DEA'!$K$3:$K$1490="T"))</f>
        <v>0</v>
      </c>
      <c r="I65" s="118">
        <f>SUMPRODUCT(--(TRIM('[1]AT GLOBAL DEA'!$I$3:$I$1490)="BLDPMSVL")*('[1]AT GLOBAL DEA'!$L$3:$L$1490="O")*('[1]AT GLOBAL DEA'!$K$3:$K$1490="T")*('[1]AT GLOBAL DEA'!$N$3:$N$1490))</f>
        <v>0</v>
      </c>
      <c r="J65" s="101"/>
      <c r="K65" s="164" t="s">
        <v>911</v>
      </c>
      <c r="L65" s="120"/>
      <c r="M65" s="121"/>
      <c r="N65" s="121"/>
      <c r="O65" s="121"/>
      <c r="P65" s="121"/>
      <c r="Q65" s="121"/>
      <c r="R65" s="121"/>
      <c r="S65" s="121"/>
      <c r="T65" s="121"/>
      <c r="U65" s="121"/>
      <c r="V65" s="122"/>
      <c r="W65" s="91"/>
      <c r="X65" s="123"/>
      <c r="Y65" s="124"/>
      <c r="Z65" s="124"/>
      <c r="AA65" s="124"/>
      <c r="AB65" s="124"/>
      <c r="AC65" s="124"/>
      <c r="AD65" s="124"/>
      <c r="AE65" s="124"/>
      <c r="AF65" s="124"/>
      <c r="AG65" s="124"/>
      <c r="AH65" s="124"/>
      <c r="AI65" s="125"/>
      <c r="AJ65" s="126"/>
      <c r="AK65" s="54"/>
      <c r="AL65" s="54"/>
      <c r="AM65" s="54"/>
      <c r="AN65" s="54"/>
      <c r="AO65" s="54"/>
      <c r="AP65" s="54"/>
    </row>
    <row r="66" spans="1:42" ht="17.25" x14ac:dyDescent="0.3">
      <c r="A66" s="54"/>
      <c r="B66" s="127" t="s">
        <v>912</v>
      </c>
      <c r="C66" s="112">
        <f>SUMPRODUCT(--(TRIM('[1]AT GLOBAL DEA'!$I$3:$I$1490)="BLDPTDTL")*('[1]AT GLOBAL DEA'!$L$3:$L$1490="O")*('[1]AT GLOBAL DEA'!$K$3:$K$1490="S"))</f>
        <v>1</v>
      </c>
      <c r="D66" s="113">
        <f>SUMPRODUCT(--(TRIM('[1]AT GLOBAL DEA'!$I$3:$I$1490)="BLDPTDTL")*('[1]AT GLOBAL DEA'!$L$3:$L$1490="N")*('[1]AT GLOBAL DEA'!$M$3:$M$1490="N")*('[1]AT GLOBAL DEA'!$K$3:$K$1490="S"))</f>
        <v>0</v>
      </c>
      <c r="E66" s="114">
        <f>SUMPRODUCT(--(TRIM('[1]AT GLOBAL DEA'!$I$3:$I$1490)="BLDPTDTL")*('[1]AT GLOBAL DEA'!$L$3:$L$1490="O")*('[1]AT GLOBAL DEA'!$K$3:$K$1490="S"))</f>
        <v>1</v>
      </c>
      <c r="F66" s="115">
        <f>SUMPRODUCT(--(TRIM('[1]AT GLOBAL DEA'!$I$3:$I$1490)="BLDPTDTL")*('[1]AT GLOBAL DEA'!$L$3:$L$1490="O")*('[1]AT GLOBAL DEA'!$K$3:$K$1490="S")*('[1]AT GLOBAL DEA'!$N$3:$N$1490))</f>
        <v>25</v>
      </c>
      <c r="G66" s="116">
        <f>SUMPRODUCT(--(TRIM('[1]AT GLOBAL DEA'!$I$3:$I$1490)="BLDPTDTL")*('[1]AT GLOBAL DEA'!$L$3:$L$1490="O")*('[1]AT GLOBAL DEA'!$K$3:$K$1490="T"))</f>
        <v>0</v>
      </c>
      <c r="H66" s="116">
        <f>SUMPRODUCT(--(TRIM('[1]AT GLOBAL DEA'!$I$3:$I$1490)="BLDPTDTL")*('[1]AT GLOBAL DEA'!$L$3:$L$1490="N")*('[1]AT GLOBAL DEA'!$K$3:$K$1490="T"))</f>
        <v>0</v>
      </c>
      <c r="I66" s="118">
        <f>SUMPRODUCT(--(TRIM('[1]AT GLOBAL DEA'!$I$3:$I$1490)="BLDPTDTL")*('[1]AT GLOBAL DEA'!$L$3:$L$1490="O")*('[1]AT GLOBAL DEA'!$K$3:$K$1490="T")*('[1]AT GLOBAL DEA'!$N$3:$N$1490))</f>
        <v>0</v>
      </c>
      <c r="J66" s="101"/>
      <c r="K66" s="171" t="s">
        <v>912</v>
      </c>
      <c r="L66" s="128">
        <f>SUMPRODUCT(--(TRIM([1]MATRICE!$D$5:$D$490)="BLDPTDTL")*([1]MATRICE!$F$5:$F$490="Moins de 20 ans")*([1]MATRICE!$G$5:$G$490="S")*([1]MATRICE!$I$5:$I$490="O"))</f>
        <v>0</v>
      </c>
      <c r="M66" s="129">
        <f>SUMPRODUCT(--(TRIM([1]MATRICE!$D$5:$D$490)="BLDPTDTL")*([1]MATRICE!$F$5:$F$490="20 à 24 ans")*([1]MATRICE!$G$5:$G$490="S")*([1]MATRICE!$I$5:$I$490="O"))</f>
        <v>1</v>
      </c>
      <c r="N66" s="129">
        <f>SUMPRODUCT(--(TRIM([1]MATRICE!$D$5:$D$490)="BLDPTDTL")*([1]MATRICE!$F$5:$F$490="25 à 29 ans")*([1]MATRICE!$G$5:$G$490="S")*([1]MATRICE!$I$5:$I$490="O"))</f>
        <v>0</v>
      </c>
      <c r="O66" s="129">
        <f>SUMPRODUCT(--(TRIM([1]MATRICE!$D$5:$D$490)="BLDPTDTL")*([1]MATRICE!$F$5:$F$490="30 à 34 ans")*([1]MATRICE!$G$5:$G$490="S")*([1]MATRICE!$I$5:$I$490="O"))</f>
        <v>0</v>
      </c>
      <c r="P66" s="129">
        <f>SUMPRODUCT(--(TRIM([1]MATRICE!$D$5:$D$490)="BLDPTDTL")*([1]MATRICE!$F$5:$F$490="35 à 39 ans")*([1]MATRICE!$G$5:$G$490="S")*([1]MATRICE!$I$5:$I$490="O"))</f>
        <v>0</v>
      </c>
      <c r="Q66" s="173">
        <f>SUMPRODUCT(--(TRIM([1]MATRICE!$D$5:$D$490)="BLDPTDTL")*([1]MATRICE!$F$5:$F$490="40 à 44 ans")*([1]MATRICE!$G$5:$G$490="S")*([1]MATRICE!$I$5:$I$490="O"))</f>
        <v>0</v>
      </c>
      <c r="R66" s="129">
        <f>SUMPRODUCT(--(TRIM([1]MATRICE!$D$5:$D$490)="BLDPTDTL")*([1]MATRICE!$F$5:$F$490="Moins de 20 ans")*([1]MATRICE!$G$5:$G$490="S")*([1]MATRICE!$I$5:$I$490="O"))</f>
        <v>0</v>
      </c>
      <c r="S66" s="129">
        <f>SUMPRODUCT(--(TRIM([1]MATRICE!$D$5:$D$490)="BLDPTDTL")*([1]MATRICE!$F$5:$F$490="Moins de 20 ans")*([1]MATRICE!$G$5:$G$490="S")*([1]MATRICE!$I$5:$I$490="O"))</f>
        <v>0</v>
      </c>
      <c r="T66" s="129">
        <f>SUMPRODUCT(--(TRIM([1]MATRICE!$D$5:$D$490)="BLDPTDTL")*([1]MATRICE!$F$5:$F$490="Moins de 20 ans")*([1]MATRICE!$G$5:$G$490="S")*([1]MATRICE!$I$5:$I$490="O"))</f>
        <v>0</v>
      </c>
      <c r="U66" s="129">
        <f>SUMPRODUCT(--(TRIM([1]MATRICE!$D$5:$D$490)="BLDPTDTL")*([1]MATRICE!$F$5:$F$490="Moins de 20 ans")*([1]MATRICE!$G$5:$G$490="S")*([1]MATRICE!$I$5:$I$490="O"))</f>
        <v>0</v>
      </c>
      <c r="V66" s="130">
        <f>SUM(L66:U66)</f>
        <v>1</v>
      </c>
      <c r="W66" s="91"/>
      <c r="X66" s="131"/>
      <c r="Y66" s="132"/>
      <c r="Z66" s="132"/>
      <c r="AA66" s="132"/>
      <c r="AB66" s="132"/>
      <c r="AC66" s="132"/>
      <c r="AD66" s="132"/>
      <c r="AE66" s="132"/>
      <c r="AF66" s="132"/>
      <c r="AG66" s="132"/>
      <c r="AH66" s="132"/>
      <c r="AI66" s="133"/>
      <c r="AJ66" s="134"/>
      <c r="AK66" s="54"/>
      <c r="AL66" s="54"/>
      <c r="AM66" s="54"/>
      <c r="AN66" s="54"/>
      <c r="AO66" s="54"/>
      <c r="AP66" s="54"/>
    </row>
    <row r="67" spans="1:42" ht="17.25" x14ac:dyDescent="0.3">
      <c r="A67" s="54"/>
      <c r="B67" s="111" t="s">
        <v>913</v>
      </c>
      <c r="C67" s="112">
        <f>SUMPRODUCT(--(TRIM('[1]AT GLOBAL DEA'!$I$3:$I$1490)="BLDPUDRY")*('[1]AT GLOBAL DEA'!$L$3:$L$1490="O")*('[1]AT GLOBAL DEA'!$K$3:$K$1490="S"))</f>
        <v>1</v>
      </c>
      <c r="D67" s="113">
        <f>SUMPRODUCT(--(TRIM('[1]AT GLOBAL DEA'!$I$3:$I$1490)="BLDPUDRY")*('[1]AT GLOBAL DEA'!$L$3:$L$1490="N")*('[1]AT GLOBAL DEA'!$M$3:$M$1490="N")*('[1]AT GLOBAL DEA'!$K$3:$K$1490="S"))</f>
        <v>0</v>
      </c>
      <c r="E67" s="114">
        <f>SUMPRODUCT(--(TRIM('[1]AT GLOBAL DEA'!$I$3:$I$1490)="BLDPUDRY")*('[1]AT GLOBAL DEA'!$L$3:$L$1490="O")*('[1]AT GLOBAL DEA'!$K$3:$K$1490="S"))</f>
        <v>1</v>
      </c>
      <c r="F67" s="195"/>
      <c r="G67" s="116">
        <f>SUMPRODUCT(--(TRIM('[1]AT GLOBAL DEA'!$I$3:$I$1490)="BLDPUDRY")*('[1]AT GLOBAL DEA'!$L$3:$L$1490="O")*('[1]AT GLOBAL DEA'!$K$3:$K$1490="T"))</f>
        <v>0</v>
      </c>
      <c r="H67" s="116">
        <f>SUMPRODUCT(--(TRIM('[1]AT GLOBAL DEA'!$I$3:$I$1490)="BLDPUDRY")*('[1]AT GLOBAL DEA'!$L$3:$L$1490="N")*('[1]AT GLOBAL DEA'!$K$3:$K$1490="T"))</f>
        <v>0</v>
      </c>
      <c r="I67" s="118">
        <f>SUMPRODUCT(--(TRIM('[1]AT GLOBAL DEA'!$I$3:$I$1490)="BLDPUDRY")*('[1]AT GLOBAL DEA'!$L$3:$L$1490="O")*('[1]AT GLOBAL DEA'!$K$3:$K$1490="T")*('[1]AT GLOBAL DEA'!$N$3:$N$1490))</f>
        <v>0</v>
      </c>
      <c r="J67" s="101"/>
      <c r="K67" s="164" t="s">
        <v>913</v>
      </c>
      <c r="L67" s="120"/>
      <c r="M67" s="121"/>
      <c r="N67" s="121"/>
      <c r="O67" s="121"/>
      <c r="P67" s="121"/>
      <c r="Q67" s="121"/>
      <c r="R67" s="121"/>
      <c r="S67" s="121"/>
      <c r="T67" s="121"/>
      <c r="U67" s="121"/>
      <c r="V67" s="122"/>
      <c r="W67" s="91"/>
      <c r="X67" s="123"/>
      <c r="Y67" s="124"/>
      <c r="Z67" s="124"/>
      <c r="AA67" s="124"/>
      <c r="AB67" s="124"/>
      <c r="AC67" s="124"/>
      <c r="AD67" s="124"/>
      <c r="AE67" s="124"/>
      <c r="AF67" s="124"/>
      <c r="AG67" s="124"/>
      <c r="AH67" s="124"/>
      <c r="AI67" s="125"/>
      <c r="AJ67" s="126"/>
      <c r="AK67" s="54"/>
      <c r="AL67" s="54"/>
      <c r="AM67" s="54"/>
      <c r="AN67" s="54"/>
      <c r="AO67" s="54"/>
      <c r="AP67" s="54"/>
    </row>
    <row r="68" spans="1:42" ht="18" thickBot="1" x14ac:dyDescent="0.35">
      <c r="A68" s="54"/>
      <c r="B68" s="181" t="s">
        <v>914</v>
      </c>
      <c r="C68" s="136">
        <f>SUMPRODUCT(--(TRIM('[1]AT GLOBAL DEA'!$I$3:$I$1490)="BLDPVDOR")*('[1]AT GLOBAL DEA'!$L$3:$L$1490="O")*('[1]AT GLOBAL DEA'!$K$3:$K$1490="S"))</f>
        <v>0</v>
      </c>
      <c r="D68" s="137">
        <f>SUMPRODUCT(--(TRIM('[1]AT GLOBAL DEA'!$I$3:$I$1490)="BLDPVDOR")*('[1]AT GLOBAL DEA'!$L$3:$L$1490="N")*('[1]AT GLOBAL DEA'!$M$3:$M$1490="N")*('[1]AT GLOBAL DEA'!$K$3:$K$1490="S"))</f>
        <v>0</v>
      </c>
      <c r="E68" s="138">
        <f>SUMPRODUCT(--(TRIM('[1]AT GLOBAL DEA'!$I$3:$I$1490)="BLDPVDOR")*('[1]AT GLOBAL DEA'!$L$3:$L$1490="O")*('[1]AT GLOBAL DEA'!$K$3:$K$1490="S"))</f>
        <v>0</v>
      </c>
      <c r="F68" s="197"/>
      <c r="G68" s="140">
        <f>SUMPRODUCT(--(TRIM('[1]AT GLOBAL DEA'!$I$3:$I$1490)="BLDPVDOR")*('[1]AT GLOBAL DEA'!$L$3:$L$1490="O")*('[1]AT GLOBAL DEA'!$K$3:$K$1490="T"))</f>
        <v>2</v>
      </c>
      <c r="H68" s="140">
        <f>SUMPRODUCT(--(TRIM('[1]AT GLOBAL DEA'!$I$3:$I$1490)="BLDPVDOR")*('[1]AT GLOBAL DEA'!$L$3:$L$1490="N")*('[1]AT GLOBAL DEA'!$K$3:$K$1490="T"))</f>
        <v>1</v>
      </c>
      <c r="I68" s="142">
        <f>SUMPRODUCT(--(TRIM('[1]AT GLOBAL DEA'!$I$3:$I$1490)="BLDPVDOR")*('[1]AT GLOBAL DEA'!$L$3:$L$1490="O")*('[1]AT GLOBAL DEA'!$K$3:$K$1490="T")*('[1]AT GLOBAL DEA'!$N$3:$N$1490))</f>
        <v>13</v>
      </c>
      <c r="J68" s="206"/>
      <c r="K68" s="205" t="s">
        <v>914</v>
      </c>
      <c r="L68" s="207"/>
      <c r="M68" s="208"/>
      <c r="N68" s="208"/>
      <c r="O68" s="208"/>
      <c r="P68" s="208"/>
      <c r="Q68" s="208"/>
      <c r="R68" s="208"/>
      <c r="S68" s="208"/>
      <c r="T68" s="208"/>
      <c r="U68" s="208"/>
      <c r="V68" s="209"/>
      <c r="W68" s="91"/>
      <c r="X68" s="175"/>
      <c r="Y68" s="176"/>
      <c r="Z68" s="176"/>
      <c r="AA68" s="176"/>
      <c r="AB68" s="176"/>
      <c r="AC68" s="176"/>
      <c r="AD68" s="176"/>
      <c r="AE68" s="176"/>
      <c r="AF68" s="176"/>
      <c r="AG68" s="176"/>
      <c r="AH68" s="176"/>
      <c r="AI68" s="177"/>
      <c r="AJ68" s="178"/>
      <c r="AK68" s="54"/>
      <c r="AL68" s="54"/>
      <c r="AM68" s="54"/>
      <c r="AN68" s="54"/>
      <c r="AO68" s="54"/>
      <c r="AP68" s="54"/>
    </row>
    <row r="69" spans="1:42" x14ac:dyDescent="0.25">
      <c r="A69" s="54"/>
      <c r="B69" s="55"/>
      <c r="C69" s="55"/>
      <c r="D69" s="55"/>
      <c r="E69" s="55"/>
      <c r="F69" s="55"/>
      <c r="G69" s="55"/>
      <c r="H69" s="55"/>
      <c r="I69" s="55"/>
      <c r="J69" s="55"/>
      <c r="K69" s="55"/>
      <c r="L69" s="56"/>
      <c r="M69" s="56"/>
      <c r="N69" s="56"/>
      <c r="O69" s="56"/>
      <c r="P69" s="56"/>
      <c r="Q69" s="56"/>
      <c r="R69" s="56"/>
      <c r="S69" s="56"/>
      <c r="T69" s="56"/>
      <c r="U69" s="56"/>
      <c r="V69" s="56"/>
      <c r="W69" s="55"/>
      <c r="X69" s="55"/>
      <c r="Y69" s="55"/>
      <c r="Z69" s="55"/>
      <c r="AA69" s="55"/>
      <c r="AB69" s="55"/>
      <c r="AC69" s="54"/>
      <c r="AD69" s="54"/>
      <c r="AE69" s="54"/>
      <c r="AF69" s="54"/>
      <c r="AG69" s="54"/>
      <c r="AH69" s="54"/>
      <c r="AI69" s="54"/>
      <c r="AJ69" s="54"/>
      <c r="AK69" s="54"/>
      <c r="AL69" s="54"/>
      <c r="AM69" s="54"/>
      <c r="AN69" s="54"/>
      <c r="AO69" s="54"/>
      <c r="AP69" s="54"/>
    </row>
    <row r="70" spans="1:42" ht="15.75" x14ac:dyDescent="0.25">
      <c r="A70" s="54"/>
      <c r="B70" s="210" t="s">
        <v>847</v>
      </c>
      <c r="C70" s="211">
        <f t="shared" ref="C70:I70" si="18">SUM(C6,C17,C28,C40,C51,C56,C60)</f>
        <v>77</v>
      </c>
      <c r="D70" s="212">
        <f t="shared" si="18"/>
        <v>103</v>
      </c>
      <c r="E70" s="213">
        <f t="shared" si="18"/>
        <v>15</v>
      </c>
      <c r="F70" s="214">
        <f t="shared" si="18"/>
        <v>1904</v>
      </c>
      <c r="G70" s="215">
        <f t="shared" si="18"/>
        <v>13</v>
      </c>
      <c r="H70" s="215">
        <f t="shared" si="18"/>
        <v>14</v>
      </c>
      <c r="I70" s="214">
        <f t="shared" si="18"/>
        <v>300</v>
      </c>
      <c r="J70" s="216"/>
      <c r="K70" s="216"/>
      <c r="L70" s="56"/>
      <c r="M70" s="56"/>
      <c r="N70" s="56"/>
      <c r="O70" s="56"/>
      <c r="P70" s="56"/>
      <c r="Q70" s="56"/>
      <c r="R70" s="56"/>
      <c r="S70" s="56"/>
      <c r="T70" s="56"/>
      <c r="U70" s="56"/>
      <c r="V70" s="56"/>
      <c r="W70" s="55"/>
      <c r="X70" s="55"/>
      <c r="Y70" s="55"/>
      <c r="Z70" s="55"/>
      <c r="AA70" s="55"/>
      <c r="AB70" s="55"/>
      <c r="AC70" s="54"/>
      <c r="AD70" s="54"/>
      <c r="AE70" s="54"/>
      <c r="AF70" s="54"/>
      <c r="AG70" s="54"/>
      <c r="AH70" s="54"/>
      <c r="AI70" s="54"/>
      <c r="AJ70" s="54"/>
      <c r="AK70" s="54"/>
      <c r="AL70" s="54"/>
      <c r="AM70" s="54"/>
      <c r="AN70" s="54"/>
      <c r="AO70" s="54"/>
      <c r="AP70" s="54"/>
    </row>
    <row r="71" spans="1:42" x14ac:dyDescent="0.25">
      <c r="A71" s="54"/>
      <c r="B71" s="55"/>
      <c r="C71" s="55"/>
      <c r="D71" s="55"/>
      <c r="E71" s="55"/>
      <c r="F71" s="55"/>
      <c r="G71" s="55"/>
      <c r="H71" s="55"/>
      <c r="I71" s="55"/>
      <c r="J71" s="55"/>
      <c r="K71" s="55"/>
      <c r="L71" s="56"/>
      <c r="M71" s="56"/>
      <c r="N71" s="56"/>
      <c r="O71" s="56"/>
      <c r="P71" s="56"/>
      <c r="Q71" s="56"/>
      <c r="R71" s="56"/>
      <c r="S71" s="56"/>
      <c r="T71" s="56"/>
      <c r="U71" s="56"/>
      <c r="V71" s="56"/>
      <c r="W71" s="55"/>
      <c r="X71" s="55"/>
      <c r="Y71" s="55"/>
      <c r="Z71" s="55"/>
      <c r="AA71" s="55"/>
      <c r="AB71" s="55"/>
      <c r="AC71" s="54"/>
      <c r="AD71" s="54"/>
      <c r="AE71" s="54"/>
      <c r="AF71" s="54"/>
      <c r="AG71" s="54"/>
      <c r="AH71" s="54"/>
      <c r="AI71" s="54"/>
      <c r="AJ71" s="54"/>
      <c r="AK71" s="54"/>
      <c r="AL71" s="54"/>
      <c r="AM71" s="54"/>
      <c r="AN71" s="54"/>
      <c r="AO71" s="54"/>
      <c r="AP71" s="54"/>
    </row>
    <row r="72" spans="1:42" ht="38.25" customHeight="1" x14ac:dyDescent="0.25">
      <c r="A72" s="54"/>
      <c r="B72" s="217" t="s">
        <v>915</v>
      </c>
      <c r="C72" s="218">
        <f>SUM(C70,D70,E70)</f>
        <v>195</v>
      </c>
      <c r="D72" s="219"/>
      <c r="E72" s="220" t="s">
        <v>27</v>
      </c>
      <c r="F72" s="221"/>
      <c r="G72" s="222">
        <f>SUM(G70,H70)</f>
        <v>27</v>
      </c>
      <c r="H72" s="223"/>
      <c r="I72" s="55"/>
      <c r="J72" s="55"/>
      <c r="K72" s="55"/>
      <c r="L72" s="56"/>
      <c r="M72" s="56"/>
      <c r="N72" s="56"/>
      <c r="O72" s="56"/>
      <c r="P72" s="56"/>
      <c r="Q72" s="56"/>
      <c r="R72" s="56"/>
      <c r="S72" s="56"/>
      <c r="T72" s="56"/>
      <c r="U72" s="56"/>
      <c r="V72" s="56"/>
      <c r="W72" s="55"/>
      <c r="X72" s="55"/>
      <c r="Y72" s="55"/>
      <c r="Z72" s="55"/>
      <c r="AA72" s="55"/>
      <c r="AB72" s="55"/>
      <c r="AC72" s="54"/>
      <c r="AD72" s="54"/>
      <c r="AE72" s="54"/>
      <c r="AF72" s="54"/>
      <c r="AG72" s="54"/>
      <c r="AH72" s="54"/>
      <c r="AI72" s="54"/>
      <c r="AJ72" s="54"/>
      <c r="AK72" s="54"/>
      <c r="AL72" s="54"/>
      <c r="AM72" s="54"/>
      <c r="AN72" s="54"/>
      <c r="AO72" s="54"/>
      <c r="AP72" s="54"/>
    </row>
    <row r="73" spans="1:42" ht="26.25" customHeight="1" x14ac:dyDescent="0.25">
      <c r="A73" s="54"/>
      <c r="B73" s="55"/>
      <c r="C73" s="55"/>
      <c r="D73" s="55"/>
      <c r="E73" s="55"/>
      <c r="F73" s="55"/>
      <c r="G73" s="55"/>
      <c r="H73" s="55"/>
      <c r="I73" s="55"/>
      <c r="J73" s="55"/>
      <c r="K73" s="55"/>
      <c r="L73" s="56"/>
      <c r="M73" s="56"/>
      <c r="N73" s="56"/>
      <c r="O73" s="56"/>
      <c r="P73" s="56"/>
      <c r="Q73" s="56"/>
      <c r="R73" s="56"/>
      <c r="S73" s="56"/>
      <c r="T73" s="56"/>
      <c r="U73" s="56"/>
      <c r="V73" s="56"/>
      <c r="W73" s="55"/>
      <c r="X73" s="55"/>
      <c r="Y73" s="55"/>
      <c r="Z73" s="55"/>
      <c r="AA73" s="55"/>
      <c r="AB73" s="55"/>
      <c r="AC73" s="54"/>
      <c r="AD73" s="54"/>
      <c r="AE73" s="54"/>
      <c r="AF73" s="54"/>
      <c r="AG73" s="54"/>
      <c r="AH73" s="54"/>
      <c r="AI73" s="54"/>
      <c r="AJ73" s="54"/>
      <c r="AK73" s="54"/>
      <c r="AL73" s="54"/>
      <c r="AM73" s="54"/>
      <c r="AN73" s="54"/>
      <c r="AO73" s="54"/>
      <c r="AP73" s="54"/>
    </row>
    <row r="74" spans="1:42" ht="15.75" thickBot="1" x14ac:dyDescent="0.3">
      <c r="A74" s="54"/>
      <c r="B74" s="55"/>
      <c r="C74" s="55"/>
      <c r="D74" s="55"/>
      <c r="E74" s="55"/>
      <c r="F74" s="55"/>
      <c r="G74" s="55"/>
      <c r="H74" s="55"/>
      <c r="I74" s="55"/>
      <c r="J74" s="55"/>
      <c r="K74" s="55"/>
      <c r="L74" s="56"/>
      <c r="M74" s="56"/>
      <c r="N74" s="56"/>
      <c r="O74" s="56"/>
      <c r="P74" s="56"/>
      <c r="Q74" s="56"/>
      <c r="R74" s="56"/>
      <c r="S74" s="56"/>
      <c r="T74" s="56"/>
      <c r="U74" s="56"/>
      <c r="V74" s="56"/>
      <c r="W74" s="55"/>
      <c r="X74" s="55"/>
      <c r="Y74" s="55"/>
      <c r="Z74" s="55"/>
      <c r="AA74" s="55"/>
      <c r="AB74" s="55"/>
      <c r="AC74" s="54"/>
      <c r="AD74" s="54"/>
      <c r="AE74" s="54"/>
      <c r="AF74" s="54"/>
      <c r="AG74" s="54"/>
      <c r="AH74" s="54"/>
      <c r="AI74" s="54"/>
      <c r="AJ74" s="54"/>
      <c r="AK74" s="54"/>
      <c r="AL74" s="54"/>
      <c r="AM74" s="54"/>
      <c r="AN74" s="54"/>
      <c r="AO74" s="54"/>
      <c r="AP74" s="54"/>
    </row>
    <row r="75" spans="1:42" ht="16.5" thickBot="1" x14ac:dyDescent="0.3">
      <c r="A75" s="54"/>
      <c r="B75" s="224" t="s">
        <v>916</v>
      </c>
      <c r="C75" s="225">
        <f>SUM(C17,C28,C51,C56)</f>
        <v>49</v>
      </c>
      <c r="D75" s="226">
        <f>SUM(D17,D28,D51)</f>
        <v>54</v>
      </c>
      <c r="E75" s="227">
        <f>SUM(E17,E28,E51)</f>
        <v>6</v>
      </c>
      <c r="F75" s="228">
        <f>SUM(F17,F28,F51,F56)</f>
        <v>1053</v>
      </c>
      <c r="G75" s="229">
        <f>SUM(G17,G28,G51)</f>
        <v>5</v>
      </c>
      <c r="H75" s="229">
        <f>SUM(H17,H28,H51)</f>
        <v>4</v>
      </c>
      <c r="I75" s="230">
        <f>SUM(I17,I28,I51)</f>
        <v>71</v>
      </c>
      <c r="J75" s="55"/>
      <c r="K75" s="55"/>
      <c r="L75" s="56"/>
      <c r="M75" s="56"/>
      <c r="N75" s="56"/>
      <c r="O75" s="56"/>
      <c r="P75" s="56"/>
      <c r="Q75" s="56"/>
      <c r="R75" s="56"/>
      <c r="S75" s="56"/>
      <c r="T75" s="56"/>
      <c r="U75" s="56"/>
      <c r="V75" s="56"/>
      <c r="W75" s="55"/>
      <c r="X75" s="55"/>
      <c r="Y75" s="55"/>
      <c r="Z75" s="55"/>
      <c r="AA75" s="55"/>
      <c r="AB75" s="55"/>
      <c r="AC75" s="54"/>
      <c r="AD75" s="54"/>
      <c r="AE75" s="54"/>
      <c r="AF75" s="54"/>
      <c r="AG75" s="54"/>
      <c r="AH75" s="54"/>
      <c r="AI75" s="54"/>
      <c r="AJ75" s="54"/>
      <c r="AK75" s="54"/>
      <c r="AL75" s="54"/>
      <c r="AM75" s="54"/>
      <c r="AN75" s="54"/>
      <c r="AO75" s="54"/>
      <c r="AP75" s="54"/>
    </row>
    <row r="76" spans="1:42" ht="15.75" x14ac:dyDescent="0.25">
      <c r="A76" s="54"/>
      <c r="B76" s="231"/>
      <c r="C76" s="232"/>
      <c r="D76" s="232"/>
      <c r="E76" s="232"/>
      <c r="F76" s="231"/>
      <c r="G76" s="232"/>
      <c r="H76" s="232"/>
      <c r="I76" s="231"/>
      <c r="J76" s="55"/>
      <c r="K76" s="55"/>
      <c r="L76" s="56"/>
      <c r="M76" s="56"/>
      <c r="N76" s="56"/>
      <c r="O76" s="56"/>
      <c r="P76" s="56"/>
      <c r="Q76" s="56"/>
      <c r="R76" s="56"/>
      <c r="S76" s="56"/>
      <c r="T76" s="56"/>
      <c r="U76" s="56"/>
      <c r="V76" s="56"/>
      <c r="W76" s="55"/>
      <c r="X76" s="55"/>
      <c r="Y76" s="55"/>
      <c r="Z76" s="55"/>
      <c r="AA76" s="55"/>
      <c r="AB76" s="55"/>
      <c r="AC76" s="54"/>
      <c r="AD76" s="54"/>
      <c r="AE76" s="54"/>
      <c r="AF76" s="54"/>
      <c r="AG76" s="54"/>
      <c r="AH76" s="54"/>
      <c r="AI76" s="54"/>
      <c r="AJ76" s="54"/>
      <c r="AK76" s="54"/>
      <c r="AL76" s="54"/>
      <c r="AM76" s="54"/>
      <c r="AN76" s="54"/>
      <c r="AO76" s="54"/>
      <c r="AP76" s="54"/>
    </row>
    <row r="77" spans="1:42" x14ac:dyDescent="0.25">
      <c r="A77" s="54"/>
      <c r="B77" s="55"/>
      <c r="C77" s="55"/>
      <c r="D77" s="55"/>
      <c r="E77" s="55"/>
      <c r="F77" s="55"/>
      <c r="G77" s="55"/>
      <c r="H77" s="55"/>
      <c r="I77" s="55"/>
      <c r="J77" s="55"/>
      <c r="K77" s="55"/>
      <c r="L77" s="56"/>
      <c r="M77" s="56"/>
      <c r="N77" s="56"/>
      <c r="O77" s="56"/>
      <c r="P77" s="56"/>
      <c r="Q77" s="56"/>
      <c r="R77" s="56"/>
      <c r="S77" s="56"/>
      <c r="T77" s="56"/>
      <c r="U77" s="56"/>
      <c r="V77" s="56"/>
      <c r="W77" s="55"/>
      <c r="X77" s="55"/>
      <c r="Y77" s="55"/>
      <c r="Z77" s="55"/>
      <c r="AA77" s="55"/>
      <c r="AB77" s="55"/>
      <c r="AC77" s="54"/>
      <c r="AD77" s="54"/>
      <c r="AE77" s="54"/>
      <c r="AF77" s="54"/>
      <c r="AG77" s="54"/>
      <c r="AH77" s="54"/>
      <c r="AI77" s="54"/>
      <c r="AJ77" s="54"/>
      <c r="AK77" s="54"/>
      <c r="AL77" s="54"/>
      <c r="AM77" s="54"/>
      <c r="AN77" s="54"/>
      <c r="AO77" s="54"/>
      <c r="AP77" s="54"/>
    </row>
    <row r="78" spans="1:42" x14ac:dyDescent="0.25">
      <c r="A78" s="54"/>
      <c r="B78" s="55"/>
      <c r="C78" s="55"/>
      <c r="D78" s="55"/>
      <c r="E78" s="55"/>
      <c r="F78" s="55"/>
      <c r="G78" s="55"/>
      <c r="H78" s="55"/>
      <c r="I78" s="55"/>
      <c r="J78" s="55"/>
      <c r="K78" s="55"/>
      <c r="L78" s="56"/>
      <c r="M78" s="56"/>
      <c r="N78" s="56"/>
      <c r="O78" s="56"/>
      <c r="P78" s="56"/>
      <c r="Q78" s="56"/>
      <c r="R78" s="56"/>
      <c r="S78" s="56"/>
      <c r="T78" s="56"/>
      <c r="U78" s="56"/>
      <c r="V78" s="56"/>
      <c r="W78" s="55"/>
      <c r="X78" s="55"/>
      <c r="Y78" s="55"/>
      <c r="Z78" s="55"/>
      <c r="AA78" s="55"/>
      <c r="AB78" s="55"/>
      <c r="AC78" s="54"/>
      <c r="AD78" s="54"/>
      <c r="AE78" s="54"/>
      <c r="AF78" s="54"/>
      <c r="AG78" s="54"/>
      <c r="AH78" s="54"/>
      <c r="AI78" s="54"/>
      <c r="AJ78" s="54"/>
      <c r="AK78" s="54"/>
      <c r="AL78" s="54"/>
      <c r="AM78" s="54"/>
      <c r="AN78" s="54"/>
      <c r="AO78" s="54"/>
      <c r="AP78" s="54"/>
    </row>
    <row r="79" spans="1:42" x14ac:dyDescent="0.25">
      <c r="A79" s="54"/>
      <c r="B79" s="55"/>
      <c r="C79" s="55"/>
      <c r="D79" s="55"/>
      <c r="E79" s="55"/>
      <c r="F79" s="55"/>
      <c r="G79" s="55"/>
      <c r="H79" s="55"/>
      <c r="I79" s="55"/>
      <c r="J79" s="55"/>
      <c r="K79" s="55"/>
      <c r="L79" s="56"/>
      <c r="M79" s="56"/>
      <c r="N79" s="56"/>
      <c r="O79" s="56"/>
      <c r="P79" s="56"/>
      <c r="Q79" s="56"/>
      <c r="R79" s="56"/>
      <c r="S79" s="56"/>
      <c r="T79" s="56"/>
      <c r="U79" s="56"/>
      <c r="V79" s="56"/>
      <c r="W79" s="55"/>
      <c r="X79" s="55"/>
      <c r="Y79" s="55"/>
      <c r="Z79" s="55"/>
      <c r="AA79" s="55"/>
      <c r="AB79" s="55"/>
      <c r="AC79" s="54"/>
      <c r="AD79" s="54"/>
      <c r="AE79" s="54"/>
      <c r="AF79" s="54"/>
      <c r="AG79" s="54"/>
      <c r="AH79" s="54"/>
      <c r="AI79" s="54"/>
      <c r="AJ79" s="54"/>
      <c r="AK79" s="54"/>
      <c r="AL79" s="54"/>
      <c r="AM79" s="54"/>
      <c r="AN79" s="54"/>
      <c r="AO79" s="54"/>
      <c r="AP79" s="54"/>
    </row>
    <row r="80" spans="1:42" x14ac:dyDescent="0.25">
      <c r="A80" s="54"/>
      <c r="B80" s="55"/>
      <c r="C80" s="55"/>
      <c r="D80" s="55"/>
      <c r="E80" s="55"/>
      <c r="F80" s="55"/>
      <c r="G80" s="55"/>
      <c r="H80" s="55"/>
      <c r="I80" s="55"/>
      <c r="J80" s="55"/>
      <c r="K80" s="55"/>
      <c r="L80" s="56"/>
      <c r="M80" s="56"/>
      <c r="N80" s="56"/>
      <c r="O80" s="56"/>
      <c r="P80" s="56"/>
      <c r="Q80" s="56"/>
      <c r="R80" s="56"/>
      <c r="S80" s="56"/>
      <c r="T80" s="56"/>
      <c r="U80" s="56"/>
      <c r="V80" s="56"/>
      <c r="W80" s="55"/>
      <c r="X80" s="55"/>
      <c r="Y80" s="55"/>
      <c r="Z80" s="55"/>
      <c r="AA80" s="55"/>
      <c r="AB80" s="55"/>
      <c r="AC80" s="54"/>
      <c r="AD80" s="54"/>
      <c r="AE80" s="54"/>
      <c r="AF80" s="54"/>
      <c r="AG80" s="54"/>
      <c r="AH80" s="54"/>
      <c r="AI80" s="54"/>
      <c r="AJ80" s="54"/>
      <c r="AK80" s="54"/>
      <c r="AL80" s="54"/>
      <c r="AM80" s="54"/>
      <c r="AN80" s="54"/>
      <c r="AO80" s="54"/>
      <c r="AP80" s="54"/>
    </row>
    <row r="81" spans="1:59" x14ac:dyDescent="0.25">
      <c r="A81" s="54"/>
      <c r="B81" s="55"/>
      <c r="C81" s="55"/>
      <c r="D81" s="55"/>
      <c r="E81" s="55"/>
      <c r="F81" s="55"/>
      <c r="G81" s="55"/>
      <c r="H81" s="55"/>
      <c r="I81" s="55"/>
      <c r="J81" s="55"/>
      <c r="K81" s="55"/>
      <c r="L81" s="56"/>
      <c r="M81" s="56"/>
      <c r="N81" s="56"/>
      <c r="O81" s="56"/>
      <c r="P81" s="56"/>
      <c r="Q81" s="56"/>
      <c r="R81" s="56"/>
      <c r="S81" s="56"/>
      <c r="T81" s="56"/>
      <c r="U81" s="56"/>
      <c r="V81" s="56"/>
      <c r="W81" s="55"/>
      <c r="X81" s="55"/>
      <c r="Y81" s="55"/>
      <c r="Z81" s="55"/>
      <c r="AA81" s="55"/>
      <c r="AB81" s="55"/>
      <c r="AC81" s="54"/>
      <c r="AD81" s="54"/>
      <c r="AE81" s="54"/>
      <c r="AF81" s="54"/>
      <c r="AG81" s="54"/>
      <c r="AH81" s="54"/>
      <c r="AI81" s="54"/>
      <c r="AJ81" s="54"/>
      <c r="AK81" s="54"/>
      <c r="AL81" s="54"/>
      <c r="AM81" s="54"/>
      <c r="AN81" s="54"/>
      <c r="AO81" s="54"/>
      <c r="AP81" s="54"/>
    </row>
    <row r="82" spans="1:59" x14ac:dyDescent="0.25">
      <c r="A82" s="54"/>
      <c r="B82" s="55"/>
      <c r="C82" s="55"/>
      <c r="D82" s="55"/>
      <c r="E82" s="55"/>
      <c r="F82" s="55"/>
      <c r="G82" s="55"/>
      <c r="H82" s="55"/>
      <c r="I82" s="55"/>
      <c r="J82" s="55"/>
      <c r="K82" s="55"/>
      <c r="L82" s="56"/>
      <c r="M82" s="56"/>
      <c r="N82" s="56"/>
      <c r="O82" s="56"/>
      <c r="P82" s="56"/>
      <c r="Q82" s="56"/>
      <c r="R82" s="56"/>
      <c r="S82" s="56"/>
      <c r="T82" s="56"/>
      <c r="U82" s="56"/>
      <c r="V82" s="56"/>
      <c r="W82" s="55"/>
      <c r="X82" s="55"/>
      <c r="Y82" s="55"/>
      <c r="Z82" s="55"/>
      <c r="AA82" s="55"/>
      <c r="AB82" s="55"/>
      <c r="AC82" s="54"/>
      <c r="AD82" s="54"/>
      <c r="AE82" s="54"/>
      <c r="AF82" s="54"/>
      <c r="AG82" s="54"/>
      <c r="AH82" s="54"/>
      <c r="AI82" s="54"/>
      <c r="AJ82" s="54"/>
      <c r="AK82" s="54"/>
      <c r="AL82" s="54"/>
      <c r="AM82" s="54"/>
      <c r="AN82" s="54"/>
      <c r="AO82" s="54"/>
      <c r="AP82" s="54"/>
    </row>
    <row r="83" spans="1:59" x14ac:dyDescent="0.25">
      <c r="A83" s="54"/>
      <c r="B83" s="55"/>
      <c r="C83" s="55"/>
      <c r="D83" s="55"/>
      <c r="E83" s="55"/>
      <c r="F83" s="55"/>
      <c r="G83" s="55"/>
      <c r="H83" s="55"/>
      <c r="I83" s="55"/>
      <c r="J83" s="55"/>
      <c r="K83" s="55"/>
      <c r="L83" s="56"/>
      <c r="M83" s="56"/>
      <c r="N83" s="56"/>
      <c r="O83" s="56"/>
      <c r="P83" s="56"/>
      <c r="Q83" s="56"/>
      <c r="R83" s="56"/>
      <c r="S83" s="56"/>
      <c r="T83" s="56"/>
      <c r="U83" s="56"/>
      <c r="V83" s="56"/>
      <c r="W83" s="55"/>
      <c r="X83" s="55"/>
      <c r="Y83" s="55"/>
      <c r="Z83" s="55"/>
      <c r="AA83" s="55"/>
      <c r="AB83" s="55"/>
      <c r="AC83" s="54"/>
      <c r="AD83" s="54"/>
      <c r="AE83" s="54"/>
      <c r="AF83" s="54"/>
      <c r="AG83" s="54"/>
      <c r="AH83" s="54"/>
      <c r="AI83" s="54"/>
      <c r="AJ83" s="54"/>
      <c r="AK83" s="54"/>
      <c r="AL83" s="54"/>
      <c r="AM83" s="54"/>
      <c r="AN83" s="54"/>
      <c r="AO83" s="54"/>
      <c r="AP83" s="54"/>
    </row>
    <row r="84" spans="1:59" x14ac:dyDescent="0.25">
      <c r="A84" s="54"/>
      <c r="B84" s="55"/>
      <c r="C84" s="55"/>
      <c r="D84" s="55"/>
      <c r="E84" s="55"/>
      <c r="F84" s="55"/>
      <c r="G84" s="55"/>
      <c r="H84" s="55"/>
      <c r="I84" s="55"/>
      <c r="J84" s="55"/>
      <c r="K84" s="55"/>
      <c r="L84" s="56"/>
      <c r="M84" s="56"/>
      <c r="N84" s="56"/>
      <c r="O84" s="56"/>
      <c r="P84" s="56"/>
      <c r="Q84" s="56"/>
      <c r="R84" s="56"/>
      <c r="S84" s="56"/>
      <c r="T84" s="56"/>
      <c r="U84" s="56"/>
      <c r="V84" s="56"/>
      <c r="W84" s="55"/>
      <c r="X84" s="55"/>
      <c r="Y84" s="55"/>
      <c r="Z84" s="55"/>
      <c r="AA84" s="55"/>
      <c r="AB84" s="55"/>
      <c r="AC84" s="54"/>
      <c r="AD84" s="54"/>
      <c r="AE84" s="54"/>
      <c r="AF84" s="54"/>
      <c r="AG84" s="54"/>
      <c r="AH84" s="54"/>
      <c r="AI84" s="54"/>
      <c r="AJ84" s="54"/>
      <c r="AK84" s="54"/>
      <c r="AL84" s="54"/>
      <c r="AM84" s="54"/>
      <c r="AN84" s="54"/>
      <c r="AO84" s="54"/>
      <c r="AP84" s="54"/>
    </row>
    <row r="85" spans="1:59" x14ac:dyDescent="0.25">
      <c r="A85" s="54"/>
      <c r="B85" s="55"/>
      <c r="C85" s="55"/>
      <c r="D85" s="55"/>
      <c r="E85" s="55"/>
      <c r="F85" s="55"/>
      <c r="G85" s="55"/>
      <c r="H85" s="55"/>
      <c r="I85" s="55"/>
      <c r="J85" s="55"/>
      <c r="K85" s="55"/>
      <c r="L85" s="56"/>
      <c r="M85" s="56"/>
      <c r="N85" s="56"/>
      <c r="O85" s="56"/>
      <c r="P85" s="56"/>
      <c r="Q85" s="56"/>
      <c r="R85" s="56"/>
      <c r="S85" s="56"/>
      <c r="T85" s="56"/>
      <c r="U85" s="56"/>
      <c r="V85" s="56"/>
      <c r="W85" s="55"/>
      <c r="X85" s="55"/>
      <c r="Y85" s="55"/>
      <c r="Z85" s="55"/>
      <c r="AA85" s="55"/>
      <c r="AB85" s="55"/>
      <c r="AC85" s="54"/>
      <c r="AD85" s="54"/>
      <c r="AE85" s="54"/>
      <c r="AF85" s="54"/>
      <c r="AG85" s="54"/>
      <c r="AH85" s="54"/>
      <c r="AI85" s="54"/>
      <c r="AJ85" s="54"/>
      <c r="AK85" s="54"/>
      <c r="AL85" s="54"/>
      <c r="AM85" s="54"/>
      <c r="AN85" s="54"/>
      <c r="AO85" s="54"/>
      <c r="AP85" s="54"/>
    </row>
    <row r="86" spans="1:59" x14ac:dyDescent="0.25">
      <c r="A86" s="54"/>
      <c r="B86" s="55"/>
      <c r="C86" s="55"/>
      <c r="D86" s="55"/>
      <c r="E86" s="55"/>
      <c r="F86" s="55"/>
      <c r="G86" s="55"/>
      <c r="H86" s="55"/>
      <c r="I86" s="55"/>
      <c r="J86" s="55"/>
      <c r="K86" s="55"/>
      <c r="L86" s="56"/>
      <c r="M86" s="56"/>
      <c r="N86" s="56"/>
      <c r="O86" s="56"/>
      <c r="P86" s="56"/>
      <c r="Q86" s="56"/>
      <c r="R86" s="56"/>
      <c r="S86" s="56"/>
      <c r="T86" s="56"/>
      <c r="U86" s="56"/>
      <c r="V86" s="56"/>
      <c r="W86" s="55"/>
      <c r="X86" s="55"/>
      <c r="Y86" s="55"/>
      <c r="Z86" s="55"/>
      <c r="AA86" s="55"/>
      <c r="AB86" s="55"/>
      <c r="AC86" s="54"/>
      <c r="AD86" s="54"/>
      <c r="AE86" s="54"/>
      <c r="AF86" s="54"/>
      <c r="AG86" s="54"/>
      <c r="AH86" s="54"/>
      <c r="AI86" s="54"/>
      <c r="AJ86" s="54"/>
      <c r="AK86" s="54"/>
      <c r="AL86" s="54"/>
      <c r="AM86" s="54"/>
      <c r="AN86" s="54"/>
      <c r="AO86" s="54"/>
      <c r="AP86" s="54"/>
    </row>
    <row r="87" spans="1:59" ht="15.75" thickBot="1" x14ac:dyDescent="0.3">
      <c r="A87" s="54"/>
      <c r="B87" s="55"/>
      <c r="C87" s="55"/>
      <c r="D87" s="55"/>
      <c r="E87" s="55"/>
      <c r="F87" s="55"/>
      <c r="G87" s="55"/>
      <c r="H87" s="55"/>
      <c r="I87" s="55"/>
      <c r="J87" s="55"/>
      <c r="K87" s="55"/>
      <c r="L87" s="56"/>
      <c r="M87" s="56"/>
      <c r="N87" s="56"/>
      <c r="O87" s="56"/>
      <c r="P87" s="56"/>
      <c r="Q87" s="56"/>
      <c r="R87" s="56"/>
      <c r="S87" s="56"/>
      <c r="T87" s="56"/>
      <c r="U87" s="56"/>
      <c r="V87" s="56"/>
      <c r="W87" s="55"/>
      <c r="X87" s="55"/>
      <c r="Y87" s="55"/>
      <c r="Z87" s="55"/>
      <c r="AA87" s="55"/>
      <c r="AB87" s="55"/>
      <c r="AC87" s="54"/>
      <c r="AD87" s="54"/>
      <c r="AE87" s="54"/>
      <c r="AF87" s="54"/>
      <c r="AG87" s="54"/>
      <c r="AH87" s="54"/>
      <c r="AI87" s="54"/>
      <c r="AJ87" s="54"/>
      <c r="AK87" s="54"/>
      <c r="AL87" s="54"/>
      <c r="AM87" s="54"/>
      <c r="AN87" s="54"/>
      <c r="AO87" s="54"/>
      <c r="AP87" s="54"/>
    </row>
    <row r="88" spans="1:59" ht="16.5" thickBot="1" x14ac:dyDescent="0.3">
      <c r="A88" s="54"/>
      <c r="B88" s="224" t="s">
        <v>917</v>
      </c>
      <c r="C88" s="225">
        <f t="shared" ref="C88:I88" si="19">SUM(C7:C15)</f>
        <v>24</v>
      </c>
      <c r="D88" s="226">
        <f t="shared" si="19"/>
        <v>39</v>
      </c>
      <c r="E88" s="227">
        <f t="shared" si="19"/>
        <v>6</v>
      </c>
      <c r="F88" s="228">
        <f t="shared" si="19"/>
        <v>826</v>
      </c>
      <c r="G88" s="229">
        <f t="shared" si="19"/>
        <v>6</v>
      </c>
      <c r="H88" s="229">
        <f t="shared" si="19"/>
        <v>3</v>
      </c>
      <c r="I88" s="230">
        <f t="shared" si="19"/>
        <v>229</v>
      </c>
      <c r="J88" s="55"/>
      <c r="K88" s="55"/>
      <c r="L88" s="56"/>
      <c r="M88" s="56"/>
      <c r="N88" s="56"/>
      <c r="O88" s="56"/>
      <c r="P88" s="56"/>
      <c r="Q88" s="56"/>
      <c r="R88" s="56"/>
      <c r="S88" s="56"/>
      <c r="T88" s="56"/>
      <c r="U88" s="56"/>
      <c r="V88" s="56"/>
      <c r="W88" s="55"/>
      <c r="X88" s="55"/>
      <c r="Y88" s="55"/>
      <c r="Z88" s="55"/>
      <c r="AA88" s="55"/>
      <c r="AB88" s="55"/>
      <c r="AC88" s="54"/>
      <c r="AD88" s="54"/>
      <c r="AE88" s="54"/>
      <c r="AF88" s="54"/>
      <c r="AG88" s="54"/>
      <c r="AH88" s="54"/>
      <c r="AI88" s="54"/>
      <c r="AJ88" s="54"/>
      <c r="AK88" s="54"/>
      <c r="AL88" s="54"/>
      <c r="AM88" s="54"/>
      <c r="AN88" s="54"/>
      <c r="AO88" s="54"/>
      <c r="AP88" s="54"/>
    </row>
    <row r="89" spans="1:59" x14ac:dyDescent="0.25">
      <c r="AP89" s="234"/>
      <c r="AQ89" s="235"/>
      <c r="AR89" s="235"/>
      <c r="AS89" s="235"/>
      <c r="AT89" s="235"/>
      <c r="AU89" s="235"/>
      <c r="AV89" s="235"/>
      <c r="AW89" s="235"/>
      <c r="AX89" s="235"/>
      <c r="AY89" s="235"/>
      <c r="AZ89" s="235"/>
      <c r="BA89" s="235"/>
      <c r="BB89" s="235"/>
      <c r="BC89" s="236"/>
      <c r="BD89" s="237"/>
      <c r="BE89" s="237"/>
      <c r="BF89" s="238"/>
      <c r="BG89" s="239"/>
    </row>
    <row r="90" spans="1:59" ht="17.25" x14ac:dyDescent="0.25">
      <c r="AP90" s="240"/>
      <c r="AQ90" s="241"/>
      <c r="AR90" s="241"/>
      <c r="AS90" s="241"/>
      <c r="AT90" s="241"/>
      <c r="AU90" s="241"/>
      <c r="AV90" s="241"/>
      <c r="AW90" s="241"/>
      <c r="AX90" s="241"/>
      <c r="AY90" s="242"/>
      <c r="AZ90" s="243"/>
      <c r="BA90" s="243"/>
      <c r="BB90" s="243"/>
      <c r="BC90" s="244"/>
      <c r="BD90" s="245"/>
      <c r="BE90" s="246"/>
      <c r="BF90" s="235"/>
      <c r="BG90" s="247"/>
    </row>
    <row r="91" spans="1:59" ht="15.75" x14ac:dyDescent="0.25">
      <c r="AP91" s="240"/>
      <c r="AQ91" s="248"/>
      <c r="AR91" s="248"/>
      <c r="AS91" s="248"/>
      <c r="AT91" s="248"/>
      <c r="AU91" s="249"/>
      <c r="AV91" s="249"/>
      <c r="AW91" s="249"/>
      <c r="AX91" s="249"/>
      <c r="AY91" s="249"/>
      <c r="AZ91" s="250"/>
      <c r="BA91" s="250"/>
      <c r="BB91" s="250"/>
      <c r="BC91" s="250"/>
      <c r="BD91" s="251"/>
      <c r="BE91" s="252"/>
      <c r="BF91" s="252"/>
      <c r="BG91" s="252"/>
    </row>
    <row r="92" spans="1:59" ht="15.75" x14ac:dyDescent="0.25">
      <c r="AP92" s="240"/>
      <c r="AQ92" s="241"/>
      <c r="AR92" s="241"/>
      <c r="AS92" s="241"/>
      <c r="AT92" s="241"/>
      <c r="AU92" s="253"/>
      <c r="AV92" s="241"/>
      <c r="AW92" s="241"/>
      <c r="AX92" s="241"/>
      <c r="AY92" s="254"/>
      <c r="AZ92" s="254"/>
      <c r="BA92" s="254"/>
      <c r="BB92" s="254"/>
      <c r="BC92" s="244"/>
      <c r="BD92" s="252"/>
      <c r="BE92" s="252"/>
      <c r="BF92" s="252"/>
      <c r="BG92" s="252"/>
    </row>
    <row r="93" spans="1:59" ht="15.75" x14ac:dyDescent="0.25">
      <c r="AP93" s="240"/>
      <c r="AQ93" s="241"/>
      <c r="AR93" s="241"/>
      <c r="AS93" s="241"/>
      <c r="AT93" s="253"/>
      <c r="AU93" s="253"/>
      <c r="AV93" s="253"/>
      <c r="AW93" s="241"/>
      <c r="AX93" s="253"/>
      <c r="AY93" s="241"/>
      <c r="AZ93" s="254"/>
      <c r="BA93" s="254"/>
      <c r="BB93" s="254"/>
      <c r="BC93" s="244"/>
      <c r="BD93" s="252"/>
      <c r="BE93" s="252"/>
      <c r="BF93" s="252"/>
      <c r="BG93" s="252"/>
    </row>
    <row r="94" spans="1:59" ht="15.75" x14ac:dyDescent="0.25">
      <c r="AP94" s="240"/>
      <c r="AQ94" s="241"/>
      <c r="AR94" s="253"/>
      <c r="AS94" s="253"/>
      <c r="AT94" s="253"/>
      <c r="AU94" s="253"/>
      <c r="AV94" s="241"/>
      <c r="AW94" s="253"/>
      <c r="AX94" s="253"/>
      <c r="AY94" s="241"/>
      <c r="AZ94" s="254"/>
      <c r="BA94" s="254"/>
      <c r="BB94" s="254"/>
      <c r="BC94" s="244"/>
      <c r="BD94" s="252"/>
      <c r="BE94" s="252"/>
      <c r="BF94" s="252"/>
      <c r="BG94" s="252"/>
    </row>
    <row r="95" spans="1:59" ht="15.75" x14ac:dyDescent="0.25">
      <c r="AP95" s="240"/>
      <c r="AQ95" s="253"/>
      <c r="AR95" s="241"/>
      <c r="AS95" s="253"/>
      <c r="AT95" s="241"/>
      <c r="AU95" s="241"/>
      <c r="AV95" s="241"/>
      <c r="AW95" s="253"/>
      <c r="AX95" s="241"/>
      <c r="AY95" s="241"/>
      <c r="AZ95" s="254"/>
      <c r="BA95" s="254"/>
      <c r="BB95" s="254"/>
      <c r="BC95" s="244"/>
      <c r="BD95" s="252"/>
      <c r="BE95" s="252"/>
      <c r="BF95" s="252"/>
      <c r="BG95" s="252"/>
    </row>
    <row r="96" spans="1:59" ht="15.75" x14ac:dyDescent="0.25">
      <c r="AP96" s="240"/>
      <c r="AQ96" s="253"/>
      <c r="AR96" s="241"/>
      <c r="AS96" s="253"/>
      <c r="AT96" s="253"/>
      <c r="AU96" s="241"/>
      <c r="AV96" s="241"/>
      <c r="AW96" s="253"/>
      <c r="AX96" s="253"/>
      <c r="AY96" s="254"/>
      <c r="AZ96" s="254"/>
      <c r="BA96" s="254"/>
      <c r="BB96" s="254"/>
      <c r="BC96" s="244"/>
      <c r="BD96" s="252"/>
      <c r="BE96" s="252"/>
      <c r="BF96" s="252"/>
      <c r="BG96" s="252"/>
    </row>
    <row r="97" spans="42:47" x14ac:dyDescent="0.25">
      <c r="AU97" s="255"/>
    </row>
    <row r="107" spans="42:47" x14ac:dyDescent="0.25">
      <c r="AP107" s="256"/>
    </row>
    <row r="108" spans="42:47" x14ac:dyDescent="0.25">
      <c r="AP108" s="256"/>
    </row>
  </sheetData>
  <mergeCells count="14">
    <mergeCell ref="BD96:BG96"/>
    <mergeCell ref="AP107:AP108"/>
    <mergeCell ref="AZ91:BC91"/>
    <mergeCell ref="BE91:BG91"/>
    <mergeCell ref="BD92:BG92"/>
    <mergeCell ref="BD93:BG93"/>
    <mergeCell ref="BD94:BG94"/>
    <mergeCell ref="BD95:BG95"/>
    <mergeCell ref="B2:I3"/>
    <mergeCell ref="K2:V3"/>
    <mergeCell ref="X2:AI3"/>
    <mergeCell ref="AL19:AM19"/>
    <mergeCell ref="C72:D72"/>
    <mergeCell ref="G72:H72"/>
  </mergeCells>
  <conditionalFormatting sqref="L5:V25 L27:V68">
    <cfRule type="cellIs" dxfId="3" priority="3" operator="greaterThan">
      <formula>$U$1</formula>
    </cfRule>
    <cfRule type="cellIs" dxfId="2" priority="4" operator="greaterThan">
      <formula>1</formula>
    </cfRule>
  </conditionalFormatting>
  <conditionalFormatting sqref="L26:V26">
    <cfRule type="cellIs" dxfId="1" priority="1" operator="greaterThan">
      <formula>$U$1</formula>
    </cfRule>
    <cfRule type="cellIs" dxfId="0" priority="2" operator="greaterThan">
      <formula>1</formula>
    </cfRule>
  </conditionalFormatting>
  <dataValidations count="1">
    <dataValidation type="custom" allowBlank="1" showInputMessage="1" showErrorMessage="1" error="Cette cellule comporte une formule protégée !" sqref="C6:I6">
      <formula1>""""""</formula1>
    </dataValidation>
  </dataValidations>
  <pageMargins left="0.25" right="0.25" top="0.75" bottom="0.75" header="0.3" footer="0.3"/>
  <pageSetup paperSize="9" fitToHeight="0" orientation="landscape" r:id="rId1"/>
  <headerFooter>
    <oddHeader>&amp;CTABLEAUX ISSUS DU FICHIER D'ENREGISTREMENT DES ACCIDENTS</oddHeader>
    <oddFooter>&amp;C&amp;P / &amp;N</oddFooter>
  </headerFooter>
  <drawing r:id="rId2"/>
  <legacyDrawing r:id="rId3"/>
  <controls>
    <mc:AlternateContent xmlns:mc="http://schemas.openxmlformats.org/markup-compatibility/2006">
      <mc:Choice Requires="x14">
        <control shapeId="2049" r:id="rId4" name="CommandButton1">
          <controlPr defaultSize="0" autoLine="0" r:id="rId5">
            <anchor moveWithCells="1">
              <from>
                <xdr:col>1</xdr:col>
                <xdr:colOff>76200</xdr:colOff>
                <xdr:row>0</xdr:row>
                <xdr:rowOff>133350</xdr:rowOff>
              </from>
              <to>
                <xdr:col>3</xdr:col>
                <xdr:colOff>342900</xdr:colOff>
                <xdr:row>0</xdr:row>
                <xdr:rowOff>876300</xdr:rowOff>
              </to>
            </anchor>
          </controlPr>
        </control>
      </mc:Choice>
      <mc:Fallback>
        <control shapeId="2049" r:id="rId4" name="CommandButton1"/>
      </mc:Fallback>
    </mc:AlternateContent>
  </control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2</vt:i4>
      </vt:variant>
    </vt:vector>
  </HeadingPairs>
  <TitlesOfParts>
    <vt:vector size="5" baseType="lpstr">
      <vt:lpstr>AT GLOBAL DEA</vt:lpstr>
      <vt:lpstr>REPARTITION AT</vt:lpstr>
      <vt:lpstr>Feuil1</vt:lpstr>
      <vt:lpstr>'AT GLOBAL DEA'!Zone_d_impression</vt:lpstr>
      <vt:lpstr>'REPARTITION AT'!Zone_d_impression</vt:lpstr>
    </vt:vector>
  </TitlesOfParts>
  <Company>Air France KLM</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Clichy, Alexandre (MT UD QU) - AF</dc:creator>
  <cp:lastModifiedBy>Clichy, Alexandre (MT UD QU) - AF</cp:lastModifiedBy>
  <dcterms:created xsi:type="dcterms:W3CDTF">2018-10-01T09:31:27Z</dcterms:created>
  <dcterms:modified xsi:type="dcterms:W3CDTF">2018-10-01T09:36:07Z</dcterms:modified>
</cp:coreProperties>
</file>