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5315" windowHeight="7230" tabRatio="595" activeTab="1"/>
  </bookViews>
  <sheets>
    <sheet name="Données" sheetId="1" r:id="rId1"/>
    <sheet name="Analyse" sheetId="3" r:id="rId2"/>
    <sheet name="Synthèse" sheetId="4" r:id="rId3"/>
    <sheet name="DANGER" sheetId="2" r:id="rId4"/>
  </sheets>
  <definedNames>
    <definedName name="_xlnm._FilterDatabase" localSheetId="0" hidden="1">Données!$A$2:$C$5</definedName>
    <definedName name="att">DANGER!$G$1:$J$1</definedName>
    <definedName name="attente">DANGER!$A$12:$O$12</definedName>
    <definedName name="choix">Données!$E$2:$E$3</definedName>
    <definedName name="delai">DANGER!$D$8,DANGER!$A$8,DANGER!$B$8,DANGER!$C$8</definedName>
    <definedName name="deux">DANGER!$A$1:$A$2</definedName>
    <definedName name="heure">DANGER!$D$1:$D$2</definedName>
    <definedName name="inter">DANGER!$B$1:$B$3</definedName>
    <definedName name="kjl">Tableau7[[#Headers],[Q9]]</definedName>
    <definedName name="liste">Données!$E$2,Données!$E$3</definedName>
    <definedName name="moyen">DANGER!$A$4,DANGER!$A$5,DANGER!$A$6</definedName>
    <definedName name="moyens">DANGER!$B$7,DANGER!$A$4,DANGER!$A$5,DANGER!$A$6</definedName>
    <definedName name="ok">DANGER!$B$15:$B$18</definedName>
    <definedName name="okay">DANGER!$B$15:$C$18</definedName>
    <definedName name="question">Données!$E$2:$E$3</definedName>
    <definedName name="questions">DANGER!$A$1:$A$2</definedName>
    <definedName name="satisfaction">DANGER!$A$10,DANGER!$B$10,DANGER!$C$10</definedName>
    <definedName name="semaine">DANGER!$K$1:$K$5</definedName>
    <definedName name="service">DANGER!$F$1:$F$4</definedName>
  </definedNames>
  <calcPr calcId="145621"/>
</workbook>
</file>

<file path=xl/calcChain.xml><?xml version="1.0" encoding="utf-8"?>
<calcChain xmlns="http://schemas.openxmlformats.org/spreadsheetml/2006/main">
  <c r="AD308" i="3" l="1"/>
  <c r="AC308" i="3"/>
  <c r="AB308" i="3"/>
  <c r="AA308" i="3"/>
  <c r="AB305" i="3"/>
  <c r="AB304" i="3"/>
  <c r="AB303" i="3"/>
  <c r="AA305" i="3"/>
  <c r="AA304" i="3"/>
  <c r="AA303" i="3"/>
  <c r="AD301" i="3"/>
  <c r="AC301" i="3"/>
  <c r="AB301" i="3"/>
  <c r="AA301" i="3"/>
  <c r="AD298" i="3"/>
  <c r="AC298" i="3"/>
  <c r="AB298" i="3"/>
  <c r="AA298" i="3"/>
  <c r="AB295" i="3"/>
  <c r="AA295" i="3"/>
  <c r="AB292" i="3"/>
  <c r="AA292" i="3"/>
  <c r="AD290" i="3"/>
  <c r="AD289" i="3"/>
  <c r="AD288" i="3"/>
  <c r="AC290" i="3"/>
  <c r="AC289" i="3"/>
  <c r="AC288" i="3"/>
  <c r="AB290" i="3"/>
  <c r="AB289" i="3"/>
  <c r="AB288" i="3"/>
  <c r="AA290" i="3"/>
  <c r="AA289" i="3"/>
  <c r="AA288" i="3"/>
  <c r="AC280" i="3"/>
  <c r="AB284" i="3"/>
  <c r="AB282" i="3"/>
  <c r="AB280" i="3"/>
  <c r="T278" i="3"/>
  <c r="AB278" i="3"/>
  <c r="AB276" i="3"/>
  <c r="AA284" i="3"/>
  <c r="AA282" i="3"/>
  <c r="AA280" i="3"/>
  <c r="AA278" i="3"/>
  <c r="AA276" i="3"/>
  <c r="AC274" i="3"/>
  <c r="AB274" i="3"/>
  <c r="AA274" i="3"/>
  <c r="AB271" i="3"/>
  <c r="AA271" i="3"/>
  <c r="AD268" i="3"/>
  <c r="AC268" i="3"/>
  <c r="AB268" i="3"/>
  <c r="AA268" i="3"/>
  <c r="AC265" i="3"/>
  <c r="AB265" i="3"/>
  <c r="AA265" i="3"/>
  <c r="AB261" i="3"/>
  <c r="AA261" i="3"/>
  <c r="AB258" i="3"/>
  <c r="AB256" i="3"/>
  <c r="AB254" i="3"/>
  <c r="AA258" i="3"/>
  <c r="AA256" i="3"/>
  <c r="AA254" i="3"/>
  <c r="AD246" i="3"/>
  <c r="AC246" i="3"/>
  <c r="AB246" i="3"/>
  <c r="AA246" i="3"/>
  <c r="AB243" i="3"/>
  <c r="AA243" i="3"/>
  <c r="AB242" i="3"/>
  <c r="AA242" i="3"/>
  <c r="AB241" i="3"/>
  <c r="AA241" i="3"/>
  <c r="AD239" i="3"/>
  <c r="AC239" i="3"/>
  <c r="AB239" i="3"/>
  <c r="AA239" i="3"/>
  <c r="AD236" i="3"/>
  <c r="AC236" i="3"/>
  <c r="AB236" i="3"/>
  <c r="AA236" i="3"/>
  <c r="AB233" i="3"/>
  <c r="AA233" i="3"/>
  <c r="AB230" i="3"/>
  <c r="AA230" i="3"/>
  <c r="AD228" i="3"/>
  <c r="AD227" i="3"/>
  <c r="AD226" i="3"/>
  <c r="AC228" i="3"/>
  <c r="AC227" i="3"/>
  <c r="AC226" i="3"/>
  <c r="AB228" i="3"/>
  <c r="AB227" i="3"/>
  <c r="AB226" i="3"/>
  <c r="AA228" i="3"/>
  <c r="AA227" i="3"/>
  <c r="AA226" i="3"/>
  <c r="AC218" i="3"/>
  <c r="AB222" i="3"/>
  <c r="AB220" i="3"/>
  <c r="AB218" i="3"/>
  <c r="AB216" i="3"/>
  <c r="AB214" i="3"/>
  <c r="AA222" i="3"/>
  <c r="AA220" i="3"/>
  <c r="AA218" i="3"/>
  <c r="AA216" i="3"/>
  <c r="AA214" i="3"/>
  <c r="AC212" i="3"/>
  <c r="AB212" i="3"/>
  <c r="AA212" i="3"/>
  <c r="AB209" i="3"/>
  <c r="AA209" i="3"/>
  <c r="AD206" i="3"/>
  <c r="AC206" i="3"/>
  <c r="AB206" i="3"/>
  <c r="AA206" i="3"/>
  <c r="AC203" i="3"/>
  <c r="AB203" i="3"/>
  <c r="AA203" i="3"/>
  <c r="AB199" i="3"/>
  <c r="AA199" i="3"/>
  <c r="AB196" i="3"/>
  <c r="AA196" i="3"/>
  <c r="AB194" i="3"/>
  <c r="AA194" i="3"/>
  <c r="AB192" i="3"/>
  <c r="AA192" i="3"/>
  <c r="AD184" i="3"/>
  <c r="AC184" i="3"/>
  <c r="AB184" i="3"/>
  <c r="AA184" i="3"/>
  <c r="AB181" i="3"/>
  <c r="AB180" i="3"/>
  <c r="AB179" i="3"/>
  <c r="AA181" i="3"/>
  <c r="AA180" i="3"/>
  <c r="AA179" i="3"/>
  <c r="AD177" i="3"/>
  <c r="AC177" i="3"/>
  <c r="AB177" i="3"/>
  <c r="AA177" i="3"/>
  <c r="AD174" i="3"/>
  <c r="AC174" i="3"/>
  <c r="AB174" i="3"/>
  <c r="AA174" i="3"/>
  <c r="AB171" i="3"/>
  <c r="AA171" i="3"/>
  <c r="AB168" i="3"/>
  <c r="AA168" i="3"/>
  <c r="AD166" i="3"/>
  <c r="AD165" i="3"/>
  <c r="AD164" i="3"/>
  <c r="AC166" i="3"/>
  <c r="AC165" i="3"/>
  <c r="AC164" i="3"/>
  <c r="AB166" i="3"/>
  <c r="AB165" i="3"/>
  <c r="AB164" i="3"/>
  <c r="AA166" i="3"/>
  <c r="AA165" i="3"/>
  <c r="AA164" i="3"/>
  <c r="AC156" i="3"/>
  <c r="AB160" i="3"/>
  <c r="AB158" i="3"/>
  <c r="AB156" i="3"/>
  <c r="AB154" i="3"/>
  <c r="AB152" i="3"/>
  <c r="AA160" i="3"/>
  <c r="AA158" i="3"/>
  <c r="AA156" i="3"/>
  <c r="AA154" i="3"/>
  <c r="AA152" i="3"/>
  <c r="AC150" i="3"/>
  <c r="AB150" i="3"/>
  <c r="AA150" i="3"/>
  <c r="AB147" i="3"/>
  <c r="AA147" i="3"/>
  <c r="AD144" i="3"/>
  <c r="AC144" i="3"/>
  <c r="AB144" i="3"/>
  <c r="AA144" i="3"/>
  <c r="AC141" i="3"/>
  <c r="AB141" i="3"/>
  <c r="AA141" i="3"/>
  <c r="AB137" i="3"/>
  <c r="AA137" i="3"/>
  <c r="AB134" i="3"/>
  <c r="AA134" i="3"/>
  <c r="AB132" i="3"/>
  <c r="AA132" i="3"/>
  <c r="AB130" i="3"/>
  <c r="AA130" i="3"/>
  <c r="AD122" i="3"/>
  <c r="AC122" i="3"/>
  <c r="AB122" i="3"/>
  <c r="AA122" i="3"/>
  <c r="AB119" i="3"/>
  <c r="AB118" i="3"/>
  <c r="AB117" i="3"/>
  <c r="AA119" i="3"/>
  <c r="AA118" i="3"/>
  <c r="AA117" i="3"/>
  <c r="AD115" i="3"/>
  <c r="AC115" i="3"/>
  <c r="AB115" i="3"/>
  <c r="AA115" i="3"/>
  <c r="AD112" i="3"/>
  <c r="AC112" i="3"/>
  <c r="AB112" i="3"/>
  <c r="AA112" i="3"/>
  <c r="AB109" i="3"/>
  <c r="AA109" i="3"/>
  <c r="AB106" i="3"/>
  <c r="AA106" i="3"/>
  <c r="AD104" i="3"/>
  <c r="AD103" i="3"/>
  <c r="AD102" i="3"/>
  <c r="AC104" i="3"/>
  <c r="AC103" i="3"/>
  <c r="AC102" i="3"/>
  <c r="AB104" i="3"/>
  <c r="AB103" i="3"/>
  <c r="AB102" i="3"/>
  <c r="AA104" i="3"/>
  <c r="AA103" i="3"/>
  <c r="AA102" i="3"/>
  <c r="AC94" i="3"/>
  <c r="AB98" i="3"/>
  <c r="AB96" i="3"/>
  <c r="AB94" i="3"/>
  <c r="AB92" i="3"/>
  <c r="AB90" i="3"/>
  <c r="AA98" i="3"/>
  <c r="AA96" i="3"/>
  <c r="AA94" i="3"/>
  <c r="AA92" i="3"/>
  <c r="AA90" i="3"/>
  <c r="AC88" i="3"/>
  <c r="AB88" i="3"/>
  <c r="AA88" i="3"/>
  <c r="AB85" i="3"/>
  <c r="AA85" i="3"/>
  <c r="AD82" i="3"/>
  <c r="AC82" i="3"/>
  <c r="AB82" i="3"/>
  <c r="AA82" i="3"/>
  <c r="AC79" i="3"/>
  <c r="AB79" i="3"/>
  <c r="AA79" i="3"/>
  <c r="AB75" i="3"/>
  <c r="AA75" i="3"/>
  <c r="AB72" i="3"/>
  <c r="AB70" i="3"/>
  <c r="AA72" i="3"/>
  <c r="AA70" i="3"/>
  <c r="AB68" i="3"/>
  <c r="AA68" i="3"/>
  <c r="AD60" i="3"/>
  <c r="AC60" i="3"/>
  <c r="AB60" i="3"/>
  <c r="AA60" i="3"/>
  <c r="AB57" i="3"/>
  <c r="AB56" i="3"/>
  <c r="AB55" i="3"/>
  <c r="AA57" i="3"/>
  <c r="AA56" i="3"/>
  <c r="AA55" i="3"/>
  <c r="AD53" i="3"/>
  <c r="AC53" i="3"/>
  <c r="AB53" i="3"/>
  <c r="AA53" i="3"/>
  <c r="AD50" i="3"/>
  <c r="AC50" i="3"/>
  <c r="AB50" i="3"/>
  <c r="AA50" i="3"/>
  <c r="AB47" i="3"/>
  <c r="AA47" i="3"/>
  <c r="AB44" i="3"/>
  <c r="AA44" i="3"/>
  <c r="AD42" i="3"/>
  <c r="AD41" i="3"/>
  <c r="AD40" i="3"/>
  <c r="AC42" i="3"/>
  <c r="AC41" i="3"/>
  <c r="AC40" i="3"/>
  <c r="AB42" i="3"/>
  <c r="AB41" i="3"/>
  <c r="AB40" i="3"/>
  <c r="AA42" i="3"/>
  <c r="AA41" i="3"/>
  <c r="AA40" i="3"/>
  <c r="AC32" i="3"/>
  <c r="AB36" i="3"/>
  <c r="AB34" i="3"/>
  <c r="AB32" i="3"/>
  <c r="AB30" i="3"/>
  <c r="AB28" i="3"/>
  <c r="AA36" i="3"/>
  <c r="AA34" i="3"/>
  <c r="AA32" i="3"/>
  <c r="AA30" i="3"/>
  <c r="AA28" i="3"/>
  <c r="AC26" i="3"/>
  <c r="AB26" i="3"/>
  <c r="AA26" i="3"/>
  <c r="AB23" i="3"/>
  <c r="AA23" i="3"/>
  <c r="AD20" i="3"/>
  <c r="AC20" i="3"/>
  <c r="AB20" i="3"/>
  <c r="AA20" i="3"/>
  <c r="AC17" i="3"/>
  <c r="AB17" i="3"/>
  <c r="AA17" i="3"/>
  <c r="AB13" i="3"/>
  <c r="AA13" i="3"/>
  <c r="AB10" i="3"/>
  <c r="AB8" i="3"/>
  <c r="AB6" i="3"/>
  <c r="AA10" i="3"/>
  <c r="AA8" i="3"/>
  <c r="AA6" i="3"/>
  <c r="V308" i="3"/>
  <c r="U308" i="3"/>
  <c r="T308" i="3"/>
  <c r="S308" i="3"/>
  <c r="T305" i="3"/>
  <c r="T304" i="3"/>
  <c r="T303" i="3"/>
  <c r="S305" i="3"/>
  <c r="S304" i="3"/>
  <c r="S303" i="3"/>
  <c r="V301" i="3"/>
  <c r="U301" i="3"/>
  <c r="T301" i="3"/>
  <c r="S301" i="3"/>
  <c r="V298" i="3"/>
  <c r="U298" i="3"/>
  <c r="T298" i="3"/>
  <c r="S298" i="3"/>
  <c r="T295" i="3"/>
  <c r="S295" i="3"/>
  <c r="T292" i="3"/>
  <c r="S292" i="3"/>
  <c r="V290" i="3"/>
  <c r="V289" i="3"/>
  <c r="V288" i="3"/>
  <c r="U290" i="3"/>
  <c r="U289" i="3"/>
  <c r="U288" i="3"/>
  <c r="T290" i="3"/>
  <c r="T289" i="3"/>
  <c r="T288" i="3"/>
  <c r="S290" i="3"/>
  <c r="S289" i="3"/>
  <c r="S288" i="3"/>
  <c r="U280" i="3"/>
  <c r="T284" i="3"/>
  <c r="T282" i="3"/>
  <c r="T280" i="3"/>
  <c r="T276" i="3"/>
  <c r="S284" i="3"/>
  <c r="S282" i="3"/>
  <c r="S280" i="3"/>
  <c r="S278" i="3"/>
  <c r="S276" i="3"/>
  <c r="U274" i="3"/>
  <c r="T274" i="3"/>
  <c r="S274" i="3"/>
  <c r="T271" i="3"/>
  <c r="S271" i="3"/>
  <c r="V268" i="3"/>
  <c r="U268" i="3"/>
  <c r="T268" i="3"/>
  <c r="S268" i="3"/>
  <c r="U265" i="3"/>
  <c r="T265" i="3"/>
  <c r="S265" i="3"/>
  <c r="T261" i="3"/>
  <c r="S261" i="3"/>
  <c r="T258" i="3"/>
  <c r="T256" i="3"/>
  <c r="T254" i="3"/>
  <c r="S258" i="3"/>
  <c r="S256" i="3"/>
  <c r="S254" i="3"/>
  <c r="V246" i="3"/>
  <c r="U246" i="3"/>
  <c r="T246" i="3"/>
  <c r="S246" i="3"/>
  <c r="T243" i="3"/>
  <c r="T242" i="3"/>
  <c r="T241" i="3"/>
  <c r="S243" i="3"/>
  <c r="S242" i="3"/>
  <c r="S241" i="3"/>
  <c r="V239" i="3"/>
  <c r="U239" i="3"/>
  <c r="T239" i="3"/>
  <c r="S239" i="3"/>
  <c r="V236" i="3"/>
  <c r="U236" i="3"/>
  <c r="T236" i="3"/>
  <c r="S236" i="3"/>
  <c r="T233" i="3"/>
  <c r="S233" i="3"/>
  <c r="T230" i="3"/>
  <c r="S230" i="3"/>
  <c r="V228" i="3"/>
  <c r="V227" i="3"/>
  <c r="V226" i="3"/>
  <c r="U228" i="3"/>
  <c r="U227" i="3"/>
  <c r="U226" i="3"/>
  <c r="T228" i="3"/>
  <c r="T227" i="3"/>
  <c r="T226" i="3"/>
  <c r="S228" i="3"/>
  <c r="S227" i="3"/>
  <c r="S226" i="3"/>
  <c r="U218" i="3"/>
  <c r="T222" i="3"/>
  <c r="T220" i="3"/>
  <c r="T218" i="3"/>
  <c r="T216" i="3"/>
  <c r="T214" i="3"/>
  <c r="S222" i="3"/>
  <c r="S220" i="3"/>
  <c r="S218" i="3"/>
  <c r="S216" i="3"/>
  <c r="S214" i="3"/>
  <c r="U212" i="3"/>
  <c r="T212" i="3"/>
  <c r="S212" i="3"/>
  <c r="T209" i="3"/>
  <c r="S209" i="3"/>
  <c r="V206" i="3"/>
  <c r="U206" i="3"/>
  <c r="T206" i="3"/>
  <c r="S206" i="3"/>
  <c r="U203" i="3"/>
  <c r="T203" i="3"/>
  <c r="S203" i="3"/>
  <c r="T199" i="3"/>
  <c r="S199" i="3"/>
  <c r="T196" i="3"/>
  <c r="T194" i="3"/>
  <c r="T192" i="3"/>
  <c r="S196" i="3"/>
  <c r="S194" i="3"/>
  <c r="S192" i="3"/>
  <c r="V184" i="3"/>
  <c r="U184" i="3"/>
  <c r="T184" i="3"/>
  <c r="S184" i="3"/>
  <c r="T181" i="3"/>
  <c r="T180" i="3"/>
  <c r="T179" i="3"/>
  <c r="S181" i="3"/>
  <c r="S180" i="3"/>
  <c r="S179" i="3"/>
  <c r="V177" i="3"/>
  <c r="U177" i="3"/>
  <c r="T177" i="3"/>
  <c r="S177" i="3"/>
  <c r="V174" i="3"/>
  <c r="U174" i="3"/>
  <c r="T174" i="3"/>
  <c r="S174" i="3"/>
  <c r="T171" i="3"/>
  <c r="S171" i="3"/>
  <c r="T168" i="3"/>
  <c r="S168" i="3"/>
  <c r="V166" i="3"/>
  <c r="V165" i="3"/>
  <c r="V164" i="3"/>
  <c r="U166" i="3"/>
  <c r="U165" i="3"/>
  <c r="U164" i="3"/>
  <c r="T166" i="3"/>
  <c r="T165" i="3"/>
  <c r="T164" i="3"/>
  <c r="S166" i="3"/>
  <c r="S165" i="3"/>
  <c r="S164" i="3"/>
  <c r="U156" i="3"/>
  <c r="T158" i="3"/>
  <c r="T160" i="3"/>
  <c r="T156" i="3"/>
  <c r="T154" i="3"/>
  <c r="T152" i="3"/>
  <c r="S160" i="3"/>
  <c r="S158" i="3"/>
  <c r="S156" i="3"/>
  <c r="S154" i="3"/>
  <c r="S152" i="3"/>
  <c r="U150" i="3"/>
  <c r="T150" i="3"/>
  <c r="S150" i="3"/>
  <c r="T147" i="3"/>
  <c r="S147" i="3"/>
  <c r="V144" i="3"/>
  <c r="U144" i="3"/>
  <c r="T144" i="3"/>
  <c r="S144" i="3"/>
  <c r="U141" i="3"/>
  <c r="T141" i="3"/>
  <c r="S141" i="3"/>
  <c r="T137" i="3"/>
  <c r="S137" i="3"/>
  <c r="T134" i="3"/>
  <c r="T132" i="3"/>
  <c r="T130" i="3"/>
  <c r="S134" i="3"/>
  <c r="S132" i="3"/>
  <c r="S130" i="3"/>
  <c r="V122" i="3"/>
  <c r="U122" i="3"/>
  <c r="T122" i="3"/>
  <c r="S122" i="3"/>
  <c r="T119" i="3"/>
  <c r="T118" i="3"/>
  <c r="T117" i="3"/>
  <c r="S119" i="3"/>
  <c r="S118" i="3"/>
  <c r="S117" i="3"/>
  <c r="V115" i="3"/>
  <c r="U115" i="3"/>
  <c r="T115" i="3"/>
  <c r="S115" i="3"/>
  <c r="V112" i="3"/>
  <c r="U112" i="3"/>
  <c r="T112" i="3"/>
  <c r="S112" i="3"/>
  <c r="T109" i="3"/>
  <c r="S109" i="3"/>
  <c r="T106" i="3"/>
  <c r="S106" i="3"/>
  <c r="V104" i="3"/>
  <c r="V103" i="3"/>
  <c r="V102" i="3"/>
  <c r="U104" i="3"/>
  <c r="U103" i="3"/>
  <c r="U102" i="3"/>
  <c r="T104" i="3"/>
  <c r="T103" i="3"/>
  <c r="T102" i="3"/>
  <c r="S104" i="3"/>
  <c r="S103" i="3"/>
  <c r="S102" i="3"/>
  <c r="U94" i="3"/>
  <c r="T98" i="3"/>
  <c r="T96" i="3"/>
  <c r="T94" i="3"/>
  <c r="T92" i="3"/>
  <c r="T90" i="3"/>
  <c r="S98" i="3"/>
  <c r="S96" i="3"/>
  <c r="S94" i="3"/>
  <c r="S92" i="3"/>
  <c r="S90" i="3"/>
  <c r="U88" i="3"/>
  <c r="T88" i="3"/>
  <c r="S88" i="3"/>
  <c r="T85" i="3"/>
  <c r="S85" i="3"/>
  <c r="V82" i="3"/>
  <c r="U82" i="3"/>
  <c r="T82" i="3"/>
  <c r="S82" i="3"/>
  <c r="U79" i="3"/>
  <c r="T79" i="3"/>
  <c r="S79" i="3"/>
  <c r="T75" i="3"/>
  <c r="S75" i="3"/>
  <c r="T72" i="3"/>
  <c r="T70" i="3"/>
  <c r="T68" i="3"/>
  <c r="S72" i="3"/>
  <c r="S70" i="3"/>
  <c r="S68" i="3"/>
  <c r="V60" i="3"/>
  <c r="U60" i="3"/>
  <c r="T60" i="3"/>
  <c r="S60" i="3"/>
  <c r="T55" i="3"/>
  <c r="T56" i="3"/>
  <c r="T57" i="3"/>
  <c r="S57" i="3"/>
  <c r="S56" i="3"/>
  <c r="S55" i="3"/>
  <c r="V53" i="3"/>
  <c r="U53" i="3"/>
  <c r="T53" i="3"/>
  <c r="S53" i="3"/>
  <c r="V50" i="3"/>
  <c r="U50" i="3"/>
  <c r="T50" i="3"/>
  <c r="S50" i="3"/>
  <c r="T47" i="3"/>
  <c r="S47" i="3"/>
  <c r="T44" i="3"/>
  <c r="S44" i="3"/>
  <c r="V42" i="3"/>
  <c r="V41" i="3"/>
  <c r="V40" i="3"/>
  <c r="U42" i="3"/>
  <c r="U41" i="3"/>
  <c r="U40" i="3"/>
  <c r="T42" i="3"/>
  <c r="T41" i="3"/>
  <c r="T40" i="3"/>
  <c r="S42" i="3"/>
  <c r="S41" i="3"/>
  <c r="S40" i="3"/>
  <c r="U32" i="3"/>
  <c r="T36" i="3"/>
  <c r="T34" i="3"/>
  <c r="T32" i="3"/>
  <c r="T30" i="3"/>
  <c r="T28" i="3"/>
  <c r="S36" i="3"/>
  <c r="S34" i="3"/>
  <c r="S32" i="3"/>
  <c r="S30" i="3"/>
  <c r="S28" i="3"/>
  <c r="U26" i="3"/>
  <c r="T26" i="3"/>
  <c r="S26" i="3"/>
  <c r="T23" i="3"/>
  <c r="S23" i="3"/>
  <c r="V20" i="3"/>
  <c r="U20" i="3"/>
  <c r="T20" i="3"/>
  <c r="S20" i="3"/>
  <c r="U17" i="3"/>
  <c r="T17" i="3"/>
  <c r="S17" i="3"/>
  <c r="T13" i="3"/>
  <c r="S13" i="3"/>
  <c r="T6" i="3"/>
  <c r="T8" i="3"/>
  <c r="T10" i="3"/>
  <c r="S10" i="3"/>
  <c r="S8" i="3"/>
  <c r="S6" i="3"/>
  <c r="N308" i="3"/>
  <c r="M308" i="3"/>
  <c r="L308" i="3"/>
  <c r="K308" i="3"/>
  <c r="L305" i="3"/>
  <c r="L303" i="3"/>
  <c r="K305" i="3"/>
  <c r="K304" i="3"/>
  <c r="K303" i="3"/>
  <c r="N301" i="3"/>
  <c r="M301" i="3"/>
  <c r="L301" i="3"/>
  <c r="K301" i="3"/>
  <c r="N298" i="3"/>
  <c r="M298" i="3"/>
  <c r="L298" i="3"/>
  <c r="K298" i="3"/>
  <c r="L295" i="3"/>
  <c r="K295" i="3"/>
  <c r="L292" i="3"/>
  <c r="K292" i="3"/>
  <c r="N290" i="3"/>
  <c r="N289" i="3"/>
  <c r="N288" i="3"/>
  <c r="M290" i="3"/>
  <c r="M289" i="3"/>
  <c r="M288" i="3"/>
  <c r="L290" i="3"/>
  <c r="L289" i="3"/>
  <c r="L288" i="3"/>
  <c r="K290" i="3"/>
  <c r="K289" i="3"/>
  <c r="K288" i="3"/>
  <c r="M280" i="3"/>
  <c r="L284" i="3"/>
  <c r="L282" i="3"/>
  <c r="L280" i="3"/>
  <c r="L278" i="3"/>
  <c r="K284" i="3"/>
  <c r="K282" i="3"/>
  <c r="K280" i="3"/>
  <c r="K278" i="3"/>
  <c r="L276" i="3"/>
  <c r="K276" i="3"/>
  <c r="M274" i="3"/>
  <c r="L274" i="3"/>
  <c r="K274" i="3"/>
  <c r="L271" i="3"/>
  <c r="K271" i="3"/>
  <c r="N268" i="3"/>
  <c r="M268" i="3"/>
  <c r="L268" i="3"/>
  <c r="K268" i="3"/>
  <c r="M265" i="3"/>
  <c r="L265" i="3"/>
  <c r="K265" i="3"/>
  <c r="L261" i="3"/>
  <c r="K261" i="3"/>
  <c r="L258" i="3"/>
  <c r="L256" i="3"/>
  <c r="L254" i="3"/>
  <c r="K258" i="3"/>
  <c r="K256" i="3"/>
  <c r="K254" i="3"/>
  <c r="N246" i="3"/>
  <c r="M246" i="3"/>
  <c r="L246" i="3"/>
  <c r="K246" i="3"/>
  <c r="L241" i="3"/>
  <c r="L242" i="3"/>
  <c r="L243" i="3"/>
  <c r="K243" i="3"/>
  <c r="K242" i="3"/>
  <c r="K241" i="3"/>
  <c r="N239" i="3"/>
  <c r="M239" i="3"/>
  <c r="L239" i="3"/>
  <c r="K239" i="3"/>
  <c r="N236" i="3"/>
  <c r="M236" i="3"/>
  <c r="L236" i="3"/>
  <c r="K236" i="3"/>
  <c r="L233" i="3"/>
  <c r="K233" i="3"/>
  <c r="L230" i="3"/>
  <c r="K230" i="3"/>
  <c r="N228" i="3"/>
  <c r="N227" i="3"/>
  <c r="N226" i="3"/>
  <c r="M228" i="3"/>
  <c r="M227" i="3"/>
  <c r="M226" i="3"/>
  <c r="L228" i="3"/>
  <c r="L227" i="3"/>
  <c r="L226" i="3"/>
  <c r="K228" i="3"/>
  <c r="K227" i="3"/>
  <c r="K226" i="3"/>
  <c r="M218" i="3"/>
  <c r="L222" i="3"/>
  <c r="L220" i="3"/>
  <c r="L218" i="3"/>
  <c r="L216" i="3"/>
  <c r="L214" i="3"/>
  <c r="K222" i="3"/>
  <c r="K220" i="3"/>
  <c r="K218" i="3"/>
  <c r="K216" i="3"/>
  <c r="K214" i="3"/>
  <c r="M212" i="3"/>
  <c r="M206" i="3"/>
  <c r="L206" i="3"/>
  <c r="K206" i="3"/>
  <c r="M203" i="3"/>
  <c r="L203" i="3"/>
  <c r="K203" i="3"/>
  <c r="L199" i="3"/>
  <c r="K199" i="3"/>
  <c r="L196" i="3"/>
  <c r="L194" i="3"/>
  <c r="K196" i="3"/>
  <c r="K194" i="3"/>
  <c r="L192" i="3"/>
  <c r="K192" i="3"/>
  <c r="N184" i="3"/>
  <c r="M184" i="3"/>
  <c r="L184" i="3"/>
  <c r="K184" i="3"/>
  <c r="L181" i="3"/>
  <c r="L180" i="3"/>
  <c r="L179" i="3"/>
  <c r="K181" i="3"/>
  <c r="K180" i="3"/>
  <c r="K179" i="3"/>
  <c r="N177" i="3"/>
  <c r="M177" i="3"/>
  <c r="L177" i="3"/>
  <c r="K177" i="3"/>
  <c r="N174" i="3"/>
  <c r="M174" i="3"/>
  <c r="L174" i="3"/>
  <c r="K174" i="3"/>
  <c r="L171" i="3"/>
  <c r="K171" i="3"/>
  <c r="L168" i="3"/>
  <c r="K168" i="3"/>
  <c r="N166" i="3"/>
  <c r="N165" i="3"/>
  <c r="N164" i="3"/>
  <c r="M166" i="3"/>
  <c r="M165" i="3"/>
  <c r="M164" i="3"/>
  <c r="L166" i="3"/>
  <c r="L165" i="3"/>
  <c r="L164" i="3"/>
  <c r="K166" i="3"/>
  <c r="K165" i="3"/>
  <c r="K164" i="3"/>
  <c r="M156" i="3"/>
  <c r="L160" i="3"/>
  <c r="L158" i="3"/>
  <c r="L156" i="3"/>
  <c r="L154" i="3"/>
  <c r="L152" i="3"/>
  <c r="K160" i="3"/>
  <c r="K158" i="3"/>
  <c r="K156" i="3"/>
  <c r="K154" i="3"/>
  <c r="K152" i="3"/>
  <c r="M150" i="3"/>
  <c r="L150" i="3"/>
  <c r="K150" i="3"/>
  <c r="L147" i="3"/>
  <c r="K147" i="3"/>
  <c r="N144" i="3"/>
  <c r="M144" i="3"/>
  <c r="L144" i="3"/>
  <c r="K144" i="3"/>
  <c r="M141" i="3"/>
  <c r="L141" i="3"/>
  <c r="K141" i="3"/>
  <c r="L137" i="3"/>
  <c r="K137" i="3"/>
  <c r="L134" i="3"/>
  <c r="L132" i="3"/>
  <c r="L130" i="3"/>
  <c r="K134" i="3"/>
  <c r="K132" i="3"/>
  <c r="K130" i="3"/>
  <c r="N122" i="3"/>
  <c r="M122" i="3"/>
  <c r="L122" i="3"/>
  <c r="K122" i="3"/>
  <c r="L119" i="3"/>
  <c r="L118" i="3"/>
  <c r="L117" i="3"/>
  <c r="K119" i="3"/>
  <c r="K118" i="3"/>
  <c r="K117" i="3"/>
  <c r="N115" i="3"/>
  <c r="M115" i="3"/>
  <c r="L115" i="3"/>
  <c r="K115" i="3"/>
  <c r="N112" i="3"/>
  <c r="M112" i="3"/>
  <c r="L112" i="3"/>
  <c r="K112" i="3"/>
  <c r="L109" i="3"/>
  <c r="K109" i="3"/>
  <c r="L106" i="3"/>
  <c r="K106" i="3"/>
  <c r="N104" i="3"/>
  <c r="N103" i="3"/>
  <c r="N102" i="3"/>
  <c r="M104" i="3"/>
  <c r="M103" i="3"/>
  <c r="M102" i="3"/>
  <c r="L104" i="3"/>
  <c r="L103" i="3"/>
  <c r="L102" i="3"/>
  <c r="K104" i="3"/>
  <c r="K103" i="3"/>
  <c r="K102" i="3"/>
  <c r="M94" i="3"/>
  <c r="L98" i="3"/>
  <c r="L96" i="3"/>
  <c r="L94" i="3"/>
  <c r="L92" i="3"/>
  <c r="L90" i="3"/>
  <c r="K98" i="3"/>
  <c r="K96" i="3"/>
  <c r="K94" i="3"/>
  <c r="K92" i="3"/>
  <c r="K90" i="3"/>
  <c r="M88" i="3"/>
  <c r="L88" i="3"/>
  <c r="K88" i="3"/>
  <c r="L85" i="3"/>
  <c r="K85" i="3"/>
  <c r="N82" i="3"/>
  <c r="M82" i="3"/>
  <c r="L82" i="3"/>
  <c r="K82" i="3"/>
  <c r="M79" i="3"/>
  <c r="L79" i="3"/>
  <c r="K79" i="3"/>
  <c r="L75" i="3"/>
  <c r="K75" i="3"/>
  <c r="L72" i="3"/>
  <c r="L70" i="3"/>
  <c r="L68" i="3"/>
  <c r="K72" i="3"/>
  <c r="K70" i="3"/>
  <c r="K68" i="3"/>
  <c r="L304" i="3"/>
  <c r="L212" i="3"/>
  <c r="K212" i="3"/>
  <c r="L209" i="3"/>
  <c r="K209" i="3"/>
  <c r="N206" i="3"/>
  <c r="N60" i="3"/>
  <c r="M60" i="3"/>
  <c r="L60" i="3"/>
  <c r="K60" i="3"/>
  <c r="L57" i="3"/>
  <c r="L56" i="3"/>
  <c r="L55" i="3"/>
  <c r="K57" i="3"/>
  <c r="K56" i="3"/>
  <c r="K55" i="3"/>
  <c r="N53" i="3"/>
  <c r="M53" i="3"/>
  <c r="L53" i="3"/>
  <c r="K53" i="3"/>
  <c r="N50" i="3"/>
  <c r="M50" i="3"/>
  <c r="L50" i="3"/>
  <c r="K50" i="3"/>
  <c r="L47" i="3"/>
  <c r="K47" i="3"/>
  <c r="L44" i="3"/>
  <c r="K44" i="3"/>
  <c r="N42" i="3"/>
  <c r="N41" i="3"/>
  <c r="N40" i="3"/>
  <c r="M42" i="3"/>
  <c r="M41" i="3"/>
  <c r="M40" i="3"/>
  <c r="L42" i="3"/>
  <c r="L41" i="3"/>
  <c r="L40" i="3"/>
  <c r="K42" i="3"/>
  <c r="K41" i="3"/>
  <c r="K40" i="3"/>
  <c r="M32" i="3"/>
  <c r="L36" i="3"/>
  <c r="L34" i="3"/>
  <c r="L32" i="3"/>
  <c r="L30" i="3"/>
  <c r="L28" i="3"/>
  <c r="K36" i="3"/>
  <c r="K34" i="3"/>
  <c r="K32" i="3"/>
  <c r="K30" i="3"/>
  <c r="K28" i="3"/>
  <c r="M26" i="3"/>
  <c r="L26" i="3"/>
  <c r="K26" i="3"/>
  <c r="L23" i="3"/>
  <c r="K23" i="3"/>
  <c r="N20" i="3"/>
  <c r="M20" i="3"/>
  <c r="L20" i="3"/>
  <c r="K20" i="3"/>
  <c r="M17" i="3"/>
  <c r="L17" i="3"/>
  <c r="K17" i="3"/>
  <c r="L13" i="3"/>
  <c r="K13" i="3"/>
  <c r="L10" i="3"/>
  <c r="K10" i="3"/>
  <c r="L8" i="3"/>
  <c r="K8" i="3"/>
  <c r="L6" i="3"/>
  <c r="K6" i="3"/>
  <c r="F308" i="3"/>
  <c r="E308" i="3"/>
  <c r="D308" i="3"/>
  <c r="C308" i="3"/>
  <c r="D305" i="3"/>
  <c r="D304" i="3"/>
  <c r="D303" i="3"/>
  <c r="C305" i="3"/>
  <c r="C304" i="3"/>
  <c r="C303" i="3"/>
  <c r="F301" i="3"/>
  <c r="E301" i="3"/>
  <c r="D301" i="3"/>
  <c r="C301" i="3"/>
  <c r="F298" i="3"/>
  <c r="E298" i="3"/>
  <c r="D298" i="3"/>
  <c r="C298" i="3"/>
  <c r="D295" i="3"/>
  <c r="C295" i="3"/>
  <c r="D292" i="3"/>
  <c r="C292" i="3"/>
  <c r="F290" i="3"/>
  <c r="F289" i="3"/>
  <c r="E290" i="3"/>
  <c r="D290" i="3"/>
  <c r="E289" i="3"/>
  <c r="F288" i="3"/>
  <c r="C288" i="3"/>
  <c r="D289" i="3"/>
  <c r="D288" i="3"/>
  <c r="C289" i="3"/>
  <c r="C290" i="3"/>
  <c r="E280" i="3"/>
  <c r="D284" i="3"/>
  <c r="D282" i="3"/>
  <c r="D280" i="3"/>
  <c r="D278" i="3"/>
  <c r="D276" i="3"/>
  <c r="C284" i="3"/>
  <c r="C282" i="3"/>
  <c r="C280" i="3"/>
  <c r="C278" i="3"/>
  <c r="C276" i="3"/>
  <c r="E274" i="3"/>
  <c r="D274" i="3"/>
  <c r="C274" i="3"/>
  <c r="D271" i="3"/>
  <c r="C271" i="3"/>
  <c r="F268" i="3"/>
  <c r="E268" i="3"/>
  <c r="D268" i="3"/>
  <c r="C268" i="3"/>
  <c r="E265" i="3"/>
  <c r="D265" i="3"/>
  <c r="C265" i="3"/>
  <c r="D261" i="3"/>
  <c r="C261" i="3"/>
  <c r="D258" i="3"/>
  <c r="C258" i="3"/>
  <c r="C256" i="3"/>
  <c r="C254" i="3"/>
  <c r="F246" i="3"/>
  <c r="E246" i="3"/>
  <c r="D246" i="3"/>
  <c r="C246" i="3"/>
  <c r="D243" i="3"/>
  <c r="C243" i="3"/>
  <c r="D242" i="3"/>
  <c r="C242" i="3"/>
  <c r="D241" i="3"/>
  <c r="C241" i="3"/>
  <c r="F239" i="3"/>
  <c r="E239" i="3"/>
  <c r="D239" i="3"/>
  <c r="C239" i="3"/>
  <c r="F236" i="3"/>
  <c r="E236" i="3"/>
  <c r="D236" i="3"/>
  <c r="C236" i="3"/>
  <c r="D233" i="3"/>
  <c r="C233" i="3"/>
  <c r="D230" i="3"/>
  <c r="C230" i="3"/>
  <c r="F228" i="3"/>
  <c r="F227" i="3"/>
  <c r="F226" i="3"/>
  <c r="E228" i="3"/>
  <c r="E227" i="3"/>
  <c r="E226" i="3"/>
  <c r="D228" i="3"/>
  <c r="D227" i="3"/>
  <c r="D226" i="3"/>
  <c r="C228" i="3"/>
  <c r="C227" i="3"/>
  <c r="C226" i="3"/>
  <c r="E218" i="3"/>
  <c r="D222" i="3"/>
  <c r="D220" i="3"/>
  <c r="D218" i="3"/>
  <c r="D216" i="3"/>
  <c r="D214" i="3"/>
  <c r="C222" i="3"/>
  <c r="C220" i="3"/>
  <c r="C218" i="3"/>
  <c r="C216" i="3"/>
  <c r="C214" i="3"/>
  <c r="E212" i="3"/>
  <c r="D212" i="3"/>
  <c r="C212" i="3"/>
  <c r="D209" i="3"/>
  <c r="C209" i="3"/>
  <c r="F206" i="3"/>
  <c r="E206" i="3"/>
  <c r="D206" i="3"/>
  <c r="C206" i="3"/>
  <c r="E203" i="3"/>
  <c r="D203" i="3"/>
  <c r="C203" i="3"/>
  <c r="D199" i="3"/>
  <c r="C199" i="3"/>
  <c r="D196" i="3"/>
  <c r="D194" i="3"/>
  <c r="D192" i="3"/>
  <c r="C196" i="3"/>
  <c r="C194" i="3"/>
  <c r="C192" i="3"/>
  <c r="E288" i="3"/>
  <c r="D256" i="3"/>
  <c r="D254" i="3"/>
  <c r="F184" i="3"/>
  <c r="E184" i="3"/>
  <c r="D184" i="3"/>
  <c r="C184" i="3"/>
  <c r="D181" i="3"/>
  <c r="D180" i="3"/>
  <c r="D179" i="3"/>
  <c r="C181" i="3"/>
  <c r="C180" i="3"/>
  <c r="C179" i="3"/>
  <c r="F177" i="3"/>
  <c r="E177" i="3"/>
  <c r="D177" i="3"/>
  <c r="C177" i="3"/>
  <c r="F174" i="3"/>
  <c r="E174" i="3"/>
  <c r="D174" i="3"/>
  <c r="C174" i="3"/>
  <c r="D171" i="3"/>
  <c r="C171" i="3"/>
  <c r="D168" i="3"/>
  <c r="C168" i="3"/>
  <c r="F166" i="3"/>
  <c r="F165" i="3"/>
  <c r="F164" i="3"/>
  <c r="E166" i="3"/>
  <c r="E165" i="3"/>
  <c r="E164" i="3"/>
  <c r="D166" i="3"/>
  <c r="D165" i="3"/>
  <c r="D164" i="3"/>
  <c r="C166" i="3"/>
  <c r="C165" i="3"/>
  <c r="C164" i="3"/>
  <c r="E156" i="3"/>
  <c r="D160" i="3"/>
  <c r="D158" i="3"/>
  <c r="D156" i="3"/>
  <c r="D154" i="3"/>
  <c r="D152" i="3"/>
  <c r="C160" i="3"/>
  <c r="C158" i="3"/>
  <c r="C156" i="3"/>
  <c r="C154" i="3"/>
  <c r="C152" i="3"/>
  <c r="E150" i="3"/>
  <c r="D150" i="3"/>
  <c r="C150" i="3"/>
  <c r="C147" i="3"/>
  <c r="D147" i="3"/>
  <c r="F144" i="3"/>
  <c r="E144" i="3"/>
  <c r="D144" i="3"/>
  <c r="C144" i="3"/>
  <c r="E141" i="3"/>
  <c r="D141" i="3"/>
  <c r="C141" i="3"/>
  <c r="D137" i="3"/>
  <c r="C137" i="3"/>
  <c r="D134" i="3"/>
  <c r="C134" i="3"/>
  <c r="D132" i="3"/>
  <c r="C132" i="3"/>
  <c r="D130" i="3"/>
  <c r="C130" i="3"/>
  <c r="F122" i="3" l="1"/>
  <c r="E122" i="3"/>
  <c r="D122" i="3"/>
  <c r="C122" i="3"/>
  <c r="D119" i="3"/>
  <c r="C119" i="3"/>
  <c r="D118" i="3"/>
  <c r="C118" i="3"/>
  <c r="D117" i="3"/>
  <c r="C117" i="3"/>
  <c r="F115" i="3"/>
  <c r="E115" i="3"/>
  <c r="D115" i="3"/>
  <c r="C115" i="3"/>
  <c r="F112" i="3"/>
  <c r="E112" i="3"/>
  <c r="D112" i="3"/>
  <c r="C112" i="3"/>
  <c r="D109" i="3"/>
  <c r="C109" i="3"/>
  <c r="D106" i="3"/>
  <c r="C106" i="3"/>
  <c r="F104" i="3"/>
  <c r="E104" i="3"/>
  <c r="D104" i="3"/>
  <c r="C104" i="3"/>
  <c r="F103" i="3"/>
  <c r="E103" i="3"/>
  <c r="D103" i="3"/>
  <c r="C103" i="3"/>
  <c r="F102" i="3"/>
  <c r="E102" i="3"/>
  <c r="D102" i="3"/>
  <c r="C102" i="3"/>
  <c r="D98" i="3"/>
  <c r="C98" i="3"/>
  <c r="D96" i="3"/>
  <c r="C96" i="3"/>
  <c r="E94" i="3"/>
  <c r="D94" i="3"/>
  <c r="C94" i="3"/>
  <c r="D92" i="3"/>
  <c r="C92" i="3"/>
  <c r="D90" i="3"/>
  <c r="C90" i="3"/>
  <c r="E88" i="3"/>
  <c r="D88" i="3"/>
  <c r="C88" i="3"/>
  <c r="D85" i="3"/>
  <c r="C85" i="3"/>
  <c r="D23" i="3"/>
  <c r="C23" i="3"/>
  <c r="F82" i="3"/>
  <c r="E82" i="3"/>
  <c r="D82" i="3"/>
  <c r="C82" i="3"/>
  <c r="E79" i="3"/>
  <c r="D79" i="3"/>
  <c r="C79" i="3"/>
  <c r="D75" i="3"/>
  <c r="C75" i="3"/>
  <c r="D72" i="3"/>
  <c r="D70" i="3"/>
  <c r="C72" i="3"/>
  <c r="C70" i="3"/>
  <c r="D68" i="3"/>
  <c r="C68" i="3"/>
  <c r="F60" i="3"/>
  <c r="E60" i="3"/>
  <c r="D60" i="3"/>
  <c r="C60" i="3"/>
  <c r="D57" i="3"/>
  <c r="D56" i="3"/>
  <c r="D55" i="3"/>
  <c r="C57" i="3"/>
  <c r="C56" i="3"/>
  <c r="C55" i="3"/>
  <c r="F53" i="3"/>
  <c r="E53" i="3"/>
  <c r="D53" i="3"/>
  <c r="C53" i="3"/>
  <c r="F50" i="3"/>
  <c r="E50" i="3"/>
  <c r="D50" i="3"/>
  <c r="C50" i="3"/>
  <c r="D47" i="3"/>
  <c r="C47" i="3"/>
  <c r="D44" i="3"/>
  <c r="C44" i="3"/>
  <c r="C17" i="3"/>
  <c r="D17" i="3"/>
  <c r="E17" i="3"/>
  <c r="C13" i="3"/>
  <c r="D13" i="3"/>
  <c r="E42" i="3"/>
  <c r="E41" i="3"/>
  <c r="E40" i="3"/>
  <c r="D41" i="3"/>
  <c r="C40" i="3"/>
  <c r="F42" i="3"/>
  <c r="F41" i="3"/>
  <c r="C42" i="3"/>
  <c r="D42" i="3"/>
  <c r="D40" i="3"/>
  <c r="F40" i="3"/>
  <c r="C41" i="3"/>
  <c r="E20" i="3"/>
  <c r="D34" i="3"/>
  <c r="C36" i="3"/>
  <c r="D36" i="3"/>
  <c r="C34" i="3"/>
  <c r="E32" i="3"/>
  <c r="D32" i="3"/>
  <c r="C32" i="3"/>
  <c r="D30" i="3"/>
  <c r="C30" i="3"/>
  <c r="D28" i="3"/>
  <c r="C28" i="3"/>
  <c r="D6" i="3"/>
  <c r="D26" i="3"/>
  <c r="C26" i="3"/>
  <c r="E26" i="3"/>
  <c r="F20" i="3"/>
  <c r="D20" i="3"/>
  <c r="C20" i="3"/>
  <c r="C8" i="3"/>
  <c r="D8" i="3"/>
  <c r="D10" i="3"/>
  <c r="C10" i="3"/>
  <c r="C6" i="3"/>
</calcChain>
</file>

<file path=xl/sharedStrings.xml><?xml version="1.0" encoding="utf-8"?>
<sst xmlns="http://schemas.openxmlformats.org/spreadsheetml/2006/main" count="1783" uniqueCount="107">
  <si>
    <t>AFE</t>
  </si>
  <si>
    <t>EC</t>
  </si>
  <si>
    <t>AS</t>
  </si>
  <si>
    <t>VISAS</t>
  </si>
  <si>
    <t>Q2</t>
  </si>
  <si>
    <t>oui</t>
  </si>
  <si>
    <t>non</t>
  </si>
  <si>
    <t>Q3</t>
  </si>
  <si>
    <t>SI NON</t>
  </si>
  <si>
    <t>SI OUI</t>
  </si>
  <si>
    <t>téléphone</t>
  </si>
  <si>
    <t>mail</t>
  </si>
  <si>
    <t>sur place</t>
  </si>
  <si>
    <t>Q4</t>
  </si>
  <si>
    <t>immédiat</t>
  </si>
  <si>
    <t xml:space="preserve">moins 24h </t>
  </si>
  <si>
    <t>entre 24-48h</t>
  </si>
  <si>
    <t>plus de 48h</t>
  </si>
  <si>
    <t>Q5</t>
  </si>
  <si>
    <t>Q5b</t>
  </si>
  <si>
    <t>Q2b</t>
  </si>
  <si>
    <t>Q6</t>
  </si>
  <si>
    <t>complet</t>
  </si>
  <si>
    <t>partiel</t>
  </si>
  <si>
    <t>pas du tout</t>
  </si>
  <si>
    <t>Q7</t>
  </si>
  <si>
    <t>Q7b</t>
  </si>
  <si>
    <t>Q8</t>
  </si>
  <si>
    <t>ne sais pas</t>
  </si>
  <si>
    <t>Q9</t>
  </si>
  <si>
    <t>Q10</t>
  </si>
  <si>
    <t>CONTRÔLE</t>
  </si>
  <si>
    <t>RECEPTION</t>
  </si>
  <si>
    <t>BUREAU</t>
  </si>
  <si>
    <t>satisfaisant</t>
  </si>
  <si>
    <t>pas du tout satisfaisant</t>
  </si>
  <si>
    <t>Q11</t>
  </si>
  <si>
    <t>A l'heure</t>
  </si>
  <si>
    <t>En retard</t>
  </si>
  <si>
    <t>SI retard</t>
  </si>
  <si>
    <t>0-15</t>
  </si>
  <si>
    <t>15-30</t>
  </si>
  <si>
    <t>30-60</t>
  </si>
  <si>
    <t>plus de 60</t>
  </si>
  <si>
    <t>Q12</t>
  </si>
  <si>
    <t>Q13</t>
  </si>
  <si>
    <t>Securité 1</t>
  </si>
  <si>
    <t>Securité 2</t>
  </si>
  <si>
    <t>Securité 3</t>
  </si>
  <si>
    <t>GLOBAL</t>
  </si>
  <si>
    <t>Q1 SERVICE</t>
  </si>
  <si>
    <t>ETAT-CIVIL</t>
  </si>
  <si>
    <r>
      <t xml:space="preserve">
</t>
    </r>
    <r>
      <rPr>
        <sz val="12"/>
        <color rgb="FF99197D"/>
        <rFont val="Calibri"/>
        <family val="2"/>
        <scheme val="minor"/>
      </rPr>
      <t>Question 2 :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rgb="FF0000FF"/>
        <rFont val="Calibri"/>
        <family val="2"/>
        <scheme val="minor"/>
      </rPr>
      <t>Avez-vous pu arriver à terme de la démarche que vous venez d’entreprendre ?</t>
    </r>
    <r>
      <rPr>
        <sz val="12"/>
        <color theme="1"/>
        <rFont val="Calibri"/>
        <family val="2"/>
        <scheme val="minor"/>
      </rPr>
      <t xml:space="preserve">
</t>
    </r>
  </si>
  <si>
    <t>Votre démarche</t>
  </si>
  <si>
    <t>Premier contact avec le Consulat</t>
  </si>
  <si>
    <t xml:space="preserve">un agent </t>
  </si>
  <si>
    <t>moins 24h</t>
  </si>
  <si>
    <t>entre 24 et 48h</t>
  </si>
  <si>
    <t>complètement</t>
  </si>
  <si>
    <t>partiellement</t>
  </si>
  <si>
    <r>
      <t xml:space="preserve">Si </t>
    </r>
    <r>
      <rPr>
        <u/>
        <sz val="12"/>
        <color rgb="FF99197D"/>
        <rFont val="Calibri"/>
        <family val="2"/>
        <scheme val="minor"/>
      </rPr>
      <t>NON</t>
    </r>
    <r>
      <rPr>
        <sz val="12"/>
        <color rgb="FF0000FF"/>
        <rFont val="Calibri"/>
        <family val="2"/>
        <scheme val="minor"/>
      </rPr>
      <t xml:space="preserve">, savez-vous pourquoi ?   </t>
    </r>
  </si>
  <si>
    <r>
      <rPr>
        <sz val="11"/>
        <color rgb="FF0000FF"/>
        <rFont val="Calibri"/>
        <family val="2"/>
        <scheme val="minor"/>
      </rPr>
      <t xml:space="preserve">        Si </t>
    </r>
    <r>
      <rPr>
        <u/>
        <sz val="11"/>
        <color rgb="FF99197D"/>
        <rFont val="Calibri"/>
        <family val="2"/>
        <scheme val="minor"/>
      </rPr>
      <t>OUI</t>
    </r>
    <r>
      <rPr>
        <sz val="11"/>
        <color rgb="FF0000FF"/>
        <rFont val="Calibri"/>
        <family val="2"/>
        <scheme val="minor"/>
      </rPr>
      <t xml:space="preserve">, par quels moyens ? (entourez la réponse) :    </t>
    </r>
    <r>
      <rPr>
        <sz val="11"/>
        <color theme="1"/>
        <rFont val="Calibri"/>
        <family val="2"/>
        <scheme val="minor"/>
      </rPr>
      <t xml:space="preserve">   </t>
    </r>
  </si>
  <si>
    <r>
      <rPr>
        <sz val="12"/>
        <color rgb="FF99197D"/>
        <rFont val="Calibri"/>
        <family val="2"/>
        <scheme val="minor"/>
      </rPr>
      <t>Question 6</t>
    </r>
    <r>
      <rPr>
        <sz val="12"/>
        <color theme="1"/>
        <rFont val="Calibri"/>
        <family val="2"/>
        <scheme val="minor"/>
      </rPr>
      <t xml:space="preserve"> : </t>
    </r>
    <r>
      <rPr>
        <sz val="12"/>
        <color rgb="FF0000FF"/>
        <rFont val="Calibri"/>
        <family val="2"/>
        <scheme val="minor"/>
      </rPr>
      <t>In fine, avez-vous été satisfait(e) de la réponse obtenue ?  Pour quelles raisons ?</t>
    </r>
  </si>
  <si>
    <r>
      <rPr>
        <sz val="12"/>
        <color rgb="FF99197D"/>
        <rFont val="Calibri"/>
        <family val="2"/>
        <scheme val="minor"/>
      </rPr>
      <t>Question 5</t>
    </r>
    <r>
      <rPr>
        <sz val="12"/>
        <color theme="1"/>
        <rFont val="Calibri"/>
        <family val="2"/>
        <scheme val="minor"/>
      </rPr>
      <t xml:space="preserve"> : </t>
    </r>
    <r>
      <rPr>
        <sz val="12"/>
        <color rgb="FF0000FF"/>
        <rFont val="Calibri"/>
        <family val="2"/>
        <scheme val="minor"/>
      </rPr>
      <t>Quel a été le nombre d’appels  nécessaires pour accéder à…</t>
    </r>
  </si>
  <si>
    <r>
      <rPr>
        <sz val="12"/>
        <color rgb="FF99197D"/>
        <rFont val="Calibri"/>
        <family val="2"/>
        <scheme val="minor"/>
      </rPr>
      <t>Question 3</t>
    </r>
    <r>
      <rPr>
        <sz val="12"/>
        <color theme="1"/>
        <rFont val="Calibri"/>
        <family val="2"/>
        <scheme val="minor"/>
      </rPr>
      <t xml:space="preserve"> : </t>
    </r>
    <r>
      <rPr>
        <sz val="12"/>
        <color rgb="FF0000FF"/>
        <rFont val="Calibri"/>
        <family val="2"/>
        <scheme val="minor"/>
      </rPr>
      <t>Avez-vous pris contact avec le consulat avant d’effectuer votre démarche ?</t>
    </r>
  </si>
  <si>
    <t xml:space="preserve">l’information </t>
  </si>
  <si>
    <t>LUNDI</t>
  </si>
  <si>
    <t>JOUR</t>
  </si>
  <si>
    <t>lundi</t>
  </si>
  <si>
    <t>mardi</t>
  </si>
  <si>
    <t>mercredi</t>
  </si>
  <si>
    <t>jeudi</t>
  </si>
  <si>
    <t>vendredi</t>
  </si>
  <si>
    <t>SI OUI2</t>
  </si>
  <si>
    <r>
      <rPr>
        <sz val="12"/>
        <color rgb="FF99197D"/>
        <rFont val="Calibri"/>
        <family val="2"/>
        <scheme val="minor"/>
      </rPr>
      <t>Question 2b</t>
    </r>
    <r>
      <rPr>
        <sz val="12"/>
        <color rgb="FF0000FF"/>
        <rFont val="Calibri"/>
        <family val="2"/>
        <scheme val="minor"/>
      </rPr>
      <t xml:space="preserve"> : Avez-vous été informé du délai et des modalités nécessaires à sa réalisation ?  </t>
    </r>
    <r>
      <rPr>
        <sz val="12"/>
        <color theme="1"/>
        <rFont val="Calibri"/>
        <family val="2"/>
        <scheme val="minor"/>
      </rPr>
      <t xml:space="preserve"> </t>
    </r>
  </si>
  <si>
    <r>
      <rPr>
        <sz val="12"/>
        <color rgb="FF99197D"/>
        <rFont val="Calibri"/>
        <family val="2"/>
        <scheme val="minor"/>
      </rPr>
      <t>Question 4 :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0000FF"/>
        <rFont val="Calibri"/>
        <family val="2"/>
        <scheme val="minor"/>
      </rPr>
      <t>Quel a été le délai de réponse suite à cette première prise de contact ?</t>
    </r>
  </si>
  <si>
    <t xml:space="preserve">Communication internet </t>
  </si>
  <si>
    <t>SI NON2</t>
  </si>
  <si>
    <t>Accueil au consulat</t>
  </si>
  <si>
    <t>très satisfaisant</t>
  </si>
  <si>
    <t>Contrôle sécurité</t>
  </si>
  <si>
    <t>Réception (accueil)</t>
  </si>
  <si>
    <t>Agent du bureau</t>
  </si>
  <si>
    <t>moy. satisfaisant</t>
  </si>
  <si>
    <t>Délai d'attente</t>
  </si>
  <si>
    <t>plus 60</t>
  </si>
  <si>
    <t>Sécurité</t>
  </si>
  <si>
    <t>REPONSES</t>
  </si>
  <si>
    <t>1. Connaissez-vous le nom et les coordonnées de votre ilotier ?</t>
  </si>
  <si>
    <t>2. Savez-vous quel est son rôle ?</t>
  </si>
  <si>
    <t>ARIANE</t>
  </si>
  <si>
    <t xml:space="preserve">Evaluation globale </t>
  </si>
  <si>
    <t>_</t>
  </si>
  <si>
    <r>
      <rPr>
        <sz val="12"/>
        <color rgb="FF99197D"/>
        <rFont val="Calibri"/>
        <family val="2"/>
        <scheme val="minor"/>
      </rPr>
      <t xml:space="preserve">Question 7 </t>
    </r>
    <r>
      <rPr>
        <sz val="12"/>
        <color theme="1"/>
        <rFont val="Calibri"/>
        <family val="2"/>
        <scheme val="minor"/>
      </rPr>
      <t xml:space="preserve">: </t>
    </r>
    <r>
      <rPr>
        <sz val="12"/>
        <color rgb="FF0000FF"/>
        <rFont val="Calibri"/>
        <family val="2"/>
        <scheme val="minor"/>
      </rPr>
      <t>Avez-vous connaissance du site internet ?</t>
    </r>
  </si>
  <si>
    <r>
      <rPr>
        <sz val="12"/>
        <color rgb="FF99197D"/>
        <rFont val="Calibri"/>
        <family val="2"/>
        <scheme val="minor"/>
      </rPr>
      <t>Question 7b :</t>
    </r>
    <r>
      <rPr>
        <sz val="12"/>
        <color rgb="FF0000FF"/>
        <rFont val="Calibri"/>
        <family val="2"/>
        <scheme val="minor"/>
      </rPr>
      <t xml:space="preserve"> Avez-vous connaissanc de la page FB ?</t>
    </r>
  </si>
  <si>
    <r>
      <rPr>
        <sz val="12"/>
        <color rgb="FF99197D"/>
        <rFont val="Calibri"/>
        <family val="2"/>
        <scheme val="minor"/>
      </rPr>
      <t>Question 8 :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rgb="FF0000FF"/>
        <rFont val="Calibri"/>
        <family val="2"/>
        <scheme val="minor"/>
      </rPr>
      <t>Votre démarche était-elle réalisable sur internet ?</t>
    </r>
  </si>
  <si>
    <r>
      <t xml:space="preserve">Si </t>
    </r>
    <r>
      <rPr>
        <u/>
        <sz val="12"/>
        <color rgb="FF99197D"/>
        <rFont val="Calibri"/>
        <family val="2"/>
        <scheme val="minor"/>
      </rPr>
      <t>OUI</t>
    </r>
    <r>
      <rPr>
        <sz val="12"/>
        <color rgb="FF0000FF"/>
        <rFont val="Calibri"/>
        <family val="2"/>
        <scheme val="minor"/>
      </rPr>
      <t>, en avez-vous été informé(e) ?</t>
    </r>
  </si>
  <si>
    <r>
      <rPr>
        <sz val="12"/>
        <color rgb="FF99197D"/>
        <rFont val="Calibri"/>
        <family val="2"/>
        <scheme val="minor"/>
      </rPr>
      <t>Question 9 :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rgb="FF0000FF"/>
        <rFont val="Calibri"/>
        <family val="2"/>
        <scheme val="minor"/>
      </rPr>
      <t>Réaliserez-vous la prochaine fois votre démarche sur internet ?</t>
    </r>
  </si>
  <si>
    <r>
      <rPr>
        <sz val="12"/>
        <color rgb="FF99197D"/>
        <rFont val="Calibri"/>
        <family val="2"/>
        <scheme val="minor"/>
      </rPr>
      <t>Question 10</t>
    </r>
    <r>
      <rPr>
        <sz val="12"/>
        <color theme="1"/>
        <rFont val="Calibri"/>
        <family val="2"/>
        <scheme val="minor"/>
      </rPr>
      <t xml:space="preserve"> :</t>
    </r>
    <r>
      <rPr>
        <sz val="12"/>
        <color rgb="FF0000FF"/>
        <rFont val="Calibri"/>
        <family val="2"/>
        <scheme val="minor"/>
      </rPr>
      <t xml:space="preserve"> Comment qualifieriez-vous l’accueil qui vous a été réservé ? </t>
    </r>
  </si>
  <si>
    <r>
      <rPr>
        <sz val="12"/>
        <color rgb="FF99197D"/>
        <rFont val="Calibri"/>
        <family val="2"/>
        <scheme val="minor"/>
      </rPr>
      <t>Question 11 :</t>
    </r>
    <r>
      <rPr>
        <sz val="12"/>
        <color rgb="FF0000FF"/>
        <rFont val="Calibri"/>
        <family val="2"/>
        <scheme val="minor"/>
      </rPr>
      <t xml:space="preserve"> Aviez-vous pris rendez-vous ?  </t>
    </r>
  </si>
  <si>
    <r>
      <t xml:space="preserve">         Si </t>
    </r>
    <r>
      <rPr>
        <u/>
        <sz val="12"/>
        <color rgb="FF99197D"/>
        <rFont val="Calibri"/>
        <family val="2"/>
        <scheme val="minor"/>
      </rPr>
      <t>OUI</t>
    </r>
    <r>
      <rPr>
        <sz val="12"/>
        <color rgb="FF0000FF"/>
        <rFont val="Calibri"/>
        <family val="2"/>
        <scheme val="minor"/>
      </rPr>
      <t>, vous avez été reçu « … » ?</t>
    </r>
  </si>
  <si>
    <r>
      <t xml:space="preserve">     Si en </t>
    </r>
    <r>
      <rPr>
        <u/>
        <sz val="12"/>
        <color rgb="FF99197D"/>
        <rFont val="Calibri"/>
        <family val="2"/>
        <scheme val="minor"/>
      </rPr>
      <t>EN RETARD</t>
    </r>
    <r>
      <rPr>
        <sz val="12"/>
        <color rgb="FF0000FF"/>
        <rFont val="Calibri"/>
        <family val="2"/>
        <scheme val="minor"/>
      </rPr>
      <t>, vous estimez  votre temps d’attente compris entre :</t>
    </r>
  </si>
  <si>
    <r>
      <rPr>
        <sz val="12"/>
        <color rgb="FF99197D"/>
        <rFont val="Calibri"/>
        <family val="2"/>
        <scheme val="minor"/>
      </rPr>
      <t>Question 12 :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rgb="FF0000FF"/>
        <rFont val="Calibri"/>
        <family val="2"/>
        <scheme val="minor"/>
      </rPr>
      <t xml:space="preserve">Vous n’aviez </t>
    </r>
    <r>
      <rPr>
        <u/>
        <sz val="12"/>
        <color rgb="FF99197D"/>
        <rFont val="Calibri"/>
        <family val="2"/>
        <scheme val="minor"/>
      </rPr>
      <t>PAS RENDEZ-VOUS</t>
    </r>
    <r>
      <rPr>
        <sz val="12"/>
        <color rgb="FF0000FF"/>
        <rFont val="Calibri"/>
        <family val="2"/>
        <scheme val="minor"/>
      </rPr>
      <t>, à combien estimez-vous votre temps d’attente ?</t>
    </r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</si>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</sst>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F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99197D"/>
      <name val="Calibri"/>
      <family val="2"/>
      <scheme val="minor"/>
    </font>
    <font>
      <sz val="12"/>
      <color rgb="FF0000FF"/>
      <name val="Calibri"/>
      <family val="2"/>
      <scheme val="minor"/>
    </font>
    <font>
      <u/>
      <sz val="12"/>
      <color rgb="FF99197D"/>
      <name val="Calibri"/>
      <family val="2"/>
      <scheme val="minor"/>
    </font>
    <font>
      <u/>
      <sz val="11"/>
      <color rgb="FF99197D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6"/>
      <color rgb="FF3F3F76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2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sz val="24"/>
      <color theme="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</borders>
  <cellStyleXfs count="23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" fillId="21" borderId="0" applyNumberFormat="0" applyBorder="0" applyAlignment="0" applyProtection="0"/>
    <xf numFmtId="0" fontId="4" fillId="22" borderId="0" applyNumberFormat="0" applyBorder="0" applyAlignment="0" applyProtection="0"/>
    <xf numFmtId="0" fontId="12" fillId="23" borderId="2" applyNumberFormat="0" applyAlignment="0" applyProtection="0"/>
  </cellStyleXfs>
  <cellXfs count="60">
    <xf numFmtId="0" fontId="0" fillId="0" borderId="0" xfId="0"/>
    <xf numFmtId="0" fontId="4" fillId="4" borderId="0" xfId="3" applyAlignment="1">
      <alignment horizontal="center" vertical="center"/>
    </xf>
    <xf numFmtId="0" fontId="1" fillId="5" borderId="0" xfId="4" applyAlignment="1">
      <alignment horizontal="center" vertical="center"/>
    </xf>
    <xf numFmtId="0" fontId="4" fillId="8" borderId="0" xfId="7" applyAlignment="1">
      <alignment horizontal="center" vertical="center"/>
    </xf>
    <xf numFmtId="0" fontId="4" fillId="6" borderId="0" xfId="5" applyAlignment="1">
      <alignment horizontal="center" vertical="center"/>
    </xf>
    <xf numFmtId="0" fontId="1" fillId="10" borderId="0" xfId="9" applyAlignment="1">
      <alignment horizontal="center" vertical="center"/>
    </xf>
    <xf numFmtId="0" fontId="1" fillId="13" borderId="0" xfId="12" applyAlignment="1">
      <alignment horizontal="center" vertical="center"/>
    </xf>
    <xf numFmtId="0" fontId="1" fillId="14" borderId="0" xfId="13" applyAlignment="1">
      <alignment horizontal="center" vertical="center"/>
    </xf>
    <xf numFmtId="0" fontId="4" fillId="15" borderId="0" xfId="14" applyAlignment="1">
      <alignment horizontal="center" vertical="center"/>
    </xf>
    <xf numFmtId="0" fontId="4" fillId="12" borderId="0" xfId="11" applyAlignment="1">
      <alignment horizontal="center" vertical="center"/>
    </xf>
    <xf numFmtId="0" fontId="4" fillId="7" borderId="0" xfId="6" applyAlignment="1">
      <alignment horizontal="center" vertical="center"/>
    </xf>
    <xf numFmtId="0" fontId="4" fillId="22" borderId="0" xfId="21" applyAlignment="1">
      <alignment horizontal="center" vertical="center"/>
    </xf>
    <xf numFmtId="0" fontId="2" fillId="2" borderId="0" xfId="1" applyAlignment="1">
      <alignment horizontal="center" vertical="center"/>
    </xf>
    <xf numFmtId="0" fontId="4" fillId="20" borderId="0" xfId="19" applyAlignment="1">
      <alignment horizontal="center" vertical="center"/>
    </xf>
    <xf numFmtId="0" fontId="4" fillId="11" borderId="0" xfId="10" applyAlignment="1">
      <alignment horizontal="center" vertical="center"/>
    </xf>
    <xf numFmtId="0" fontId="1" fillId="17" borderId="0" xfId="16" applyAlignment="1">
      <alignment horizontal="center" vertical="center"/>
    </xf>
    <xf numFmtId="0" fontId="1" fillId="18" borderId="0" xfId="17" applyAlignment="1">
      <alignment horizontal="center" vertical="center"/>
    </xf>
    <xf numFmtId="0" fontId="4" fillId="19" borderId="0" xfId="18" applyAlignment="1">
      <alignment horizontal="center" vertical="center"/>
    </xf>
    <xf numFmtId="0" fontId="4" fillId="16" borderId="0" xfId="15" applyAlignment="1">
      <alignment horizontal="center" vertical="center"/>
    </xf>
    <xf numFmtId="0" fontId="4" fillId="9" borderId="0" xfId="8" applyAlignment="1">
      <alignment horizontal="center" vertical="center"/>
    </xf>
    <xf numFmtId="0" fontId="3" fillId="3" borderId="1" xfId="2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4" borderId="0" xfId="3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13" fillId="23" borderId="2" xfId="22" applyFont="1" applyAlignment="1">
      <alignment horizontal="center" vertical="center"/>
    </xf>
    <xf numFmtId="0" fontId="13" fillId="23" borderId="2" xfId="22" applyFont="1" applyAlignment="1">
      <alignment horizontal="center"/>
    </xf>
    <xf numFmtId="0" fontId="4" fillId="4" borderId="0" xfId="3" applyAlignment="1">
      <alignment horizontal="center"/>
    </xf>
    <xf numFmtId="0" fontId="0" fillId="0" borderId="0" xfId="0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4" fillId="9" borderId="0" xfId="8" applyAlignment="1">
      <alignment horizontal="center" vertical="center"/>
    </xf>
    <xf numFmtId="0" fontId="1" fillId="10" borderId="0" xfId="9" applyAlignment="1">
      <alignment horizontal="center" vertical="center"/>
    </xf>
    <xf numFmtId="0" fontId="1" fillId="21" borderId="0" xfId="20" applyAlignment="1">
      <alignment horizontal="center" vertical="center"/>
    </xf>
    <xf numFmtId="0" fontId="4" fillId="7" borderId="0" xfId="6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4" fillId="4" borderId="0" xfId="3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6" fillId="7" borderId="0" xfId="6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19" borderId="0" xfId="18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1" fillId="17" borderId="0" xfId="16" applyAlignment="1">
      <alignment horizontal="center" vertical="center"/>
    </xf>
    <xf numFmtId="0" fontId="0" fillId="18" borderId="0" xfId="17" applyFont="1" applyAlignment="1">
      <alignment horizontal="center" vertical="center"/>
    </xf>
    <xf numFmtId="0" fontId="14" fillId="5" borderId="0" xfId="4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7" fillId="7" borderId="0" xfId="6" applyFont="1" applyAlignment="1">
      <alignment horizontal="center" vertical="center"/>
    </xf>
    <xf numFmtId="0" fontId="18" fillId="7" borderId="0" xfId="6" applyFont="1" applyAlignment="1">
      <alignment horizontal="center" vertical="center"/>
    </xf>
    <xf numFmtId="0" fontId="11" fillId="7" borderId="0" xfId="6" applyFont="1" applyAlignment="1">
      <alignment horizontal="center" vertical="center"/>
    </xf>
  </cellXfs>
  <cellStyles count="23">
    <cellStyle name="20 % - Accent4" xfId="12" builtinId="42"/>
    <cellStyle name="20 % - Accent5" xfId="16" builtinId="46"/>
    <cellStyle name="40 % - Accent1" xfId="4" builtinId="31"/>
    <cellStyle name="40 % - Accent3" xfId="9" builtinId="39"/>
    <cellStyle name="40 % - Accent4" xfId="13" builtinId="43"/>
    <cellStyle name="40 % - Accent5" xfId="17" builtinId="47"/>
    <cellStyle name="40 % - Accent6" xfId="20" builtinId="51"/>
    <cellStyle name="60 % - Accent1" xfId="5" builtinId="32"/>
    <cellStyle name="60 % - Accent2" xfId="7" builtinId="36"/>
    <cellStyle name="60 % - Accent3" xfId="10" builtinId="40"/>
    <cellStyle name="60 % - Accent4" xfId="14" builtinId="44"/>
    <cellStyle name="60 % - Accent5" xfId="18" builtinId="48"/>
    <cellStyle name="60 % - Accent6" xfId="21" builtinId="52"/>
    <cellStyle name="Accent1" xfId="3" builtinId="29"/>
    <cellStyle name="Accent2" xfId="6" builtinId="33"/>
    <cellStyle name="Accent3" xfId="8" builtinId="37"/>
    <cellStyle name="Accent4" xfId="11" builtinId="41"/>
    <cellStyle name="Accent5" xfId="15" builtinId="45"/>
    <cellStyle name="Accent6" xfId="19" builtinId="49"/>
    <cellStyle name="Entrée" xfId="22" builtinId="20"/>
    <cellStyle name="Neutre" xfId="1" builtinId="28"/>
    <cellStyle name="Normal" xfId="0" builtinId="0"/>
    <cellStyle name="Sortie" xfId="2" builtinId="21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  <color rgb="FF99197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7" name="Tableau7" displayName="Tableau7" ref="A1:AC3423" totalsRowShown="0" headerRowDxfId="0" headerRowCellStyle="Accent1">
  <autoFilter ref="A1:AC3423"/>
  <tableColumns count="29">
    <tableColumn id="1" name="Q1 SERVICE"/>
    <tableColumn id="2" name="JOUR"/>
    <tableColumn id="3" name="Q2"/>
    <tableColumn id="4" name="SI NON"/>
    <tableColumn id="5" name="Q2b"/>
    <tableColumn id="6" name="Q3"/>
    <tableColumn id="7" name="SI OUI"/>
    <tableColumn id="8" name="Q4"/>
    <tableColumn id="9" name="Q5"/>
    <tableColumn id="10" name="Q5b"/>
    <tableColumn id="11" name="Q6"/>
    <tableColumn id="12" name="Q7"/>
    <tableColumn id="13" name="Q7b"/>
    <tableColumn id="14" name="Q8"/>
    <tableColumn id="15" name="Q9"/>
    <tableColumn id="16" name="SI NON2"/>
    <tableColumn id="17" name="Q10"/>
    <tableColumn id="18" name="CONTRÔLE"/>
    <tableColumn id="19" name="RECEPTION"/>
    <tableColumn id="20" name="BUREAU"/>
    <tableColumn id="21" name="Q11"/>
    <tableColumn id="22" name="SI OUI2"/>
    <tableColumn id="23" name="SI retard"/>
    <tableColumn id="24" name="Q12"/>
    <tableColumn id="25" name="Q13"/>
    <tableColumn id="26" name="Securité 1"/>
    <tableColumn id="27" name="Securité 2"/>
    <tableColumn id="28" name="Securité 3"/>
    <tableColumn id="29" name="GLOB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AD1066"/>
  <sheetViews>
    <sheetView zoomScale="70" zoomScaleNormal="70" workbookViewId="0">
      <selection activeCell="A3" sqref="A3"/>
    </sheetView>
  </sheetViews>
  <sheetFormatPr baseColWidth="10" defaultRowHeight="15" x14ac:dyDescent="0.25"/>
  <cols>
    <col min="1" max="1" width="20.42578125" customWidth="1"/>
    <col min="2" max="2" width="17.140625" customWidth="1"/>
    <col min="3" max="3" width="13.7109375" customWidth="1"/>
    <col min="4" max="4" width="16.28515625" customWidth="1"/>
    <col min="5" max="5" width="13" customWidth="1"/>
    <col min="6" max="6" width="11.42578125" customWidth="1"/>
    <col min="7" max="7" width="30" customWidth="1"/>
    <col min="8" max="8" width="14.42578125" customWidth="1"/>
    <col min="9" max="9" width="12.85546875" customWidth="1"/>
    <col min="10" max="10" width="13.140625" customWidth="1"/>
    <col min="11" max="12" width="14.42578125" customWidth="1"/>
    <col min="13" max="13" width="14.140625" customWidth="1"/>
    <col min="14" max="14" width="15.7109375" customWidth="1"/>
    <col min="15" max="15" width="12.28515625" customWidth="1"/>
    <col min="16" max="16" width="45.140625" customWidth="1"/>
    <col min="17" max="17" width="20.5703125" customWidth="1"/>
    <col min="18" max="18" width="26.140625" customWidth="1"/>
    <col min="19" max="19" width="26.5703125" customWidth="1"/>
    <col min="20" max="20" width="26.28515625" customWidth="1"/>
    <col min="21" max="21" width="18.42578125" customWidth="1"/>
    <col min="22" max="22" width="18.5703125" customWidth="1"/>
    <col min="23" max="23" width="20" customWidth="1"/>
    <col min="24" max="24" width="14.28515625" customWidth="1"/>
    <col min="25" max="25" width="11" customWidth="1"/>
    <col min="26" max="26" width="21.28515625" customWidth="1"/>
    <col min="27" max="27" width="20.140625" customWidth="1"/>
    <col min="28" max="28" width="21.28515625" customWidth="1"/>
    <col min="29" max="29" width="31.28515625" customWidth="1"/>
    <col min="30" max="30" width="38" customWidth="1"/>
    <col min="31" max="31" width="16.85546875" customWidth="1"/>
    <col min="32" max="32" width="16.42578125" customWidth="1"/>
    <col min="33" max="33" width="14.7109375" customWidth="1"/>
  </cols>
  <sheetData>
    <row r="1" spans="1:30" x14ac:dyDescent="0.25">
      <c r="A1" s="1" t="s">
        <v>50</v>
      </c>
      <c r="B1" s="1" t="s">
        <v>67</v>
      </c>
      <c r="C1" s="2" t="s">
        <v>4</v>
      </c>
      <c r="D1" s="3" t="s">
        <v>8</v>
      </c>
      <c r="E1" s="2" t="s">
        <v>20</v>
      </c>
      <c r="F1" s="4" t="s">
        <v>7</v>
      </c>
      <c r="G1" s="5" t="s">
        <v>9</v>
      </c>
      <c r="H1" s="6" t="s">
        <v>13</v>
      </c>
      <c r="I1" s="7" t="s">
        <v>18</v>
      </c>
      <c r="J1" s="7" t="s">
        <v>19</v>
      </c>
      <c r="K1" s="8" t="s">
        <v>21</v>
      </c>
      <c r="L1" s="9" t="s">
        <v>25</v>
      </c>
      <c r="M1" s="9" t="s">
        <v>26</v>
      </c>
      <c r="N1" s="11" t="s">
        <v>27</v>
      </c>
      <c r="O1" s="13" t="s">
        <v>29</v>
      </c>
      <c r="P1" s="10" t="s">
        <v>77</v>
      </c>
      <c r="Q1" s="12" t="s">
        <v>30</v>
      </c>
      <c r="R1" s="12" t="s">
        <v>31</v>
      </c>
      <c r="S1" s="12" t="s">
        <v>32</v>
      </c>
      <c r="T1" s="12" t="s">
        <v>33</v>
      </c>
      <c r="U1" s="20" t="s">
        <v>36</v>
      </c>
      <c r="V1" s="14" t="s">
        <v>73</v>
      </c>
      <c r="W1" s="10" t="s">
        <v>39</v>
      </c>
      <c r="X1" s="15" t="s">
        <v>44</v>
      </c>
      <c r="Y1" s="16" t="s">
        <v>45</v>
      </c>
      <c r="Z1" s="17" t="s">
        <v>46</v>
      </c>
      <c r="AA1" s="18" t="s">
        <v>47</v>
      </c>
      <c r="AB1" s="1" t="s">
        <v>48</v>
      </c>
      <c r="AC1" s="19" t="s">
        <v>49</v>
      </c>
      <c r="AD1" s="27"/>
    </row>
    <row r="2" spans="1:30" x14ac:dyDescent="0.25">
      <c r="A2" t="s">
        <v>1</v>
      </c>
      <c r="B2" t="s">
        <v>68</v>
      </c>
      <c r="C2" t="s">
        <v>6</v>
      </c>
      <c r="D2" t="s">
        <v>6</v>
      </c>
      <c r="E2" t="s">
        <v>5</v>
      </c>
      <c r="F2" t="s">
        <v>6</v>
      </c>
      <c r="G2" t="s">
        <v>12</v>
      </c>
      <c r="H2" t="s">
        <v>16</v>
      </c>
      <c r="I2">
        <v>4</v>
      </c>
      <c r="J2">
        <v>4</v>
      </c>
      <c r="K2" t="s">
        <v>22</v>
      </c>
      <c r="L2" t="s">
        <v>6</v>
      </c>
      <c r="M2" t="s">
        <v>6</v>
      </c>
      <c r="N2" t="s">
        <v>28</v>
      </c>
      <c r="O2" t="s">
        <v>5</v>
      </c>
      <c r="R2" t="s">
        <v>79</v>
      </c>
      <c r="S2" t="s">
        <v>79</v>
      </c>
      <c r="T2" t="s">
        <v>79</v>
      </c>
      <c r="U2" t="s">
        <v>5</v>
      </c>
      <c r="V2" t="s">
        <v>38</v>
      </c>
      <c r="W2" t="s">
        <v>41</v>
      </c>
      <c r="X2" t="s">
        <v>43</v>
      </c>
      <c r="Y2" t="s">
        <v>5</v>
      </c>
      <c r="Z2" t="s">
        <v>6</v>
      </c>
      <c r="AA2" t="s">
        <v>5</v>
      </c>
      <c r="AB2" t="s">
        <v>6</v>
      </c>
      <c r="AC2" t="s">
        <v>83</v>
      </c>
      <c r="AD2" s="25"/>
    </row>
    <row r="3" spans="1:30" ht="15" customHeight="1" x14ac:dyDescent="0.25">
      <c r="A3" t="s">
        <v>0</v>
      </c>
      <c r="B3" t="s">
        <v>68</v>
      </c>
      <c r="C3" t="s">
        <v>6</v>
      </c>
      <c r="D3" t="s">
        <v>6</v>
      </c>
      <c r="E3" t="s">
        <v>6</v>
      </c>
      <c r="F3" t="s">
        <v>6</v>
      </c>
      <c r="G3" t="s">
        <v>11</v>
      </c>
      <c r="H3" t="s">
        <v>15</v>
      </c>
      <c r="I3">
        <v>8</v>
      </c>
      <c r="J3">
        <v>3</v>
      </c>
      <c r="K3" t="s">
        <v>24</v>
      </c>
      <c r="L3" t="s">
        <v>6</v>
      </c>
      <c r="M3" t="s">
        <v>5</v>
      </c>
      <c r="N3" t="s">
        <v>5</v>
      </c>
      <c r="O3" t="s">
        <v>6</v>
      </c>
      <c r="R3" t="s">
        <v>34</v>
      </c>
      <c r="S3" t="s">
        <v>34</v>
      </c>
      <c r="T3" t="s">
        <v>34</v>
      </c>
      <c r="U3" t="s">
        <v>6</v>
      </c>
      <c r="V3" t="s">
        <v>38</v>
      </c>
      <c r="W3" t="s">
        <v>43</v>
      </c>
      <c r="X3" t="s">
        <v>42</v>
      </c>
      <c r="Y3" t="s">
        <v>6</v>
      </c>
      <c r="Z3" t="s">
        <v>6</v>
      </c>
      <c r="AA3" t="s">
        <v>6</v>
      </c>
      <c r="AB3" t="s">
        <v>5</v>
      </c>
      <c r="AC3" t="s">
        <v>34</v>
      </c>
      <c r="AD3" s="25"/>
    </row>
    <row r="4" spans="1:30" x14ac:dyDescent="0.25">
      <c r="A4" t="s">
        <v>1</v>
      </c>
      <c r="B4" t="s">
        <v>68</v>
      </c>
      <c r="C4" t="s">
        <v>5</v>
      </c>
      <c r="D4" t="s">
        <v>5</v>
      </c>
      <c r="E4" t="s">
        <v>6</v>
      </c>
      <c r="F4" t="s">
        <v>5</v>
      </c>
      <c r="G4" t="s">
        <v>10</v>
      </c>
      <c r="H4" t="s">
        <v>17</v>
      </c>
      <c r="I4">
        <v>4</v>
      </c>
      <c r="J4">
        <v>6</v>
      </c>
      <c r="K4" t="s">
        <v>22</v>
      </c>
      <c r="L4" t="s">
        <v>6</v>
      </c>
      <c r="M4" t="s">
        <v>6</v>
      </c>
      <c r="N4" t="s">
        <v>6</v>
      </c>
      <c r="O4" t="s">
        <v>6</v>
      </c>
      <c r="R4" t="s">
        <v>83</v>
      </c>
      <c r="S4" t="s">
        <v>83</v>
      </c>
      <c r="T4" t="s">
        <v>83</v>
      </c>
      <c r="U4" t="s">
        <v>5</v>
      </c>
      <c r="V4" t="s">
        <v>37</v>
      </c>
      <c r="W4" t="s">
        <v>41</v>
      </c>
      <c r="X4" t="s">
        <v>40</v>
      </c>
      <c r="Y4" t="s">
        <v>6</v>
      </c>
      <c r="Z4" t="s">
        <v>5</v>
      </c>
      <c r="AA4" t="s">
        <v>6</v>
      </c>
      <c r="AB4" t="s">
        <v>5</v>
      </c>
      <c r="AC4" t="s">
        <v>35</v>
      </c>
      <c r="AD4" s="25"/>
    </row>
    <row r="5" spans="1:30" ht="15.75" customHeight="1" x14ac:dyDescent="0.25">
      <c r="A5" t="s">
        <v>1</v>
      </c>
      <c r="B5" t="s">
        <v>68</v>
      </c>
      <c r="C5" t="s">
        <v>6</v>
      </c>
      <c r="D5" t="s">
        <v>5</v>
      </c>
      <c r="E5" t="s">
        <v>6</v>
      </c>
      <c r="F5" t="s">
        <v>5</v>
      </c>
      <c r="G5" t="s">
        <v>12</v>
      </c>
      <c r="H5" t="s">
        <v>15</v>
      </c>
      <c r="I5">
        <v>1</v>
      </c>
      <c r="J5">
        <v>2</v>
      </c>
      <c r="K5" t="s">
        <v>24</v>
      </c>
      <c r="L5" t="s">
        <v>6</v>
      </c>
      <c r="M5" t="s">
        <v>5</v>
      </c>
      <c r="N5" t="s">
        <v>28</v>
      </c>
      <c r="O5" t="s">
        <v>5</v>
      </c>
      <c r="R5" t="s">
        <v>35</v>
      </c>
      <c r="S5" t="s">
        <v>35</v>
      </c>
      <c r="T5" t="s">
        <v>35</v>
      </c>
      <c r="U5" t="s">
        <v>6</v>
      </c>
      <c r="V5" t="s">
        <v>37</v>
      </c>
      <c r="W5" t="s">
        <v>42</v>
      </c>
      <c r="X5" t="s">
        <v>43</v>
      </c>
      <c r="Y5" t="s">
        <v>6</v>
      </c>
      <c r="Z5" t="s">
        <v>5</v>
      </c>
      <c r="AA5" t="s">
        <v>5</v>
      </c>
      <c r="AB5" t="s">
        <v>6</v>
      </c>
      <c r="AC5" t="s">
        <v>79</v>
      </c>
      <c r="AD5" s="25"/>
    </row>
    <row r="6" spans="1:30" x14ac:dyDescent="0.25">
      <c r="A6" t="s">
        <v>1</v>
      </c>
      <c r="B6" t="s">
        <v>68</v>
      </c>
      <c r="C6" t="s">
        <v>5</v>
      </c>
      <c r="G6" t="s">
        <v>12</v>
      </c>
      <c r="K6" t="s">
        <v>23</v>
      </c>
      <c r="L6" t="s">
        <v>6</v>
      </c>
      <c r="M6" t="s">
        <v>6</v>
      </c>
      <c r="N6" t="s">
        <v>5</v>
      </c>
      <c r="AD6" s="25"/>
    </row>
    <row r="7" spans="1:30" x14ac:dyDescent="0.25">
      <c r="A7" t="s">
        <v>1</v>
      </c>
      <c r="B7" t="s">
        <v>68</v>
      </c>
      <c r="C7" t="s">
        <v>5</v>
      </c>
      <c r="G7" t="s">
        <v>12</v>
      </c>
      <c r="K7" t="s">
        <v>22</v>
      </c>
      <c r="L7" t="s">
        <v>5</v>
      </c>
      <c r="M7" t="s">
        <v>6</v>
      </c>
      <c r="N7" t="s">
        <v>5</v>
      </c>
      <c r="AD7" s="25"/>
    </row>
    <row r="8" spans="1:30" x14ac:dyDescent="0.25">
      <c r="A8" t="s">
        <v>1</v>
      </c>
      <c r="B8" t="s">
        <v>68</v>
      </c>
      <c r="C8" t="s">
        <v>5</v>
      </c>
      <c r="G8" t="s">
        <v>12</v>
      </c>
      <c r="K8" t="s">
        <v>23</v>
      </c>
      <c r="L8" t="s">
        <v>5</v>
      </c>
      <c r="M8" t="s">
        <v>6</v>
      </c>
      <c r="N8" t="s">
        <v>5</v>
      </c>
      <c r="AD8" s="25"/>
    </row>
    <row r="9" spans="1:30" ht="15" customHeight="1" x14ac:dyDescent="0.25">
      <c r="A9" t="s">
        <v>1</v>
      </c>
      <c r="B9" t="s">
        <v>68</v>
      </c>
      <c r="C9" t="s">
        <v>6</v>
      </c>
      <c r="G9" t="s">
        <v>12</v>
      </c>
      <c r="K9" t="s">
        <v>24</v>
      </c>
      <c r="L9" t="s">
        <v>5</v>
      </c>
      <c r="M9" t="s">
        <v>6</v>
      </c>
      <c r="N9" t="s">
        <v>28</v>
      </c>
      <c r="AD9" s="25"/>
    </row>
    <row r="10" spans="1:30" ht="15.75" customHeight="1" x14ac:dyDescent="0.25">
      <c r="A10" t="s">
        <v>1</v>
      </c>
      <c r="B10" t="s">
        <v>68</v>
      </c>
      <c r="C10" t="s">
        <v>6</v>
      </c>
      <c r="G10" t="s">
        <v>12</v>
      </c>
      <c r="AD10" s="25"/>
    </row>
    <row r="11" spans="1:30" ht="15" customHeight="1" x14ac:dyDescent="0.25">
      <c r="A11" t="s">
        <v>1</v>
      </c>
      <c r="B11" t="s">
        <v>68</v>
      </c>
      <c r="C11" t="s">
        <v>6</v>
      </c>
      <c r="G11" t="s">
        <v>12</v>
      </c>
      <c r="AD11" s="25"/>
    </row>
    <row r="12" spans="1:30" x14ac:dyDescent="0.25">
      <c r="AD12" s="25"/>
    </row>
    <row r="13" spans="1:30" x14ac:dyDescent="0.25">
      <c r="AD13" s="25"/>
    </row>
    <row r="14" spans="1:30" x14ac:dyDescent="0.25">
      <c r="AD14" s="25"/>
    </row>
    <row r="15" spans="1:30" x14ac:dyDescent="0.25">
      <c r="AD15" s="25"/>
    </row>
    <row r="16" spans="1:30" x14ac:dyDescent="0.25">
      <c r="AD16" s="25"/>
    </row>
    <row r="17" spans="30:30" x14ac:dyDescent="0.25">
      <c r="AD17" s="25"/>
    </row>
    <row r="18" spans="30:30" x14ac:dyDescent="0.25">
      <c r="AD18" s="25"/>
    </row>
    <row r="19" spans="30:30" x14ac:dyDescent="0.25">
      <c r="AD19" s="25"/>
    </row>
    <row r="20" spans="30:30" x14ac:dyDescent="0.25">
      <c r="AD20" s="25"/>
    </row>
    <row r="21" spans="30:30" x14ac:dyDescent="0.25">
      <c r="AD21" s="25"/>
    </row>
    <row r="22" spans="30:30" x14ac:dyDescent="0.25">
      <c r="AD22" s="25"/>
    </row>
    <row r="23" spans="30:30" x14ac:dyDescent="0.25">
      <c r="AD23" s="25"/>
    </row>
    <row r="24" spans="30:30" x14ac:dyDescent="0.25">
      <c r="AD24" s="25"/>
    </row>
    <row r="25" spans="30:30" x14ac:dyDescent="0.25">
      <c r="AD25" s="25"/>
    </row>
    <row r="26" spans="30:30" x14ac:dyDescent="0.25">
      <c r="AD26" s="25"/>
    </row>
    <row r="27" spans="30:30" x14ac:dyDescent="0.25">
      <c r="AD27" s="25"/>
    </row>
    <row r="28" spans="30:30" x14ac:dyDescent="0.25">
      <c r="AD28" s="25"/>
    </row>
    <row r="29" spans="30:30" x14ac:dyDescent="0.25">
      <c r="AD29" s="25"/>
    </row>
    <row r="30" spans="30:30" x14ac:dyDescent="0.25">
      <c r="AD30" s="25"/>
    </row>
    <row r="31" spans="30:30" x14ac:dyDescent="0.25">
      <c r="AD31" s="25"/>
    </row>
    <row r="32" spans="30:30" x14ac:dyDescent="0.25">
      <c r="AD32" s="25"/>
    </row>
    <row r="33" spans="30:30" x14ac:dyDescent="0.25">
      <c r="AD33" s="25"/>
    </row>
    <row r="34" spans="30:30" x14ac:dyDescent="0.25">
      <c r="AD34" s="25"/>
    </row>
    <row r="35" spans="30:30" x14ac:dyDescent="0.25">
      <c r="AD35" s="25"/>
    </row>
    <row r="36" spans="30:30" x14ac:dyDescent="0.25">
      <c r="AD36" s="25"/>
    </row>
    <row r="37" spans="30:30" x14ac:dyDescent="0.25">
      <c r="AD37" s="25"/>
    </row>
    <row r="38" spans="30:30" x14ac:dyDescent="0.25">
      <c r="AD38" s="25"/>
    </row>
    <row r="39" spans="30:30" x14ac:dyDescent="0.25">
      <c r="AD39" s="25"/>
    </row>
    <row r="40" spans="30:30" x14ac:dyDescent="0.25">
      <c r="AD40" s="25"/>
    </row>
    <row r="41" spans="30:30" x14ac:dyDescent="0.25">
      <c r="AD41" s="25"/>
    </row>
    <row r="42" spans="30:30" x14ac:dyDescent="0.25">
      <c r="AD42" s="25"/>
    </row>
    <row r="43" spans="30:30" x14ac:dyDescent="0.25">
      <c r="AD43" s="25"/>
    </row>
    <row r="44" spans="30:30" x14ac:dyDescent="0.25">
      <c r="AD44" s="25"/>
    </row>
    <row r="45" spans="30:30" x14ac:dyDescent="0.25">
      <c r="AD45" s="25"/>
    </row>
    <row r="46" spans="30:30" x14ac:dyDescent="0.25">
      <c r="AD46" s="25"/>
    </row>
    <row r="47" spans="30:30" x14ac:dyDescent="0.25">
      <c r="AD47" s="25"/>
    </row>
    <row r="48" spans="30:30" x14ac:dyDescent="0.25">
      <c r="AD48" s="25"/>
    </row>
    <row r="49" spans="30:30" x14ac:dyDescent="0.25">
      <c r="AD49" s="25"/>
    </row>
    <row r="50" spans="30:30" x14ac:dyDescent="0.25">
      <c r="AD50" s="25"/>
    </row>
    <row r="51" spans="30:30" x14ac:dyDescent="0.25">
      <c r="AD51" s="25"/>
    </row>
    <row r="52" spans="30:30" x14ac:dyDescent="0.25">
      <c r="AD52" s="25"/>
    </row>
    <row r="53" spans="30:30" x14ac:dyDescent="0.25">
      <c r="AD53" s="25"/>
    </row>
    <row r="54" spans="30:30" x14ac:dyDescent="0.25">
      <c r="AD54" s="25"/>
    </row>
    <row r="55" spans="30:30" x14ac:dyDescent="0.25">
      <c r="AD55" s="25"/>
    </row>
    <row r="56" spans="30:30" x14ac:dyDescent="0.25">
      <c r="AD56" s="25"/>
    </row>
    <row r="57" spans="30:30" x14ac:dyDescent="0.25">
      <c r="AD57" s="25"/>
    </row>
    <row r="58" spans="30:30" x14ac:dyDescent="0.25">
      <c r="AD58" s="25"/>
    </row>
    <row r="59" spans="30:30" x14ac:dyDescent="0.25">
      <c r="AD59" s="25"/>
    </row>
    <row r="60" spans="30:30" x14ac:dyDescent="0.25">
      <c r="AD60" s="25"/>
    </row>
    <row r="61" spans="30:30" x14ac:dyDescent="0.25">
      <c r="AD61" s="25"/>
    </row>
    <row r="62" spans="30:30" x14ac:dyDescent="0.25">
      <c r="AD62" s="25"/>
    </row>
    <row r="63" spans="30:30" x14ac:dyDescent="0.25">
      <c r="AD63" s="25"/>
    </row>
    <row r="64" spans="30:30" x14ac:dyDescent="0.25">
      <c r="AD64" s="25"/>
    </row>
    <row r="65" spans="30:30" x14ac:dyDescent="0.25">
      <c r="AD65" s="25"/>
    </row>
    <row r="66" spans="30:30" x14ac:dyDescent="0.25">
      <c r="AD66" s="25"/>
    </row>
    <row r="67" spans="30:30" x14ac:dyDescent="0.25">
      <c r="AD67" s="25"/>
    </row>
    <row r="68" spans="30:30" x14ac:dyDescent="0.25">
      <c r="AD68" s="25"/>
    </row>
    <row r="69" spans="30:30" x14ac:dyDescent="0.25">
      <c r="AD69" s="25"/>
    </row>
    <row r="70" spans="30:30" x14ac:dyDescent="0.25">
      <c r="AD70" s="25"/>
    </row>
    <row r="71" spans="30:30" x14ac:dyDescent="0.25">
      <c r="AD71" s="25"/>
    </row>
    <row r="72" spans="30:30" x14ac:dyDescent="0.25">
      <c r="AD72" s="25"/>
    </row>
    <row r="73" spans="30:30" x14ac:dyDescent="0.25">
      <c r="AD73" s="25"/>
    </row>
    <row r="74" spans="30:30" x14ac:dyDescent="0.25">
      <c r="AD74" s="25"/>
    </row>
    <row r="75" spans="30:30" x14ac:dyDescent="0.25">
      <c r="AD75" s="25"/>
    </row>
    <row r="76" spans="30:30" x14ac:dyDescent="0.25">
      <c r="AD76" s="25"/>
    </row>
    <row r="77" spans="30:30" x14ac:dyDescent="0.25">
      <c r="AD77" s="25"/>
    </row>
    <row r="78" spans="30:30" x14ac:dyDescent="0.25">
      <c r="AD78" s="25"/>
    </row>
    <row r="79" spans="30:30" x14ac:dyDescent="0.25">
      <c r="AD79" s="25"/>
    </row>
    <row r="80" spans="30:30" x14ac:dyDescent="0.25">
      <c r="AD80" s="25"/>
    </row>
    <row r="81" spans="30:30" x14ac:dyDescent="0.25">
      <c r="AD81" s="25"/>
    </row>
    <row r="82" spans="30:30" x14ac:dyDescent="0.25">
      <c r="AD82" s="25"/>
    </row>
    <row r="83" spans="30:30" x14ac:dyDescent="0.25">
      <c r="AD83" s="25"/>
    </row>
    <row r="84" spans="30:30" x14ac:dyDescent="0.25">
      <c r="AD84" s="25"/>
    </row>
    <row r="85" spans="30:30" x14ac:dyDescent="0.25">
      <c r="AD85" s="25"/>
    </row>
    <row r="86" spans="30:30" x14ac:dyDescent="0.25">
      <c r="AD86" s="25"/>
    </row>
    <row r="87" spans="30:30" x14ac:dyDescent="0.25">
      <c r="AD87" s="25"/>
    </row>
    <row r="88" spans="30:30" x14ac:dyDescent="0.25">
      <c r="AD88" s="25"/>
    </row>
    <row r="89" spans="30:30" x14ac:dyDescent="0.25">
      <c r="AD89" s="25"/>
    </row>
    <row r="90" spans="30:30" x14ac:dyDescent="0.25">
      <c r="AD90" s="25"/>
    </row>
    <row r="91" spans="30:30" x14ac:dyDescent="0.25">
      <c r="AD91" s="25"/>
    </row>
    <row r="92" spans="30:30" x14ac:dyDescent="0.25">
      <c r="AD92" s="25"/>
    </row>
    <row r="93" spans="30:30" x14ac:dyDescent="0.25">
      <c r="AD93" s="25"/>
    </row>
    <row r="94" spans="30:30" x14ac:dyDescent="0.25">
      <c r="AD94" s="25"/>
    </row>
    <row r="95" spans="30:30" x14ac:dyDescent="0.25">
      <c r="AD95" s="25"/>
    </row>
    <row r="96" spans="30:30" x14ac:dyDescent="0.25">
      <c r="AD96" s="25"/>
    </row>
    <row r="97" spans="30:30" x14ac:dyDescent="0.25">
      <c r="AD97" s="25"/>
    </row>
    <row r="98" spans="30:30" x14ac:dyDescent="0.25">
      <c r="AD98" s="25"/>
    </row>
    <row r="99" spans="30:30" x14ac:dyDescent="0.25">
      <c r="AD99" s="25"/>
    </row>
    <row r="100" spans="30:30" x14ac:dyDescent="0.25">
      <c r="AD100" s="25"/>
    </row>
    <row r="101" spans="30:30" x14ac:dyDescent="0.25">
      <c r="AD101" s="25"/>
    </row>
    <row r="102" spans="30:30" x14ac:dyDescent="0.25">
      <c r="AD102" s="25"/>
    </row>
    <row r="103" spans="30:30" x14ac:dyDescent="0.25">
      <c r="AD103" s="25"/>
    </row>
    <row r="104" spans="30:30" x14ac:dyDescent="0.25">
      <c r="AD104" s="25"/>
    </row>
    <row r="105" spans="30:30" x14ac:dyDescent="0.25">
      <c r="AD105" s="25"/>
    </row>
    <row r="106" spans="30:30" x14ac:dyDescent="0.25">
      <c r="AD106" s="25"/>
    </row>
    <row r="107" spans="30:30" x14ac:dyDescent="0.25">
      <c r="AD107" s="25"/>
    </row>
    <row r="108" spans="30:30" x14ac:dyDescent="0.25">
      <c r="AD108" s="25"/>
    </row>
    <row r="109" spans="30:30" x14ac:dyDescent="0.25">
      <c r="AD109" s="25"/>
    </row>
    <row r="110" spans="30:30" x14ac:dyDescent="0.25">
      <c r="AD110" s="25"/>
    </row>
    <row r="111" spans="30:30" x14ac:dyDescent="0.25">
      <c r="AD111" s="25"/>
    </row>
    <row r="112" spans="30:30" x14ac:dyDescent="0.25">
      <c r="AD112" s="25"/>
    </row>
    <row r="113" spans="30:30" x14ac:dyDescent="0.25">
      <c r="AD113" s="25"/>
    </row>
    <row r="114" spans="30:30" x14ac:dyDescent="0.25">
      <c r="AD114" s="25"/>
    </row>
    <row r="115" spans="30:30" x14ac:dyDescent="0.25">
      <c r="AD115" s="25"/>
    </row>
    <row r="116" spans="30:30" x14ac:dyDescent="0.25">
      <c r="AD116" s="25"/>
    </row>
    <row r="117" spans="30:30" x14ac:dyDescent="0.25">
      <c r="AD117" s="25"/>
    </row>
    <row r="118" spans="30:30" x14ac:dyDescent="0.25">
      <c r="AD118" s="25"/>
    </row>
    <row r="119" spans="30:30" x14ac:dyDescent="0.25">
      <c r="AD119" s="25"/>
    </row>
    <row r="120" spans="30:30" x14ac:dyDescent="0.25">
      <c r="AD120" s="25"/>
    </row>
    <row r="121" spans="30:30" x14ac:dyDescent="0.25">
      <c r="AD121" s="25"/>
    </row>
    <row r="122" spans="30:30" x14ac:dyDescent="0.25">
      <c r="AD122" s="25"/>
    </row>
    <row r="123" spans="30:30" x14ac:dyDescent="0.25">
      <c r="AD123" s="25"/>
    </row>
    <row r="124" spans="30:30" x14ac:dyDescent="0.25">
      <c r="AD124" s="25"/>
    </row>
    <row r="125" spans="30:30" x14ac:dyDescent="0.25">
      <c r="AD125" s="25"/>
    </row>
    <row r="126" spans="30:30" x14ac:dyDescent="0.25">
      <c r="AD126" s="25"/>
    </row>
    <row r="127" spans="30:30" x14ac:dyDescent="0.25">
      <c r="AD127" s="25"/>
    </row>
    <row r="128" spans="30:30" x14ac:dyDescent="0.25">
      <c r="AD128" s="25"/>
    </row>
    <row r="129" spans="30:30" x14ac:dyDescent="0.25">
      <c r="AD129" s="25"/>
    </row>
    <row r="130" spans="30:30" x14ac:dyDescent="0.25">
      <c r="AD130" s="25"/>
    </row>
    <row r="131" spans="30:30" x14ac:dyDescent="0.25">
      <c r="AD131" s="25"/>
    </row>
    <row r="132" spans="30:30" x14ac:dyDescent="0.25">
      <c r="AD132" s="25"/>
    </row>
    <row r="133" spans="30:30" x14ac:dyDescent="0.25">
      <c r="AD133" s="25"/>
    </row>
    <row r="134" spans="30:30" x14ac:dyDescent="0.25">
      <c r="AD134" s="25"/>
    </row>
    <row r="135" spans="30:30" x14ac:dyDescent="0.25">
      <c r="AD135" s="25"/>
    </row>
    <row r="136" spans="30:30" x14ac:dyDescent="0.25">
      <c r="AD136" s="25"/>
    </row>
    <row r="137" spans="30:30" x14ac:dyDescent="0.25">
      <c r="AD137" s="25"/>
    </row>
    <row r="138" spans="30:30" x14ac:dyDescent="0.25">
      <c r="AD138" s="25"/>
    </row>
    <row r="139" spans="30:30" x14ac:dyDescent="0.25">
      <c r="AD139" s="25"/>
    </row>
    <row r="140" spans="30:30" x14ac:dyDescent="0.25">
      <c r="AD140" s="25"/>
    </row>
    <row r="141" spans="30:30" x14ac:dyDescent="0.25">
      <c r="AD141" s="25"/>
    </row>
    <row r="142" spans="30:30" x14ac:dyDescent="0.25">
      <c r="AD142" s="25"/>
    </row>
    <row r="143" spans="30:30" x14ac:dyDescent="0.25">
      <c r="AD143" s="25"/>
    </row>
    <row r="144" spans="30:30" x14ac:dyDescent="0.25">
      <c r="AD144" s="25"/>
    </row>
    <row r="145" spans="30:30" x14ac:dyDescent="0.25">
      <c r="AD145" s="25"/>
    </row>
    <row r="146" spans="30:30" x14ac:dyDescent="0.25">
      <c r="AD146" s="25"/>
    </row>
    <row r="147" spans="30:30" x14ac:dyDescent="0.25">
      <c r="AD147" s="25"/>
    </row>
    <row r="148" spans="30:30" x14ac:dyDescent="0.25">
      <c r="AD148" s="25"/>
    </row>
    <row r="149" spans="30:30" x14ac:dyDescent="0.25">
      <c r="AD149" s="25"/>
    </row>
    <row r="150" spans="30:30" x14ac:dyDescent="0.25">
      <c r="AD150" s="25"/>
    </row>
    <row r="151" spans="30:30" x14ac:dyDescent="0.25">
      <c r="AD151" s="25"/>
    </row>
    <row r="152" spans="30:30" x14ac:dyDescent="0.25">
      <c r="AD152" s="25"/>
    </row>
    <row r="153" spans="30:30" x14ac:dyDescent="0.25">
      <c r="AD153" s="25"/>
    </row>
    <row r="154" spans="30:30" x14ac:dyDescent="0.25">
      <c r="AD154" s="25"/>
    </row>
    <row r="155" spans="30:30" x14ac:dyDescent="0.25">
      <c r="AD155" s="25"/>
    </row>
    <row r="156" spans="30:30" x14ac:dyDescent="0.25">
      <c r="AD156" s="25"/>
    </row>
    <row r="157" spans="30:30" x14ac:dyDescent="0.25">
      <c r="AD157" s="25"/>
    </row>
    <row r="158" spans="30:30" x14ac:dyDescent="0.25">
      <c r="AD158" s="25"/>
    </row>
    <row r="159" spans="30:30" x14ac:dyDescent="0.25">
      <c r="AD159" s="25"/>
    </row>
    <row r="160" spans="30:30" x14ac:dyDescent="0.25">
      <c r="AD160" s="25"/>
    </row>
    <row r="161" spans="30:30" x14ac:dyDescent="0.25">
      <c r="AD161" s="25"/>
    </row>
    <row r="162" spans="30:30" x14ac:dyDescent="0.25">
      <c r="AD162" s="25"/>
    </row>
    <row r="163" spans="30:30" x14ac:dyDescent="0.25">
      <c r="AD163" s="25"/>
    </row>
    <row r="164" spans="30:30" x14ac:dyDescent="0.25">
      <c r="AD164" s="25"/>
    </row>
    <row r="165" spans="30:30" x14ac:dyDescent="0.25">
      <c r="AD165" s="25"/>
    </row>
    <row r="166" spans="30:30" x14ac:dyDescent="0.25">
      <c r="AD166" s="25"/>
    </row>
    <row r="167" spans="30:30" x14ac:dyDescent="0.25">
      <c r="AD167" s="25"/>
    </row>
    <row r="168" spans="30:30" x14ac:dyDescent="0.25">
      <c r="AD168" s="25"/>
    </row>
    <row r="169" spans="30:30" x14ac:dyDescent="0.25">
      <c r="AD169" s="25"/>
    </row>
    <row r="170" spans="30:30" x14ac:dyDescent="0.25">
      <c r="AD170" s="25"/>
    </row>
    <row r="171" spans="30:30" x14ac:dyDescent="0.25">
      <c r="AD171" s="25"/>
    </row>
    <row r="172" spans="30:30" x14ac:dyDescent="0.25">
      <c r="AD172" s="25"/>
    </row>
    <row r="173" spans="30:30" x14ac:dyDescent="0.25">
      <c r="AD173" s="25"/>
    </row>
    <row r="174" spans="30:30" x14ac:dyDescent="0.25">
      <c r="AD174" s="25"/>
    </row>
    <row r="175" spans="30:30" x14ac:dyDescent="0.25">
      <c r="AD175" s="25"/>
    </row>
    <row r="176" spans="30:30" x14ac:dyDescent="0.25">
      <c r="AD176" s="25"/>
    </row>
    <row r="177" spans="30:30" x14ac:dyDescent="0.25">
      <c r="AD177" s="25"/>
    </row>
    <row r="178" spans="30:30" x14ac:dyDescent="0.25">
      <c r="AD178" s="25"/>
    </row>
    <row r="179" spans="30:30" x14ac:dyDescent="0.25">
      <c r="AD179" s="25"/>
    </row>
    <row r="180" spans="30:30" x14ac:dyDescent="0.25">
      <c r="AD180" s="25"/>
    </row>
    <row r="181" spans="30:30" x14ac:dyDescent="0.25">
      <c r="AD181" s="25"/>
    </row>
    <row r="182" spans="30:30" x14ac:dyDescent="0.25">
      <c r="AD182" s="25"/>
    </row>
    <row r="183" spans="30:30" x14ac:dyDescent="0.25">
      <c r="AD183" s="25"/>
    </row>
    <row r="184" spans="30:30" x14ac:dyDescent="0.25">
      <c r="AD184" s="25"/>
    </row>
    <row r="185" spans="30:30" x14ac:dyDescent="0.25">
      <c r="AD185" s="25"/>
    </row>
    <row r="186" spans="30:30" x14ac:dyDescent="0.25">
      <c r="AD186" s="25"/>
    </row>
    <row r="187" spans="30:30" x14ac:dyDescent="0.25">
      <c r="AD187" s="25"/>
    </row>
    <row r="188" spans="30:30" x14ac:dyDescent="0.25">
      <c r="AD188" s="25"/>
    </row>
    <row r="189" spans="30:30" x14ac:dyDescent="0.25">
      <c r="AD189" s="25"/>
    </row>
    <row r="190" spans="30:30" x14ac:dyDescent="0.25">
      <c r="AD190" s="25"/>
    </row>
    <row r="191" spans="30:30" x14ac:dyDescent="0.25">
      <c r="AD191" s="25"/>
    </row>
    <row r="192" spans="30:30" x14ac:dyDescent="0.25">
      <c r="AD192" s="25"/>
    </row>
    <row r="193" spans="30:30" x14ac:dyDescent="0.25">
      <c r="AD193" s="25"/>
    </row>
    <row r="194" spans="30:30" x14ac:dyDescent="0.25">
      <c r="AD194" s="25"/>
    </row>
    <row r="195" spans="30:30" x14ac:dyDescent="0.25">
      <c r="AD195" s="25"/>
    </row>
    <row r="196" spans="30:30" x14ac:dyDescent="0.25">
      <c r="AD196" s="25"/>
    </row>
    <row r="197" spans="30:30" x14ac:dyDescent="0.25">
      <c r="AD197" s="25"/>
    </row>
    <row r="198" spans="30:30" x14ac:dyDescent="0.25">
      <c r="AD198" s="25"/>
    </row>
    <row r="199" spans="30:30" x14ac:dyDescent="0.25">
      <c r="AD199" s="25"/>
    </row>
    <row r="200" spans="30:30" x14ac:dyDescent="0.25">
      <c r="AD200" s="25"/>
    </row>
    <row r="201" spans="30:30" x14ac:dyDescent="0.25">
      <c r="AD201" s="25"/>
    </row>
    <row r="202" spans="30:30" x14ac:dyDescent="0.25">
      <c r="AD202" s="25"/>
    </row>
    <row r="203" spans="30:30" x14ac:dyDescent="0.25">
      <c r="AD203" s="25"/>
    </row>
    <row r="204" spans="30:30" x14ac:dyDescent="0.25">
      <c r="AD204" s="25"/>
    </row>
    <row r="205" spans="30:30" x14ac:dyDescent="0.25">
      <c r="AD205" s="25"/>
    </row>
    <row r="206" spans="30:30" x14ac:dyDescent="0.25">
      <c r="AD206" s="25"/>
    </row>
    <row r="207" spans="30:30" x14ac:dyDescent="0.25">
      <c r="AD207" s="25"/>
    </row>
    <row r="208" spans="30:30" x14ac:dyDescent="0.25">
      <c r="AD208" s="25"/>
    </row>
    <row r="209" spans="30:30" x14ac:dyDescent="0.25">
      <c r="AD209" s="25"/>
    </row>
    <row r="210" spans="30:30" x14ac:dyDescent="0.25">
      <c r="AD210" s="25"/>
    </row>
    <row r="211" spans="30:30" x14ac:dyDescent="0.25">
      <c r="AD211" s="25"/>
    </row>
    <row r="212" spans="30:30" x14ac:dyDescent="0.25">
      <c r="AD212" s="25"/>
    </row>
    <row r="213" spans="30:30" x14ac:dyDescent="0.25">
      <c r="AD213" s="25"/>
    </row>
    <row r="214" spans="30:30" x14ac:dyDescent="0.25">
      <c r="AD214" s="25"/>
    </row>
    <row r="215" spans="30:30" x14ac:dyDescent="0.25">
      <c r="AD215" s="25"/>
    </row>
    <row r="216" spans="30:30" x14ac:dyDescent="0.25">
      <c r="AD216" s="25"/>
    </row>
    <row r="217" spans="30:30" x14ac:dyDescent="0.25">
      <c r="AD217" s="25"/>
    </row>
    <row r="218" spans="30:30" x14ac:dyDescent="0.25">
      <c r="AD218" s="25"/>
    </row>
    <row r="219" spans="30:30" x14ac:dyDescent="0.25">
      <c r="AD219" s="25"/>
    </row>
    <row r="220" spans="30:30" x14ac:dyDescent="0.25">
      <c r="AD220" s="25"/>
    </row>
    <row r="221" spans="30:30" x14ac:dyDescent="0.25">
      <c r="AD221" s="25"/>
    </row>
    <row r="222" spans="30:30" x14ac:dyDescent="0.25">
      <c r="AD222" s="25"/>
    </row>
    <row r="223" spans="30:30" x14ac:dyDescent="0.25">
      <c r="AD223" s="25"/>
    </row>
    <row r="224" spans="30:30" x14ac:dyDescent="0.25">
      <c r="AD224" s="25"/>
    </row>
    <row r="225" spans="30:30" x14ac:dyDescent="0.25">
      <c r="AD225" s="25"/>
    </row>
    <row r="226" spans="30:30" x14ac:dyDescent="0.25">
      <c r="AD226" s="25"/>
    </row>
    <row r="227" spans="30:30" x14ac:dyDescent="0.25">
      <c r="AD227" s="25"/>
    </row>
    <row r="228" spans="30:30" x14ac:dyDescent="0.25">
      <c r="AD228" s="25"/>
    </row>
    <row r="229" spans="30:30" x14ac:dyDescent="0.25">
      <c r="AD229" s="25"/>
    </row>
    <row r="230" spans="30:30" x14ac:dyDescent="0.25">
      <c r="AD230" s="25"/>
    </row>
    <row r="231" spans="30:30" x14ac:dyDescent="0.25">
      <c r="AD231" s="25"/>
    </row>
    <row r="232" spans="30:30" x14ac:dyDescent="0.25">
      <c r="AD232" s="25"/>
    </row>
    <row r="233" spans="30:30" x14ac:dyDescent="0.25">
      <c r="AD233" s="25"/>
    </row>
    <row r="234" spans="30:30" x14ac:dyDescent="0.25">
      <c r="AD234" s="25"/>
    </row>
    <row r="235" spans="30:30" x14ac:dyDescent="0.25">
      <c r="AD235" s="25"/>
    </row>
    <row r="236" spans="30:30" x14ac:dyDescent="0.25">
      <c r="AD236" s="25"/>
    </row>
    <row r="237" spans="30:30" x14ac:dyDescent="0.25">
      <c r="AD237" s="25"/>
    </row>
    <row r="238" spans="30:30" x14ac:dyDescent="0.25">
      <c r="AD238" s="25"/>
    </row>
    <row r="239" spans="30:30" x14ac:dyDescent="0.25">
      <c r="AD239" s="25"/>
    </row>
    <row r="240" spans="30:30" x14ac:dyDescent="0.25">
      <c r="AD240" s="25"/>
    </row>
    <row r="241" spans="30:30" x14ac:dyDescent="0.25">
      <c r="AD241" s="25"/>
    </row>
    <row r="242" spans="30:30" x14ac:dyDescent="0.25">
      <c r="AD242" s="25"/>
    </row>
    <row r="243" spans="30:30" x14ac:dyDescent="0.25">
      <c r="AD243" s="25"/>
    </row>
    <row r="244" spans="30:30" x14ac:dyDescent="0.25">
      <c r="AD244" s="25"/>
    </row>
    <row r="245" spans="30:30" x14ac:dyDescent="0.25">
      <c r="AD245" s="25"/>
    </row>
    <row r="246" spans="30:30" x14ac:dyDescent="0.25">
      <c r="AD246" s="25"/>
    </row>
    <row r="247" spans="30:30" x14ac:dyDescent="0.25">
      <c r="AD247" s="25"/>
    </row>
    <row r="248" spans="30:30" x14ac:dyDescent="0.25">
      <c r="AD248" s="25"/>
    </row>
    <row r="249" spans="30:30" x14ac:dyDescent="0.25">
      <c r="AD249" s="25"/>
    </row>
    <row r="250" spans="30:30" x14ac:dyDescent="0.25">
      <c r="AD250" s="25"/>
    </row>
    <row r="251" spans="30:30" x14ac:dyDescent="0.25">
      <c r="AD251" s="25"/>
    </row>
    <row r="252" spans="30:30" x14ac:dyDescent="0.25">
      <c r="AD252" s="25"/>
    </row>
    <row r="253" spans="30:30" x14ac:dyDescent="0.25">
      <c r="AD253" s="25"/>
    </row>
    <row r="254" spans="30:30" x14ac:dyDescent="0.25">
      <c r="AD254" s="25"/>
    </row>
    <row r="255" spans="30:30" x14ac:dyDescent="0.25">
      <c r="AD255" s="25"/>
    </row>
    <row r="256" spans="30:30" x14ac:dyDescent="0.25">
      <c r="AD256" s="25"/>
    </row>
    <row r="257" spans="30:30" x14ac:dyDescent="0.25">
      <c r="AD257" s="25"/>
    </row>
    <row r="258" spans="30:30" x14ac:dyDescent="0.25">
      <c r="AD258" s="25"/>
    </row>
    <row r="259" spans="30:30" x14ac:dyDescent="0.25">
      <c r="AD259" s="25"/>
    </row>
    <row r="260" spans="30:30" x14ac:dyDescent="0.25">
      <c r="AD260" s="25"/>
    </row>
    <row r="261" spans="30:30" x14ac:dyDescent="0.25">
      <c r="AD261" s="25"/>
    </row>
    <row r="262" spans="30:30" x14ac:dyDescent="0.25">
      <c r="AD262" s="25"/>
    </row>
    <row r="263" spans="30:30" x14ac:dyDescent="0.25">
      <c r="AD263" s="25"/>
    </row>
    <row r="264" spans="30:30" x14ac:dyDescent="0.25">
      <c r="AD264" s="25"/>
    </row>
    <row r="265" spans="30:30" x14ac:dyDescent="0.25">
      <c r="AD265" s="25"/>
    </row>
    <row r="266" spans="30:30" x14ac:dyDescent="0.25">
      <c r="AD266" s="25"/>
    </row>
    <row r="267" spans="30:30" x14ac:dyDescent="0.25">
      <c r="AD267" s="25"/>
    </row>
    <row r="268" spans="30:30" x14ac:dyDescent="0.25">
      <c r="AD268" s="25"/>
    </row>
    <row r="269" spans="30:30" x14ac:dyDescent="0.25">
      <c r="AD269" s="25"/>
    </row>
    <row r="270" spans="30:30" x14ac:dyDescent="0.25">
      <c r="AD270" s="25"/>
    </row>
    <row r="271" spans="30:30" x14ac:dyDescent="0.25">
      <c r="AD271" s="25"/>
    </row>
    <row r="272" spans="30:30" x14ac:dyDescent="0.25">
      <c r="AD272" s="25"/>
    </row>
    <row r="273" spans="30:30" x14ac:dyDescent="0.25">
      <c r="AD273" s="25"/>
    </row>
    <row r="274" spans="30:30" x14ac:dyDescent="0.25">
      <c r="AD274" s="25"/>
    </row>
    <row r="275" spans="30:30" x14ac:dyDescent="0.25">
      <c r="AD275" s="25"/>
    </row>
    <row r="276" spans="30:30" x14ac:dyDescent="0.25">
      <c r="AD276" s="25"/>
    </row>
    <row r="277" spans="30:30" x14ac:dyDescent="0.25">
      <c r="AD277" s="25"/>
    </row>
    <row r="278" spans="30:30" x14ac:dyDescent="0.25">
      <c r="AD278" s="25"/>
    </row>
    <row r="279" spans="30:30" x14ac:dyDescent="0.25">
      <c r="AD279" s="25"/>
    </row>
    <row r="280" spans="30:30" x14ac:dyDescent="0.25">
      <c r="AD280" s="25"/>
    </row>
    <row r="281" spans="30:30" x14ac:dyDescent="0.25">
      <c r="AD281" s="25"/>
    </row>
    <row r="282" spans="30:30" x14ac:dyDescent="0.25">
      <c r="AD282" s="25"/>
    </row>
    <row r="283" spans="30:30" x14ac:dyDescent="0.25">
      <c r="AD283" s="25"/>
    </row>
    <row r="284" spans="30:30" x14ac:dyDescent="0.25">
      <c r="AD284" s="25"/>
    </row>
    <row r="285" spans="30:30" x14ac:dyDescent="0.25">
      <c r="AD285" s="25"/>
    </row>
    <row r="286" spans="30:30" x14ac:dyDescent="0.25">
      <c r="AD286" s="25"/>
    </row>
    <row r="287" spans="30:30" x14ac:dyDescent="0.25">
      <c r="AD287" s="25"/>
    </row>
    <row r="288" spans="30:30" x14ac:dyDescent="0.25">
      <c r="AD288" s="25"/>
    </row>
    <row r="289" spans="30:30" x14ac:dyDescent="0.25">
      <c r="AD289" s="25"/>
    </row>
    <row r="290" spans="30:30" x14ac:dyDescent="0.25">
      <c r="AD290" s="25"/>
    </row>
    <row r="291" spans="30:30" x14ac:dyDescent="0.25">
      <c r="AD291" s="25"/>
    </row>
    <row r="292" spans="30:30" x14ac:dyDescent="0.25">
      <c r="AD292" s="25"/>
    </row>
    <row r="293" spans="30:30" x14ac:dyDescent="0.25">
      <c r="AD293" s="25"/>
    </row>
    <row r="294" spans="30:30" x14ac:dyDescent="0.25">
      <c r="AD294" s="25"/>
    </row>
    <row r="295" spans="30:30" x14ac:dyDescent="0.25">
      <c r="AD295" s="25"/>
    </row>
    <row r="296" spans="30:30" x14ac:dyDescent="0.25">
      <c r="AD296" s="25"/>
    </row>
    <row r="297" spans="30:30" x14ac:dyDescent="0.25">
      <c r="AD297" s="25"/>
    </row>
    <row r="298" spans="30:30" x14ac:dyDescent="0.25">
      <c r="AD298" s="25"/>
    </row>
    <row r="299" spans="30:30" x14ac:dyDescent="0.25">
      <c r="AD299" s="25"/>
    </row>
    <row r="300" spans="30:30" x14ac:dyDescent="0.25">
      <c r="AD300" s="25"/>
    </row>
    <row r="301" spans="30:30" x14ac:dyDescent="0.25">
      <c r="AD301" s="25"/>
    </row>
    <row r="302" spans="30:30" x14ac:dyDescent="0.25">
      <c r="AD302" s="25"/>
    </row>
    <row r="303" spans="30:30" x14ac:dyDescent="0.25">
      <c r="AD303" s="25"/>
    </row>
    <row r="304" spans="30:30" x14ac:dyDescent="0.25">
      <c r="AD304" s="25"/>
    </row>
    <row r="305" spans="30:30" x14ac:dyDescent="0.25">
      <c r="AD305" s="25"/>
    </row>
    <row r="306" spans="30:30" x14ac:dyDescent="0.25">
      <c r="AD306" s="25"/>
    </row>
    <row r="307" spans="30:30" x14ac:dyDescent="0.25">
      <c r="AD307" s="25"/>
    </row>
    <row r="308" spans="30:30" x14ac:dyDescent="0.25">
      <c r="AD308" s="25"/>
    </row>
    <row r="309" spans="30:30" x14ac:dyDescent="0.25">
      <c r="AD309" s="25"/>
    </row>
    <row r="310" spans="30:30" x14ac:dyDescent="0.25">
      <c r="AD310" s="25"/>
    </row>
    <row r="311" spans="30:30" x14ac:dyDescent="0.25">
      <c r="AD311" s="25"/>
    </row>
    <row r="312" spans="30:30" x14ac:dyDescent="0.25">
      <c r="AD312" s="25"/>
    </row>
    <row r="313" spans="30:30" x14ac:dyDescent="0.25">
      <c r="AD313" s="25"/>
    </row>
    <row r="314" spans="30:30" x14ac:dyDescent="0.25">
      <c r="AD314" s="25"/>
    </row>
    <row r="315" spans="30:30" x14ac:dyDescent="0.25">
      <c r="AD315" s="25"/>
    </row>
    <row r="316" spans="30:30" x14ac:dyDescent="0.25">
      <c r="AD316" s="25"/>
    </row>
    <row r="317" spans="30:30" x14ac:dyDescent="0.25">
      <c r="AD317" s="25"/>
    </row>
    <row r="318" spans="30:30" x14ac:dyDescent="0.25">
      <c r="AD318" s="25"/>
    </row>
    <row r="319" spans="30:30" x14ac:dyDescent="0.25">
      <c r="AD319" s="25"/>
    </row>
    <row r="320" spans="30:30" x14ac:dyDescent="0.25">
      <c r="AD320" s="25"/>
    </row>
    <row r="321" spans="30:30" x14ac:dyDescent="0.25">
      <c r="AD321" s="25"/>
    </row>
    <row r="322" spans="30:30" x14ac:dyDescent="0.25">
      <c r="AD322" s="25"/>
    </row>
    <row r="323" spans="30:30" x14ac:dyDescent="0.25">
      <c r="AD323" s="25"/>
    </row>
    <row r="324" spans="30:30" x14ac:dyDescent="0.25">
      <c r="AD324" s="25"/>
    </row>
    <row r="325" spans="30:30" x14ac:dyDescent="0.25">
      <c r="AD325" s="25"/>
    </row>
    <row r="326" spans="30:30" x14ac:dyDescent="0.25">
      <c r="AD326" s="25"/>
    </row>
    <row r="327" spans="30:30" x14ac:dyDescent="0.25">
      <c r="AD327" s="25"/>
    </row>
    <row r="328" spans="30:30" x14ac:dyDescent="0.25">
      <c r="AD328" s="25"/>
    </row>
    <row r="329" spans="30:30" x14ac:dyDescent="0.25">
      <c r="AD329" s="25"/>
    </row>
    <row r="330" spans="30:30" x14ac:dyDescent="0.25">
      <c r="AD330" s="25"/>
    </row>
    <row r="331" spans="30:30" x14ac:dyDescent="0.25">
      <c r="AD331" s="25"/>
    </row>
    <row r="332" spans="30:30" x14ac:dyDescent="0.25">
      <c r="AD332" s="25"/>
    </row>
    <row r="333" spans="30:30" x14ac:dyDescent="0.25">
      <c r="AD333" s="25"/>
    </row>
    <row r="334" spans="30:30" x14ac:dyDescent="0.25">
      <c r="AD334" s="25"/>
    </row>
    <row r="335" spans="30:30" x14ac:dyDescent="0.25">
      <c r="AD335" s="25"/>
    </row>
    <row r="336" spans="30:30" x14ac:dyDescent="0.25">
      <c r="AD336" s="25"/>
    </row>
    <row r="337" spans="30:30" x14ac:dyDescent="0.25">
      <c r="AD337" s="25"/>
    </row>
    <row r="338" spans="30:30" x14ac:dyDescent="0.25">
      <c r="AD338" s="25"/>
    </row>
    <row r="339" spans="30:30" x14ac:dyDescent="0.25">
      <c r="AD339" s="25"/>
    </row>
    <row r="340" spans="30:30" x14ac:dyDescent="0.25">
      <c r="AD340" s="25"/>
    </row>
    <row r="341" spans="30:30" x14ac:dyDescent="0.25">
      <c r="AD341" s="25"/>
    </row>
    <row r="342" spans="30:30" x14ac:dyDescent="0.25">
      <c r="AD342" s="25"/>
    </row>
    <row r="343" spans="30:30" x14ac:dyDescent="0.25">
      <c r="AD343" s="25"/>
    </row>
    <row r="344" spans="30:30" x14ac:dyDescent="0.25">
      <c r="AD344" s="25"/>
    </row>
    <row r="345" spans="30:30" x14ac:dyDescent="0.25">
      <c r="AD345" s="25"/>
    </row>
    <row r="346" spans="30:30" x14ac:dyDescent="0.25">
      <c r="AD346" s="25"/>
    </row>
    <row r="347" spans="30:30" x14ac:dyDescent="0.25">
      <c r="AD347" s="25"/>
    </row>
    <row r="348" spans="30:30" x14ac:dyDescent="0.25">
      <c r="AD348" s="25"/>
    </row>
    <row r="349" spans="30:30" x14ac:dyDescent="0.25">
      <c r="AD349" s="25"/>
    </row>
    <row r="350" spans="30:30" x14ac:dyDescent="0.25">
      <c r="AD350" s="25"/>
    </row>
    <row r="351" spans="30:30" x14ac:dyDescent="0.25">
      <c r="AD351" s="25"/>
    </row>
    <row r="352" spans="30:30" x14ac:dyDescent="0.25">
      <c r="AD352" s="25"/>
    </row>
    <row r="353" spans="30:30" x14ac:dyDescent="0.25">
      <c r="AD353" s="25"/>
    </row>
    <row r="354" spans="30:30" x14ac:dyDescent="0.25">
      <c r="AD354" s="25"/>
    </row>
    <row r="355" spans="30:30" x14ac:dyDescent="0.25">
      <c r="AD355" s="25"/>
    </row>
    <row r="356" spans="30:30" x14ac:dyDescent="0.25">
      <c r="AD356" s="25"/>
    </row>
    <row r="357" spans="30:30" x14ac:dyDescent="0.25">
      <c r="AD357" s="25"/>
    </row>
    <row r="358" spans="30:30" x14ac:dyDescent="0.25">
      <c r="AD358" s="25"/>
    </row>
    <row r="359" spans="30:30" x14ac:dyDescent="0.25">
      <c r="AD359" s="25"/>
    </row>
    <row r="360" spans="30:30" x14ac:dyDescent="0.25">
      <c r="AD360" s="25"/>
    </row>
    <row r="361" spans="30:30" x14ac:dyDescent="0.25">
      <c r="AD361" s="25"/>
    </row>
    <row r="362" spans="30:30" x14ac:dyDescent="0.25">
      <c r="AD362" s="25"/>
    </row>
    <row r="363" spans="30:30" x14ac:dyDescent="0.25">
      <c r="AD363" s="25"/>
    </row>
    <row r="364" spans="30:30" x14ac:dyDescent="0.25">
      <c r="AD364" s="25"/>
    </row>
    <row r="365" spans="30:30" x14ac:dyDescent="0.25">
      <c r="AD365" s="25"/>
    </row>
    <row r="366" spans="30:30" x14ac:dyDescent="0.25">
      <c r="AD366" s="25"/>
    </row>
    <row r="367" spans="30:30" x14ac:dyDescent="0.25">
      <c r="AD367" s="25"/>
    </row>
    <row r="368" spans="30:30" x14ac:dyDescent="0.25">
      <c r="AD368" s="25"/>
    </row>
    <row r="369" spans="30:30" x14ac:dyDescent="0.25">
      <c r="AD369" s="25"/>
    </row>
    <row r="370" spans="30:30" x14ac:dyDescent="0.25">
      <c r="AD370" s="25"/>
    </row>
    <row r="371" spans="30:30" x14ac:dyDescent="0.25">
      <c r="AD371" s="25"/>
    </row>
    <row r="372" spans="30:30" x14ac:dyDescent="0.25">
      <c r="AD372" s="25"/>
    </row>
    <row r="373" spans="30:30" x14ac:dyDescent="0.25">
      <c r="AD373" s="25"/>
    </row>
    <row r="374" spans="30:30" x14ac:dyDescent="0.25">
      <c r="AD374" s="25"/>
    </row>
    <row r="375" spans="30:30" x14ac:dyDescent="0.25">
      <c r="AD375" s="25"/>
    </row>
    <row r="376" spans="30:30" x14ac:dyDescent="0.25">
      <c r="AD376" s="25"/>
    </row>
    <row r="377" spans="30:30" x14ac:dyDescent="0.25">
      <c r="AD377" s="25"/>
    </row>
    <row r="378" spans="30:30" x14ac:dyDescent="0.25">
      <c r="AD378" s="25"/>
    </row>
    <row r="379" spans="30:30" x14ac:dyDescent="0.25">
      <c r="AD379" s="25"/>
    </row>
    <row r="380" spans="30:30" x14ac:dyDescent="0.25">
      <c r="AD380" s="25"/>
    </row>
    <row r="381" spans="30:30" x14ac:dyDescent="0.25">
      <c r="AD381" s="25"/>
    </row>
    <row r="382" spans="30:30" x14ac:dyDescent="0.25">
      <c r="AD382" s="25"/>
    </row>
    <row r="383" spans="30:30" x14ac:dyDescent="0.25">
      <c r="AD383" s="25"/>
    </row>
    <row r="384" spans="30:30" x14ac:dyDescent="0.25">
      <c r="AD384" s="25"/>
    </row>
    <row r="385" spans="30:30" x14ac:dyDescent="0.25">
      <c r="AD385" s="25"/>
    </row>
    <row r="386" spans="30:30" x14ac:dyDescent="0.25">
      <c r="AD386" s="25"/>
    </row>
    <row r="387" spans="30:30" x14ac:dyDescent="0.25">
      <c r="AD387" s="25"/>
    </row>
    <row r="388" spans="30:30" x14ac:dyDescent="0.25">
      <c r="AD388" s="25"/>
    </row>
    <row r="389" spans="30:30" x14ac:dyDescent="0.25">
      <c r="AD389" s="25"/>
    </row>
    <row r="390" spans="30:30" x14ac:dyDescent="0.25">
      <c r="AD390" s="25"/>
    </row>
    <row r="391" spans="30:30" x14ac:dyDescent="0.25">
      <c r="AD391" s="25"/>
    </row>
    <row r="392" spans="30:30" x14ac:dyDescent="0.25">
      <c r="AD392" s="25"/>
    </row>
    <row r="393" spans="30:30" x14ac:dyDescent="0.25">
      <c r="AD393" s="25"/>
    </row>
    <row r="394" spans="30:30" x14ac:dyDescent="0.25">
      <c r="AD394" s="25"/>
    </row>
    <row r="395" spans="30:30" x14ac:dyDescent="0.25">
      <c r="AD395" s="25"/>
    </row>
    <row r="396" spans="30:30" x14ac:dyDescent="0.25">
      <c r="AD396" s="25"/>
    </row>
    <row r="397" spans="30:30" x14ac:dyDescent="0.25">
      <c r="AD397" s="25"/>
    </row>
    <row r="398" spans="30:30" x14ac:dyDescent="0.25">
      <c r="AD398" s="25"/>
    </row>
    <row r="399" spans="30:30" x14ac:dyDescent="0.25">
      <c r="AD399" s="25"/>
    </row>
    <row r="400" spans="30:30" x14ac:dyDescent="0.25">
      <c r="AD400" s="25"/>
    </row>
    <row r="401" spans="30:30" x14ac:dyDescent="0.25">
      <c r="AD401" s="25"/>
    </row>
    <row r="402" spans="30:30" x14ac:dyDescent="0.25">
      <c r="AD402" s="25"/>
    </row>
    <row r="403" spans="30:30" x14ac:dyDescent="0.25">
      <c r="AD403" s="25"/>
    </row>
    <row r="404" spans="30:30" x14ac:dyDescent="0.25">
      <c r="AD404" s="25"/>
    </row>
    <row r="405" spans="30:30" x14ac:dyDescent="0.25">
      <c r="AD405" s="25"/>
    </row>
    <row r="406" spans="30:30" x14ac:dyDescent="0.25">
      <c r="AD406" s="25"/>
    </row>
    <row r="407" spans="30:30" x14ac:dyDescent="0.25">
      <c r="AD407" s="25"/>
    </row>
    <row r="408" spans="30:30" x14ac:dyDescent="0.25">
      <c r="AD408" s="25"/>
    </row>
    <row r="409" spans="30:30" x14ac:dyDescent="0.25">
      <c r="AD409" s="25"/>
    </row>
    <row r="410" spans="30:30" x14ac:dyDescent="0.25">
      <c r="AD410" s="25"/>
    </row>
    <row r="411" spans="30:30" x14ac:dyDescent="0.25">
      <c r="AD411" s="25"/>
    </row>
    <row r="412" spans="30:30" x14ac:dyDescent="0.25">
      <c r="AD412" s="25"/>
    </row>
    <row r="413" spans="30:30" x14ac:dyDescent="0.25">
      <c r="AD413" s="25"/>
    </row>
    <row r="414" spans="30:30" x14ac:dyDescent="0.25">
      <c r="AD414" s="25"/>
    </row>
    <row r="415" spans="30:30" x14ac:dyDescent="0.25">
      <c r="AD415" s="25"/>
    </row>
    <row r="416" spans="30:30" x14ac:dyDescent="0.25">
      <c r="AD416" s="25"/>
    </row>
    <row r="417" spans="30:30" x14ac:dyDescent="0.25">
      <c r="AD417" s="25"/>
    </row>
    <row r="418" spans="30:30" x14ac:dyDescent="0.25">
      <c r="AD418" s="25"/>
    </row>
    <row r="419" spans="30:30" x14ac:dyDescent="0.25">
      <c r="AD419" s="25"/>
    </row>
    <row r="420" spans="30:30" x14ac:dyDescent="0.25">
      <c r="AD420" s="25"/>
    </row>
    <row r="421" spans="30:30" x14ac:dyDescent="0.25">
      <c r="AD421" s="25"/>
    </row>
    <row r="422" spans="30:30" x14ac:dyDescent="0.25">
      <c r="AD422" s="25"/>
    </row>
    <row r="423" spans="30:30" x14ac:dyDescent="0.25">
      <c r="AD423" s="25"/>
    </row>
    <row r="424" spans="30:30" x14ac:dyDescent="0.25">
      <c r="AD424" s="25"/>
    </row>
    <row r="425" spans="30:30" x14ac:dyDescent="0.25">
      <c r="AD425" s="25"/>
    </row>
    <row r="426" spans="30:30" x14ac:dyDescent="0.25">
      <c r="AD426" s="25"/>
    </row>
    <row r="427" spans="30:30" x14ac:dyDescent="0.25">
      <c r="AD427" s="25"/>
    </row>
    <row r="428" spans="30:30" x14ac:dyDescent="0.25">
      <c r="AD428" s="25"/>
    </row>
    <row r="429" spans="30:30" x14ac:dyDescent="0.25">
      <c r="AD429" s="25"/>
    </row>
    <row r="430" spans="30:30" x14ac:dyDescent="0.25">
      <c r="AD430" s="25"/>
    </row>
    <row r="431" spans="30:30" x14ac:dyDescent="0.25">
      <c r="AD431" s="25"/>
    </row>
    <row r="432" spans="30:30" x14ac:dyDescent="0.25">
      <c r="AD432" s="25"/>
    </row>
    <row r="433" spans="30:30" x14ac:dyDescent="0.25">
      <c r="AD433" s="25"/>
    </row>
    <row r="434" spans="30:30" x14ac:dyDescent="0.25">
      <c r="AD434" s="25"/>
    </row>
    <row r="435" spans="30:30" x14ac:dyDescent="0.25">
      <c r="AD435" s="25"/>
    </row>
    <row r="436" spans="30:30" x14ac:dyDescent="0.25">
      <c r="AD436" s="25"/>
    </row>
    <row r="437" spans="30:30" x14ac:dyDescent="0.25">
      <c r="AD437" s="25"/>
    </row>
    <row r="438" spans="30:30" x14ac:dyDescent="0.25">
      <c r="AD438" s="25"/>
    </row>
    <row r="439" spans="30:30" x14ac:dyDescent="0.25">
      <c r="AD439" s="25"/>
    </row>
    <row r="440" spans="30:30" x14ac:dyDescent="0.25">
      <c r="AD440" s="25"/>
    </row>
    <row r="441" spans="30:30" x14ac:dyDescent="0.25">
      <c r="AD441" s="25"/>
    </row>
    <row r="442" spans="30:30" x14ac:dyDescent="0.25">
      <c r="AD442" s="25"/>
    </row>
    <row r="443" spans="30:30" x14ac:dyDescent="0.25">
      <c r="AD443" s="25"/>
    </row>
    <row r="444" spans="30:30" x14ac:dyDescent="0.25">
      <c r="AD444" s="25"/>
    </row>
    <row r="445" spans="30:30" x14ac:dyDescent="0.25">
      <c r="AD445" s="25"/>
    </row>
    <row r="446" spans="30:30" x14ac:dyDescent="0.25">
      <c r="AD446" s="25"/>
    </row>
    <row r="447" spans="30:30" x14ac:dyDescent="0.25">
      <c r="AD447" s="25"/>
    </row>
    <row r="448" spans="30:30" x14ac:dyDescent="0.25">
      <c r="AD448" s="25"/>
    </row>
    <row r="449" spans="30:30" x14ac:dyDescent="0.25">
      <c r="AD449" s="25"/>
    </row>
    <row r="450" spans="30:30" x14ac:dyDescent="0.25">
      <c r="AD450" s="25"/>
    </row>
    <row r="451" spans="30:30" x14ac:dyDescent="0.25">
      <c r="AD451" s="25"/>
    </row>
    <row r="452" spans="30:30" x14ac:dyDescent="0.25">
      <c r="AD452" s="25"/>
    </row>
    <row r="453" spans="30:30" x14ac:dyDescent="0.25">
      <c r="AD453" s="25"/>
    </row>
    <row r="454" spans="30:30" x14ac:dyDescent="0.25">
      <c r="AD454" s="25"/>
    </row>
    <row r="455" spans="30:30" x14ac:dyDescent="0.25">
      <c r="AD455" s="25"/>
    </row>
    <row r="456" spans="30:30" x14ac:dyDescent="0.25">
      <c r="AD456" s="25"/>
    </row>
    <row r="457" spans="30:30" x14ac:dyDescent="0.25">
      <c r="AD457" s="25"/>
    </row>
    <row r="458" spans="30:30" x14ac:dyDescent="0.25">
      <c r="AD458" s="25"/>
    </row>
    <row r="459" spans="30:30" x14ac:dyDescent="0.25">
      <c r="AD459" s="25"/>
    </row>
    <row r="460" spans="30:30" x14ac:dyDescent="0.25">
      <c r="AD460" s="25"/>
    </row>
    <row r="461" spans="30:30" x14ac:dyDescent="0.25">
      <c r="AD461" s="25"/>
    </row>
    <row r="462" spans="30:30" x14ac:dyDescent="0.25">
      <c r="AD462" s="25"/>
    </row>
    <row r="463" spans="30:30" x14ac:dyDescent="0.25">
      <c r="AD463" s="25"/>
    </row>
    <row r="464" spans="30:30" x14ac:dyDescent="0.25">
      <c r="AD464" s="25"/>
    </row>
    <row r="465" spans="30:30" x14ac:dyDescent="0.25">
      <c r="AD465" s="25"/>
    </row>
    <row r="466" spans="30:30" x14ac:dyDescent="0.25">
      <c r="AD466" s="25"/>
    </row>
    <row r="467" spans="30:30" x14ac:dyDescent="0.25">
      <c r="AD467" s="25"/>
    </row>
    <row r="468" spans="30:30" x14ac:dyDescent="0.25">
      <c r="AD468" s="25"/>
    </row>
    <row r="469" spans="30:30" x14ac:dyDescent="0.25">
      <c r="AD469" s="25"/>
    </row>
    <row r="470" spans="30:30" x14ac:dyDescent="0.25">
      <c r="AD470" s="25"/>
    </row>
    <row r="471" spans="30:30" x14ac:dyDescent="0.25">
      <c r="AD471" s="25"/>
    </row>
    <row r="472" spans="30:30" x14ac:dyDescent="0.25">
      <c r="AD472" s="25"/>
    </row>
    <row r="473" spans="30:30" x14ac:dyDescent="0.25">
      <c r="AD473" s="25"/>
    </row>
    <row r="474" spans="30:30" x14ac:dyDescent="0.25">
      <c r="AD474" s="25"/>
    </row>
    <row r="475" spans="30:30" x14ac:dyDescent="0.25">
      <c r="AD475" s="25"/>
    </row>
    <row r="476" spans="30:30" x14ac:dyDescent="0.25">
      <c r="AD476" s="25"/>
    </row>
    <row r="477" spans="30:30" x14ac:dyDescent="0.25">
      <c r="AD477" s="25"/>
    </row>
    <row r="478" spans="30:30" x14ac:dyDescent="0.25">
      <c r="AD478" s="25"/>
    </row>
    <row r="479" spans="30:30" x14ac:dyDescent="0.25">
      <c r="AD479" s="25"/>
    </row>
    <row r="480" spans="30:30" x14ac:dyDescent="0.25">
      <c r="AD480" s="25"/>
    </row>
    <row r="481" spans="30:30" x14ac:dyDescent="0.25">
      <c r="AD481" s="25"/>
    </row>
    <row r="482" spans="30:30" x14ac:dyDescent="0.25">
      <c r="AD482" s="25"/>
    </row>
    <row r="483" spans="30:30" x14ac:dyDescent="0.25">
      <c r="AD483" s="25"/>
    </row>
    <row r="484" spans="30:30" x14ac:dyDescent="0.25">
      <c r="AD484" s="25"/>
    </row>
    <row r="485" spans="30:30" x14ac:dyDescent="0.25">
      <c r="AD485" s="25"/>
    </row>
    <row r="486" spans="30:30" x14ac:dyDescent="0.25">
      <c r="AD486" s="25"/>
    </row>
    <row r="487" spans="30:30" x14ac:dyDescent="0.25">
      <c r="AD487" s="25"/>
    </row>
    <row r="488" spans="30:30" x14ac:dyDescent="0.25">
      <c r="AD488" s="25"/>
    </row>
    <row r="489" spans="30:30" x14ac:dyDescent="0.25">
      <c r="AD489" s="25"/>
    </row>
    <row r="490" spans="30:30" x14ac:dyDescent="0.25">
      <c r="AD490" s="25"/>
    </row>
    <row r="491" spans="30:30" x14ac:dyDescent="0.25">
      <c r="AD491" s="25"/>
    </row>
    <row r="492" spans="30:30" x14ac:dyDescent="0.25">
      <c r="AD492" s="25"/>
    </row>
    <row r="493" spans="30:30" x14ac:dyDescent="0.25">
      <c r="AD493" s="25"/>
    </row>
    <row r="494" spans="30:30" x14ac:dyDescent="0.25">
      <c r="AD494" s="25"/>
    </row>
    <row r="495" spans="30:30" x14ac:dyDescent="0.25">
      <c r="AD495" s="25"/>
    </row>
    <row r="496" spans="30:30" x14ac:dyDescent="0.25">
      <c r="AD496" s="25"/>
    </row>
    <row r="497" spans="30:30" x14ac:dyDescent="0.25">
      <c r="AD497" s="25"/>
    </row>
    <row r="498" spans="30:30" x14ac:dyDescent="0.25">
      <c r="AD498" s="25"/>
    </row>
    <row r="499" spans="30:30" x14ac:dyDescent="0.25">
      <c r="AD499" s="25"/>
    </row>
    <row r="500" spans="30:30" x14ac:dyDescent="0.25">
      <c r="AD500" s="25"/>
    </row>
    <row r="501" spans="30:30" x14ac:dyDescent="0.25">
      <c r="AD501" s="25"/>
    </row>
    <row r="502" spans="30:30" x14ac:dyDescent="0.25">
      <c r="AD502" s="25"/>
    </row>
    <row r="503" spans="30:30" x14ac:dyDescent="0.25">
      <c r="AD503" s="25"/>
    </row>
    <row r="504" spans="30:30" x14ac:dyDescent="0.25">
      <c r="AD504" s="25"/>
    </row>
    <row r="505" spans="30:30" x14ac:dyDescent="0.25">
      <c r="AD505" s="25"/>
    </row>
    <row r="506" spans="30:30" x14ac:dyDescent="0.25">
      <c r="AD506" s="25"/>
    </row>
    <row r="507" spans="30:30" x14ac:dyDescent="0.25">
      <c r="AD507" s="25"/>
    </row>
    <row r="508" spans="30:30" x14ac:dyDescent="0.25">
      <c r="AD508" s="25"/>
    </row>
    <row r="509" spans="30:30" x14ac:dyDescent="0.25">
      <c r="AD509" s="25"/>
    </row>
    <row r="510" spans="30:30" x14ac:dyDescent="0.25">
      <c r="AD510" s="25"/>
    </row>
    <row r="511" spans="30:30" x14ac:dyDescent="0.25">
      <c r="AD511" s="25"/>
    </row>
    <row r="512" spans="30:30" x14ac:dyDescent="0.25">
      <c r="AD512" s="25"/>
    </row>
    <row r="513" spans="30:30" x14ac:dyDescent="0.25">
      <c r="AD513" s="25"/>
    </row>
    <row r="514" spans="30:30" x14ac:dyDescent="0.25">
      <c r="AD514" s="25"/>
    </row>
    <row r="515" spans="30:30" x14ac:dyDescent="0.25">
      <c r="AD515" s="25"/>
    </row>
    <row r="516" spans="30:30" x14ac:dyDescent="0.25">
      <c r="AD516" s="25"/>
    </row>
    <row r="517" spans="30:30" x14ac:dyDescent="0.25">
      <c r="AD517" s="25"/>
    </row>
    <row r="518" spans="30:30" x14ac:dyDescent="0.25">
      <c r="AD518" s="25"/>
    </row>
    <row r="519" spans="30:30" x14ac:dyDescent="0.25">
      <c r="AD519" s="25"/>
    </row>
    <row r="520" spans="30:30" x14ac:dyDescent="0.25">
      <c r="AD520" s="25"/>
    </row>
    <row r="521" spans="30:30" x14ac:dyDescent="0.25">
      <c r="AD521" s="25"/>
    </row>
    <row r="522" spans="30:30" x14ac:dyDescent="0.25">
      <c r="AD522" s="25"/>
    </row>
    <row r="523" spans="30:30" x14ac:dyDescent="0.25">
      <c r="AD523" s="25"/>
    </row>
    <row r="524" spans="30:30" x14ac:dyDescent="0.25">
      <c r="AD524" s="25"/>
    </row>
    <row r="525" spans="30:30" x14ac:dyDescent="0.25">
      <c r="AD525" s="25"/>
    </row>
    <row r="526" spans="30:30" x14ac:dyDescent="0.25">
      <c r="AD526" s="25"/>
    </row>
    <row r="527" spans="30:30" x14ac:dyDescent="0.25">
      <c r="AD527" s="25"/>
    </row>
    <row r="528" spans="30:30" x14ac:dyDescent="0.25">
      <c r="AD528" s="25"/>
    </row>
    <row r="529" spans="30:30" x14ac:dyDescent="0.25">
      <c r="AD529" s="25"/>
    </row>
    <row r="530" spans="30:30" x14ac:dyDescent="0.25">
      <c r="AD530" s="25"/>
    </row>
    <row r="531" spans="30:30" x14ac:dyDescent="0.25">
      <c r="AD531" s="25"/>
    </row>
    <row r="532" spans="30:30" x14ac:dyDescent="0.25">
      <c r="AD532" s="25"/>
    </row>
    <row r="533" spans="30:30" x14ac:dyDescent="0.25">
      <c r="AD533" s="25"/>
    </row>
    <row r="534" spans="30:30" x14ac:dyDescent="0.25">
      <c r="AD534" s="25"/>
    </row>
    <row r="535" spans="30:30" x14ac:dyDescent="0.25">
      <c r="AD535" s="25"/>
    </row>
    <row r="536" spans="30:30" x14ac:dyDescent="0.25">
      <c r="AD536" s="25"/>
    </row>
    <row r="537" spans="30:30" x14ac:dyDescent="0.25">
      <c r="AD537" s="25"/>
    </row>
    <row r="538" spans="30:30" x14ac:dyDescent="0.25">
      <c r="AD538" s="25"/>
    </row>
    <row r="539" spans="30:30" x14ac:dyDescent="0.25">
      <c r="AD539" s="25"/>
    </row>
    <row r="540" spans="30:30" x14ac:dyDescent="0.25">
      <c r="AD540" s="25"/>
    </row>
    <row r="541" spans="30:30" x14ac:dyDescent="0.25">
      <c r="AD541" s="25"/>
    </row>
    <row r="542" spans="30:30" x14ac:dyDescent="0.25">
      <c r="AD542" s="25"/>
    </row>
    <row r="543" spans="30:30" x14ac:dyDescent="0.25">
      <c r="AD543" s="25"/>
    </row>
    <row r="544" spans="30:30" x14ac:dyDescent="0.25">
      <c r="AD544" s="25"/>
    </row>
    <row r="545" spans="30:30" x14ac:dyDescent="0.25">
      <c r="AD545" s="25"/>
    </row>
    <row r="546" spans="30:30" x14ac:dyDescent="0.25">
      <c r="AD546" s="25"/>
    </row>
    <row r="547" spans="30:30" x14ac:dyDescent="0.25">
      <c r="AD547" s="25"/>
    </row>
    <row r="548" spans="30:30" x14ac:dyDescent="0.25">
      <c r="AD548" s="25"/>
    </row>
    <row r="549" spans="30:30" x14ac:dyDescent="0.25">
      <c r="AD549" s="25"/>
    </row>
    <row r="550" spans="30:30" x14ac:dyDescent="0.25">
      <c r="AD550" s="25"/>
    </row>
    <row r="551" spans="30:30" x14ac:dyDescent="0.25">
      <c r="AD551" s="25"/>
    </row>
    <row r="552" spans="30:30" x14ac:dyDescent="0.25">
      <c r="AD552" s="25"/>
    </row>
    <row r="553" spans="30:30" x14ac:dyDescent="0.25">
      <c r="AD553" s="25"/>
    </row>
    <row r="554" spans="30:30" x14ac:dyDescent="0.25">
      <c r="AD554" s="25"/>
    </row>
    <row r="555" spans="30:30" x14ac:dyDescent="0.25">
      <c r="AD555" s="25"/>
    </row>
    <row r="556" spans="30:30" x14ac:dyDescent="0.25">
      <c r="AD556" s="25"/>
    </row>
    <row r="557" spans="30:30" x14ac:dyDescent="0.25">
      <c r="AD557" s="25"/>
    </row>
    <row r="558" spans="30:30" x14ac:dyDescent="0.25">
      <c r="AD558" s="25"/>
    </row>
    <row r="559" spans="30:30" x14ac:dyDescent="0.25">
      <c r="AD559" s="25"/>
    </row>
    <row r="560" spans="30:30" x14ac:dyDescent="0.25">
      <c r="AD560" s="25"/>
    </row>
    <row r="561" spans="30:30" x14ac:dyDescent="0.25">
      <c r="AD561" s="25"/>
    </row>
    <row r="562" spans="30:30" x14ac:dyDescent="0.25">
      <c r="AD562" s="25"/>
    </row>
    <row r="563" spans="30:30" x14ac:dyDescent="0.25">
      <c r="AD563" s="25"/>
    </row>
    <row r="564" spans="30:30" x14ac:dyDescent="0.25">
      <c r="AD564" s="25"/>
    </row>
    <row r="565" spans="30:30" x14ac:dyDescent="0.25">
      <c r="AD565" s="25"/>
    </row>
    <row r="566" spans="30:30" x14ac:dyDescent="0.25">
      <c r="AD566" s="25"/>
    </row>
    <row r="567" spans="30:30" x14ac:dyDescent="0.25">
      <c r="AD567" s="25"/>
    </row>
    <row r="568" spans="30:30" x14ac:dyDescent="0.25">
      <c r="AD568" s="25"/>
    </row>
    <row r="569" spans="30:30" x14ac:dyDescent="0.25">
      <c r="AD569" s="25"/>
    </row>
    <row r="570" spans="30:30" x14ac:dyDescent="0.25">
      <c r="AD570" s="25"/>
    </row>
    <row r="571" spans="30:30" x14ac:dyDescent="0.25">
      <c r="AD571" s="25"/>
    </row>
    <row r="572" spans="30:30" x14ac:dyDescent="0.25">
      <c r="AD572" s="25"/>
    </row>
    <row r="573" spans="30:30" x14ac:dyDescent="0.25">
      <c r="AD573" s="25"/>
    </row>
    <row r="574" spans="30:30" x14ac:dyDescent="0.25">
      <c r="AD574" s="25"/>
    </row>
    <row r="575" spans="30:30" x14ac:dyDescent="0.25">
      <c r="AD575" s="25"/>
    </row>
    <row r="576" spans="30:30" x14ac:dyDescent="0.25">
      <c r="AD576" s="25"/>
    </row>
    <row r="577" spans="30:30" x14ac:dyDescent="0.25">
      <c r="AD577" s="25"/>
    </row>
    <row r="578" spans="30:30" x14ac:dyDescent="0.25">
      <c r="AD578" s="25"/>
    </row>
    <row r="579" spans="30:30" x14ac:dyDescent="0.25">
      <c r="AD579" s="25"/>
    </row>
    <row r="580" spans="30:30" x14ac:dyDescent="0.25">
      <c r="AD580" s="25"/>
    </row>
    <row r="581" spans="30:30" x14ac:dyDescent="0.25">
      <c r="AD581" s="25"/>
    </row>
    <row r="582" spans="30:30" x14ac:dyDescent="0.25">
      <c r="AD582" s="25"/>
    </row>
    <row r="583" spans="30:30" x14ac:dyDescent="0.25">
      <c r="AD583" s="25"/>
    </row>
    <row r="584" spans="30:30" x14ac:dyDescent="0.25">
      <c r="AD584" s="25"/>
    </row>
    <row r="585" spans="30:30" x14ac:dyDescent="0.25">
      <c r="AD585" s="25"/>
    </row>
    <row r="586" spans="30:30" x14ac:dyDescent="0.25">
      <c r="AD586" s="25"/>
    </row>
    <row r="587" spans="30:30" x14ac:dyDescent="0.25">
      <c r="AD587" s="25"/>
    </row>
    <row r="588" spans="30:30" x14ac:dyDescent="0.25">
      <c r="AD588" s="25"/>
    </row>
    <row r="589" spans="30:30" x14ac:dyDescent="0.25">
      <c r="AD589" s="25"/>
    </row>
    <row r="590" spans="30:30" x14ac:dyDescent="0.25">
      <c r="AD590" s="25"/>
    </row>
    <row r="591" spans="30:30" x14ac:dyDescent="0.25">
      <c r="AD591" s="25"/>
    </row>
    <row r="592" spans="30:30" x14ac:dyDescent="0.25">
      <c r="AD592" s="25"/>
    </row>
    <row r="593" spans="30:30" x14ac:dyDescent="0.25">
      <c r="AD593" s="25"/>
    </row>
    <row r="594" spans="30:30" x14ac:dyDescent="0.25">
      <c r="AD594" s="25"/>
    </row>
    <row r="595" spans="30:30" x14ac:dyDescent="0.25">
      <c r="AD595" s="25"/>
    </row>
    <row r="596" spans="30:30" x14ac:dyDescent="0.25">
      <c r="AD596" s="25"/>
    </row>
    <row r="597" spans="30:30" x14ac:dyDescent="0.25">
      <c r="AD597" s="25"/>
    </row>
    <row r="598" spans="30:30" x14ac:dyDescent="0.25">
      <c r="AD598" s="25"/>
    </row>
    <row r="599" spans="30:30" x14ac:dyDescent="0.25">
      <c r="AD599" s="25"/>
    </row>
    <row r="600" spans="30:30" x14ac:dyDescent="0.25">
      <c r="AD600" s="25"/>
    </row>
    <row r="601" spans="30:30" x14ac:dyDescent="0.25">
      <c r="AD601" s="25"/>
    </row>
    <row r="602" spans="30:30" x14ac:dyDescent="0.25">
      <c r="AD602" s="25"/>
    </row>
    <row r="603" spans="30:30" x14ac:dyDescent="0.25">
      <c r="AD603" s="25"/>
    </row>
    <row r="604" spans="30:30" x14ac:dyDescent="0.25">
      <c r="AD604" s="25"/>
    </row>
    <row r="605" spans="30:30" x14ac:dyDescent="0.25">
      <c r="AD605" s="25"/>
    </row>
    <row r="606" spans="30:30" x14ac:dyDescent="0.25">
      <c r="AD606" s="25"/>
    </row>
    <row r="607" spans="30:30" x14ac:dyDescent="0.25">
      <c r="AD607" s="25"/>
    </row>
    <row r="608" spans="30:30" x14ac:dyDescent="0.25">
      <c r="AD608" s="25"/>
    </row>
    <row r="609" spans="30:30" x14ac:dyDescent="0.25">
      <c r="AD609" s="25"/>
    </row>
    <row r="610" spans="30:30" x14ac:dyDescent="0.25">
      <c r="AD610" s="25"/>
    </row>
    <row r="611" spans="30:30" x14ac:dyDescent="0.25">
      <c r="AD611" s="25"/>
    </row>
    <row r="612" spans="30:30" x14ac:dyDescent="0.25">
      <c r="AD612" s="25"/>
    </row>
    <row r="613" spans="30:30" x14ac:dyDescent="0.25">
      <c r="AD613" s="25"/>
    </row>
    <row r="614" spans="30:30" x14ac:dyDescent="0.25">
      <c r="AD614" s="25"/>
    </row>
    <row r="615" spans="30:30" x14ac:dyDescent="0.25">
      <c r="AD615" s="25"/>
    </row>
    <row r="616" spans="30:30" x14ac:dyDescent="0.25">
      <c r="AD616" s="25"/>
    </row>
    <row r="617" spans="30:30" x14ac:dyDescent="0.25">
      <c r="AD617" s="25"/>
    </row>
    <row r="618" spans="30:30" x14ac:dyDescent="0.25">
      <c r="AD618" s="25"/>
    </row>
    <row r="619" spans="30:30" x14ac:dyDescent="0.25">
      <c r="AD619" s="25"/>
    </row>
    <row r="620" spans="30:30" x14ac:dyDescent="0.25">
      <c r="AD620" s="25"/>
    </row>
    <row r="621" spans="30:30" x14ac:dyDescent="0.25">
      <c r="AD621" s="25"/>
    </row>
    <row r="622" spans="30:30" x14ac:dyDescent="0.25">
      <c r="AD622" s="25"/>
    </row>
    <row r="623" spans="30:30" x14ac:dyDescent="0.25">
      <c r="AD623" s="25"/>
    </row>
    <row r="624" spans="30:30" x14ac:dyDescent="0.25">
      <c r="AD624" s="25"/>
    </row>
    <row r="625" spans="30:30" x14ac:dyDescent="0.25">
      <c r="AD625" s="25"/>
    </row>
    <row r="626" spans="30:30" x14ac:dyDescent="0.25">
      <c r="AD626" s="25"/>
    </row>
    <row r="627" spans="30:30" x14ac:dyDescent="0.25">
      <c r="AD627" s="25"/>
    </row>
    <row r="628" spans="30:30" x14ac:dyDescent="0.25">
      <c r="AD628" s="25"/>
    </row>
    <row r="629" spans="30:30" x14ac:dyDescent="0.25">
      <c r="AD629" s="25"/>
    </row>
    <row r="630" spans="30:30" x14ac:dyDescent="0.25">
      <c r="AD630" s="25"/>
    </row>
    <row r="631" spans="30:30" x14ac:dyDescent="0.25">
      <c r="AD631" s="25"/>
    </row>
    <row r="632" spans="30:30" x14ac:dyDescent="0.25">
      <c r="AD632" s="25"/>
    </row>
    <row r="633" spans="30:30" x14ac:dyDescent="0.25">
      <c r="AD633" s="25"/>
    </row>
    <row r="634" spans="30:30" x14ac:dyDescent="0.25">
      <c r="AD634" s="25"/>
    </row>
    <row r="635" spans="30:30" x14ac:dyDescent="0.25">
      <c r="AD635" s="25"/>
    </row>
    <row r="636" spans="30:30" x14ac:dyDescent="0.25">
      <c r="AD636" s="25"/>
    </row>
    <row r="637" spans="30:30" x14ac:dyDescent="0.25">
      <c r="AD637" s="25"/>
    </row>
    <row r="638" spans="30:30" x14ac:dyDescent="0.25">
      <c r="AD638" s="25"/>
    </row>
    <row r="639" spans="30:30" x14ac:dyDescent="0.25">
      <c r="AD639" s="25"/>
    </row>
    <row r="640" spans="30:30" x14ac:dyDescent="0.25">
      <c r="AD640" s="25"/>
    </row>
    <row r="641" spans="30:30" x14ac:dyDescent="0.25">
      <c r="AD641" s="25"/>
    </row>
    <row r="642" spans="30:30" x14ac:dyDescent="0.25">
      <c r="AD642" s="25"/>
    </row>
    <row r="643" spans="30:30" x14ac:dyDescent="0.25">
      <c r="AD643" s="25"/>
    </row>
    <row r="644" spans="30:30" x14ac:dyDescent="0.25">
      <c r="AD644" s="25"/>
    </row>
    <row r="645" spans="30:30" x14ac:dyDescent="0.25">
      <c r="AD645" s="25"/>
    </row>
    <row r="646" spans="30:30" x14ac:dyDescent="0.25">
      <c r="AD646" s="25"/>
    </row>
    <row r="647" spans="30:30" x14ac:dyDescent="0.25">
      <c r="AD647" s="25"/>
    </row>
    <row r="648" spans="30:30" x14ac:dyDescent="0.25">
      <c r="AD648" s="25"/>
    </row>
    <row r="649" spans="30:30" x14ac:dyDescent="0.25">
      <c r="AD649" s="25"/>
    </row>
    <row r="650" spans="30:30" x14ac:dyDescent="0.25">
      <c r="AD650" s="25"/>
    </row>
    <row r="651" spans="30:30" x14ac:dyDescent="0.25">
      <c r="AD651" s="25"/>
    </row>
    <row r="652" spans="30:30" x14ac:dyDescent="0.25">
      <c r="AD652" s="25"/>
    </row>
    <row r="653" spans="30:30" x14ac:dyDescent="0.25">
      <c r="AD653" s="25"/>
    </row>
    <row r="654" spans="30:30" x14ac:dyDescent="0.25">
      <c r="AD654" s="25"/>
    </row>
    <row r="655" spans="30:30" x14ac:dyDescent="0.25">
      <c r="AD655" s="25"/>
    </row>
    <row r="656" spans="30:30" x14ac:dyDescent="0.25">
      <c r="AD656" s="25"/>
    </row>
    <row r="657" spans="30:30" x14ac:dyDescent="0.25">
      <c r="AD657" s="25"/>
    </row>
    <row r="658" spans="30:30" x14ac:dyDescent="0.25">
      <c r="AD658" s="25"/>
    </row>
    <row r="659" spans="30:30" x14ac:dyDescent="0.25">
      <c r="AD659" s="25"/>
    </row>
    <row r="660" spans="30:30" x14ac:dyDescent="0.25">
      <c r="AD660" s="25"/>
    </row>
    <row r="661" spans="30:30" x14ac:dyDescent="0.25">
      <c r="AD661" s="25"/>
    </row>
    <row r="662" spans="30:30" x14ac:dyDescent="0.25">
      <c r="AD662" s="25"/>
    </row>
    <row r="663" spans="30:30" x14ac:dyDescent="0.25">
      <c r="AD663" s="25"/>
    </row>
    <row r="664" spans="30:30" x14ac:dyDescent="0.25">
      <c r="AD664" s="25"/>
    </row>
    <row r="665" spans="30:30" x14ac:dyDescent="0.25">
      <c r="AD665" s="25"/>
    </row>
    <row r="666" spans="30:30" x14ac:dyDescent="0.25">
      <c r="AD666" s="25"/>
    </row>
    <row r="667" spans="30:30" x14ac:dyDescent="0.25">
      <c r="AD667" s="25"/>
    </row>
    <row r="668" spans="30:30" x14ac:dyDescent="0.25">
      <c r="AD668" s="25"/>
    </row>
    <row r="669" spans="30:30" x14ac:dyDescent="0.25">
      <c r="AD669" s="25"/>
    </row>
    <row r="670" spans="30:30" x14ac:dyDescent="0.25">
      <c r="AD670" s="25"/>
    </row>
    <row r="671" spans="30:30" x14ac:dyDescent="0.25">
      <c r="AD671" s="25"/>
    </row>
    <row r="672" spans="30:30" x14ac:dyDescent="0.25">
      <c r="AD672" s="25"/>
    </row>
    <row r="673" spans="30:30" x14ac:dyDescent="0.25">
      <c r="AD673" s="25"/>
    </row>
    <row r="674" spans="30:30" x14ac:dyDescent="0.25">
      <c r="AD674" s="25"/>
    </row>
    <row r="675" spans="30:30" x14ac:dyDescent="0.25">
      <c r="AD675" s="25"/>
    </row>
    <row r="676" spans="30:30" x14ac:dyDescent="0.25">
      <c r="AD676" s="25"/>
    </row>
    <row r="677" spans="30:30" x14ac:dyDescent="0.25">
      <c r="AD677" s="25"/>
    </row>
    <row r="678" spans="30:30" x14ac:dyDescent="0.25">
      <c r="AD678" s="25"/>
    </row>
    <row r="679" spans="30:30" x14ac:dyDescent="0.25">
      <c r="AD679" s="25"/>
    </row>
    <row r="680" spans="30:30" x14ac:dyDescent="0.25">
      <c r="AD680" s="25"/>
    </row>
    <row r="681" spans="30:30" x14ac:dyDescent="0.25">
      <c r="AD681" s="25"/>
    </row>
    <row r="682" spans="30:30" x14ac:dyDescent="0.25">
      <c r="AD682" s="25"/>
    </row>
    <row r="683" spans="30:30" x14ac:dyDescent="0.25">
      <c r="AD683" s="25"/>
    </row>
    <row r="684" spans="30:30" x14ac:dyDescent="0.25">
      <c r="AD684" s="25"/>
    </row>
    <row r="685" spans="30:30" x14ac:dyDescent="0.25">
      <c r="AD685" s="25"/>
    </row>
    <row r="686" spans="30:30" x14ac:dyDescent="0.25">
      <c r="AD686" s="25"/>
    </row>
    <row r="687" spans="30:30" x14ac:dyDescent="0.25">
      <c r="AD687" s="25"/>
    </row>
    <row r="688" spans="30:30" x14ac:dyDescent="0.25">
      <c r="AD688" s="25"/>
    </row>
    <row r="689" spans="30:30" x14ac:dyDescent="0.25">
      <c r="AD689" s="25"/>
    </row>
    <row r="690" spans="30:30" x14ac:dyDescent="0.25">
      <c r="AD690" s="25"/>
    </row>
    <row r="691" spans="30:30" x14ac:dyDescent="0.25">
      <c r="AD691" s="25"/>
    </row>
    <row r="692" spans="30:30" x14ac:dyDescent="0.25">
      <c r="AD692" s="25"/>
    </row>
    <row r="693" spans="30:30" x14ac:dyDescent="0.25">
      <c r="AD693" s="25"/>
    </row>
    <row r="694" spans="30:30" x14ac:dyDescent="0.25">
      <c r="AD694" s="25"/>
    </row>
    <row r="695" spans="30:30" x14ac:dyDescent="0.25">
      <c r="AD695" s="25"/>
    </row>
    <row r="696" spans="30:30" x14ac:dyDescent="0.25">
      <c r="AD696" s="25"/>
    </row>
    <row r="697" spans="30:30" x14ac:dyDescent="0.25">
      <c r="AD697" s="25"/>
    </row>
    <row r="698" spans="30:30" x14ac:dyDescent="0.25">
      <c r="AD698" s="25"/>
    </row>
    <row r="699" spans="30:30" x14ac:dyDescent="0.25">
      <c r="AD699" s="25"/>
    </row>
    <row r="700" spans="30:30" x14ac:dyDescent="0.25">
      <c r="AD700" s="25"/>
    </row>
    <row r="701" spans="30:30" x14ac:dyDescent="0.25">
      <c r="AD701" s="25"/>
    </row>
    <row r="702" spans="30:30" x14ac:dyDescent="0.25">
      <c r="AD702" s="25"/>
    </row>
    <row r="703" spans="30:30" x14ac:dyDescent="0.25">
      <c r="AD703" s="25"/>
    </row>
    <row r="704" spans="30:30" x14ac:dyDescent="0.25">
      <c r="AD704" s="25"/>
    </row>
    <row r="705" spans="30:30" x14ac:dyDescent="0.25">
      <c r="AD705" s="25"/>
    </row>
    <row r="706" spans="30:30" x14ac:dyDescent="0.25">
      <c r="AD706" s="25"/>
    </row>
    <row r="707" spans="30:30" x14ac:dyDescent="0.25">
      <c r="AD707" s="25"/>
    </row>
    <row r="708" spans="30:30" x14ac:dyDescent="0.25">
      <c r="AD708" s="25"/>
    </row>
    <row r="709" spans="30:30" x14ac:dyDescent="0.25">
      <c r="AD709" s="25"/>
    </row>
    <row r="710" spans="30:30" x14ac:dyDescent="0.25">
      <c r="AD710" s="25"/>
    </row>
    <row r="711" spans="30:30" x14ac:dyDescent="0.25">
      <c r="AD711" s="25"/>
    </row>
    <row r="712" spans="30:30" x14ac:dyDescent="0.25">
      <c r="AD712" s="25"/>
    </row>
    <row r="713" spans="30:30" x14ac:dyDescent="0.25">
      <c r="AD713" s="25"/>
    </row>
    <row r="714" spans="30:30" x14ac:dyDescent="0.25">
      <c r="AD714" s="25"/>
    </row>
    <row r="715" spans="30:30" x14ac:dyDescent="0.25">
      <c r="AD715" s="25"/>
    </row>
    <row r="716" spans="30:30" x14ac:dyDescent="0.25">
      <c r="AD716" s="25"/>
    </row>
    <row r="717" spans="30:30" x14ac:dyDescent="0.25">
      <c r="AD717" s="25"/>
    </row>
    <row r="718" spans="30:30" x14ac:dyDescent="0.25">
      <c r="AD718" s="25"/>
    </row>
    <row r="719" spans="30:30" x14ac:dyDescent="0.25">
      <c r="AD719" s="25"/>
    </row>
    <row r="720" spans="30:30" x14ac:dyDescent="0.25">
      <c r="AD720" s="25"/>
    </row>
    <row r="721" spans="30:30" x14ac:dyDescent="0.25">
      <c r="AD721" s="25"/>
    </row>
    <row r="722" spans="30:30" x14ac:dyDescent="0.25">
      <c r="AD722" s="25"/>
    </row>
    <row r="723" spans="30:30" x14ac:dyDescent="0.25">
      <c r="AD723" s="25"/>
    </row>
    <row r="724" spans="30:30" x14ac:dyDescent="0.25">
      <c r="AD724" s="25"/>
    </row>
    <row r="725" spans="30:30" x14ac:dyDescent="0.25">
      <c r="AD725" s="25"/>
    </row>
    <row r="726" spans="30:30" x14ac:dyDescent="0.25">
      <c r="AD726" s="25"/>
    </row>
    <row r="727" spans="30:30" x14ac:dyDescent="0.25">
      <c r="AD727" s="25"/>
    </row>
    <row r="728" spans="30:30" x14ac:dyDescent="0.25">
      <c r="AD728" s="25"/>
    </row>
    <row r="729" spans="30:30" x14ac:dyDescent="0.25">
      <c r="AD729" s="25"/>
    </row>
    <row r="730" spans="30:30" x14ac:dyDescent="0.25">
      <c r="AD730" s="25"/>
    </row>
    <row r="731" spans="30:30" x14ac:dyDescent="0.25">
      <c r="AD731" s="25"/>
    </row>
    <row r="732" spans="30:30" x14ac:dyDescent="0.25">
      <c r="AD732" s="25"/>
    </row>
    <row r="733" spans="30:30" x14ac:dyDescent="0.25">
      <c r="AD733" s="25"/>
    </row>
    <row r="734" spans="30:30" x14ac:dyDescent="0.25">
      <c r="AD734" s="25"/>
    </row>
    <row r="735" spans="30:30" x14ac:dyDescent="0.25">
      <c r="AD735" s="25"/>
    </row>
    <row r="736" spans="30:30" x14ac:dyDescent="0.25">
      <c r="AD736" s="25"/>
    </row>
    <row r="737" spans="30:30" x14ac:dyDescent="0.25">
      <c r="AD737" s="25"/>
    </row>
    <row r="738" spans="30:30" x14ac:dyDescent="0.25">
      <c r="AD738" s="25"/>
    </row>
    <row r="739" spans="30:30" x14ac:dyDescent="0.25">
      <c r="AD739" s="25"/>
    </row>
    <row r="740" spans="30:30" x14ac:dyDescent="0.25">
      <c r="AD740" s="25"/>
    </row>
    <row r="741" spans="30:30" x14ac:dyDescent="0.25">
      <c r="AD741" s="25"/>
    </row>
    <row r="742" spans="30:30" x14ac:dyDescent="0.25">
      <c r="AD742" s="25"/>
    </row>
    <row r="743" spans="30:30" x14ac:dyDescent="0.25">
      <c r="AD743" s="25"/>
    </row>
    <row r="744" spans="30:30" x14ac:dyDescent="0.25">
      <c r="AD744" s="25"/>
    </row>
    <row r="745" spans="30:30" x14ac:dyDescent="0.25">
      <c r="AD745" s="25"/>
    </row>
    <row r="746" spans="30:30" x14ac:dyDescent="0.25">
      <c r="AD746" s="25"/>
    </row>
    <row r="747" spans="30:30" x14ac:dyDescent="0.25">
      <c r="AD747" s="25"/>
    </row>
    <row r="748" spans="30:30" x14ac:dyDescent="0.25">
      <c r="AD748" s="25"/>
    </row>
    <row r="749" spans="30:30" x14ac:dyDescent="0.25">
      <c r="AD749" s="25"/>
    </row>
    <row r="750" spans="30:30" x14ac:dyDescent="0.25">
      <c r="AD750" s="25"/>
    </row>
    <row r="751" spans="30:30" x14ac:dyDescent="0.25">
      <c r="AD751" s="25"/>
    </row>
    <row r="752" spans="30:30" x14ac:dyDescent="0.25">
      <c r="AD752" s="25"/>
    </row>
    <row r="753" spans="30:30" x14ac:dyDescent="0.25">
      <c r="AD753" s="25"/>
    </row>
    <row r="754" spans="30:30" x14ac:dyDescent="0.25">
      <c r="AD754" s="25"/>
    </row>
    <row r="755" spans="30:30" x14ac:dyDescent="0.25">
      <c r="AD755" s="25"/>
    </row>
    <row r="756" spans="30:30" x14ac:dyDescent="0.25">
      <c r="AD756" s="25"/>
    </row>
    <row r="757" spans="30:30" x14ac:dyDescent="0.25">
      <c r="AD757" s="25"/>
    </row>
    <row r="758" spans="30:30" x14ac:dyDescent="0.25">
      <c r="AD758" s="25"/>
    </row>
    <row r="759" spans="30:30" x14ac:dyDescent="0.25">
      <c r="AD759" s="25"/>
    </row>
    <row r="760" spans="30:30" x14ac:dyDescent="0.25">
      <c r="AD760" s="25"/>
    </row>
    <row r="761" spans="30:30" x14ac:dyDescent="0.25">
      <c r="AD761" s="25"/>
    </row>
    <row r="762" spans="30:30" x14ac:dyDescent="0.25">
      <c r="AD762" s="25"/>
    </row>
    <row r="763" spans="30:30" x14ac:dyDescent="0.25">
      <c r="AD763" s="25"/>
    </row>
    <row r="764" spans="30:30" x14ac:dyDescent="0.25">
      <c r="AD764" s="25"/>
    </row>
    <row r="765" spans="30:30" x14ac:dyDescent="0.25">
      <c r="AD765" s="25"/>
    </row>
    <row r="766" spans="30:30" x14ac:dyDescent="0.25">
      <c r="AD766" s="25"/>
    </row>
    <row r="767" spans="30:30" x14ac:dyDescent="0.25">
      <c r="AD767" s="25"/>
    </row>
    <row r="768" spans="30:30" x14ac:dyDescent="0.25">
      <c r="AD768" s="25"/>
    </row>
    <row r="769" spans="30:30" x14ac:dyDescent="0.25">
      <c r="AD769" s="25"/>
    </row>
    <row r="770" spans="30:30" x14ac:dyDescent="0.25">
      <c r="AD770" s="25"/>
    </row>
    <row r="771" spans="30:30" x14ac:dyDescent="0.25">
      <c r="AD771" s="25"/>
    </row>
    <row r="772" spans="30:30" x14ac:dyDescent="0.25">
      <c r="AD772" s="25"/>
    </row>
    <row r="773" spans="30:30" x14ac:dyDescent="0.25">
      <c r="AD773" s="25"/>
    </row>
    <row r="774" spans="30:30" x14ac:dyDescent="0.25">
      <c r="AD774" s="25"/>
    </row>
    <row r="775" spans="30:30" x14ac:dyDescent="0.25">
      <c r="AD775" s="25"/>
    </row>
    <row r="776" spans="30:30" x14ac:dyDescent="0.25">
      <c r="AD776" s="25"/>
    </row>
    <row r="777" spans="30:30" x14ac:dyDescent="0.25">
      <c r="AD777" s="25"/>
    </row>
    <row r="778" spans="30:30" x14ac:dyDescent="0.25">
      <c r="AD778" s="25"/>
    </row>
    <row r="779" spans="30:30" x14ac:dyDescent="0.25">
      <c r="AD779" s="25"/>
    </row>
    <row r="780" spans="30:30" x14ac:dyDescent="0.25">
      <c r="AD780" s="25"/>
    </row>
    <row r="781" spans="30:30" x14ac:dyDescent="0.25">
      <c r="AD781" s="25"/>
    </row>
    <row r="782" spans="30:30" x14ac:dyDescent="0.25">
      <c r="AD782" s="25"/>
    </row>
    <row r="783" spans="30:30" x14ac:dyDescent="0.25">
      <c r="AD783" s="25"/>
    </row>
    <row r="784" spans="30:30" x14ac:dyDescent="0.25">
      <c r="AD784" s="25"/>
    </row>
    <row r="785" spans="30:30" x14ac:dyDescent="0.25">
      <c r="AD785" s="25"/>
    </row>
    <row r="786" spans="30:30" x14ac:dyDescent="0.25">
      <c r="AD786" s="25"/>
    </row>
    <row r="787" spans="30:30" x14ac:dyDescent="0.25">
      <c r="AD787" s="25"/>
    </row>
    <row r="788" spans="30:30" x14ac:dyDescent="0.25">
      <c r="AD788" s="25"/>
    </row>
    <row r="789" spans="30:30" x14ac:dyDescent="0.25">
      <c r="AD789" s="25"/>
    </row>
    <row r="790" spans="30:30" x14ac:dyDescent="0.25">
      <c r="AD790" s="25"/>
    </row>
    <row r="791" spans="30:30" x14ac:dyDescent="0.25">
      <c r="AD791" s="25"/>
    </row>
    <row r="792" spans="30:30" x14ac:dyDescent="0.25">
      <c r="AD792" s="25"/>
    </row>
    <row r="793" spans="30:30" x14ac:dyDescent="0.25">
      <c r="AD793" s="25"/>
    </row>
    <row r="794" spans="30:30" x14ac:dyDescent="0.25">
      <c r="AD794" s="25"/>
    </row>
    <row r="795" spans="30:30" x14ac:dyDescent="0.25">
      <c r="AD795" s="25"/>
    </row>
    <row r="796" spans="30:30" x14ac:dyDescent="0.25">
      <c r="AD796" s="25"/>
    </row>
    <row r="797" spans="30:30" x14ac:dyDescent="0.25">
      <c r="AD797" s="25"/>
    </row>
    <row r="798" spans="30:30" x14ac:dyDescent="0.25">
      <c r="AD798" s="25"/>
    </row>
    <row r="799" spans="30:30" x14ac:dyDescent="0.25">
      <c r="AD799" s="25"/>
    </row>
    <row r="800" spans="30:30" x14ac:dyDescent="0.25">
      <c r="AD800" s="25"/>
    </row>
    <row r="801" spans="30:30" x14ac:dyDescent="0.25">
      <c r="AD801" s="25"/>
    </row>
    <row r="802" spans="30:30" x14ac:dyDescent="0.25">
      <c r="AD802" s="25"/>
    </row>
    <row r="803" spans="30:30" x14ac:dyDescent="0.25">
      <c r="AD803" s="25"/>
    </row>
    <row r="804" spans="30:30" x14ac:dyDescent="0.25">
      <c r="AD804" s="25"/>
    </row>
    <row r="805" spans="30:30" x14ac:dyDescent="0.25">
      <c r="AD805" s="25"/>
    </row>
    <row r="806" spans="30:30" x14ac:dyDescent="0.25">
      <c r="AD806" s="25"/>
    </row>
    <row r="807" spans="30:30" x14ac:dyDescent="0.25">
      <c r="AD807" s="25"/>
    </row>
    <row r="808" spans="30:30" x14ac:dyDescent="0.25">
      <c r="AD808" s="25"/>
    </row>
    <row r="809" spans="30:30" x14ac:dyDescent="0.25">
      <c r="AD809" s="25"/>
    </row>
    <row r="810" spans="30:30" x14ac:dyDescent="0.25">
      <c r="AD810" s="25"/>
    </row>
    <row r="811" spans="30:30" x14ac:dyDescent="0.25">
      <c r="AD811" s="25"/>
    </row>
    <row r="812" spans="30:30" x14ac:dyDescent="0.25">
      <c r="AD812" s="25"/>
    </row>
    <row r="813" spans="30:30" x14ac:dyDescent="0.25">
      <c r="AD813" s="25"/>
    </row>
    <row r="814" spans="30:30" x14ac:dyDescent="0.25">
      <c r="AD814" s="25"/>
    </row>
    <row r="815" spans="30:30" x14ac:dyDescent="0.25">
      <c r="AD815" s="25"/>
    </row>
    <row r="816" spans="30:30" x14ac:dyDescent="0.25">
      <c r="AD816" s="25"/>
    </row>
    <row r="817" spans="30:30" x14ac:dyDescent="0.25">
      <c r="AD817" s="25"/>
    </row>
    <row r="818" spans="30:30" x14ac:dyDescent="0.25">
      <c r="AD818" s="25"/>
    </row>
    <row r="819" spans="30:30" x14ac:dyDescent="0.25">
      <c r="AD819" s="25"/>
    </row>
    <row r="820" spans="30:30" x14ac:dyDescent="0.25">
      <c r="AD820" s="25"/>
    </row>
    <row r="821" spans="30:30" x14ac:dyDescent="0.25">
      <c r="AD821" s="25"/>
    </row>
    <row r="822" spans="30:30" x14ac:dyDescent="0.25">
      <c r="AD822" s="25"/>
    </row>
    <row r="823" spans="30:30" x14ac:dyDescent="0.25">
      <c r="AD823" s="25"/>
    </row>
    <row r="824" spans="30:30" x14ac:dyDescent="0.25">
      <c r="AD824" s="25"/>
    </row>
    <row r="825" spans="30:30" x14ac:dyDescent="0.25">
      <c r="AD825" s="25"/>
    </row>
    <row r="826" spans="30:30" x14ac:dyDescent="0.25">
      <c r="AD826" s="25"/>
    </row>
    <row r="827" spans="30:30" x14ac:dyDescent="0.25">
      <c r="AD827" s="25"/>
    </row>
    <row r="828" spans="30:30" x14ac:dyDescent="0.25">
      <c r="AD828" s="25"/>
    </row>
    <row r="829" spans="30:30" x14ac:dyDescent="0.25">
      <c r="AD829" s="25"/>
    </row>
    <row r="830" spans="30:30" x14ac:dyDescent="0.25">
      <c r="AD830" s="25"/>
    </row>
    <row r="831" spans="30:30" x14ac:dyDescent="0.25">
      <c r="AD831" s="25"/>
    </row>
    <row r="832" spans="30:30" x14ac:dyDescent="0.25">
      <c r="AD832" s="25"/>
    </row>
    <row r="833" spans="30:30" x14ac:dyDescent="0.25">
      <c r="AD833" s="25"/>
    </row>
    <row r="834" spans="30:30" x14ac:dyDescent="0.25">
      <c r="AD834" s="25"/>
    </row>
    <row r="835" spans="30:30" x14ac:dyDescent="0.25">
      <c r="AD835" s="25"/>
    </row>
    <row r="836" spans="30:30" x14ac:dyDescent="0.25">
      <c r="AD836" s="25"/>
    </row>
    <row r="837" spans="30:30" x14ac:dyDescent="0.25">
      <c r="AD837" s="25"/>
    </row>
    <row r="838" spans="30:30" x14ac:dyDescent="0.25">
      <c r="AD838" s="25"/>
    </row>
    <row r="839" spans="30:30" x14ac:dyDescent="0.25">
      <c r="AD839" s="25"/>
    </row>
    <row r="840" spans="30:30" x14ac:dyDescent="0.25">
      <c r="AD840" s="25"/>
    </row>
    <row r="841" spans="30:30" x14ac:dyDescent="0.25">
      <c r="AD841" s="25"/>
    </row>
    <row r="842" spans="30:30" x14ac:dyDescent="0.25">
      <c r="AD842" s="25"/>
    </row>
    <row r="843" spans="30:30" x14ac:dyDescent="0.25">
      <c r="AD843" s="25"/>
    </row>
    <row r="844" spans="30:30" x14ac:dyDescent="0.25">
      <c r="AD844" s="25"/>
    </row>
    <row r="845" spans="30:30" x14ac:dyDescent="0.25">
      <c r="AD845" s="25"/>
    </row>
    <row r="846" spans="30:30" x14ac:dyDescent="0.25">
      <c r="AD846" s="25"/>
    </row>
    <row r="847" spans="30:30" x14ac:dyDescent="0.25">
      <c r="AD847" s="25"/>
    </row>
    <row r="848" spans="30:30" x14ac:dyDescent="0.25">
      <c r="AD848" s="25"/>
    </row>
    <row r="849" spans="30:30" x14ac:dyDescent="0.25">
      <c r="AD849" s="25"/>
    </row>
    <row r="850" spans="30:30" x14ac:dyDescent="0.25">
      <c r="AD850" s="25"/>
    </row>
    <row r="851" spans="30:30" x14ac:dyDescent="0.25">
      <c r="AD851" s="25"/>
    </row>
    <row r="852" spans="30:30" x14ac:dyDescent="0.25">
      <c r="AD852" s="25"/>
    </row>
    <row r="853" spans="30:30" x14ac:dyDescent="0.25">
      <c r="AD853" s="25"/>
    </row>
    <row r="854" spans="30:30" x14ac:dyDescent="0.25">
      <c r="AD854" s="25"/>
    </row>
    <row r="855" spans="30:30" x14ac:dyDescent="0.25">
      <c r="AD855" s="25"/>
    </row>
    <row r="856" spans="30:30" x14ac:dyDescent="0.25">
      <c r="AD856" s="25"/>
    </row>
    <row r="857" spans="30:30" x14ac:dyDescent="0.25">
      <c r="AD857" s="25"/>
    </row>
    <row r="858" spans="30:30" x14ac:dyDescent="0.25">
      <c r="AD858" s="25"/>
    </row>
    <row r="859" spans="30:30" x14ac:dyDescent="0.25">
      <c r="AD859" s="25"/>
    </row>
    <row r="860" spans="30:30" x14ac:dyDescent="0.25">
      <c r="AD860" s="25"/>
    </row>
    <row r="861" spans="30:30" x14ac:dyDescent="0.25">
      <c r="AD861" s="25"/>
    </row>
    <row r="862" spans="30:30" x14ac:dyDescent="0.25">
      <c r="AD862" s="25"/>
    </row>
    <row r="863" spans="30:30" x14ac:dyDescent="0.25">
      <c r="AD863" s="25"/>
    </row>
    <row r="864" spans="30:30" x14ac:dyDescent="0.25">
      <c r="AD864" s="25"/>
    </row>
    <row r="865" spans="30:30" x14ac:dyDescent="0.25">
      <c r="AD865" s="25"/>
    </row>
    <row r="866" spans="30:30" x14ac:dyDescent="0.25">
      <c r="AD866" s="25"/>
    </row>
    <row r="867" spans="30:30" x14ac:dyDescent="0.25">
      <c r="AD867" s="25"/>
    </row>
    <row r="868" spans="30:30" x14ac:dyDescent="0.25">
      <c r="AD868" s="25"/>
    </row>
    <row r="869" spans="30:30" x14ac:dyDescent="0.25">
      <c r="AD869" s="25"/>
    </row>
    <row r="870" spans="30:30" x14ac:dyDescent="0.25">
      <c r="AD870" s="25"/>
    </row>
    <row r="871" spans="30:30" x14ac:dyDescent="0.25">
      <c r="AD871" s="25"/>
    </row>
    <row r="872" spans="30:30" x14ac:dyDescent="0.25">
      <c r="AD872" s="25"/>
    </row>
    <row r="873" spans="30:30" x14ac:dyDescent="0.25">
      <c r="AD873" s="25"/>
    </row>
    <row r="874" spans="30:30" x14ac:dyDescent="0.25">
      <c r="AD874" s="25"/>
    </row>
    <row r="875" spans="30:30" x14ac:dyDescent="0.25">
      <c r="AD875" s="25"/>
    </row>
    <row r="876" spans="30:30" x14ac:dyDescent="0.25">
      <c r="AD876" s="25"/>
    </row>
    <row r="877" spans="30:30" x14ac:dyDescent="0.25">
      <c r="AD877" s="25"/>
    </row>
    <row r="878" spans="30:30" x14ac:dyDescent="0.25">
      <c r="AD878" s="25"/>
    </row>
    <row r="879" spans="30:30" x14ac:dyDescent="0.25">
      <c r="AD879" s="25"/>
    </row>
    <row r="880" spans="30:30" x14ac:dyDescent="0.25">
      <c r="AD880" s="25"/>
    </row>
    <row r="881" spans="30:30" x14ac:dyDescent="0.25">
      <c r="AD881" s="25"/>
    </row>
    <row r="882" spans="30:30" x14ac:dyDescent="0.25">
      <c r="AD882" s="25"/>
    </row>
    <row r="883" spans="30:30" x14ac:dyDescent="0.25">
      <c r="AD883" s="25"/>
    </row>
    <row r="884" spans="30:30" x14ac:dyDescent="0.25">
      <c r="AD884" s="25"/>
    </row>
    <row r="885" spans="30:30" x14ac:dyDescent="0.25">
      <c r="AD885" s="25"/>
    </row>
    <row r="886" spans="30:30" x14ac:dyDescent="0.25">
      <c r="AD886" s="25"/>
    </row>
    <row r="887" spans="30:30" x14ac:dyDescent="0.25">
      <c r="AD887" s="25"/>
    </row>
    <row r="888" spans="30:30" x14ac:dyDescent="0.25">
      <c r="AD888" s="25"/>
    </row>
    <row r="889" spans="30:30" x14ac:dyDescent="0.25">
      <c r="AD889" s="25"/>
    </row>
    <row r="890" spans="30:30" x14ac:dyDescent="0.25">
      <c r="AD890" s="25"/>
    </row>
    <row r="891" spans="30:30" x14ac:dyDescent="0.25">
      <c r="AD891" s="25"/>
    </row>
    <row r="892" spans="30:30" x14ac:dyDescent="0.25">
      <c r="AD892" s="25"/>
    </row>
    <row r="893" spans="30:30" x14ac:dyDescent="0.25">
      <c r="AD893" s="25"/>
    </row>
    <row r="894" spans="30:30" x14ac:dyDescent="0.25">
      <c r="AD894" s="25"/>
    </row>
    <row r="895" spans="30:30" x14ac:dyDescent="0.25">
      <c r="AD895" s="25"/>
    </row>
    <row r="896" spans="30:30" x14ac:dyDescent="0.25">
      <c r="AD896" s="25"/>
    </row>
    <row r="897" spans="30:30" x14ac:dyDescent="0.25">
      <c r="AD897" s="25"/>
    </row>
    <row r="898" spans="30:30" x14ac:dyDescent="0.25">
      <c r="AD898" s="25"/>
    </row>
    <row r="899" spans="30:30" x14ac:dyDescent="0.25">
      <c r="AD899" s="25"/>
    </row>
    <row r="900" spans="30:30" x14ac:dyDescent="0.25">
      <c r="AD900" s="25"/>
    </row>
    <row r="901" spans="30:30" x14ac:dyDescent="0.25">
      <c r="AD901" s="25"/>
    </row>
    <row r="902" spans="30:30" x14ac:dyDescent="0.25">
      <c r="AD902" s="25"/>
    </row>
    <row r="903" spans="30:30" x14ac:dyDescent="0.25">
      <c r="AD903" s="25"/>
    </row>
    <row r="904" spans="30:30" x14ac:dyDescent="0.25">
      <c r="AD904" s="25"/>
    </row>
    <row r="905" spans="30:30" x14ac:dyDescent="0.25">
      <c r="AD905" s="25"/>
    </row>
    <row r="906" spans="30:30" x14ac:dyDescent="0.25">
      <c r="AD906" s="25"/>
    </row>
    <row r="907" spans="30:30" x14ac:dyDescent="0.25">
      <c r="AD907" s="25"/>
    </row>
    <row r="908" spans="30:30" x14ac:dyDescent="0.25">
      <c r="AD908" s="25"/>
    </row>
    <row r="909" spans="30:30" x14ac:dyDescent="0.25">
      <c r="AD909" s="25"/>
    </row>
    <row r="910" spans="30:30" x14ac:dyDescent="0.25">
      <c r="AD910" s="25"/>
    </row>
    <row r="911" spans="30:30" x14ac:dyDescent="0.25">
      <c r="AD911" s="25"/>
    </row>
    <row r="912" spans="30:30" x14ac:dyDescent="0.25">
      <c r="AD912" s="25"/>
    </row>
    <row r="913" spans="30:30" x14ac:dyDescent="0.25">
      <c r="AD913" s="25"/>
    </row>
    <row r="914" spans="30:30" x14ac:dyDescent="0.25">
      <c r="AD914" s="25"/>
    </row>
    <row r="915" spans="30:30" x14ac:dyDescent="0.25">
      <c r="AD915" s="25"/>
    </row>
    <row r="916" spans="30:30" x14ac:dyDescent="0.25">
      <c r="AD916" s="25"/>
    </row>
    <row r="917" spans="30:30" x14ac:dyDescent="0.25">
      <c r="AD917" s="25"/>
    </row>
    <row r="918" spans="30:30" x14ac:dyDescent="0.25">
      <c r="AD918" s="25"/>
    </row>
    <row r="919" spans="30:30" x14ac:dyDescent="0.25">
      <c r="AD919" s="25"/>
    </row>
    <row r="920" spans="30:30" x14ac:dyDescent="0.25">
      <c r="AD920" s="25"/>
    </row>
    <row r="921" spans="30:30" x14ac:dyDescent="0.25">
      <c r="AD921" s="25"/>
    </row>
    <row r="922" spans="30:30" x14ac:dyDescent="0.25">
      <c r="AD922" s="25"/>
    </row>
    <row r="923" spans="30:30" x14ac:dyDescent="0.25">
      <c r="AD923" s="25"/>
    </row>
    <row r="924" spans="30:30" x14ac:dyDescent="0.25">
      <c r="AD924" s="25"/>
    </row>
    <row r="925" spans="30:30" x14ac:dyDescent="0.25">
      <c r="AD925" s="25"/>
    </row>
    <row r="926" spans="30:30" x14ac:dyDescent="0.25">
      <c r="AD926" s="25"/>
    </row>
    <row r="927" spans="30:30" x14ac:dyDescent="0.25">
      <c r="AD927" s="25"/>
    </row>
    <row r="928" spans="30:30" x14ac:dyDescent="0.25">
      <c r="AD928" s="25"/>
    </row>
    <row r="929" spans="30:30" x14ac:dyDescent="0.25">
      <c r="AD929" s="25"/>
    </row>
    <row r="930" spans="30:30" x14ac:dyDescent="0.25">
      <c r="AD930" s="25"/>
    </row>
    <row r="931" spans="30:30" x14ac:dyDescent="0.25">
      <c r="AD931" s="25"/>
    </row>
    <row r="932" spans="30:30" x14ac:dyDescent="0.25">
      <c r="AD932" s="25"/>
    </row>
    <row r="933" spans="30:30" x14ac:dyDescent="0.25">
      <c r="AD933" s="25"/>
    </row>
    <row r="934" spans="30:30" x14ac:dyDescent="0.25">
      <c r="AD934" s="25"/>
    </row>
    <row r="935" spans="30:30" x14ac:dyDescent="0.25">
      <c r="AD935" s="25"/>
    </row>
    <row r="936" spans="30:30" x14ac:dyDescent="0.25">
      <c r="AD936" s="25"/>
    </row>
    <row r="937" spans="30:30" x14ac:dyDescent="0.25">
      <c r="AD937" s="25"/>
    </row>
    <row r="938" spans="30:30" x14ac:dyDescent="0.25">
      <c r="AD938" s="25"/>
    </row>
    <row r="939" spans="30:30" x14ac:dyDescent="0.25">
      <c r="AD939" s="25"/>
    </row>
    <row r="940" spans="30:30" x14ac:dyDescent="0.25">
      <c r="AD940" s="25"/>
    </row>
    <row r="941" spans="30:30" x14ac:dyDescent="0.25">
      <c r="AD941" s="25"/>
    </row>
    <row r="942" spans="30:30" x14ac:dyDescent="0.25">
      <c r="AD942" s="25"/>
    </row>
    <row r="943" spans="30:30" x14ac:dyDescent="0.25">
      <c r="AD943" s="25"/>
    </row>
    <row r="944" spans="30:30" x14ac:dyDescent="0.25">
      <c r="AD944" s="25"/>
    </row>
    <row r="945" spans="30:30" x14ac:dyDescent="0.25">
      <c r="AD945" s="25"/>
    </row>
    <row r="946" spans="30:30" x14ac:dyDescent="0.25">
      <c r="AD946" s="25"/>
    </row>
    <row r="947" spans="30:30" x14ac:dyDescent="0.25">
      <c r="AD947" s="25"/>
    </row>
    <row r="948" spans="30:30" x14ac:dyDescent="0.25">
      <c r="AD948" s="25"/>
    </row>
    <row r="949" spans="30:30" x14ac:dyDescent="0.25">
      <c r="AD949" s="25"/>
    </row>
    <row r="950" spans="30:30" x14ac:dyDescent="0.25">
      <c r="AD950" s="25"/>
    </row>
    <row r="951" spans="30:30" x14ac:dyDescent="0.25">
      <c r="AD951" s="25"/>
    </row>
    <row r="952" spans="30:30" x14ac:dyDescent="0.25">
      <c r="AD952" s="25"/>
    </row>
    <row r="953" spans="30:30" x14ac:dyDescent="0.25">
      <c r="AD953" s="25"/>
    </row>
    <row r="954" spans="30:30" x14ac:dyDescent="0.25">
      <c r="AD954" s="25"/>
    </row>
    <row r="955" spans="30:30" x14ac:dyDescent="0.25">
      <c r="AD955" s="25"/>
    </row>
    <row r="956" spans="30:30" x14ac:dyDescent="0.25">
      <c r="AD956" s="25"/>
    </row>
    <row r="957" spans="30:30" x14ac:dyDescent="0.25">
      <c r="AD957" s="25"/>
    </row>
    <row r="958" spans="30:30" x14ac:dyDescent="0.25">
      <c r="AD958" s="25"/>
    </row>
    <row r="959" spans="30:30" x14ac:dyDescent="0.25">
      <c r="AD959" s="25"/>
    </row>
    <row r="960" spans="30:30" x14ac:dyDescent="0.25">
      <c r="AD960" s="25"/>
    </row>
    <row r="961" spans="30:30" x14ac:dyDescent="0.25">
      <c r="AD961" s="25"/>
    </row>
    <row r="962" spans="30:30" x14ac:dyDescent="0.25">
      <c r="AD962" s="25"/>
    </row>
    <row r="963" spans="30:30" x14ac:dyDescent="0.25">
      <c r="AD963" s="25"/>
    </row>
    <row r="964" spans="30:30" x14ac:dyDescent="0.25">
      <c r="AD964" s="25"/>
    </row>
    <row r="965" spans="30:30" x14ac:dyDescent="0.25">
      <c r="AD965" s="25"/>
    </row>
    <row r="966" spans="30:30" x14ac:dyDescent="0.25">
      <c r="AD966" s="25"/>
    </row>
    <row r="967" spans="30:30" x14ac:dyDescent="0.25">
      <c r="AD967" s="25"/>
    </row>
    <row r="968" spans="30:30" x14ac:dyDescent="0.25">
      <c r="AD968" s="25"/>
    </row>
    <row r="969" spans="30:30" x14ac:dyDescent="0.25">
      <c r="AD969" s="25"/>
    </row>
    <row r="970" spans="30:30" x14ac:dyDescent="0.25">
      <c r="AD970" s="25"/>
    </row>
    <row r="971" spans="30:30" x14ac:dyDescent="0.25">
      <c r="AD971" s="25"/>
    </row>
    <row r="972" spans="30:30" x14ac:dyDescent="0.25">
      <c r="AD972" s="25"/>
    </row>
    <row r="973" spans="30:30" x14ac:dyDescent="0.25">
      <c r="AD973" s="25"/>
    </row>
    <row r="974" spans="30:30" x14ac:dyDescent="0.25">
      <c r="AD974" s="25"/>
    </row>
    <row r="975" spans="30:30" x14ac:dyDescent="0.25">
      <c r="AD975" s="25"/>
    </row>
    <row r="976" spans="30:30" x14ac:dyDescent="0.25">
      <c r="AD976" s="25"/>
    </row>
    <row r="977" spans="30:30" x14ac:dyDescent="0.25">
      <c r="AD977" s="25"/>
    </row>
    <row r="978" spans="30:30" x14ac:dyDescent="0.25">
      <c r="AD978" s="25"/>
    </row>
    <row r="979" spans="30:30" x14ac:dyDescent="0.25">
      <c r="AD979" s="25"/>
    </row>
    <row r="980" spans="30:30" x14ac:dyDescent="0.25">
      <c r="AD980" s="25"/>
    </row>
    <row r="981" spans="30:30" x14ac:dyDescent="0.25">
      <c r="AD981" s="25"/>
    </row>
    <row r="982" spans="30:30" x14ac:dyDescent="0.25">
      <c r="AD982" s="25"/>
    </row>
    <row r="983" spans="30:30" x14ac:dyDescent="0.25">
      <c r="AD983" s="25"/>
    </row>
    <row r="984" spans="30:30" x14ac:dyDescent="0.25">
      <c r="AD984" s="25"/>
    </row>
    <row r="985" spans="30:30" x14ac:dyDescent="0.25">
      <c r="AD985" s="25"/>
    </row>
    <row r="986" spans="30:30" x14ac:dyDescent="0.25">
      <c r="AD986" s="25"/>
    </row>
    <row r="987" spans="30:30" x14ac:dyDescent="0.25">
      <c r="AD987" s="25"/>
    </row>
    <row r="988" spans="30:30" x14ac:dyDescent="0.25">
      <c r="AD988" s="25"/>
    </row>
    <row r="989" spans="30:30" x14ac:dyDescent="0.25">
      <c r="AD989" s="25"/>
    </row>
    <row r="990" spans="30:30" x14ac:dyDescent="0.25">
      <c r="AD990" s="25"/>
    </row>
    <row r="991" spans="30:30" x14ac:dyDescent="0.25">
      <c r="AD991" s="25"/>
    </row>
    <row r="992" spans="30:30" x14ac:dyDescent="0.25">
      <c r="AD992" s="25"/>
    </row>
    <row r="993" spans="30:30" x14ac:dyDescent="0.25">
      <c r="AD993" s="25"/>
    </row>
    <row r="994" spans="30:30" x14ac:dyDescent="0.25">
      <c r="AD994" s="25"/>
    </row>
    <row r="995" spans="30:30" x14ac:dyDescent="0.25">
      <c r="AD995" s="25"/>
    </row>
    <row r="996" spans="30:30" x14ac:dyDescent="0.25">
      <c r="AD996" s="25"/>
    </row>
    <row r="997" spans="30:30" x14ac:dyDescent="0.25">
      <c r="AD997" s="25"/>
    </row>
    <row r="998" spans="30:30" x14ac:dyDescent="0.25">
      <c r="AD998" s="25"/>
    </row>
    <row r="999" spans="30:30" x14ac:dyDescent="0.25">
      <c r="AD999" s="25"/>
    </row>
    <row r="1000" spans="30:30" x14ac:dyDescent="0.25">
      <c r="AD1000" s="25"/>
    </row>
    <row r="1001" spans="30:30" x14ac:dyDescent="0.25">
      <c r="AD1001" s="25"/>
    </row>
    <row r="1002" spans="30:30" x14ac:dyDescent="0.25">
      <c r="AD1002" s="25"/>
    </row>
    <row r="1003" spans="30:30" x14ac:dyDescent="0.25">
      <c r="AD1003" s="25"/>
    </row>
    <row r="1004" spans="30:30" x14ac:dyDescent="0.25">
      <c r="AD1004" s="25"/>
    </row>
    <row r="1005" spans="30:30" x14ac:dyDescent="0.25">
      <c r="AD1005" s="25"/>
    </row>
    <row r="1006" spans="30:30" x14ac:dyDescent="0.25">
      <c r="AD1006" s="25"/>
    </row>
    <row r="1007" spans="30:30" x14ac:dyDescent="0.25">
      <c r="AD1007" s="25"/>
    </row>
    <row r="1008" spans="30:30" x14ac:dyDescent="0.25">
      <c r="AD1008" s="25"/>
    </row>
    <row r="1009" spans="30:30" x14ac:dyDescent="0.25">
      <c r="AD1009" s="25"/>
    </row>
    <row r="1010" spans="30:30" x14ac:dyDescent="0.25">
      <c r="AD1010" s="25"/>
    </row>
    <row r="1011" spans="30:30" x14ac:dyDescent="0.25">
      <c r="AD1011" s="25"/>
    </row>
    <row r="1012" spans="30:30" x14ac:dyDescent="0.25">
      <c r="AD1012" s="25"/>
    </row>
    <row r="1013" spans="30:30" x14ac:dyDescent="0.25">
      <c r="AD1013" s="25"/>
    </row>
    <row r="1014" spans="30:30" x14ac:dyDescent="0.25">
      <c r="AD1014" s="25"/>
    </row>
    <row r="1015" spans="30:30" x14ac:dyDescent="0.25">
      <c r="AD1015" s="25"/>
    </row>
    <row r="1016" spans="30:30" x14ac:dyDescent="0.25">
      <c r="AD1016" s="25"/>
    </row>
    <row r="1017" spans="30:30" x14ac:dyDescent="0.25">
      <c r="AD1017" s="25"/>
    </row>
    <row r="1018" spans="30:30" x14ac:dyDescent="0.25">
      <c r="AD1018" s="25"/>
    </row>
    <row r="1019" spans="30:30" x14ac:dyDescent="0.25">
      <c r="AD1019" s="25"/>
    </row>
    <row r="1020" spans="30:30" x14ac:dyDescent="0.25">
      <c r="AD1020" s="25"/>
    </row>
    <row r="1021" spans="30:30" x14ac:dyDescent="0.25">
      <c r="AD1021" s="25"/>
    </row>
    <row r="1022" spans="30:30" x14ac:dyDescent="0.25">
      <c r="AD1022" s="25"/>
    </row>
    <row r="1023" spans="30:30" x14ac:dyDescent="0.25">
      <c r="AD1023" s="25"/>
    </row>
    <row r="1024" spans="30:30" x14ac:dyDescent="0.25">
      <c r="AD1024" s="25"/>
    </row>
    <row r="1025" spans="30:30" x14ac:dyDescent="0.25">
      <c r="AD1025" s="25"/>
    </row>
    <row r="1026" spans="30:30" x14ac:dyDescent="0.25">
      <c r="AD1026" s="25"/>
    </row>
    <row r="1027" spans="30:30" x14ac:dyDescent="0.25">
      <c r="AD1027" s="25"/>
    </row>
    <row r="1028" spans="30:30" x14ac:dyDescent="0.25">
      <c r="AD1028" s="25"/>
    </row>
    <row r="1029" spans="30:30" x14ac:dyDescent="0.25">
      <c r="AD1029" s="25"/>
    </row>
    <row r="1030" spans="30:30" x14ac:dyDescent="0.25">
      <c r="AD1030" s="25"/>
    </row>
    <row r="1031" spans="30:30" x14ac:dyDescent="0.25">
      <c r="AD1031" s="25"/>
    </row>
    <row r="1032" spans="30:30" x14ac:dyDescent="0.25">
      <c r="AD1032" s="25"/>
    </row>
    <row r="1033" spans="30:30" x14ac:dyDescent="0.25">
      <c r="AD1033" s="25"/>
    </row>
    <row r="1034" spans="30:30" x14ac:dyDescent="0.25">
      <c r="AD1034" s="25"/>
    </row>
    <row r="1035" spans="30:30" x14ac:dyDescent="0.25">
      <c r="AD1035" s="25"/>
    </row>
    <row r="1036" spans="30:30" x14ac:dyDescent="0.25">
      <c r="AD1036" s="25"/>
    </row>
    <row r="1037" spans="30:30" x14ac:dyDescent="0.25">
      <c r="AD1037" s="25"/>
    </row>
    <row r="1038" spans="30:30" x14ac:dyDescent="0.25">
      <c r="AD1038" s="25"/>
    </row>
    <row r="1039" spans="30:30" x14ac:dyDescent="0.25">
      <c r="AD1039" s="25"/>
    </row>
    <row r="1040" spans="30:30" x14ac:dyDescent="0.25">
      <c r="AD1040" s="25"/>
    </row>
    <row r="1041" spans="30:30" x14ac:dyDescent="0.25">
      <c r="AD1041" s="25"/>
    </row>
    <row r="1042" spans="30:30" x14ac:dyDescent="0.25">
      <c r="AD1042" s="25"/>
    </row>
    <row r="1043" spans="30:30" x14ac:dyDescent="0.25">
      <c r="AD1043" s="25"/>
    </row>
    <row r="1044" spans="30:30" x14ac:dyDescent="0.25">
      <c r="AD1044" s="25"/>
    </row>
    <row r="1045" spans="30:30" x14ac:dyDescent="0.25">
      <c r="AD1045" s="25"/>
    </row>
    <row r="1046" spans="30:30" x14ac:dyDescent="0.25">
      <c r="AD1046" s="25"/>
    </row>
    <row r="1047" spans="30:30" x14ac:dyDescent="0.25">
      <c r="AD1047" s="25"/>
    </row>
    <row r="1048" spans="30:30" x14ac:dyDescent="0.25">
      <c r="AD1048" s="25"/>
    </row>
    <row r="1049" spans="30:30" x14ac:dyDescent="0.25">
      <c r="AD1049" s="25"/>
    </row>
    <row r="1050" spans="30:30" x14ac:dyDescent="0.25">
      <c r="AD1050" s="25"/>
    </row>
    <row r="1051" spans="30:30" x14ac:dyDescent="0.25">
      <c r="AD1051" s="25"/>
    </row>
    <row r="1052" spans="30:30" x14ac:dyDescent="0.25">
      <c r="AD1052" s="25"/>
    </row>
    <row r="1053" spans="30:30" x14ac:dyDescent="0.25">
      <c r="AD1053" s="25"/>
    </row>
    <row r="1054" spans="30:30" x14ac:dyDescent="0.25">
      <c r="AD1054" s="25"/>
    </row>
    <row r="1055" spans="30:30" x14ac:dyDescent="0.25">
      <c r="AD1055" s="25"/>
    </row>
    <row r="1056" spans="30:30" x14ac:dyDescent="0.25">
      <c r="AD1056" s="25"/>
    </row>
    <row r="1057" spans="30:30" x14ac:dyDescent="0.25">
      <c r="AD1057" s="25"/>
    </row>
    <row r="1058" spans="30:30" x14ac:dyDescent="0.25">
      <c r="AD1058" s="25"/>
    </row>
    <row r="1059" spans="30:30" x14ac:dyDescent="0.25">
      <c r="AD1059" s="25"/>
    </row>
    <row r="1060" spans="30:30" x14ac:dyDescent="0.25">
      <c r="AD1060" s="25"/>
    </row>
    <row r="1061" spans="30:30" x14ac:dyDescent="0.25">
      <c r="AD1061" s="25"/>
    </row>
    <row r="1062" spans="30:30" x14ac:dyDescent="0.25">
      <c r="AD1062" s="25"/>
    </row>
    <row r="1063" spans="30:30" x14ac:dyDescent="0.25">
      <c r="AD1063" s="25"/>
    </row>
    <row r="1064" spans="30:30" x14ac:dyDescent="0.25">
      <c r="AD1064" s="25"/>
    </row>
    <row r="1065" spans="30:30" x14ac:dyDescent="0.25">
      <c r="AD1065" s="25"/>
    </row>
    <row r="1066" spans="30:30" x14ac:dyDescent="0.25">
      <c r="AD1066" s="25"/>
    </row>
  </sheetData>
  <dataConsolidate/>
  <dataValidations count="9">
    <dataValidation type="list" allowBlank="1" showInputMessage="1" showErrorMessage="1" sqref="U1:U1048576 O1:O1048576 M1:M1048576 L1:L1048576 Y1:Y1048576 Z1:Z1048576 AA1:AA1048576 AB1:AB1048576">
      <formula1>questions</formula1>
    </dataValidation>
    <dataValidation type="list" allowBlank="1" showInputMessage="1" showErrorMessage="1" sqref="I1:I1048576 J1:J1048576">
      <formula1>attente</formula1>
    </dataValidation>
    <dataValidation type="list" allowBlank="1" showInputMessage="1" showErrorMessage="1" sqref="N1:N1048576">
      <formula1>inter</formula1>
    </dataValidation>
    <dataValidation type="list" allowBlank="1" showInputMessage="1" showErrorMessage="1" sqref="T1:T1048576 R2:R3423 S1:S1048576 AC1:AC1048576">
      <formula1>ok</formula1>
    </dataValidation>
    <dataValidation type="list" allowBlank="1" showInputMessage="1" showErrorMessage="1" sqref="A2:A1001">
      <formula1>service</formula1>
    </dataValidation>
    <dataValidation type="list" allowBlank="1" showInputMessage="1" showErrorMessage="1" sqref="V1:V1048576">
      <formula1>heure</formula1>
    </dataValidation>
    <dataValidation type="list" allowBlank="1" showInputMessage="1" showErrorMessage="1" sqref="W1:W1048576 X1:X1048576">
      <formula1>att</formula1>
    </dataValidation>
    <dataValidation type="list" allowBlank="1" showInputMessage="1" showErrorMessage="1" sqref="B2:B1002">
      <formula1>semaine</formula1>
    </dataValidation>
    <dataValidation type="list" allowBlank="1" showInputMessage="1" showErrorMessage="1" sqref="C1:C1048576 D1:D1048576 E1:E1048576 F1:F1048576">
      <formula1>deux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DANGER!$A$4:$A$6</xm:f>
          </x14:formula1>
          <xm:sqref>G2:G3423</xm:sqref>
        </x14:dataValidation>
        <x14:dataValidation type="list" allowBlank="1" showInputMessage="1" showErrorMessage="1">
          <x14:formula1>
            <xm:f>DANGER!$A$8:$D$8</xm:f>
          </x14:formula1>
          <xm:sqref>H1:H1048576</xm:sqref>
        </x14:dataValidation>
        <x14:dataValidation type="list" allowBlank="1" showInputMessage="1" showErrorMessage="1">
          <x14:formula1>
            <xm:f>DANGER!$A$10:$C$10</xm:f>
          </x14:formula1>
          <xm:sqref>K1:K1048576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AD552"/>
  <sheetViews>
    <sheetView tabSelected="1" zoomScale="10" zoomScaleNormal="10" workbookViewId="0">
      <selection activeCell="Z284" sqref="Z284:Z285"/>
    </sheetView>
  </sheetViews>
  <sheetFormatPr baseColWidth="10" defaultRowHeight="15" x14ac:dyDescent="0.25"/>
  <cols>
    <col min="1" max="1" width="18.85546875" customWidth="1"/>
    <col min="2" max="2" width="93.7109375" customWidth="1"/>
    <col min="3" max="3" width="18" customWidth="1"/>
    <col min="4" max="4" width="16.140625" customWidth="1"/>
    <col min="5" max="5" width="20" customWidth="1"/>
    <col min="6" max="6" width="22.7109375" customWidth="1"/>
    <col min="9" max="9" width="20.140625" customWidth="1"/>
    <col min="10" max="10" width="86.42578125" customWidth="1"/>
    <col min="11" max="11" width="22.5703125" customWidth="1"/>
    <col min="12" max="12" width="14.140625" customWidth="1"/>
    <col min="13" max="13" width="16.5703125" customWidth="1"/>
    <col min="14" max="14" width="24.5703125" customWidth="1"/>
    <col min="17" max="17" width="20.85546875" customWidth="1"/>
    <col min="18" max="18" width="92" customWidth="1"/>
    <col min="19" max="19" width="15.42578125" customWidth="1"/>
    <col min="20" max="20" width="15.28515625" customWidth="1"/>
    <col min="21" max="21" width="16.140625" customWidth="1"/>
    <col min="22" max="22" width="29.140625" customWidth="1"/>
    <col min="25" max="25" width="20.140625" customWidth="1"/>
    <col min="26" max="26" width="90.140625" customWidth="1"/>
    <col min="27" max="27" width="18.7109375" customWidth="1"/>
    <col min="28" max="28" width="19.42578125" customWidth="1"/>
    <col min="29" max="29" width="21.140625" customWidth="1"/>
    <col min="30" max="30" width="22.42578125" customWidth="1"/>
  </cols>
  <sheetData>
    <row r="1" spans="1:30" x14ac:dyDescent="0.25">
      <c r="K1" s="26"/>
      <c r="L1" s="26"/>
      <c r="M1" s="26"/>
      <c r="N1" s="26"/>
      <c r="S1" s="26"/>
      <c r="T1" s="26"/>
      <c r="U1" s="26"/>
      <c r="V1" s="26"/>
    </row>
    <row r="2" spans="1:30" x14ac:dyDescent="0.25">
      <c r="C2" s="26"/>
      <c r="D2" s="26"/>
      <c r="E2" s="26"/>
      <c r="F2" s="26"/>
      <c r="K2" s="26"/>
      <c r="L2" s="26"/>
      <c r="M2" s="26"/>
      <c r="N2" s="26"/>
      <c r="S2" s="26"/>
      <c r="T2" s="26"/>
      <c r="U2" s="26"/>
      <c r="V2" s="26"/>
    </row>
    <row r="3" spans="1:30" ht="15" customHeight="1" x14ac:dyDescent="0.25">
      <c r="A3" s="59" t="s">
        <v>66</v>
      </c>
      <c r="B3" s="55" t="s">
        <v>51</v>
      </c>
      <c r="C3" s="55" t="s">
        <v>87</v>
      </c>
      <c r="D3" s="55"/>
      <c r="E3" s="55"/>
      <c r="F3" s="55"/>
      <c r="I3" s="59" t="s">
        <v>66</v>
      </c>
      <c r="J3" s="55" t="s">
        <v>0</v>
      </c>
      <c r="K3" s="55" t="s">
        <v>87</v>
      </c>
      <c r="L3" s="55"/>
      <c r="M3" s="55"/>
      <c r="N3" s="55"/>
      <c r="Q3" s="59" t="s">
        <v>66</v>
      </c>
      <c r="R3" s="55" t="s">
        <v>2</v>
      </c>
      <c r="S3" s="55" t="s">
        <v>87</v>
      </c>
      <c r="T3" s="55"/>
      <c r="U3" s="55"/>
      <c r="V3" s="55"/>
      <c r="Y3" s="59" t="s">
        <v>66</v>
      </c>
      <c r="Z3" s="55" t="s">
        <v>3</v>
      </c>
      <c r="AA3" s="55" t="s">
        <v>87</v>
      </c>
      <c r="AB3" s="55"/>
      <c r="AC3" s="55"/>
      <c r="AD3" s="55"/>
    </row>
    <row r="4" spans="1:30" ht="15" customHeight="1" x14ac:dyDescent="0.25">
      <c r="A4" s="59"/>
      <c r="B4" s="55"/>
      <c r="C4" s="55"/>
      <c r="D4" s="55"/>
      <c r="E4" s="55"/>
      <c r="F4" s="55"/>
      <c r="I4" s="59"/>
      <c r="J4" s="55"/>
      <c r="K4" s="55"/>
      <c r="L4" s="55"/>
      <c r="M4" s="55"/>
      <c r="N4" s="55"/>
      <c r="Q4" s="59"/>
      <c r="R4" s="55"/>
      <c r="S4" s="55"/>
      <c r="T4" s="55"/>
      <c r="U4" s="55"/>
      <c r="V4" s="55"/>
      <c r="Y4" s="59"/>
      <c r="Z4" s="55"/>
      <c r="AA4" s="55"/>
      <c r="AB4" s="55"/>
      <c r="AC4" s="55"/>
      <c r="AD4" s="55"/>
    </row>
    <row r="5" spans="1:30" ht="21" customHeight="1" x14ac:dyDescent="0.25">
      <c r="B5" s="28" t="s">
        <v>53</v>
      </c>
      <c r="C5" s="22" t="s">
        <v>5</v>
      </c>
      <c r="D5" s="22" t="s">
        <v>6</v>
      </c>
      <c r="E5" s="26"/>
      <c r="F5" s="26"/>
      <c r="J5" s="28" t="s">
        <v>53</v>
      </c>
      <c r="K5" s="22" t="s">
        <v>5</v>
      </c>
      <c r="L5" s="22" t="s">
        <v>6</v>
      </c>
      <c r="M5" s="26"/>
      <c r="N5" s="26"/>
      <c r="R5" s="28" t="s">
        <v>53</v>
      </c>
      <c r="S5" s="22" t="s">
        <v>5</v>
      </c>
      <c r="T5" s="22" t="s">
        <v>6</v>
      </c>
      <c r="U5" s="26"/>
      <c r="V5" s="26"/>
      <c r="Z5" s="28" t="s">
        <v>53</v>
      </c>
      <c r="AA5" s="22" t="s">
        <v>5</v>
      </c>
      <c r="AB5" s="22" t="s">
        <v>6</v>
      </c>
    </row>
    <row r="6" spans="1:30" ht="15" customHeight="1" x14ac:dyDescent="0.25">
      <c r="B6" s="56" t="s">
        <v>52</v>
      </c>
      <c r="C6" s="48">
        <f>COUNTIFS(Données!C2:C10000, "oui", Données!A2:A10000, "EC", Données!B2:B10000, "lundi")</f>
        <v>4</v>
      </c>
      <c r="D6" s="48">
        <f>COUNTIFS(Données!C2:C10000, "non", Données!A2:A10000, "EC", Données!B2:B10000, "lundi")</f>
        <v>5</v>
      </c>
      <c r="E6" s="26"/>
      <c r="F6" s="26"/>
      <c r="G6" s="25"/>
      <c r="J6" s="56" t="s">
        <v>52</v>
      </c>
      <c r="K6" s="48">
        <f>COUNTIFS(Données!K2:K10000, "oui", Données!I2:I10000, "AFE", Données!J2:J10000, "lundi")</f>
        <v>0</v>
      </c>
      <c r="L6" s="48">
        <f>COUNTIFS(Données!K2:K10000, "non", Données!I2:I10000, "AFE", Données!J2:J10000, "lundi")</f>
        <v>0</v>
      </c>
      <c r="M6" s="26"/>
      <c r="N6" s="26"/>
      <c r="R6" s="56" t="s">
        <v>52</v>
      </c>
      <c r="S6" s="48">
        <f>COUNTIFS(Données!S2:S10000, "oui", Données!Q2:Q10000, "AS", Données!R2:R10000, "lundi")</f>
        <v>0</v>
      </c>
      <c r="T6" s="48">
        <f>COUNTIFS(Données!S2:S10000, "non", Données!Q2:Q10000, "AS", Données!R2:R10000, "lundi")</f>
        <v>0</v>
      </c>
      <c r="U6" s="26"/>
      <c r="V6" s="26"/>
      <c r="Z6" s="56" t="s">
        <v>52</v>
      </c>
      <c r="AA6" s="48">
        <f>COUNTIFS(Données!AA2:AA10000, "oui", Données!Y2:Y10000, "VISAS", Données!Z2:Z10000, "lundi")</f>
        <v>0</v>
      </c>
      <c r="AB6" s="48">
        <f>COUNTIFS(Données!AA2:AA10000, "non", Données!Y2:Y10000, "VISAS", Données!Z2:Z10000, "lundi")</f>
        <v>0</v>
      </c>
      <c r="AC6" s="26"/>
      <c r="AD6" s="26"/>
    </row>
    <row r="7" spans="1:30" ht="15" customHeight="1" x14ac:dyDescent="0.25">
      <c r="B7" s="56"/>
      <c r="C7" s="48"/>
      <c r="D7" s="48"/>
      <c r="E7" s="26"/>
      <c r="F7" s="26"/>
      <c r="G7" s="25"/>
      <c r="J7" s="56"/>
      <c r="K7" s="48"/>
      <c r="L7" s="48"/>
      <c r="M7" s="26"/>
      <c r="N7" s="26"/>
      <c r="R7" s="56"/>
      <c r="S7" s="48"/>
      <c r="T7" s="48"/>
      <c r="U7" s="26"/>
      <c r="V7" s="26"/>
      <c r="Z7" s="56"/>
      <c r="AA7" s="48"/>
      <c r="AB7" s="48"/>
      <c r="AC7" s="26"/>
      <c r="AD7" s="26"/>
    </row>
    <row r="8" spans="1:30" ht="15" customHeight="1" x14ac:dyDescent="0.25">
      <c r="B8" s="45" t="s">
        <v>60</v>
      </c>
      <c r="C8" s="48">
        <f>COUNTIFS(Données!D2:D10000, "oui", Données!A2:A10000, "EC", Données!B2:B10000, "lundi")</f>
        <v>2</v>
      </c>
      <c r="D8" s="48">
        <f>COUNTIFS(Données!D2:D10000, "non", Données!A2:A10000, "EC", Données!B2:B10000, "lundi")</f>
        <v>1</v>
      </c>
      <c r="E8" s="26"/>
      <c r="F8" s="26"/>
      <c r="G8" s="25"/>
      <c r="J8" s="45" t="s">
        <v>60</v>
      </c>
      <c r="K8" s="48">
        <f>COUNTIFS(Données!L2:L10000, "oui", Données!I2:I10000, "AFE", Données!J2:J10000, "lundi")</f>
        <v>0</v>
      </c>
      <c r="L8" s="48">
        <f>COUNTIFS(Données!L2:L10000, "non", Données!I2:I10000, "AFE", Données!J2:J10000, "lundi")</f>
        <v>0</v>
      </c>
      <c r="M8" s="26"/>
      <c r="N8" s="26"/>
      <c r="R8" s="45" t="s">
        <v>60</v>
      </c>
      <c r="S8" s="48">
        <f>COUNTIFS(Données!T2:T10000, "oui", Données!Q2:Q10000, "AS", Données!R2:R10000, "lundi")</f>
        <v>0</v>
      </c>
      <c r="T8" s="48">
        <f>COUNTIFS(Données!T2:T10000, "non", Données!Q2:Q10000, "AS", Données!R2:R10000, "lundi")</f>
        <v>0</v>
      </c>
      <c r="U8" s="26"/>
      <c r="V8" s="26"/>
      <c r="Z8" s="45" t="s">
        <v>60</v>
      </c>
      <c r="AA8" s="48">
        <f>COUNTIFS(Données!AB2:AB10000, "oui", Données!Y2:Y10000, "VISAS", Données!Z2:Z10000, "lundi")</f>
        <v>0</v>
      </c>
      <c r="AB8" s="48">
        <f>COUNTIFS(Données!AB2:AB10000, "non", Données!Y2:Y10000, "VISAS", Données!Z2:Z10000, "lundi")</f>
        <v>0</v>
      </c>
      <c r="AC8" s="26"/>
      <c r="AD8" s="26"/>
    </row>
    <row r="9" spans="1:30" ht="15" customHeight="1" x14ac:dyDescent="0.25">
      <c r="B9" s="45"/>
      <c r="C9" s="48"/>
      <c r="D9" s="48"/>
      <c r="E9" s="26"/>
      <c r="F9" s="26"/>
      <c r="G9" s="25"/>
      <c r="J9" s="45"/>
      <c r="K9" s="48"/>
      <c r="L9" s="48"/>
      <c r="M9" s="26"/>
      <c r="N9" s="26"/>
      <c r="R9" s="45"/>
      <c r="S9" s="48"/>
      <c r="T9" s="48"/>
      <c r="U9" s="26"/>
      <c r="V9" s="26"/>
      <c r="Z9" s="45"/>
      <c r="AA9" s="48"/>
      <c r="AB9" s="48"/>
      <c r="AC9" s="26"/>
      <c r="AD9" s="26"/>
    </row>
    <row r="10" spans="1:30" ht="15" customHeight="1" x14ac:dyDescent="0.25">
      <c r="B10" s="41" t="s">
        <v>74</v>
      </c>
      <c r="C10" s="48">
        <f>COUNTIFS(Données!E2:E10000, "oui", Données!A2:A10000, "EC", Données!B2:B10000, "lundi")</f>
        <v>1</v>
      </c>
      <c r="D10" s="48">
        <f>COUNTIFS(Données!E2:E10000, "non", Données!A2:A10000, "EC", Données!B2:B10000, "lundi")</f>
        <v>2</v>
      </c>
      <c r="E10" s="26"/>
      <c r="F10" s="26"/>
      <c r="G10" s="25"/>
      <c r="J10" s="41" t="s">
        <v>74</v>
      </c>
      <c r="K10" s="48">
        <f>COUNTIFS(Données!M2:M10000, "oui", Données!I2:I10000, "AFE", Données!J2:J10000, "lundi")</f>
        <v>0</v>
      </c>
      <c r="L10" s="48">
        <f>COUNTIFS(Données!M2:M10000, "non", Données!I2:I10000, "AFE", Données!J2:J10000, "lundi")</f>
        <v>0</v>
      </c>
      <c r="M10" s="26"/>
      <c r="N10" s="26"/>
      <c r="R10" s="41" t="s">
        <v>74</v>
      </c>
      <c r="S10" s="48">
        <f>COUNTIFS(Données!U2:U10000, "oui", Données!Q2:Q10000, "AS", Données!R2:R10000, "lundi")</f>
        <v>0</v>
      </c>
      <c r="T10" s="48">
        <f>COUNTIFS(Données!U2:U10000, "non", Données!Q2:Q10000, "AS", Données!R2:R10000, "lundi")</f>
        <v>0</v>
      </c>
      <c r="U10" s="26"/>
      <c r="V10" s="26"/>
      <c r="Z10" s="41" t="s">
        <v>74</v>
      </c>
      <c r="AA10" s="48">
        <f>COUNTIFS(Données!AC2:AC10000, "oui", Données!Y2:Y10000, "VISAS", Données!Z2:Z10000, "lundi")</f>
        <v>0</v>
      </c>
      <c r="AB10" s="48">
        <f>COUNTIFS(Données!AC2:AC10000, "non", Données!Y2:Y10000, "VISAS", Données!Z2:Z10000, "lundi")</f>
        <v>0</v>
      </c>
      <c r="AC10" s="26"/>
      <c r="AD10" s="26"/>
    </row>
    <row r="11" spans="1:30" ht="15" customHeight="1" x14ac:dyDescent="0.25">
      <c r="B11" s="41"/>
      <c r="C11" s="48"/>
      <c r="D11" s="48"/>
      <c r="E11" s="26"/>
      <c r="F11" s="26"/>
      <c r="G11" s="25"/>
      <c r="J11" s="41"/>
      <c r="K11" s="48"/>
      <c r="L11" s="48"/>
      <c r="M11" s="26"/>
      <c r="N11" s="26"/>
      <c r="R11" s="41"/>
      <c r="S11" s="48"/>
      <c r="T11" s="48"/>
      <c r="U11" s="26"/>
      <c r="V11" s="26"/>
      <c r="Z11" s="41"/>
      <c r="AA11" s="48"/>
      <c r="AB11" s="48"/>
      <c r="AC11" s="26"/>
      <c r="AD11" s="26"/>
    </row>
    <row r="12" spans="1:30" ht="21" x14ac:dyDescent="0.35">
      <c r="B12" s="29" t="s">
        <v>54</v>
      </c>
      <c r="C12" s="22" t="s">
        <v>5</v>
      </c>
      <c r="D12" s="22" t="s">
        <v>6</v>
      </c>
      <c r="E12" s="26"/>
      <c r="F12" s="26"/>
      <c r="G12" s="25"/>
      <c r="J12" s="29" t="s">
        <v>54</v>
      </c>
      <c r="K12" s="22" t="s">
        <v>5</v>
      </c>
      <c r="L12" s="22" t="s">
        <v>6</v>
      </c>
      <c r="M12" s="26"/>
      <c r="N12" s="26"/>
      <c r="R12" s="29" t="s">
        <v>54</v>
      </c>
      <c r="S12" s="22" t="s">
        <v>5</v>
      </c>
      <c r="T12" s="22" t="s">
        <v>6</v>
      </c>
      <c r="U12" s="26"/>
      <c r="V12" s="26"/>
      <c r="Z12" s="29" t="s">
        <v>54</v>
      </c>
      <c r="AA12" s="22" t="s">
        <v>5</v>
      </c>
      <c r="AB12" s="22" t="s">
        <v>6</v>
      </c>
      <c r="AC12" s="26"/>
      <c r="AD12" s="26"/>
    </row>
    <row r="13" spans="1:30" ht="15" customHeight="1" x14ac:dyDescent="0.25">
      <c r="B13" s="51" t="s">
        <v>64</v>
      </c>
      <c r="C13" s="47">
        <f>COUNTIFS(Données!F2:F10000, "oui", Données!A2:A10000, "EC", Données!B2:B10000, "lundi")</f>
        <v>2</v>
      </c>
      <c r="D13" s="47">
        <f>COUNTIFS(Données!F2:F10000, "non", Données!A2:A10000, "EC", Données!B2:B10000, "lundi")</f>
        <v>1</v>
      </c>
      <c r="E13" s="26"/>
      <c r="F13" s="26"/>
      <c r="G13" s="25"/>
      <c r="J13" s="51" t="s">
        <v>64</v>
      </c>
      <c r="K13" s="47">
        <f>COUNTIFS(Données!N2:N10000, "oui", Données!I2:I10000, "AFE", Données!J2:J10000, "lundi")</f>
        <v>0</v>
      </c>
      <c r="L13" s="47">
        <f>COUNTIFS(Données!N2:N10000, "non", Données!I2:I10000, "AFE", Données!J2:J10000, "lundi")</f>
        <v>0</v>
      </c>
      <c r="M13" s="26"/>
      <c r="N13" s="26"/>
      <c r="R13" s="51" t="s">
        <v>64</v>
      </c>
      <c r="S13" s="47">
        <f>COUNTIFS(Données!V2:V10000, "oui", Données!Q2:Q10000, "AS", Données!R2:R10000, "lundi")</f>
        <v>0</v>
      </c>
      <c r="T13" s="47">
        <f>COUNTIFS(Données!V2:V10000, "non", Données!Q2:Q10000, "AS", Données!R2:R10000, "lundi")</f>
        <v>0</v>
      </c>
      <c r="U13" s="26"/>
      <c r="V13" s="26"/>
      <c r="Z13" s="51" t="s">
        <v>64</v>
      </c>
      <c r="AA13" s="47">
        <f>COUNTIFS(Données!AD2:AD10000, "oui", Données!Y2:Y10000, "VISAS", Données!Z2:Z10000, "lundi")</f>
        <v>0</v>
      </c>
      <c r="AB13" s="47">
        <f>COUNTIFS(Données!AD2:AD10000, "non", Données!Y2:Y10000, "VISAS", Données!Z2:Z10000, "lundi")</f>
        <v>0</v>
      </c>
      <c r="AC13" s="26"/>
      <c r="AD13" s="26"/>
    </row>
    <row r="14" spans="1:30" ht="15" customHeight="1" x14ac:dyDescent="0.25">
      <c r="B14" s="52"/>
      <c r="C14" s="47"/>
      <c r="D14" s="47"/>
      <c r="E14" s="26"/>
      <c r="F14" s="26"/>
      <c r="G14" s="25"/>
      <c r="J14" s="52"/>
      <c r="K14" s="47"/>
      <c r="L14" s="47"/>
      <c r="M14" s="26"/>
      <c r="N14" s="26"/>
      <c r="R14" s="52"/>
      <c r="S14" s="47"/>
      <c r="T14" s="47"/>
      <c r="U14" s="26"/>
      <c r="V14" s="26"/>
      <c r="Z14" s="52"/>
      <c r="AA14" s="47"/>
      <c r="AB14" s="47"/>
      <c r="AC14" s="26"/>
      <c r="AD14" s="26"/>
    </row>
    <row r="15" spans="1:30" ht="15.75" customHeight="1" x14ac:dyDescent="0.25">
      <c r="B15" s="48" t="s">
        <v>61</v>
      </c>
      <c r="C15" s="53" t="s">
        <v>10</v>
      </c>
      <c r="D15" s="54" t="s">
        <v>11</v>
      </c>
      <c r="E15" s="50" t="s">
        <v>12</v>
      </c>
      <c r="F15" s="26"/>
      <c r="G15" s="25"/>
      <c r="J15" s="48" t="s">
        <v>61</v>
      </c>
      <c r="K15" s="53" t="s">
        <v>10</v>
      </c>
      <c r="L15" s="54" t="s">
        <v>11</v>
      </c>
      <c r="M15" s="50" t="s">
        <v>12</v>
      </c>
      <c r="N15" s="26"/>
      <c r="R15" s="48" t="s">
        <v>61</v>
      </c>
      <c r="S15" s="53" t="s">
        <v>10</v>
      </c>
      <c r="T15" s="54" t="s">
        <v>11</v>
      </c>
      <c r="U15" s="50" t="s">
        <v>12</v>
      </c>
      <c r="V15" s="26"/>
      <c r="Z15" s="48" t="s">
        <v>61</v>
      </c>
      <c r="AA15" s="53" t="s">
        <v>10</v>
      </c>
      <c r="AB15" s="54" t="s">
        <v>11</v>
      </c>
      <c r="AC15" s="50" t="s">
        <v>12</v>
      </c>
      <c r="AD15" s="26"/>
    </row>
    <row r="16" spans="1:30" ht="15" customHeight="1" x14ac:dyDescent="0.25">
      <c r="B16" s="48"/>
      <c r="C16" s="53"/>
      <c r="D16" s="54"/>
      <c r="E16" s="50"/>
      <c r="F16" s="26"/>
      <c r="G16" s="25"/>
      <c r="J16" s="48"/>
      <c r="K16" s="53"/>
      <c r="L16" s="54"/>
      <c r="M16" s="50"/>
      <c r="N16" s="26"/>
      <c r="R16" s="48"/>
      <c r="S16" s="53"/>
      <c r="T16" s="54"/>
      <c r="U16" s="50"/>
      <c r="V16" s="26"/>
      <c r="Z16" s="48"/>
      <c r="AA16" s="53"/>
      <c r="AB16" s="54"/>
      <c r="AC16" s="50"/>
      <c r="AD16" s="26"/>
    </row>
    <row r="17" spans="2:30" x14ac:dyDescent="0.25">
      <c r="B17" s="48"/>
      <c r="C17" s="26">
        <f>COUNTIFS(Données!G2:G10000, "téléphone", Données!A2:A10000, "EC", Données!B2:B10000, "lundi")</f>
        <v>1</v>
      </c>
      <c r="D17" s="26">
        <f>COUNTIFS(Données!G2:G10000, "mail", Données!A2:A10000, "EC", Données!B2:B10000, "lundi")</f>
        <v>0</v>
      </c>
      <c r="E17" s="26">
        <f>COUNTIFS(Données!G2:G10000, "sur place", Données!A2:A10000, "EC", Données!B2:B10000, "lundi")</f>
        <v>8</v>
      </c>
      <c r="F17" s="26"/>
      <c r="G17" s="25"/>
      <c r="J17" s="48"/>
      <c r="K17" s="26">
        <f>COUNTIFS(Données!O2:O10000, "téléphone", Données!I2:I10000, "AFE", Données!J2:J10000, "lundi")</f>
        <v>0</v>
      </c>
      <c r="L17" s="26">
        <f>COUNTIFS(Données!O2:O10000, "mail", Données!I2:I10000, "AFE", Données!J2:J10000, "lundi")</f>
        <v>0</v>
      </c>
      <c r="M17" s="26">
        <f>COUNTIFS(Données!O2:O10000, "sur place", Données!I2:I10000, "AFE", Données!J2:J10000, "lundi")</f>
        <v>0</v>
      </c>
      <c r="N17" s="26"/>
      <c r="R17" s="48"/>
      <c r="S17" s="26">
        <f>COUNTIFS(Données!W2:W10000, "téléphone", Données!Q2:Q10000, "AS", Données!R2:R10000, "lundi")</f>
        <v>0</v>
      </c>
      <c r="T17" s="26">
        <f>COUNTIFS(Données!W2:W10000, "mail", Données!Q2:Q10000, "AS", Données!R2:R10000, "lundi")</f>
        <v>0</v>
      </c>
      <c r="U17" s="26">
        <f>COUNTIFS(Données!W2:W10000, "sur place", Données!Q2:Q10000, "AS", Données!R2:R10000, "lundi")</f>
        <v>0</v>
      </c>
      <c r="V17" s="26"/>
      <c r="Z17" s="48"/>
      <c r="AA17" s="26">
        <f>COUNTIFS(Données!AE2:AE10000, "téléphone", Données!Y2:Y10000, "VISAS", Données!Z2:Z10000, "lundi")</f>
        <v>0</v>
      </c>
      <c r="AB17" s="26">
        <f>COUNTIFS(Données!AE2:AE10000, "mail", Données!Y2:Y10000, "VISAS", Données!Z2:Z10000, "lundi")</f>
        <v>0</v>
      </c>
      <c r="AC17" s="26">
        <f>COUNTIFS(Données!AE2:AE10000, "sur place", Données!Y2:Y10000, "VISAS", Données!Z2:Z10000, "lundi")</f>
        <v>0</v>
      </c>
      <c r="AD17" s="26"/>
    </row>
    <row r="18" spans="2:30" ht="15.75" customHeight="1" x14ac:dyDescent="0.25">
      <c r="B18" s="41" t="s">
        <v>75</v>
      </c>
      <c r="C18" s="37" t="s">
        <v>14</v>
      </c>
      <c r="D18" s="38" t="s">
        <v>56</v>
      </c>
      <c r="E18" s="39" t="s">
        <v>57</v>
      </c>
      <c r="F18" s="40" t="s">
        <v>17</v>
      </c>
      <c r="G18" s="25"/>
      <c r="J18" s="41" t="s">
        <v>75</v>
      </c>
      <c r="K18" s="37" t="s">
        <v>14</v>
      </c>
      <c r="L18" s="38" t="s">
        <v>56</v>
      </c>
      <c r="M18" s="39" t="s">
        <v>57</v>
      </c>
      <c r="N18" s="40" t="s">
        <v>17</v>
      </c>
      <c r="R18" s="41" t="s">
        <v>75</v>
      </c>
      <c r="S18" s="37" t="s">
        <v>14</v>
      </c>
      <c r="T18" s="38" t="s">
        <v>56</v>
      </c>
      <c r="U18" s="39" t="s">
        <v>57</v>
      </c>
      <c r="V18" s="40" t="s">
        <v>17</v>
      </c>
      <c r="Z18" s="41" t="s">
        <v>75</v>
      </c>
      <c r="AA18" s="37" t="s">
        <v>14</v>
      </c>
      <c r="AB18" s="38" t="s">
        <v>56</v>
      </c>
      <c r="AC18" s="39" t="s">
        <v>57</v>
      </c>
      <c r="AD18" s="40" t="s">
        <v>17</v>
      </c>
    </row>
    <row r="19" spans="2:30" ht="15" customHeight="1" x14ac:dyDescent="0.25">
      <c r="B19" s="41"/>
      <c r="C19" s="37"/>
      <c r="D19" s="38"/>
      <c r="E19" s="39"/>
      <c r="F19" s="40"/>
      <c r="G19" s="25"/>
      <c r="J19" s="41"/>
      <c r="K19" s="37"/>
      <c r="L19" s="38"/>
      <c r="M19" s="39"/>
      <c r="N19" s="40"/>
      <c r="R19" s="41"/>
      <c r="S19" s="37"/>
      <c r="T19" s="38"/>
      <c r="U19" s="39"/>
      <c r="V19" s="40"/>
      <c r="Z19" s="41"/>
      <c r="AA19" s="37"/>
      <c r="AB19" s="38"/>
      <c r="AC19" s="39"/>
      <c r="AD19" s="40"/>
    </row>
    <row r="20" spans="2:30" ht="15" customHeight="1" x14ac:dyDescent="0.25">
      <c r="B20" s="41"/>
      <c r="C20" s="26">
        <f>COUNTIFS(Données!H2:H10000, "immédiat", Données!A2:A10000, "EC", Données!B2:B10000, "lundi")</f>
        <v>0</v>
      </c>
      <c r="D20" s="26">
        <f>COUNTIFS(Données!H2:H10000, "entre 24-48h", Données!A2:A10000, "EC", Données!B2:B10000, "lundi")</f>
        <v>1</v>
      </c>
      <c r="E20" s="26">
        <f>COUNTIFS(Données!H2:H10000, "entre 24-48h", Données!A2:A10000, "EC", Données!B2:B10000, "lundi")</f>
        <v>1</v>
      </c>
      <c r="F20" s="26">
        <f>COUNTIFS(Données!H2:H10000, "plus de 48h", Données!A2:A10000, "EC", Données!B2:B10000, "lundi")</f>
        <v>1</v>
      </c>
      <c r="G20" s="25"/>
      <c r="J20" s="41"/>
      <c r="K20" s="26">
        <f>COUNTIFS(Données!P2:P10000, "immédiat", Données!I2:I10000, "AFE", Données!J2:J10000, "lundi")</f>
        <v>0</v>
      </c>
      <c r="L20" s="26">
        <f>COUNTIFS(Données!P2:P10000, "entre 24-48h", Données!I2:I10000, "AFE", Données!J2:J10000, "lundi")</f>
        <v>0</v>
      </c>
      <c r="M20" s="26">
        <f>COUNTIFS(Données!P2:P10000, "entre 24-48h", Données!I2:I10000, "AFE", Données!J2:J10000, "lundi")</f>
        <v>0</v>
      </c>
      <c r="N20" s="26">
        <f>COUNTIFS(Données!P2:P10000, "plus de 48h", Données!I2:I10000, "AFE", Données!J2:J10000, "lundi")</f>
        <v>0</v>
      </c>
      <c r="R20" s="41"/>
      <c r="S20" s="26">
        <f>COUNTIFS(Données!X2:X10000, "immédiat", Données!Q2:Q10000, "AS", Données!R2:R10000, "lundi")</f>
        <v>0</v>
      </c>
      <c r="T20" s="26">
        <f>COUNTIFS(Données!X2:X10000, "entre 24-48h", Données!Q2:Q10000, "AS", Données!R2:R10000, "lundi")</f>
        <v>0</v>
      </c>
      <c r="U20" s="26">
        <f>COUNTIFS(Données!X2:X10000, "entre 24-48h", Données!Q2:Q10000, "AS", Données!R2:R10000, "lundi")</f>
        <v>0</v>
      </c>
      <c r="V20" s="26">
        <f>COUNTIFS(Données!X2:X10000, "plus de 48h", Données!Q2:Q10000, "AS", Données!R2:R10000, "lundi")</f>
        <v>0</v>
      </c>
      <c r="Z20" s="41"/>
      <c r="AA20" s="26">
        <f>COUNTIFS(Données!AF2:AF10000, "immédiat", Données!Y2:Y10000, "VISAS", Données!Z2:Z10000, "lundi")</f>
        <v>0</v>
      </c>
      <c r="AB20" s="26">
        <f>COUNTIFS(Données!AF2:AF10000, "entre 24-48h", Données!Y2:Y10000, "VISAS", Données!Z2:Z10000, "lundi")</f>
        <v>0</v>
      </c>
      <c r="AC20" s="26">
        <f>COUNTIFS(Données!AF2:AF10000, "entre 24-48h", Données!Y2:Y10000, "VISAS", Données!Z2:Z10000, "lundi")</f>
        <v>0</v>
      </c>
      <c r="AD20" s="26">
        <f>COUNTIFS(Données!AF2:AF10000, "plus de 48h", Données!Y2:Y10000, "VISAS", Données!Z2:Z10000, "lundi")</f>
        <v>0</v>
      </c>
    </row>
    <row r="21" spans="2:30" ht="15.75" customHeight="1" x14ac:dyDescent="0.25">
      <c r="B21" s="41" t="s">
        <v>63</v>
      </c>
      <c r="C21" s="44" t="s">
        <v>55</v>
      </c>
      <c r="D21" s="44" t="s">
        <v>65</v>
      </c>
      <c r="E21" s="26"/>
      <c r="F21" s="26"/>
      <c r="G21" s="25"/>
      <c r="J21" s="41" t="s">
        <v>63</v>
      </c>
      <c r="K21" s="44" t="s">
        <v>55</v>
      </c>
      <c r="L21" s="44" t="s">
        <v>65</v>
      </c>
      <c r="M21" s="26"/>
      <c r="N21" s="26"/>
      <c r="R21" s="41" t="s">
        <v>63</v>
      </c>
      <c r="S21" s="44" t="s">
        <v>55</v>
      </c>
      <c r="T21" s="44" t="s">
        <v>65</v>
      </c>
      <c r="U21" s="26"/>
      <c r="V21" s="26"/>
      <c r="Z21" s="41" t="s">
        <v>63</v>
      </c>
      <c r="AA21" s="44" t="s">
        <v>55</v>
      </c>
      <c r="AB21" s="44" t="s">
        <v>65</v>
      </c>
      <c r="AC21" s="26"/>
      <c r="AD21" s="26"/>
    </row>
    <row r="22" spans="2:30" ht="15.75" customHeight="1" x14ac:dyDescent="0.25">
      <c r="B22" s="41"/>
      <c r="C22" s="44"/>
      <c r="D22" s="44"/>
      <c r="E22" s="26"/>
      <c r="F22" s="26"/>
      <c r="J22" s="41"/>
      <c r="K22" s="44"/>
      <c r="L22" s="44"/>
      <c r="M22" s="26"/>
      <c r="N22" s="26"/>
      <c r="R22" s="41"/>
      <c r="S22" s="44"/>
      <c r="T22" s="44"/>
      <c r="U22" s="26"/>
      <c r="V22" s="26"/>
      <c r="Z22" s="41"/>
      <c r="AA22" s="44"/>
      <c r="AB22" s="44"/>
    </row>
    <row r="23" spans="2:30" ht="15.75" customHeight="1" x14ac:dyDescent="0.25">
      <c r="B23" s="41"/>
      <c r="C23" s="26">
        <f>SUMIFS(Données!I:I,Données!A:A,"EC",Données!B:B,"lundi")</f>
        <v>9</v>
      </c>
      <c r="D23" s="26">
        <f>SUMIFS(Données!J:J,Données!A:A,"EC",Données!B:B,"lundi")</f>
        <v>12</v>
      </c>
      <c r="E23" s="26"/>
      <c r="F23" s="26"/>
      <c r="J23" s="41"/>
      <c r="K23" s="26">
        <f>SUMIFS(Données!Q:Q,Données!I:I,"AFE",Données!J:J,"lundi")</f>
        <v>0</v>
      </c>
      <c r="L23" s="26">
        <f>SUMIFS(Données!R:R,Données!I:I,"AFE",Données!J:J,"lundi")</f>
        <v>0</v>
      </c>
      <c r="M23" s="26"/>
      <c r="N23" s="26"/>
      <c r="R23" s="41"/>
      <c r="S23" s="26">
        <f>SUMIFS(Données!Y:Y,Données!Q:Q,"AS",Données!R:R,"lundi")</f>
        <v>0</v>
      </c>
      <c r="T23" s="26">
        <f>SUMIFS(Données!Z:Z,Données!Q:Q,"AS",Données!R:R,"lundi")</f>
        <v>0</v>
      </c>
      <c r="U23" s="26"/>
      <c r="V23" s="26"/>
      <c r="Z23" s="41"/>
      <c r="AA23" s="26">
        <f ca="1">SUMIFS(Données!AG:AG,Données!Y:Y,"VISAS",Données!Z:Z,"lundi")</f>
        <v>0</v>
      </c>
      <c r="AB23" s="26">
        <f ca="1">SUMIFS(Données!AH:AH,Données!Y:Y,"VISAS",Données!Z:Z,"lundi")</f>
        <v>0</v>
      </c>
    </row>
    <row r="24" spans="2:30" ht="15.75" customHeight="1" x14ac:dyDescent="0.25">
      <c r="B24" s="41" t="s">
        <v>62</v>
      </c>
      <c r="C24" s="37" t="s">
        <v>58</v>
      </c>
      <c r="D24" s="39" t="s">
        <v>59</v>
      </c>
      <c r="E24" s="40" t="s">
        <v>24</v>
      </c>
      <c r="F24" s="26"/>
      <c r="J24" s="41" t="s">
        <v>62</v>
      </c>
      <c r="K24" s="37" t="s">
        <v>58</v>
      </c>
      <c r="L24" s="39" t="s">
        <v>59</v>
      </c>
      <c r="M24" s="40" t="s">
        <v>24</v>
      </c>
      <c r="N24" s="26"/>
      <c r="R24" s="41" t="s">
        <v>62</v>
      </c>
      <c r="S24" s="37" t="s">
        <v>58</v>
      </c>
      <c r="T24" s="39" t="s">
        <v>59</v>
      </c>
      <c r="U24" s="40" t="s">
        <v>24</v>
      </c>
      <c r="V24" s="26"/>
      <c r="Z24" s="41" t="s">
        <v>62</v>
      </c>
      <c r="AA24" s="37" t="s">
        <v>58</v>
      </c>
      <c r="AB24" s="39" t="s">
        <v>59</v>
      </c>
      <c r="AC24" s="40" t="s">
        <v>24</v>
      </c>
    </row>
    <row r="25" spans="2:30" ht="15" customHeight="1" x14ac:dyDescent="0.25">
      <c r="B25" s="41"/>
      <c r="C25" s="37"/>
      <c r="D25" s="39"/>
      <c r="E25" s="40"/>
      <c r="F25" s="26"/>
      <c r="J25" s="41"/>
      <c r="K25" s="37"/>
      <c r="L25" s="39"/>
      <c r="M25" s="40"/>
      <c r="N25" s="26"/>
      <c r="R25" s="41"/>
      <c r="S25" s="37"/>
      <c r="T25" s="39"/>
      <c r="U25" s="40"/>
      <c r="V25" s="26"/>
      <c r="Z25" s="41"/>
      <c r="AA25" s="37"/>
      <c r="AB25" s="39"/>
      <c r="AC25" s="40"/>
    </row>
    <row r="26" spans="2:30" ht="15" customHeight="1" x14ac:dyDescent="0.25">
      <c r="B26" s="42"/>
      <c r="C26" s="26">
        <f>COUNTIFS(Données!K2:K10000, "complet", Données!A2:A10000, "EC", Données!B2:B10000, "lundi")</f>
        <v>3</v>
      </c>
      <c r="D26" s="26">
        <f>COUNTIFS(Données!K2:K10000, "partiel", Données!A2:A10000, "EC", Données!B2:B10000, "lundi")</f>
        <v>2</v>
      </c>
      <c r="E26" s="26">
        <f>COUNTIFS(Données!K2:K10000, "pas du tout", Données!A2:A10000, "EC", Données!B2:B10000, "lundi")</f>
        <v>2</v>
      </c>
      <c r="F26" s="26"/>
      <c r="J26" s="42"/>
      <c r="K26" s="26">
        <f>COUNTIFS(Données!S2:S10000, "complet", Données!I2:I10000, "AFE", Données!J2:J10000, "lundi")</f>
        <v>0</v>
      </c>
      <c r="L26" s="26">
        <f>COUNTIFS(Données!S2:S10000, "partiel", Données!I2:I10000, "AFE", Données!J2:J10000, "lundi")</f>
        <v>0</v>
      </c>
      <c r="M26" s="26">
        <f>COUNTIFS(Données!S2:S10000, "pas du tout", Données!I2:I10000, "AFE", Données!J2:J10000, "lundi")</f>
        <v>0</v>
      </c>
      <c r="N26" s="26"/>
      <c r="R26" s="42"/>
      <c r="S26" s="26">
        <f>COUNTIFS(Données!AA2:AA10000, "complet", Données!Q2:Q10000, "AS", Données!R2:R10000, "lundi")</f>
        <v>0</v>
      </c>
      <c r="T26" s="26">
        <f>COUNTIFS(Données!AA2:AA10000, "partiel", Données!Q2:Q10000, "AS", Données!R2:R10000, "lundi")</f>
        <v>0</v>
      </c>
      <c r="U26" s="26">
        <f>COUNTIFS(Données!AA2:AA10000, "pas du tout", Données!Q2:Q10000, "AS", Données!R2:R10000, "lundi")</f>
        <v>0</v>
      </c>
      <c r="V26" s="26"/>
      <c r="Z26" s="42"/>
      <c r="AA26" s="26">
        <f>COUNTIFS(Données!AI2:AI10000, "complet", Données!Y2:Y10000, "VISAS", Données!Z2:Z10000, "lundi")</f>
        <v>0</v>
      </c>
      <c r="AB26" s="26">
        <f>COUNTIFS(Données!AI2:AI10000, "partiel", Données!Y2:Y10000, "VISAS", Données!Z2:Z10000, "lundi")</f>
        <v>0</v>
      </c>
      <c r="AC26" s="26">
        <f>COUNTIFS(Données!AI2:AI10000, "pas du tout", Données!Y2:Y10000, "VISAS", Données!Z2:Z10000, "lundi")</f>
        <v>0</v>
      </c>
    </row>
    <row r="27" spans="2:30" ht="21" x14ac:dyDescent="0.25">
      <c r="B27" s="28" t="s">
        <v>76</v>
      </c>
      <c r="C27" s="30" t="s">
        <v>5</v>
      </c>
      <c r="D27" s="30" t="s">
        <v>6</v>
      </c>
      <c r="E27" s="30" t="s">
        <v>28</v>
      </c>
      <c r="F27" s="26"/>
      <c r="J27" s="28" t="s">
        <v>76</v>
      </c>
      <c r="K27" s="30" t="s">
        <v>5</v>
      </c>
      <c r="L27" s="30" t="s">
        <v>6</v>
      </c>
      <c r="M27" s="30" t="s">
        <v>28</v>
      </c>
      <c r="N27" s="26"/>
      <c r="R27" s="28" t="s">
        <v>76</v>
      </c>
      <c r="S27" s="30" t="s">
        <v>5</v>
      </c>
      <c r="T27" s="30" t="s">
        <v>6</v>
      </c>
      <c r="U27" s="30" t="s">
        <v>28</v>
      </c>
      <c r="V27" s="26"/>
      <c r="Z27" s="28" t="s">
        <v>76</v>
      </c>
      <c r="AA27" s="30" t="s">
        <v>5</v>
      </c>
      <c r="AB27" s="30" t="s">
        <v>6</v>
      </c>
      <c r="AC27" s="30" t="s">
        <v>28</v>
      </c>
    </row>
    <row r="28" spans="2:30" ht="15" customHeight="1" x14ac:dyDescent="0.25">
      <c r="B28" s="41" t="s">
        <v>93</v>
      </c>
      <c r="C28" s="47">
        <f>COUNTIFS(Données!L2:L10000, "oui", Données!A2:A10000, "EC", Données!B2:B10000, "lundi")</f>
        <v>3</v>
      </c>
      <c r="D28" s="47">
        <f>COUNTIFS(Données!L2:L10000, "non", Données!A2:A10000, "EC", Données!B2:B10000, "lundi")</f>
        <v>4</v>
      </c>
      <c r="E28" s="48" t="s">
        <v>92</v>
      </c>
      <c r="F28" s="26"/>
      <c r="J28" s="41" t="s">
        <v>93</v>
      </c>
      <c r="K28" s="47">
        <f>COUNTIFS(Données!T2:T10000, "oui", Données!I2:I10000, "AFE", Données!J2:J10000, "lundi")</f>
        <v>0</v>
      </c>
      <c r="L28" s="47">
        <f>COUNTIFS(Données!T2:T10000, "non", Données!I2:I10000, "AFE", Données!J2:J10000, "lundi")</f>
        <v>0</v>
      </c>
      <c r="M28" s="48" t="s">
        <v>92</v>
      </c>
      <c r="N28" s="26"/>
      <c r="R28" s="41" t="s">
        <v>93</v>
      </c>
      <c r="S28" s="47">
        <f>COUNTIFS(Données!AB2:AB10000, "oui", Données!Q2:Q10000, "AS", Données!R2:R10000, "lundi")</f>
        <v>0</v>
      </c>
      <c r="T28" s="47">
        <f>COUNTIFS(Données!AB2:AB10000, "non", Données!Q2:Q10000, "AS", Données!R2:R10000, "lundi")</f>
        <v>0</v>
      </c>
      <c r="U28" s="48" t="s">
        <v>92</v>
      </c>
      <c r="V28" s="26"/>
      <c r="Z28" s="41" t="s">
        <v>93</v>
      </c>
      <c r="AA28" s="47">
        <f>COUNTIFS(Données!AJ2:AJ10000, "oui", Données!Y2:Y10000, "VISAS", Données!Z2:Z10000, "lundi")</f>
        <v>0</v>
      </c>
      <c r="AB28" s="47">
        <f>COUNTIFS(Données!AJ2:AJ10000, "non", Données!Y2:Y10000, "VISAS", Données!Z2:Z10000, "lundi")</f>
        <v>0</v>
      </c>
      <c r="AC28" s="48" t="s">
        <v>92</v>
      </c>
    </row>
    <row r="29" spans="2:30" ht="15" customHeight="1" x14ac:dyDescent="0.25">
      <c r="B29" s="41"/>
      <c r="C29" s="47"/>
      <c r="D29" s="47"/>
      <c r="E29" s="48"/>
      <c r="F29" s="26"/>
      <c r="J29" s="41"/>
      <c r="K29" s="47"/>
      <c r="L29" s="47"/>
      <c r="M29" s="48"/>
      <c r="N29" s="26"/>
      <c r="R29" s="41"/>
      <c r="S29" s="47"/>
      <c r="T29" s="47"/>
      <c r="U29" s="48"/>
      <c r="V29" s="26"/>
      <c r="Z29" s="41"/>
      <c r="AA29" s="47"/>
      <c r="AB29" s="47"/>
      <c r="AC29" s="48"/>
    </row>
    <row r="30" spans="2:30" ht="15" customHeight="1" x14ac:dyDescent="0.25">
      <c r="B30" s="41" t="s">
        <v>94</v>
      </c>
      <c r="C30" s="47">
        <f>COUNTIFS(Données!M2:M10000, "oui", Données!A2:A10000, "EC", Données!B2:B10000, "lundi")</f>
        <v>1</v>
      </c>
      <c r="D30" s="47">
        <f>COUNTIFS(Données!M2:M10000, "non", Données!A2:A10000, "EC", Données!B2:B10000, "lundi")</f>
        <v>6</v>
      </c>
      <c r="E30" s="48" t="s">
        <v>92</v>
      </c>
      <c r="F30" s="26"/>
      <c r="J30" s="41" t="s">
        <v>94</v>
      </c>
      <c r="K30" s="47">
        <f>COUNTIFS(Données!U2:U10000, "oui", Données!I2:I10000, "AFE", Données!J2:J10000, "lundi")</f>
        <v>0</v>
      </c>
      <c r="L30" s="47">
        <f>COUNTIFS(Données!U2:U10000, "non", Données!I2:I10000, "AFE", Données!J2:J10000, "lundi")</f>
        <v>0</v>
      </c>
      <c r="M30" s="48" t="s">
        <v>92</v>
      </c>
      <c r="N30" s="26"/>
      <c r="R30" s="41" t="s">
        <v>94</v>
      </c>
      <c r="S30" s="47">
        <f>COUNTIFS(Données!AC2:AC10000, "oui", Données!Q2:Q10000, "AS", Données!R2:R10000, "lundi")</f>
        <v>0</v>
      </c>
      <c r="T30" s="47">
        <f>COUNTIFS(Données!AC2:AC10000, "non", Données!Q2:Q10000, "AS", Données!R2:R10000, "lundi")</f>
        <v>0</v>
      </c>
      <c r="U30" s="48" t="s">
        <v>92</v>
      </c>
      <c r="V30" s="26"/>
      <c r="Z30" s="41" t="s">
        <v>94</v>
      </c>
      <c r="AA30" s="47">
        <f>COUNTIFS(Données!AK2:AK10000, "oui", Données!Y2:Y10000, "VISAS", Données!Z2:Z10000, "lundi")</f>
        <v>0</v>
      </c>
      <c r="AB30" s="47">
        <f>COUNTIFS(Données!AK2:AK10000, "non", Données!Y2:Y10000, "VISAS", Données!Z2:Z10000, "lundi")</f>
        <v>0</v>
      </c>
      <c r="AC30" s="48" t="s">
        <v>92</v>
      </c>
    </row>
    <row r="31" spans="2:30" ht="15" customHeight="1" x14ac:dyDescent="0.25">
      <c r="B31" s="41"/>
      <c r="C31" s="47"/>
      <c r="D31" s="47"/>
      <c r="E31" s="48"/>
      <c r="F31" s="26"/>
      <c r="J31" s="41"/>
      <c r="K31" s="47"/>
      <c r="L31" s="47"/>
      <c r="M31" s="48"/>
      <c r="N31" s="26"/>
      <c r="R31" s="41"/>
      <c r="S31" s="47"/>
      <c r="T31" s="47"/>
      <c r="U31" s="48"/>
      <c r="V31" s="26"/>
      <c r="Z31" s="41"/>
      <c r="AA31" s="47"/>
      <c r="AB31" s="47"/>
      <c r="AC31" s="48"/>
    </row>
    <row r="32" spans="2:30" ht="15" customHeight="1" x14ac:dyDescent="0.25">
      <c r="B32" s="41" t="s">
        <v>95</v>
      </c>
      <c r="C32" s="47">
        <f>COUNTIFS(Données!N2:N10000, "oui", Données!A2:A10000, "EC", Données!B2:B10000, "lundi")</f>
        <v>3</v>
      </c>
      <c r="D32" s="47">
        <f>COUNTIFS(Données!N2:N10000, "non", Données!A2:A10000, "EC", Données!B2:B10000, "lundi")</f>
        <v>1</v>
      </c>
      <c r="E32" s="47">
        <f>COUNTIFS(Données!N2:N10000, "ne sais pas", Données!A2:A10000, "EC", Données!B2:B10000, "lundi")</f>
        <v>3</v>
      </c>
      <c r="F32" s="26"/>
      <c r="J32" s="41" t="s">
        <v>95</v>
      </c>
      <c r="K32" s="47">
        <f>COUNTIFS(Données!V2:V10000, "oui", Données!I2:I10000, "AFE", Données!J2:J10000, "lundi")</f>
        <v>0</v>
      </c>
      <c r="L32" s="47">
        <f>COUNTIFS(Données!V2:V10000, "non", Données!I2:I10000, "AFE", Données!J2:J10000, "lundi")</f>
        <v>0</v>
      </c>
      <c r="M32" s="47">
        <f>COUNTIFS(Données!V2:V10000, "ne sais pas", Données!I2:I10000, "AFE", Données!J2:J10000, "lundi")</f>
        <v>0</v>
      </c>
      <c r="N32" s="26"/>
      <c r="R32" s="41" t="s">
        <v>95</v>
      </c>
      <c r="S32" s="47">
        <f>COUNTIFS(Données!AD2:AD10000, "oui", Données!Q2:Q10000, "AS", Données!R2:R10000, "lundi")</f>
        <v>0</v>
      </c>
      <c r="T32" s="47">
        <f>COUNTIFS(Données!AD2:AD10000, "non", Données!Q2:Q10000, "AS", Données!R2:R10000, "lundi")</f>
        <v>0</v>
      </c>
      <c r="U32" s="47">
        <f>COUNTIFS(Données!AD2:AD10000, "ne sais pas", Données!Q2:Q10000, "AS", Données!R2:R10000, "lundi")</f>
        <v>0</v>
      </c>
      <c r="V32" s="26"/>
      <c r="Z32" s="41" t="s">
        <v>95</v>
      </c>
      <c r="AA32" s="47">
        <f>COUNTIFS(Données!AL2:AL10000, "oui", Données!Y2:Y10000, "VISAS", Données!Z2:Z10000, "lundi")</f>
        <v>0</v>
      </c>
      <c r="AB32" s="47">
        <f>COUNTIFS(Données!AL2:AL10000, "non", Données!Y2:Y10000, "VISAS", Données!Z2:Z10000, "lundi")</f>
        <v>0</v>
      </c>
      <c r="AC32" s="47">
        <f>COUNTIFS(Données!AL2:AL10000, "ne sais pas", Données!Y2:Y10000, "VISAS", Données!Z2:Z10000, "lundi")</f>
        <v>0</v>
      </c>
    </row>
    <row r="33" spans="2:30" ht="15" customHeight="1" x14ac:dyDescent="0.25">
      <c r="B33" s="41"/>
      <c r="C33" s="47"/>
      <c r="D33" s="47"/>
      <c r="E33" s="47"/>
      <c r="F33" s="26"/>
      <c r="J33" s="41"/>
      <c r="K33" s="47"/>
      <c r="L33" s="47"/>
      <c r="M33" s="47"/>
      <c r="N33" s="26"/>
      <c r="R33" s="41"/>
      <c r="S33" s="47"/>
      <c r="T33" s="47"/>
      <c r="U33" s="47"/>
      <c r="V33" s="26"/>
      <c r="Z33" s="41"/>
      <c r="AA33" s="47"/>
      <c r="AB33" s="47"/>
      <c r="AC33" s="47"/>
    </row>
    <row r="34" spans="2:30" ht="15" customHeight="1" x14ac:dyDescent="0.25">
      <c r="B34" s="45" t="s">
        <v>96</v>
      </c>
      <c r="C34" s="47">
        <f>COUNTIFS(Données!M2:M10000, "oui", Données!A2:A10000, "EC", Données!B2:B10000, "lundi")</f>
        <v>1</v>
      </c>
      <c r="D34" s="47">
        <f>COUNTIFS(Données!N2:N10000, "non", Données!A2:A10000, "EC", Données!B2:B10000, "lundi")</f>
        <v>1</v>
      </c>
      <c r="E34" s="48" t="s">
        <v>92</v>
      </c>
      <c r="F34" s="26"/>
      <c r="J34" s="45" t="s">
        <v>96</v>
      </c>
      <c r="K34" s="47">
        <f>COUNTIFS(Données!U2:U10000, "oui", Données!I2:I10000, "AFE", Données!J2:J10000, "lundi")</f>
        <v>0</v>
      </c>
      <c r="L34" s="47">
        <f>COUNTIFS(Données!V2:V10000, "non", Données!I2:I10000, "AFE", Données!J2:J10000, "lundi")</f>
        <v>0</v>
      </c>
      <c r="M34" s="48" t="s">
        <v>92</v>
      </c>
      <c r="N34" s="26"/>
      <c r="R34" s="45" t="s">
        <v>96</v>
      </c>
      <c r="S34" s="47">
        <f>COUNTIFS(Données!AC2:AC10000, "oui", Données!Q2:Q10000, "AS", Données!R2:R10000, "lundi")</f>
        <v>0</v>
      </c>
      <c r="T34" s="47">
        <f>COUNTIFS(Données!AD2:AD10000, "non", Données!Q2:Q10000, "AS", Données!R2:R10000, "lundi")</f>
        <v>0</v>
      </c>
      <c r="U34" s="48" t="s">
        <v>92</v>
      </c>
      <c r="V34" s="26"/>
      <c r="Z34" s="45" t="s">
        <v>96</v>
      </c>
      <c r="AA34" s="47">
        <f>COUNTIFS(Données!AK2:AK10000, "oui", Données!Y2:Y10000, "VISAS", Données!Z2:Z10000, "lundi")</f>
        <v>0</v>
      </c>
      <c r="AB34" s="47">
        <f>COUNTIFS(Données!AL2:AL10000, "non", Données!Y2:Y10000, "VISAS", Données!Z2:Z10000, "lundi")</f>
        <v>0</v>
      </c>
      <c r="AC34" s="48" t="s">
        <v>92</v>
      </c>
    </row>
    <row r="35" spans="2:30" ht="15" customHeight="1" x14ac:dyDescent="0.25">
      <c r="B35" s="49"/>
      <c r="C35" s="47"/>
      <c r="D35" s="47"/>
      <c r="E35" s="48"/>
      <c r="F35" s="26"/>
      <c r="J35" s="49"/>
      <c r="K35" s="47"/>
      <c r="L35" s="47"/>
      <c r="M35" s="48"/>
      <c r="N35" s="26"/>
      <c r="R35" s="49"/>
      <c r="S35" s="47"/>
      <c r="T35" s="47"/>
      <c r="U35" s="48"/>
      <c r="V35" s="26"/>
      <c r="Z35" s="49"/>
      <c r="AA35" s="47"/>
      <c r="AB35" s="47"/>
      <c r="AC35" s="48"/>
    </row>
    <row r="36" spans="2:30" ht="15" customHeight="1" x14ac:dyDescent="0.25">
      <c r="B36" s="41" t="s">
        <v>97</v>
      </c>
      <c r="C36" s="47">
        <f>COUNTIFS(Données!O2:O10000, "oui", Données!A2:A10000, "EC", Données!B2:B10000, "lundi")</f>
        <v>2</v>
      </c>
      <c r="D36" s="47">
        <f>COUNTIFS(Données!O2:O10000, "non", Données!A2:A10000, "EC", Données!B2:B10000, "lundi")</f>
        <v>1</v>
      </c>
      <c r="E36" s="48" t="s">
        <v>92</v>
      </c>
      <c r="F36" s="26"/>
      <c r="J36" s="41" t="s">
        <v>97</v>
      </c>
      <c r="K36" s="47">
        <f>COUNTIFS(Données!W2:W10000, "oui", Données!I2:I10000, "AFE", Données!J2:J10000, "lundi")</f>
        <v>0</v>
      </c>
      <c r="L36" s="47">
        <f>COUNTIFS(Données!W2:W10000, "non", Données!I2:I10000, "AFE", Données!J2:J10000, "lundi")</f>
        <v>0</v>
      </c>
      <c r="M36" s="48" t="s">
        <v>92</v>
      </c>
      <c r="N36" s="26"/>
      <c r="R36" s="41" t="s">
        <v>97</v>
      </c>
      <c r="S36" s="47">
        <f>COUNTIFS(Données!AE2:AE10000, "oui", Données!Q2:Q10000, "AS", Données!R2:R10000, "lundi")</f>
        <v>0</v>
      </c>
      <c r="T36" s="47">
        <f>COUNTIFS(Données!AE2:AE10000, "non", Données!Q2:Q10000, "AS", Données!R2:R10000, "lundi")</f>
        <v>0</v>
      </c>
      <c r="U36" s="48" t="s">
        <v>92</v>
      </c>
      <c r="V36" s="26"/>
      <c r="Z36" s="41" t="s">
        <v>97</v>
      </c>
      <c r="AA36" s="47">
        <f>COUNTIFS(Données!AM2:AM10000, "oui", Données!Y2:Y10000, "VISAS", Données!Z2:Z10000, "lundi")</f>
        <v>0</v>
      </c>
      <c r="AB36" s="47">
        <f>COUNTIFS(Données!AM2:AM10000, "non", Données!Y2:Y10000, "VISAS", Données!Z2:Z10000, "lundi")</f>
        <v>0</v>
      </c>
      <c r="AC36" s="48" t="s">
        <v>92</v>
      </c>
    </row>
    <row r="37" spans="2:30" ht="15" customHeight="1" x14ac:dyDescent="0.25">
      <c r="B37" s="41"/>
      <c r="C37" s="47"/>
      <c r="D37" s="47"/>
      <c r="E37" s="48"/>
      <c r="F37" s="26"/>
      <c r="J37" s="41"/>
      <c r="K37" s="47"/>
      <c r="L37" s="47"/>
      <c r="M37" s="48"/>
      <c r="N37" s="26"/>
      <c r="R37" s="41"/>
      <c r="S37" s="47"/>
      <c r="T37" s="47"/>
      <c r="U37" s="48"/>
      <c r="V37" s="26"/>
      <c r="Z37" s="41"/>
      <c r="AA37" s="47"/>
      <c r="AB37" s="47"/>
      <c r="AC37" s="48"/>
    </row>
    <row r="38" spans="2:30" ht="21" x14ac:dyDescent="0.35">
      <c r="B38" s="29" t="s">
        <v>78</v>
      </c>
      <c r="C38" s="37" t="s">
        <v>79</v>
      </c>
      <c r="D38" s="38" t="s">
        <v>34</v>
      </c>
      <c r="E38" s="39" t="s">
        <v>83</v>
      </c>
      <c r="F38" s="40" t="s">
        <v>35</v>
      </c>
      <c r="J38" s="29" t="s">
        <v>78</v>
      </c>
      <c r="K38" s="37" t="s">
        <v>79</v>
      </c>
      <c r="L38" s="38" t="s">
        <v>34</v>
      </c>
      <c r="M38" s="39" t="s">
        <v>83</v>
      </c>
      <c r="N38" s="40" t="s">
        <v>35</v>
      </c>
      <c r="R38" s="29" t="s">
        <v>78</v>
      </c>
      <c r="S38" s="37" t="s">
        <v>79</v>
      </c>
      <c r="T38" s="38" t="s">
        <v>34</v>
      </c>
      <c r="U38" s="39" t="s">
        <v>83</v>
      </c>
      <c r="V38" s="40" t="s">
        <v>35</v>
      </c>
      <c r="Z38" s="29" t="s">
        <v>78</v>
      </c>
      <c r="AA38" s="37" t="s">
        <v>79</v>
      </c>
      <c r="AB38" s="38" t="s">
        <v>34</v>
      </c>
      <c r="AC38" s="39" t="s">
        <v>83</v>
      </c>
      <c r="AD38" s="40" t="s">
        <v>35</v>
      </c>
    </row>
    <row r="39" spans="2:30" ht="15.75" x14ac:dyDescent="0.25">
      <c r="B39" s="32" t="s">
        <v>98</v>
      </c>
      <c r="C39" s="37"/>
      <c r="D39" s="38"/>
      <c r="E39" s="39"/>
      <c r="F39" s="40"/>
      <c r="J39" s="32" t="s">
        <v>98</v>
      </c>
      <c r="K39" s="37"/>
      <c r="L39" s="38"/>
      <c r="M39" s="39"/>
      <c r="N39" s="40"/>
      <c r="R39" s="32" t="s">
        <v>98</v>
      </c>
      <c r="S39" s="37"/>
      <c r="T39" s="38"/>
      <c r="U39" s="39"/>
      <c r="V39" s="40"/>
      <c r="Z39" s="32" t="s">
        <v>98</v>
      </c>
      <c r="AA39" s="37"/>
      <c r="AB39" s="38"/>
      <c r="AC39" s="39"/>
      <c r="AD39" s="40"/>
    </row>
    <row r="40" spans="2:30" ht="15.75" x14ac:dyDescent="0.25">
      <c r="B40" s="21" t="s">
        <v>80</v>
      </c>
      <c r="C40" s="26">
        <f>COUNTIFS(Données!R2:R10000, "très satisfaisant", Données!A2:A10000, "EC", Données!B2:B10000, "lundi")</f>
        <v>1</v>
      </c>
      <c r="D40" s="26">
        <f>COUNTIFS(Données!R2:R10000, "satisfaisant", Données!A2:A10000, "EC", Données!B2:B10000, "lundi")</f>
        <v>0</v>
      </c>
      <c r="E40" s="26">
        <f>COUNTIFS(Données!S2:S10000, "moy. satisfaisant", Données!A2:A10000, "EC", Données!B2:B10000, "lundi")</f>
        <v>1</v>
      </c>
      <c r="F40" s="26">
        <f>COUNTIFS(Données!R2:R10000, "pas du tout satisfaisant", Données!A2:A10000, "EC", Données!B2:B10000, "lundi")</f>
        <v>1</v>
      </c>
      <c r="J40" s="24" t="s">
        <v>80</v>
      </c>
      <c r="K40" s="26">
        <f>COUNTIFS(Données!Z2:Z10000, "très satisfaisant", Données!I2:I10000, "AFE", Données!J2:J10000, "lundi")</f>
        <v>0</v>
      </c>
      <c r="L40" s="26">
        <f>COUNTIFS(Données!Z2:Z10000, "satisfaisant", Données!I2:I10000, "AFE", Données!J2:J10000, "lundi")</f>
        <v>0</v>
      </c>
      <c r="M40" s="26">
        <f>COUNTIFS(Données!AA2:AA10000, "moy. satisfaisant", Données!I2:I10000, "AFE", Données!J2:J10000, "lundi")</f>
        <v>0</v>
      </c>
      <c r="N40" s="26">
        <f>COUNTIFS(Données!Z2:Z10000, "pas du tout satisfaisant", Données!I2:I10000, "AFE", Données!J2:J10000, "lundi")</f>
        <v>0</v>
      </c>
      <c r="R40" s="24" t="s">
        <v>80</v>
      </c>
      <c r="S40" s="26">
        <f>COUNTIFS(Données!AH2:AH10000, "très satisfaisant", Données!Q2:Q10000, "AS", Données!R2:R10000, "lundi")</f>
        <v>0</v>
      </c>
      <c r="T40" s="26">
        <f>COUNTIFS(Données!AH2:AH10000, "satisfaisant", Données!Q2:Q10000, "AS", Données!R2:R10000, "lundi")</f>
        <v>0</v>
      </c>
      <c r="U40" s="26">
        <f>COUNTIFS(Données!AI2:AI10000, "moy. satisfaisant", Données!Q2:Q10000, "AS", Données!R2:R10000, "lundi")</f>
        <v>0</v>
      </c>
      <c r="V40" s="26">
        <f>COUNTIFS(Données!AH2:AH10000, "pas du tout satisfaisant", Données!Q2:Q10000, "AS", Données!R2:R10000, "lundi")</f>
        <v>0</v>
      </c>
      <c r="Z40" s="24" t="s">
        <v>80</v>
      </c>
      <c r="AA40" s="26">
        <f>COUNTIFS(Données!AP2:AP10000, "très satisfaisant", Données!Y2:Y10000, "VISAS", Données!Z2:Z10000, "lundi")</f>
        <v>0</v>
      </c>
      <c r="AB40" s="26">
        <f>COUNTIFS(Données!AP2:AP10000, "satisfaisant", Données!Y2:Y10000, "VISAS", Données!Z2:Z10000, "lundi")</f>
        <v>0</v>
      </c>
      <c r="AC40" s="26">
        <f>COUNTIFS(Données!AQ2:AQ10000, "moy. satisfaisant", Données!Y2:Y10000, "VISAS", Données!Z2:Z10000, "lundi")</f>
        <v>0</v>
      </c>
      <c r="AD40" s="26">
        <f>COUNTIFS(Données!AP2:AP10000, "pas du tout satisfaisant", Données!Y2:Y10000, "VISAS", Données!Z2:Z10000, "lundi")</f>
        <v>0</v>
      </c>
    </row>
    <row r="41" spans="2:30" ht="15.75" x14ac:dyDescent="0.25">
      <c r="B41" s="21" t="s">
        <v>81</v>
      </c>
      <c r="C41" s="26">
        <f>COUNTIFS(Données!S2:S10000, "très satisfaisant", Données!A2:A10000, "EC", Données!B2:B10000, "lundi")</f>
        <v>1</v>
      </c>
      <c r="D41" s="26">
        <f>COUNTIFS(Données!S2:S10000, "satisfaisant", Données!A2:A10000, "EC", Données!B2:B10000, "lundi")</f>
        <v>0</v>
      </c>
      <c r="E41" s="26">
        <f>COUNTIFS(Données!S2:S10000, "moy. satisfaisant", Données!A2:A10000, "EC", Données!B2:B10000, "lundi")</f>
        <v>1</v>
      </c>
      <c r="F41" s="26">
        <f>COUNTIFS(Données!S2:S10000, "pas du tout satisfaisant", Données!A2:A10000, "EC", Données!B2:B10000, "lundi")</f>
        <v>1</v>
      </c>
      <c r="J41" s="24" t="s">
        <v>81</v>
      </c>
      <c r="K41" s="26">
        <f>COUNTIFS(Données!AA2:AA10000, "très satisfaisant", Données!I2:I10000, "AFE", Données!J2:J10000, "lundi")</f>
        <v>0</v>
      </c>
      <c r="L41" s="26">
        <f>COUNTIFS(Données!AA2:AA10000, "satisfaisant", Données!I2:I10000, "AFE", Données!J2:J10000, "lundi")</f>
        <v>0</v>
      </c>
      <c r="M41" s="26">
        <f>COUNTIFS(Données!AA2:AA10000, "moy. satisfaisant", Données!I2:I10000, "AFE", Données!J2:J10000, "lundi")</f>
        <v>0</v>
      </c>
      <c r="N41" s="26">
        <f>COUNTIFS(Données!AA2:AA10000, "pas du tout satisfaisant", Données!I2:I10000, "AFE", Données!J2:J10000, "lundi")</f>
        <v>0</v>
      </c>
      <c r="R41" s="24" t="s">
        <v>81</v>
      </c>
      <c r="S41" s="26">
        <f>COUNTIFS(Données!AI2:AI10000, "très satisfaisant", Données!Q2:Q10000, "AS", Données!R2:R10000, "lundi")</f>
        <v>0</v>
      </c>
      <c r="T41" s="26">
        <f>COUNTIFS(Données!AI2:AI10000, "satisfaisant", Données!Q2:Q10000, "AS", Données!R2:R10000, "lundi")</f>
        <v>0</v>
      </c>
      <c r="U41" s="26">
        <f>COUNTIFS(Données!AI2:AI10000, "moy. satisfaisant", Données!Q2:Q10000, "AS", Données!R2:R10000, "lundi")</f>
        <v>0</v>
      </c>
      <c r="V41" s="26">
        <f>COUNTIFS(Données!AI2:AI10000, "pas du tout satisfaisant", Données!Q2:Q10000, "AS", Données!R2:R10000, "lundi")</f>
        <v>0</v>
      </c>
      <c r="Z41" s="24" t="s">
        <v>81</v>
      </c>
      <c r="AA41" s="26">
        <f>COUNTIFS(Données!AQ2:AQ10000, "très satisfaisant", Données!Y2:Y10000, "VISAS", Données!Z2:Z10000, "lundi")</f>
        <v>0</v>
      </c>
      <c r="AB41" s="26">
        <f>COUNTIFS(Données!AQ2:AQ10000, "satisfaisant", Données!Y2:Y10000, "VISAS", Données!Z2:Z10000, "lundi")</f>
        <v>0</v>
      </c>
      <c r="AC41" s="26">
        <f>COUNTIFS(Données!AQ2:AQ10000, "moy. satisfaisant", Données!Y2:Y10000, "VISAS", Données!Z2:Z10000, "lundi")</f>
        <v>0</v>
      </c>
      <c r="AD41" s="26">
        <f>COUNTIFS(Données!AQ2:AQ10000, "pas du tout satisfaisant", Données!Y2:Y10000, "VISAS", Données!Z2:Z10000, "lundi")</f>
        <v>0</v>
      </c>
    </row>
    <row r="42" spans="2:30" ht="15.75" x14ac:dyDescent="0.25">
      <c r="B42" s="21" t="s">
        <v>82</v>
      </c>
      <c r="C42" s="23">
        <f>COUNTIFS(Données!T2:T10000, "très satisfaisant", Données!A2:A10000, "EC", Données!B2:B10000, "lundi")</f>
        <v>1</v>
      </c>
      <c r="D42" s="26">
        <f>COUNTIFS(Données!T2:T10000, "satisfaisant", Données!A2:A10000, "EC", Données!B2:B10000, "lundi")</f>
        <v>0</v>
      </c>
      <c r="E42" s="26">
        <f>COUNTIFS(Données!T2:T10000, "moy. satisfaisant", Données!A2:A10000, "EC", Données!B2:B10000, "lundi")</f>
        <v>1</v>
      </c>
      <c r="F42" s="26">
        <f>COUNTIFS(Données!T2:T10000, "pas du tout satisfaisant", Données!A2:A10000, "EC", Données!B2:B10000, "lundi")</f>
        <v>1</v>
      </c>
      <c r="J42" s="24" t="s">
        <v>82</v>
      </c>
      <c r="K42" s="23">
        <f>COUNTIFS(Données!AB2:AB10000, "très satisfaisant", Données!I2:I10000, "AFE", Données!J2:J10000, "lundi")</f>
        <v>0</v>
      </c>
      <c r="L42" s="26">
        <f>COUNTIFS(Données!AB2:AB10000, "satisfaisant", Données!I2:I10000, "AFE", Données!J2:J10000, "lundi")</f>
        <v>0</v>
      </c>
      <c r="M42" s="26">
        <f>COUNTIFS(Données!AB2:AB10000, "moy. satisfaisant", Données!I2:I10000, "AFE", Données!J2:J10000, "lundi")</f>
        <v>0</v>
      </c>
      <c r="N42" s="26">
        <f>COUNTIFS(Données!AB2:AB10000, "pas du tout satisfaisant", Données!I2:I10000, "AFE", Données!J2:J10000, "lundi")</f>
        <v>0</v>
      </c>
      <c r="R42" s="24" t="s">
        <v>82</v>
      </c>
      <c r="S42" s="23">
        <f>COUNTIFS(Données!AJ2:AJ10000, "très satisfaisant", Données!Q2:Q10000, "AS", Données!R2:R10000, "lundi")</f>
        <v>0</v>
      </c>
      <c r="T42" s="26">
        <f>COUNTIFS(Données!AJ2:AJ10000, "satisfaisant", Données!Q2:Q10000, "AS", Données!R2:R10000, "lundi")</f>
        <v>0</v>
      </c>
      <c r="U42" s="26">
        <f>COUNTIFS(Données!AJ2:AJ10000, "moy. satisfaisant", Données!Q2:Q10000, "AS", Données!R2:R10000, "lundi")</f>
        <v>0</v>
      </c>
      <c r="V42" s="26">
        <f>COUNTIFS(Données!AJ2:AJ10000, "pas du tout satisfaisant", Données!Q2:Q10000, "AS", Données!R2:R10000, "lundi")</f>
        <v>0</v>
      </c>
      <c r="Z42" s="24" t="s">
        <v>82</v>
      </c>
      <c r="AA42" s="23">
        <f>COUNTIFS(Données!AR2:AR10000, "très satisfaisant", Données!Y2:Y10000, "VISAS", Données!Z2:Z10000, "lundi")</f>
        <v>0</v>
      </c>
      <c r="AB42" s="26">
        <f>COUNTIFS(Données!AR2:AR10000, "satisfaisant", Données!Y2:Y10000, "VISAS", Données!Z2:Z10000, "lundi")</f>
        <v>0</v>
      </c>
      <c r="AC42" s="26">
        <f>COUNTIFS(Données!AR2:AR10000, "moy. satisfaisant", Données!Y2:Y10000, "VISAS", Données!Z2:Z10000, "lundi")</f>
        <v>0</v>
      </c>
      <c r="AD42" s="26">
        <f>COUNTIFS(Données!AR2:AR10000, "pas du tout satisfaisant", Données!Y2:Y10000, "VISAS", Données!Z2:Z10000, "lundi")</f>
        <v>0</v>
      </c>
    </row>
    <row r="43" spans="2:30" ht="21" x14ac:dyDescent="0.25">
      <c r="B43" s="28" t="s">
        <v>84</v>
      </c>
      <c r="C43" s="30" t="s">
        <v>5</v>
      </c>
      <c r="D43" s="30" t="s">
        <v>6</v>
      </c>
      <c r="E43" s="26"/>
      <c r="F43" s="26"/>
      <c r="J43" s="28" t="s">
        <v>84</v>
      </c>
      <c r="K43" s="30" t="s">
        <v>5</v>
      </c>
      <c r="L43" s="30" t="s">
        <v>6</v>
      </c>
      <c r="M43" s="26"/>
      <c r="N43" s="26"/>
      <c r="R43" s="28" t="s">
        <v>84</v>
      </c>
      <c r="S43" s="30" t="s">
        <v>5</v>
      </c>
      <c r="T43" s="30" t="s">
        <v>6</v>
      </c>
      <c r="U43" s="26"/>
      <c r="V43" s="26"/>
      <c r="Z43" s="28" t="s">
        <v>84</v>
      </c>
      <c r="AA43" s="30" t="s">
        <v>5</v>
      </c>
      <c r="AB43" s="30" t="s">
        <v>6</v>
      </c>
    </row>
    <row r="44" spans="2:30" ht="15.75" x14ac:dyDescent="0.25">
      <c r="B44" s="33" t="s">
        <v>99</v>
      </c>
      <c r="C44" s="23">
        <f>COUNTIFS(Données!U2:U10000, "oui", Données!A2:A10000, "EC", Données!B2:B10000, "lundi")</f>
        <v>2</v>
      </c>
      <c r="D44" s="23">
        <f>COUNTIFS(Données!U2:U10000, "oui", Données!A2:A10000, "EC", Données!B2:B10000, "lundi")</f>
        <v>2</v>
      </c>
      <c r="E44" s="23"/>
      <c r="F44" s="23"/>
      <c r="J44" s="33" t="s">
        <v>99</v>
      </c>
      <c r="K44" s="23">
        <f>COUNTIFS(Données!AC2:AC10000, "oui", Données!I2:I10000, "AFE", Données!J2:J10000, "lundi")</f>
        <v>0</v>
      </c>
      <c r="L44" s="23">
        <f>COUNTIFS(Données!AC2:AC10000, "oui", Données!I2:I10000, "AFE", Données!J2:J10000, "lundi")</f>
        <v>0</v>
      </c>
      <c r="M44" s="23"/>
      <c r="N44" s="23"/>
      <c r="R44" s="33" t="s">
        <v>99</v>
      </c>
      <c r="S44" s="23">
        <f>COUNTIFS(Données!AK2:AK10000, "oui", Données!Q2:Q10000, "AS", Données!R2:R10000, "lundi")</f>
        <v>0</v>
      </c>
      <c r="T44" s="23">
        <f>COUNTIFS(Données!AK2:AK10000, "oui", Données!Q2:Q10000, "AS", Données!R2:R10000, "lundi")</f>
        <v>0</v>
      </c>
      <c r="U44" s="23"/>
      <c r="V44" s="23"/>
      <c r="Z44" s="33" t="s">
        <v>99</v>
      </c>
      <c r="AA44" s="23">
        <f>COUNTIFS(Données!AS2:AS10000, "oui", Données!Y2:Y10000, "VISAS", Données!Z2:Z10000, "lundi")</f>
        <v>0</v>
      </c>
      <c r="AB44" s="23">
        <f>COUNTIFS(Données!AS2:AS10000, "oui", Données!Y2:Y10000, "VISAS", Données!Z2:Z10000, "lundi")</f>
        <v>0</v>
      </c>
      <c r="AC44" s="31"/>
      <c r="AD44" s="31"/>
    </row>
    <row r="45" spans="2:30" ht="15" customHeight="1" x14ac:dyDescent="0.25">
      <c r="B45" s="43" t="s">
        <v>100</v>
      </c>
      <c r="C45" s="44" t="s">
        <v>37</v>
      </c>
      <c r="D45" s="44" t="s">
        <v>38</v>
      </c>
      <c r="E45" s="23"/>
      <c r="F45" s="23"/>
      <c r="J45" s="43" t="s">
        <v>100</v>
      </c>
      <c r="K45" s="44" t="s">
        <v>37</v>
      </c>
      <c r="L45" s="44" t="s">
        <v>38</v>
      </c>
      <c r="M45" s="23"/>
      <c r="N45" s="23"/>
      <c r="R45" s="43" t="s">
        <v>100</v>
      </c>
      <c r="S45" s="44" t="s">
        <v>37</v>
      </c>
      <c r="T45" s="44" t="s">
        <v>38</v>
      </c>
      <c r="U45" s="23"/>
      <c r="V45" s="23"/>
      <c r="Z45" s="43" t="s">
        <v>100</v>
      </c>
      <c r="AA45" s="44" t="s">
        <v>37</v>
      </c>
      <c r="AB45" s="44" t="s">
        <v>38</v>
      </c>
      <c r="AC45" s="31"/>
      <c r="AD45" s="31"/>
    </row>
    <row r="46" spans="2:30" ht="15" customHeight="1" x14ac:dyDescent="0.25">
      <c r="B46" s="43"/>
      <c r="C46" s="44"/>
      <c r="D46" s="44"/>
      <c r="E46" s="23"/>
      <c r="F46" s="23"/>
      <c r="J46" s="43"/>
      <c r="K46" s="44"/>
      <c r="L46" s="44"/>
      <c r="M46" s="23"/>
      <c r="N46" s="23"/>
      <c r="R46" s="43"/>
      <c r="S46" s="44"/>
      <c r="T46" s="44"/>
      <c r="U46" s="23"/>
      <c r="V46" s="23"/>
      <c r="Z46" s="43"/>
      <c r="AA46" s="44"/>
      <c r="AB46" s="44"/>
      <c r="AC46" s="31"/>
      <c r="AD46" s="31"/>
    </row>
    <row r="47" spans="2:30" ht="15" customHeight="1" x14ac:dyDescent="0.25">
      <c r="B47" s="43"/>
      <c r="C47" s="23">
        <f>COUNTIFS(Données!V2:V10000, "A l'heure", Données!A2:A10000, "EC", Données!B2:B10000, "lundi")</f>
        <v>2</v>
      </c>
      <c r="D47" s="23">
        <f>COUNTIFS(Données!V2:V10000, "En retard", Données!A2:A10000, "EC", Données!B2:B10000, "lundi")</f>
        <v>1</v>
      </c>
      <c r="E47" s="23"/>
      <c r="F47" s="23"/>
      <c r="J47" s="43"/>
      <c r="K47" s="23">
        <f>COUNTIFS(Données!AD2:AD10000, "A l'heure", Données!I2:I10000, "AFE", Données!J2:J10000, "lundi")</f>
        <v>0</v>
      </c>
      <c r="L47" s="23">
        <f>COUNTIFS(Données!AD2:AD10000, "En retard", Données!I2:I10000, "AFE", Données!J2:J10000, "lundi")</f>
        <v>0</v>
      </c>
      <c r="M47" s="23"/>
      <c r="N47" s="23"/>
      <c r="R47" s="43"/>
      <c r="S47" s="23">
        <f>COUNTIFS(Données!AL2:AL10000, "A l'heure", Données!Q2:Q10000, "AS", Données!R2:R10000, "lundi")</f>
        <v>0</v>
      </c>
      <c r="T47" s="23">
        <f>COUNTIFS(Données!AL2:AL10000, "En retard", Données!Q2:Q10000, "AS", Données!R2:R10000, "lundi")</f>
        <v>0</v>
      </c>
      <c r="U47" s="23"/>
      <c r="V47" s="23"/>
      <c r="Z47" s="43"/>
      <c r="AA47" s="23">
        <f>COUNTIFS(Données!AT2:AT10000, "A l'heure", Données!Y2:Y10000, "VISAS", Données!Z2:Z10000, "lundi")</f>
        <v>0</v>
      </c>
      <c r="AB47" s="23">
        <f>COUNTIFS(Données!AT2:AT10000, "En retard", Données!Y2:Y10000, "VISAS", Données!Z2:Z10000, "lundi")</f>
        <v>0</v>
      </c>
      <c r="AC47" s="31"/>
      <c r="AD47" s="31"/>
    </row>
    <row r="48" spans="2:30" ht="15" customHeight="1" x14ac:dyDescent="0.25">
      <c r="B48" s="45" t="s">
        <v>101</v>
      </c>
      <c r="C48" s="37" t="s">
        <v>40</v>
      </c>
      <c r="D48" s="38" t="s">
        <v>41</v>
      </c>
      <c r="E48" s="39" t="s">
        <v>42</v>
      </c>
      <c r="F48" s="46" t="s">
        <v>85</v>
      </c>
      <c r="J48" s="45" t="s">
        <v>101</v>
      </c>
      <c r="K48" s="37" t="s">
        <v>40</v>
      </c>
      <c r="L48" s="38" t="s">
        <v>41</v>
      </c>
      <c r="M48" s="39" t="s">
        <v>42</v>
      </c>
      <c r="N48" s="46" t="s">
        <v>85</v>
      </c>
      <c r="R48" s="45" t="s">
        <v>101</v>
      </c>
      <c r="S48" s="37" t="s">
        <v>40</v>
      </c>
      <c r="T48" s="38" t="s">
        <v>41</v>
      </c>
      <c r="U48" s="39" t="s">
        <v>42</v>
      </c>
      <c r="V48" s="46" t="s">
        <v>85</v>
      </c>
      <c r="Z48" s="45" t="s">
        <v>101</v>
      </c>
      <c r="AA48" s="37" t="s">
        <v>40</v>
      </c>
      <c r="AB48" s="38" t="s">
        <v>41</v>
      </c>
      <c r="AC48" s="39" t="s">
        <v>42</v>
      </c>
      <c r="AD48" s="46" t="s">
        <v>85</v>
      </c>
    </row>
    <row r="49" spans="2:30" ht="15" customHeight="1" x14ac:dyDescent="0.25">
      <c r="B49" s="45"/>
      <c r="C49" s="37"/>
      <c r="D49" s="38"/>
      <c r="E49" s="39"/>
      <c r="F49" s="46"/>
      <c r="J49" s="45"/>
      <c r="K49" s="37"/>
      <c r="L49" s="38"/>
      <c r="M49" s="39"/>
      <c r="N49" s="46"/>
      <c r="R49" s="45"/>
      <c r="S49" s="37"/>
      <c r="T49" s="38"/>
      <c r="U49" s="39"/>
      <c r="V49" s="46"/>
      <c r="Z49" s="45"/>
      <c r="AA49" s="37"/>
      <c r="AB49" s="38"/>
      <c r="AC49" s="39"/>
      <c r="AD49" s="46"/>
    </row>
    <row r="50" spans="2:30" ht="15" customHeight="1" x14ac:dyDescent="0.25">
      <c r="B50" s="45"/>
      <c r="C50" s="23">
        <f>COUNTIFS(Données!W2:W10000, "0-15", Données!A2:A10000, "EC", Données!B2:B10000, "lundi")</f>
        <v>0</v>
      </c>
      <c r="D50" s="23">
        <f>COUNTIFS(Données!W2:W10000, "15-30", Données!A2:A10000, "EC", Données!B2:B10000, "lundi")</f>
        <v>2</v>
      </c>
      <c r="E50" s="23">
        <f>COUNTIFS(Données!W2:W10000, "30-60", Données!A2:A10000, "EC", Données!B2:B10000, "lundi")</f>
        <v>1</v>
      </c>
      <c r="F50" s="23">
        <f>COUNTIFS(Données!W2:W10000, "plus 60", Données!A2:A10000, "EC", Données!B2:B10000, "lundi")</f>
        <v>0</v>
      </c>
      <c r="J50" s="45"/>
      <c r="K50" s="23">
        <f>COUNTIFS(Données!AE2:AE10000, "0-15", Données!I2:I10000, "AFE", Données!J2:J10000, "lundi")</f>
        <v>0</v>
      </c>
      <c r="L50" s="23">
        <f>COUNTIFS(Données!AE2:AE10000, "15-30", Données!I2:I10000, "AFE", Données!J2:J10000, "lundi")</f>
        <v>0</v>
      </c>
      <c r="M50" s="23">
        <f>COUNTIFS(Données!AE2:AE10000, "30-60", Données!I2:I10000, "AFE", Données!J2:J10000, "lundi")</f>
        <v>0</v>
      </c>
      <c r="N50" s="23">
        <f>COUNTIFS(Données!AE2:AE10000, "plus 60", Données!I2:I10000, "AFE", Données!J2:J10000, "lundi")</f>
        <v>0</v>
      </c>
      <c r="R50" s="45"/>
      <c r="S50" s="23">
        <f>COUNTIFS(Données!AM2:AM10000, "0-15", Données!Q2:Q10000, "AS", Données!R2:R10000, "lundi")</f>
        <v>0</v>
      </c>
      <c r="T50" s="23">
        <f>COUNTIFS(Données!AM2:AM10000, "15-30", Données!Q2:Q10000, "AS", Données!R2:R10000, "lundi")</f>
        <v>0</v>
      </c>
      <c r="U50" s="23">
        <f>COUNTIFS(Données!AM2:AM10000, "30-60", Données!Q2:Q10000, "AS", Données!R2:R10000, "lundi")</f>
        <v>0</v>
      </c>
      <c r="V50" s="23">
        <f>COUNTIFS(Données!AM2:AM10000, "plus 60", Données!Q2:Q10000, "AS", Données!R2:R10000, "lundi")</f>
        <v>0</v>
      </c>
      <c r="Z50" s="45"/>
      <c r="AA50" s="23">
        <f>COUNTIFS(Données!AU2:AU10000, "0-15", Données!Y2:Y10000, "VISAS", Données!Z2:Z10000, "lundi")</f>
        <v>0</v>
      </c>
      <c r="AB50" s="23">
        <f>COUNTIFS(Données!AU2:AU10000, "15-30", Données!Y2:Y10000, "VISAS", Données!Z2:Z10000, "lundi")</f>
        <v>0</v>
      </c>
      <c r="AC50" s="23">
        <f>COUNTIFS(Données!AU2:AU10000, "30-60", Données!Y2:Y10000, "VISAS", Données!Z2:Z10000, "lundi")</f>
        <v>0</v>
      </c>
      <c r="AD50" s="23">
        <f>COUNTIFS(Données!AU2:AU10000, "plus 60", Données!Y2:Y10000, "VISAS", Données!Z2:Z10000, "lundi")</f>
        <v>0</v>
      </c>
    </row>
    <row r="51" spans="2:30" ht="15" customHeight="1" x14ac:dyDescent="0.25">
      <c r="B51" s="41" t="s">
        <v>102</v>
      </c>
      <c r="C51" s="37" t="s">
        <v>40</v>
      </c>
      <c r="D51" s="38" t="s">
        <v>41</v>
      </c>
      <c r="E51" s="39" t="s">
        <v>42</v>
      </c>
      <c r="F51" s="40" t="s">
        <v>85</v>
      </c>
      <c r="J51" s="41" t="s">
        <v>102</v>
      </c>
      <c r="K51" s="37" t="s">
        <v>40</v>
      </c>
      <c r="L51" s="38" t="s">
        <v>41</v>
      </c>
      <c r="M51" s="39" t="s">
        <v>42</v>
      </c>
      <c r="N51" s="40" t="s">
        <v>85</v>
      </c>
      <c r="R51" s="41" t="s">
        <v>102</v>
      </c>
      <c r="S51" s="37" t="s">
        <v>40</v>
      </c>
      <c r="T51" s="38" t="s">
        <v>41</v>
      </c>
      <c r="U51" s="39" t="s">
        <v>42</v>
      </c>
      <c r="V51" s="40" t="s">
        <v>85</v>
      </c>
      <c r="Z51" s="41" t="s">
        <v>102</v>
      </c>
      <c r="AA51" s="37" t="s">
        <v>40</v>
      </c>
      <c r="AB51" s="38" t="s">
        <v>41</v>
      </c>
      <c r="AC51" s="39" t="s">
        <v>42</v>
      </c>
      <c r="AD51" s="40" t="s">
        <v>85</v>
      </c>
    </row>
    <row r="52" spans="2:30" ht="15" customHeight="1" x14ac:dyDescent="0.25">
      <c r="B52" s="41"/>
      <c r="C52" s="37"/>
      <c r="D52" s="38"/>
      <c r="E52" s="39"/>
      <c r="F52" s="40"/>
      <c r="J52" s="41"/>
      <c r="K52" s="37"/>
      <c r="L52" s="38"/>
      <c r="M52" s="39"/>
      <c r="N52" s="40"/>
      <c r="R52" s="41"/>
      <c r="S52" s="37"/>
      <c r="T52" s="38"/>
      <c r="U52" s="39"/>
      <c r="V52" s="40"/>
      <c r="Z52" s="41"/>
      <c r="AA52" s="37"/>
      <c r="AB52" s="38"/>
      <c r="AC52" s="39"/>
      <c r="AD52" s="40"/>
    </row>
    <row r="53" spans="2:30" ht="15" customHeight="1" x14ac:dyDescent="0.25">
      <c r="B53" s="42"/>
      <c r="C53" s="23">
        <f>COUNTIFS(Données!X2:X10000, "0-15", Données!A2:A10000, "EC", Données!B2:B10000, "lundi")</f>
        <v>1</v>
      </c>
      <c r="D53" s="23">
        <f>COUNTIFS(Données!X2:X10000, "15-30", Données!A2:A10000, "EC", Données!B2:B10000, "lundi")</f>
        <v>0</v>
      </c>
      <c r="E53" s="23">
        <f>COUNTIFS(Données!X2:X10000, "30-60", Données!A2:A10000, "EC", Données!B2:B10000, "lundi")</f>
        <v>0</v>
      </c>
      <c r="F53" s="23">
        <f>COUNTIFS(Données!X2:X10000, "plus 60", Données!A2:A10000, "EC", Données!B2:B10000, "lundi")</f>
        <v>0</v>
      </c>
      <c r="J53" s="42"/>
      <c r="K53" s="23">
        <f>COUNTIFS(Données!AF2:AF10000, "0-15", Données!I2:I10000, "AFE", Données!J2:J10000, "lundi")</f>
        <v>0</v>
      </c>
      <c r="L53" s="23">
        <f>COUNTIFS(Données!AF2:AF10000, "15-30", Données!I2:I10000, "AFE", Données!J2:J10000, "lundi")</f>
        <v>0</v>
      </c>
      <c r="M53" s="23">
        <f>COUNTIFS(Données!AF2:AF10000, "30-60", Données!I2:I10000, "AFE", Données!J2:J10000, "lundi")</f>
        <v>0</v>
      </c>
      <c r="N53" s="23">
        <f>COUNTIFS(Données!AF2:AF10000, "plus 60", Données!I2:I10000, "AFE", Données!J2:J10000, "lundi")</f>
        <v>0</v>
      </c>
      <c r="R53" s="42"/>
      <c r="S53" s="23">
        <f>COUNTIFS(Données!AN2:AN10000, "0-15", Données!Q2:Q10000, "AS", Données!R2:R10000, "lundi")</f>
        <v>0</v>
      </c>
      <c r="T53" s="23">
        <f>COUNTIFS(Données!AN2:AN10000, "15-30", Données!Q2:Q10000, "AS", Données!R2:R10000, "lundi")</f>
        <v>0</v>
      </c>
      <c r="U53" s="23">
        <f>COUNTIFS(Données!AN2:AN10000, "30-60", Données!Q2:Q10000, "AS", Données!R2:R10000, "lundi")</f>
        <v>0</v>
      </c>
      <c r="V53" s="23">
        <f>COUNTIFS(Données!AN2:AN10000, "plus 60", Données!Q2:Q10000, "AS", Données!R2:R10000, "lundi")</f>
        <v>0</v>
      </c>
      <c r="Z53" s="42"/>
      <c r="AA53" s="23">
        <f>COUNTIFS(Données!AV2:AV10000, "0-15", Données!Y2:Y10000, "VISAS", Données!Z2:Z10000, "lundi")</f>
        <v>0</v>
      </c>
      <c r="AB53" s="23">
        <f>COUNTIFS(Données!AV2:AV10000, "15-30", Données!Y2:Y10000, "VISAS", Données!Z2:Z10000, "lundi")</f>
        <v>0</v>
      </c>
      <c r="AC53" s="23">
        <f>COUNTIFS(Données!AV2:AV10000, "30-60", Données!Y2:Y10000, "VISAS", Données!Z2:Z10000, "lundi")</f>
        <v>0</v>
      </c>
      <c r="AD53" s="23">
        <f>COUNTIFS(Données!AV2:AV10000, "plus 60", Données!Y2:Y10000, "VISAS", Données!Z2:Z10000, "lundi")</f>
        <v>0</v>
      </c>
    </row>
    <row r="54" spans="2:30" ht="21" x14ac:dyDescent="0.25">
      <c r="B54" s="28" t="s">
        <v>86</v>
      </c>
      <c r="C54" s="22" t="s">
        <v>5</v>
      </c>
      <c r="D54" s="22" t="s">
        <v>6</v>
      </c>
      <c r="E54" s="23"/>
      <c r="F54" s="23"/>
      <c r="J54" s="28" t="s">
        <v>86</v>
      </c>
      <c r="K54" s="22" t="s">
        <v>5</v>
      </c>
      <c r="L54" s="22" t="s">
        <v>6</v>
      </c>
      <c r="M54" s="23"/>
      <c r="N54" s="23"/>
      <c r="R54" s="28" t="s">
        <v>86</v>
      </c>
      <c r="S54" s="22" t="s">
        <v>5</v>
      </c>
      <c r="T54" s="22" t="s">
        <v>6</v>
      </c>
      <c r="U54" s="23"/>
      <c r="V54" s="23"/>
      <c r="Z54" s="28" t="s">
        <v>86</v>
      </c>
      <c r="AA54" s="22" t="s">
        <v>5</v>
      </c>
      <c r="AB54" s="22" t="s">
        <v>6</v>
      </c>
      <c r="AC54" s="23"/>
      <c r="AD54" s="23"/>
    </row>
    <row r="55" spans="2:30" ht="15.75" x14ac:dyDescent="0.25">
      <c r="B55" s="35" t="s">
        <v>88</v>
      </c>
      <c r="C55" s="23">
        <f>COUNTIFS(Données!Z2:Z10000, "oui", Données!A2:A10000, "EC", Données!B2:B10000, "lundi")</f>
        <v>2</v>
      </c>
      <c r="D55" s="23">
        <f>COUNTIFS(Données!Z2:Z10000, "non", Données!A2:A10000, "EC", Données!B2:B10000, "lundi")</f>
        <v>1</v>
      </c>
      <c r="E55" s="23"/>
      <c r="F55" s="23"/>
      <c r="J55" s="35" t="s">
        <v>88</v>
      </c>
      <c r="K55" s="23">
        <f>COUNTIFS(Données!AH2:AH10000, "oui", Données!I2:I10000, "AFE", Données!J2:J10000, "lundi")</f>
        <v>0</v>
      </c>
      <c r="L55" s="23">
        <f>COUNTIFS(Données!AH2:AH10000, "non", Données!I2:I10000, "AFE", Données!J2:J10000, "lundi")</f>
        <v>0</v>
      </c>
      <c r="M55" s="23"/>
      <c r="N55" s="23"/>
      <c r="R55" s="35" t="s">
        <v>88</v>
      </c>
      <c r="S55" s="23">
        <f>COUNTIFS(Données!AP2:AP10000, "oui", Données!Q2:Q10000, "AS", Données!R2:R10000, "lundi")</f>
        <v>0</v>
      </c>
      <c r="T55" s="23">
        <f>COUNTIFS(Données!AP2:AP10000, "non", Données!Q2:Q10000, "AS", Données!R2:R10000, "lundi")</f>
        <v>0</v>
      </c>
      <c r="U55" s="23"/>
      <c r="V55" s="23"/>
      <c r="Z55" s="35" t="s">
        <v>88</v>
      </c>
      <c r="AA55" s="23">
        <f>COUNTIFS(Données!AX2:AX10000, "oui", Données!Y2:Y10000, "VISAS", Données!Z2:Z10000, "lundi")</f>
        <v>0</v>
      </c>
      <c r="AB55" s="23">
        <f>COUNTIFS(Données!AX2:AX10000, "non", Données!Y2:Y10000, "VISAS", Données!Z2:Z10000, "lundi")</f>
        <v>0</v>
      </c>
      <c r="AC55" s="23"/>
      <c r="AD55" s="23"/>
    </row>
    <row r="56" spans="2:30" ht="15.75" x14ac:dyDescent="0.25">
      <c r="B56" s="34" t="s">
        <v>89</v>
      </c>
      <c r="C56" s="23">
        <f>COUNTIFS(Données!AA2:AA10000, "oui", Données!A2:A10000, "EC", Données!B2:B10000, "lundi")</f>
        <v>2</v>
      </c>
      <c r="D56" s="23">
        <f>COUNTIFS(Données!AA2:AA10000, "non", Données!A2:A10000, "EC", Données!B2:B10000, "lundi")</f>
        <v>1</v>
      </c>
      <c r="E56" s="23"/>
      <c r="F56" s="23"/>
      <c r="J56" s="34" t="s">
        <v>89</v>
      </c>
      <c r="K56" s="23">
        <f>COUNTIFS(Données!AI2:AI10000, "oui", Données!I2:I10000, "AFE", Données!J2:J10000, "lundi")</f>
        <v>0</v>
      </c>
      <c r="L56" s="23">
        <f>COUNTIFS(Données!AI2:AI10000, "non", Données!I2:I10000, "AFE", Données!J2:J10000, "lundi")</f>
        <v>0</v>
      </c>
      <c r="M56" s="23"/>
      <c r="N56" s="23"/>
      <c r="R56" s="34" t="s">
        <v>89</v>
      </c>
      <c r="S56" s="23">
        <f>COUNTIFS(Données!AQ2:AQ10000, "oui", Données!Q2:Q10000, "AS", Données!R2:R10000, "lundi")</f>
        <v>0</v>
      </c>
      <c r="T56" s="23">
        <f>COUNTIFS(Données!AQ2:AQ10000, "non", Données!Q2:Q10000, "AS", Données!R2:R10000, "lundi")</f>
        <v>0</v>
      </c>
      <c r="U56" s="23"/>
      <c r="V56" s="23"/>
      <c r="Z56" s="34" t="s">
        <v>89</v>
      </c>
      <c r="AA56" s="23">
        <f>COUNTIFS(Données!AY2:AY10000, "oui", Données!Y2:Y10000, "VISAS", Données!Z2:Z10000, "lundi")</f>
        <v>0</v>
      </c>
      <c r="AB56" s="23">
        <f>COUNTIFS(Données!AY2:AY10000, "non", Données!Y2:Y10000, "VISAS", Données!Z2:Z10000, "lundi")</f>
        <v>0</v>
      </c>
      <c r="AC56" s="23"/>
      <c r="AD56" s="23"/>
    </row>
    <row r="57" spans="2:30" ht="15.75" customHeight="1" x14ac:dyDescent="0.25">
      <c r="B57" s="21" t="s">
        <v>90</v>
      </c>
      <c r="C57" s="23">
        <f>COUNTIFS(Données!AB2:AB10000, "oui", Données!A2:A10000, "EC", Données!B2:B10000, "lundi")</f>
        <v>1</v>
      </c>
      <c r="D57" s="23">
        <f>COUNTIFS(Données!AB2:AB10000, "non", Données!A2:A10000, "EC", Données!B2:B10000, "lundi")</f>
        <v>2</v>
      </c>
      <c r="E57" s="23"/>
      <c r="F57" s="23"/>
      <c r="J57" s="24" t="s">
        <v>90</v>
      </c>
      <c r="K57" s="23">
        <f>COUNTIFS(Données!AJ2:AJ10000, "oui", Données!I2:I10000, "AFE", Données!J2:J10000, "lundi")</f>
        <v>0</v>
      </c>
      <c r="L57" s="23">
        <f>COUNTIFS(Données!AJ2:AJ10000, "non", Données!I2:I10000, "AFE", Données!J2:J10000, "lundi")</f>
        <v>0</v>
      </c>
      <c r="M57" s="23"/>
      <c r="N57" s="23"/>
      <c r="R57" s="24" t="s">
        <v>90</v>
      </c>
      <c r="S57" s="23">
        <f>COUNTIFS(Données!AR2:AR10000, "oui", Données!Q2:Q10000, "AS", Données!R2:R10000, "lundi")</f>
        <v>0</v>
      </c>
      <c r="T57" s="23">
        <f>COUNTIFS(Données!AR2:AR10000, "non", Données!Q2:Q10000, "AS", Données!R2:R10000, "lundi")</f>
        <v>0</v>
      </c>
      <c r="U57" s="23"/>
      <c r="V57" s="23"/>
      <c r="Z57" s="24" t="s">
        <v>90</v>
      </c>
      <c r="AA57" s="23">
        <f>COUNTIFS(Données!AZ2:AZ10000, "oui", Données!Y2:Y10000, "VISAS", Données!Z2:Z10000, "lundi")</f>
        <v>0</v>
      </c>
      <c r="AB57" s="23">
        <f>COUNTIFS(Données!AZ2:AZ10000, "non", Données!Y2:Y10000, "VISAS", Données!Z2:Z10000, "lundi")</f>
        <v>0</v>
      </c>
      <c r="AC57" s="23"/>
      <c r="AD57" s="23"/>
    </row>
    <row r="58" spans="2:30" ht="15" customHeight="1" x14ac:dyDescent="0.25">
      <c r="B58" s="36" t="s">
        <v>91</v>
      </c>
      <c r="C58" s="37" t="s">
        <v>79</v>
      </c>
      <c r="D58" s="38" t="s">
        <v>34</v>
      </c>
      <c r="E58" s="39" t="s">
        <v>83</v>
      </c>
      <c r="F58" s="40" t="s">
        <v>35</v>
      </c>
      <c r="G58" s="26"/>
      <c r="H58" s="26"/>
      <c r="I58" s="26"/>
      <c r="J58" s="36" t="s">
        <v>91</v>
      </c>
      <c r="K58" s="37" t="s">
        <v>79</v>
      </c>
      <c r="L58" s="38" t="s">
        <v>34</v>
      </c>
      <c r="M58" s="39" t="s">
        <v>83</v>
      </c>
      <c r="N58" s="40" t="s">
        <v>35</v>
      </c>
      <c r="O58" s="26"/>
      <c r="P58" s="26"/>
      <c r="Q58" s="26"/>
      <c r="R58" s="36" t="s">
        <v>91</v>
      </c>
      <c r="S58" s="37" t="s">
        <v>79</v>
      </c>
      <c r="T58" s="38" t="s">
        <v>34</v>
      </c>
      <c r="U58" s="39" t="s">
        <v>83</v>
      </c>
      <c r="V58" s="40" t="s">
        <v>35</v>
      </c>
      <c r="Y58" s="26"/>
      <c r="Z58" s="36" t="s">
        <v>91</v>
      </c>
      <c r="AA58" s="37" t="s">
        <v>79</v>
      </c>
      <c r="AB58" s="38" t="s">
        <v>34</v>
      </c>
      <c r="AC58" s="39" t="s">
        <v>83</v>
      </c>
      <c r="AD58" s="40" t="s">
        <v>35</v>
      </c>
    </row>
    <row r="59" spans="2:30" ht="15" customHeight="1" x14ac:dyDescent="0.25">
      <c r="B59" s="36"/>
      <c r="C59" s="37"/>
      <c r="D59" s="38"/>
      <c r="E59" s="39"/>
      <c r="F59" s="40"/>
      <c r="G59" s="26"/>
      <c r="H59" s="26"/>
      <c r="I59" s="26"/>
      <c r="J59" s="36"/>
      <c r="K59" s="37"/>
      <c r="L59" s="38"/>
      <c r="M59" s="39"/>
      <c r="N59" s="40"/>
      <c r="O59" s="26"/>
      <c r="P59" s="26"/>
      <c r="Q59" s="26"/>
      <c r="R59" s="36"/>
      <c r="S59" s="37"/>
      <c r="T59" s="38"/>
      <c r="U59" s="39"/>
      <c r="V59" s="40"/>
      <c r="Y59" s="26"/>
      <c r="Z59" s="36"/>
      <c r="AA59" s="37"/>
      <c r="AB59" s="38"/>
      <c r="AC59" s="39"/>
      <c r="AD59" s="40"/>
    </row>
    <row r="60" spans="2:30" ht="15" customHeight="1" x14ac:dyDescent="0.25">
      <c r="B60" s="36"/>
      <c r="C60" s="26">
        <f>COUNTIFS(Données!AC2:AC10000, "très satisfaisant", Données!A2:A10000, "EC", Données!B2:B10000, "lundi")</f>
        <v>1</v>
      </c>
      <c r="D60" s="26">
        <f>COUNTIFS(Données!AC2:AC10000, "satisfaisant", Données!A2:A10000, "EC", Données!B2:B10000, "lundi")</f>
        <v>0</v>
      </c>
      <c r="E60" s="26">
        <f>COUNTIFS(Données!AC2:AC10000, "moy. satisfaisant", Données!A2:A10000, "EC", Données!B2:B10000, "lundi")</f>
        <v>1</v>
      </c>
      <c r="F60" s="26">
        <f>COUNTIFS(Données!AC2:AC10000, "pas du tout satisfaisant", Données!A2:A10000, "EC", Données!B2:B10000, "lundi")</f>
        <v>1</v>
      </c>
      <c r="G60" s="26"/>
      <c r="H60" s="26"/>
      <c r="I60" s="26"/>
      <c r="J60" s="36"/>
      <c r="K60" s="26">
        <f>COUNTIFS(Données!AK2:AK10000, "très satisfaisant", Données!I2:I10000, "AFE", Données!J2:J10000, "lundi")</f>
        <v>0</v>
      </c>
      <c r="L60" s="26">
        <f>COUNTIFS(Données!AK2:AK10000, "satisfaisant", Données!I2:I10000, "AFE", Données!J2:J10000, "lundi")</f>
        <v>0</v>
      </c>
      <c r="M60" s="26">
        <f>COUNTIFS(Données!AK2:AK10000, "moy. satisfaisant", Données!I2:I10000, "AFE", Données!J2:J10000, "lundi")</f>
        <v>0</v>
      </c>
      <c r="N60" s="26">
        <f>COUNTIFS(Données!AK2:AK10000, "pas du tout satisfaisant", Données!I2:I10000, "AFE", Données!J2:J10000, "lundi")</f>
        <v>0</v>
      </c>
      <c r="O60" s="26"/>
      <c r="P60" s="26"/>
      <c r="Q60" s="26"/>
      <c r="R60" s="36"/>
      <c r="S60" s="26">
        <f>COUNTIFS(Données!AS2:AS10000, "très satisfaisant", Données!Q2:Q10000, "AS", Données!R2:R10000, "lundi")</f>
        <v>0</v>
      </c>
      <c r="T60" s="26">
        <f>COUNTIFS(Données!AS2:AS10000, "satisfaisant", Données!Q2:Q10000, "AS", Données!R2:R10000, "lundi")</f>
        <v>0</v>
      </c>
      <c r="U60" s="26">
        <f>COUNTIFS(Données!AS2:AS10000, "moy. satisfaisant", Données!Q2:Q10000, "AS", Données!R2:R10000, "lundi")</f>
        <v>0</v>
      </c>
      <c r="V60" s="26">
        <f>COUNTIFS(Données!AS2:AS10000, "pas du tout satisfaisant", Données!Q2:Q10000, "AS", Données!R2:R10000, "lundi")</f>
        <v>0</v>
      </c>
      <c r="Y60" s="26"/>
      <c r="Z60" s="36"/>
      <c r="AA60" s="26">
        <f>COUNTIFS(Données!BA2:BA10000, "très satisfaisant", Données!Y2:Y10000, "VISAS", Données!Z2:Z10000, "lundi")</f>
        <v>0</v>
      </c>
      <c r="AB60" s="26">
        <f>COUNTIFS(Données!BA2:BA10000, "satisfaisant", Données!Y2:Y10000, "VISAS", Données!Z2:Z10000, "lundi")</f>
        <v>0</v>
      </c>
      <c r="AC60" s="26">
        <f>COUNTIFS(Données!BA2:BA10000, "moy. satisfaisant", Données!Y2:Y10000, "VISAS", Données!Z2:Z10000, "lundi")</f>
        <v>0</v>
      </c>
      <c r="AD60" s="26">
        <f>COUNTIFS(Données!BA2:BA10000, "pas du tout satisfaisant", Données!Y2:Y10000, "VISAS", Données!Z2:Z10000, "lundi")</f>
        <v>0</v>
      </c>
    </row>
    <row r="61" spans="2:30" ht="15" customHeight="1" x14ac:dyDescent="0.25"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Y61" s="26"/>
      <c r="Z61" s="26"/>
      <c r="AA61" s="26"/>
      <c r="AB61" s="26"/>
      <c r="AC61" s="26"/>
      <c r="AD61" s="26"/>
    </row>
    <row r="62" spans="2:30" ht="15" customHeight="1" x14ac:dyDescent="0.25">
      <c r="C62" s="26"/>
      <c r="D62" s="26"/>
      <c r="E62" s="26"/>
      <c r="F62" s="26"/>
      <c r="K62" s="26"/>
      <c r="L62" s="26"/>
      <c r="M62" s="26"/>
      <c r="N62" s="26"/>
      <c r="S62" s="26"/>
      <c r="T62" s="26"/>
      <c r="U62" s="26"/>
      <c r="V62" s="26"/>
    </row>
    <row r="63" spans="2:30" ht="15" customHeight="1" x14ac:dyDescent="0.25">
      <c r="C63" s="26"/>
      <c r="D63" s="26"/>
      <c r="E63" s="26"/>
      <c r="F63" s="26"/>
      <c r="K63" s="26"/>
      <c r="L63" s="26"/>
      <c r="M63" s="26"/>
      <c r="N63" s="26"/>
      <c r="S63" s="26"/>
      <c r="T63" s="26"/>
      <c r="U63" s="26"/>
      <c r="V63" s="26"/>
    </row>
    <row r="64" spans="2:30" x14ac:dyDescent="0.25">
      <c r="C64" s="26"/>
      <c r="D64" s="26"/>
      <c r="E64" s="26"/>
      <c r="F64" s="26"/>
      <c r="K64" s="26"/>
      <c r="L64" s="26"/>
      <c r="M64" s="26"/>
      <c r="N64" s="26"/>
      <c r="S64" s="26"/>
      <c r="T64" s="26"/>
      <c r="U64" s="26"/>
      <c r="V64" s="26"/>
    </row>
    <row r="65" spans="1:30" ht="15" customHeight="1" x14ac:dyDescent="0.25">
      <c r="A65" s="57" t="s">
        <v>103</v>
      </c>
      <c r="B65" s="55" t="s">
        <v>51</v>
      </c>
      <c r="C65" s="55" t="s">
        <v>87</v>
      </c>
      <c r="D65" s="55"/>
      <c r="E65" s="55"/>
      <c r="F65" s="55"/>
      <c r="I65" s="59" t="s">
        <v>103</v>
      </c>
      <c r="J65" s="55" t="s">
        <v>0</v>
      </c>
      <c r="K65" s="55" t="s">
        <v>87</v>
      </c>
      <c r="L65" s="55"/>
      <c r="M65" s="55"/>
      <c r="N65" s="55"/>
      <c r="Q65" s="59" t="s">
        <v>103</v>
      </c>
      <c r="R65" s="55" t="s">
        <v>2</v>
      </c>
      <c r="S65" s="55" t="s">
        <v>87</v>
      </c>
      <c r="T65" s="55"/>
      <c r="U65" s="55"/>
      <c r="V65" s="55"/>
      <c r="Y65" s="59" t="s">
        <v>103</v>
      </c>
      <c r="Z65" s="55" t="s">
        <v>3</v>
      </c>
      <c r="AA65" s="55" t="s">
        <v>87</v>
      </c>
      <c r="AB65" s="55"/>
      <c r="AC65" s="55"/>
      <c r="AD65" s="55"/>
    </row>
    <row r="66" spans="1:30" ht="15" customHeight="1" x14ac:dyDescent="0.25">
      <c r="A66" s="57"/>
      <c r="B66" s="55"/>
      <c r="C66" s="55"/>
      <c r="D66" s="55"/>
      <c r="E66" s="55"/>
      <c r="F66" s="55"/>
      <c r="I66" s="59"/>
      <c r="J66" s="55"/>
      <c r="K66" s="55"/>
      <c r="L66" s="55"/>
      <c r="M66" s="55"/>
      <c r="N66" s="55"/>
      <c r="Q66" s="59"/>
      <c r="R66" s="55"/>
      <c r="S66" s="55"/>
      <c r="T66" s="55"/>
      <c r="U66" s="55"/>
      <c r="V66" s="55"/>
      <c r="Y66" s="59"/>
      <c r="Z66" s="55"/>
      <c r="AA66" s="55"/>
      <c r="AB66" s="55"/>
      <c r="AC66" s="55"/>
      <c r="AD66" s="55"/>
    </row>
    <row r="67" spans="1:30" ht="15" customHeight="1" x14ac:dyDescent="0.25">
      <c r="B67" s="28" t="s">
        <v>53</v>
      </c>
      <c r="C67" s="22" t="s">
        <v>5</v>
      </c>
      <c r="D67" s="22" t="s">
        <v>6</v>
      </c>
      <c r="E67" s="26"/>
      <c r="F67" s="26"/>
      <c r="J67" s="28" t="s">
        <v>53</v>
      </c>
      <c r="K67" s="22" t="s">
        <v>5</v>
      </c>
      <c r="L67" s="22" t="s">
        <v>6</v>
      </c>
      <c r="M67" s="26"/>
      <c r="N67" s="26"/>
      <c r="R67" s="28" t="s">
        <v>53</v>
      </c>
      <c r="S67" s="22" t="s">
        <v>5</v>
      </c>
      <c r="T67" s="22" t="s">
        <v>6</v>
      </c>
      <c r="U67" s="26"/>
      <c r="V67" s="26"/>
      <c r="Z67" s="28" t="s">
        <v>53</v>
      </c>
      <c r="AA67" s="22" t="s">
        <v>5</v>
      </c>
      <c r="AB67" s="22" t="s">
        <v>6</v>
      </c>
    </row>
    <row r="68" spans="1:30" ht="15" customHeight="1" x14ac:dyDescent="0.25">
      <c r="B68" s="56" t="s">
        <v>52</v>
      </c>
      <c r="C68" s="48">
        <f>COUNTIFS(Données!C64:C10062, "oui", Données!A64:A10062, "EC", Données!B64:B10062, "lundi")</f>
        <v>0</v>
      </c>
      <c r="D68" s="48">
        <f>COUNTIFS(Données!C64:C10062, "non", Données!A64:A10062, "EC", Données!B64:B10062, "mardi")</f>
        <v>0</v>
      </c>
      <c r="E68" s="26"/>
      <c r="F68" s="26"/>
      <c r="J68" s="56" t="s">
        <v>52</v>
      </c>
      <c r="K68" s="48">
        <f>COUNTIFS(Données!K64:K10062, "oui", Données!I64:I10062, "AFE", Données!J64:J10062, "mardi")</f>
        <v>0</v>
      </c>
      <c r="L68" s="48">
        <f>COUNTIFS(Données!K64:K10062, "non", Données!I64:I10062, "AFE", Données!J64:J10062, "mardi")</f>
        <v>0</v>
      </c>
      <c r="M68" s="26"/>
      <c r="N68" s="26"/>
      <c r="R68" s="56" t="s">
        <v>52</v>
      </c>
      <c r="S68" s="48">
        <f>COUNTIFS(Données!S64:S10062, "oui", Données!Q64:Q10062, "AS", Données!R64:R10062, "mardi")</f>
        <v>0</v>
      </c>
      <c r="T68" s="48">
        <f>COUNTIFS(Données!S64:S10062, "non", Données!Q64:Q10062, "AS", Données!R64:R10062, "mardi")</f>
        <v>0</v>
      </c>
      <c r="U68" s="26"/>
      <c r="V68" s="26"/>
      <c r="Z68" s="56" t="s">
        <v>52</v>
      </c>
      <c r="AA68" s="48">
        <f>COUNTIFS(Données!AA64:AA10062, "oui", Données!Y64:Y10062, "VISAS", Données!Z64:Z10062, "mardi")</f>
        <v>0</v>
      </c>
      <c r="AB68" s="48">
        <f>COUNTIFS(Données!AA64:AA10062, "non", Données!Y64:Y10062, "VISAS", Données!Z64:Z10062, "mardi")</f>
        <v>0</v>
      </c>
      <c r="AC68" s="26"/>
      <c r="AD68" s="26"/>
    </row>
    <row r="69" spans="1:30" ht="15" customHeight="1" x14ac:dyDescent="0.25">
      <c r="B69" s="56"/>
      <c r="C69" s="48"/>
      <c r="D69" s="48"/>
      <c r="E69" s="26"/>
      <c r="F69" s="26"/>
      <c r="J69" s="56"/>
      <c r="K69" s="48"/>
      <c r="L69" s="48"/>
      <c r="M69" s="26"/>
      <c r="N69" s="26"/>
      <c r="R69" s="56"/>
      <c r="S69" s="48"/>
      <c r="T69" s="48"/>
      <c r="U69" s="26"/>
      <c r="V69" s="26"/>
      <c r="Z69" s="56"/>
      <c r="AA69" s="48"/>
      <c r="AB69" s="48"/>
      <c r="AC69" s="26"/>
      <c r="AD69" s="26"/>
    </row>
    <row r="70" spans="1:30" ht="15" customHeight="1" x14ac:dyDescent="0.25">
      <c r="B70" s="45" t="s">
        <v>60</v>
      </c>
      <c r="C70" s="48">
        <f>COUNTIFS(Données!D64:D10062, "oui", Données!A64:A10062, "EC", Données!B64:B10062, "mardi")</f>
        <v>0</v>
      </c>
      <c r="D70" s="48">
        <f>COUNTIFS(Données!D64:D10062, "non", Données!A64:A10062, "EC", Données!B64:B10062, "mardi")</f>
        <v>0</v>
      </c>
      <c r="E70" s="26"/>
      <c r="F70" s="26"/>
      <c r="J70" s="45" t="s">
        <v>60</v>
      </c>
      <c r="K70" s="48">
        <f>COUNTIFS(Données!L64:L10062, "oui", Données!I64:I10062, "AFE", Données!J64:J10062, "mardi")</f>
        <v>0</v>
      </c>
      <c r="L70" s="48">
        <f>COUNTIFS(Données!L64:L10062, "non", Données!I64:I10062, "AFE", Données!J64:J10062, "mardi")</f>
        <v>0</v>
      </c>
      <c r="M70" s="26"/>
      <c r="N70" s="26"/>
      <c r="R70" s="45" t="s">
        <v>60</v>
      </c>
      <c r="S70" s="48">
        <f>COUNTIFS(Données!T64:T10062, "oui", Données!Q64:Q10062, "AS", Données!R64:R10062, "mardi")</f>
        <v>0</v>
      </c>
      <c r="T70" s="48">
        <f>COUNTIFS(Données!T64:T10062, "non", Données!Q64:Q10062, "AS", Données!R64:R10062, "mardi")</f>
        <v>0</v>
      </c>
      <c r="U70" s="26"/>
      <c r="V70" s="26"/>
      <c r="Z70" s="45" t="s">
        <v>60</v>
      </c>
      <c r="AA70" s="48">
        <f>COUNTIFS(Données!AB64:AB10062, "oui", Données!Y64:Y10062, "VISAS", Données!Z64:Z10062, "mardi")</f>
        <v>0</v>
      </c>
      <c r="AB70" s="48">
        <f>COUNTIFS(Données!AB64:AB10062, "non", Données!Y64:Y10062, "VISAS", Données!Z64:Z10062, "mardi")</f>
        <v>0</v>
      </c>
      <c r="AC70" s="26"/>
      <c r="AD70" s="26"/>
    </row>
    <row r="71" spans="1:30" ht="15" customHeight="1" x14ac:dyDescent="0.25">
      <c r="B71" s="45"/>
      <c r="C71" s="48"/>
      <c r="D71" s="48"/>
      <c r="E71" s="26"/>
      <c r="F71" s="26"/>
      <c r="J71" s="45"/>
      <c r="K71" s="48"/>
      <c r="L71" s="48"/>
      <c r="M71" s="26"/>
      <c r="N71" s="26"/>
      <c r="R71" s="45"/>
      <c r="S71" s="48"/>
      <c r="T71" s="48"/>
      <c r="U71" s="26"/>
      <c r="V71" s="26"/>
      <c r="Z71" s="45"/>
      <c r="AA71" s="48"/>
      <c r="AB71" s="48"/>
      <c r="AC71" s="26"/>
      <c r="AD71" s="26"/>
    </row>
    <row r="72" spans="1:30" ht="15" customHeight="1" x14ac:dyDescent="0.25">
      <c r="B72" s="41" t="s">
        <v>74</v>
      </c>
      <c r="C72" s="48">
        <f>COUNTIFS(Données!E64:E10062, "oui", Données!A64:A10062, "EC", Données!B64:B10062, "mardi")</f>
        <v>0</v>
      </c>
      <c r="D72" s="48">
        <f>COUNTIFS(Données!E64:E10062, "non", Données!A64:A10062, "EC", Données!B64:B10062, "mardi")</f>
        <v>0</v>
      </c>
      <c r="E72" s="26"/>
      <c r="F72" s="26"/>
      <c r="J72" s="41" t="s">
        <v>74</v>
      </c>
      <c r="K72" s="48">
        <f>COUNTIFS(Données!M64:M10062, "oui", Données!I64:I10062, "AFE", Données!J64:J10062, "mardi")</f>
        <v>0</v>
      </c>
      <c r="L72" s="48">
        <f>COUNTIFS(Données!M64:M10062, "non", Données!I64:I10062, "AFE", Données!J64:J10062, "mardi")</f>
        <v>0</v>
      </c>
      <c r="M72" s="26"/>
      <c r="N72" s="26"/>
      <c r="R72" s="41" t="s">
        <v>74</v>
      </c>
      <c r="S72" s="48">
        <f>COUNTIFS(Données!U64:U10062, "oui", Données!Q64:Q10062, "AS", Données!R64:R10062, "mardi")</f>
        <v>0</v>
      </c>
      <c r="T72" s="48">
        <f>COUNTIFS(Données!U64:U10062, "non", Données!Q64:Q10062, "AS", Données!R64:R10062, "mardi")</f>
        <v>0</v>
      </c>
      <c r="U72" s="26"/>
      <c r="V72" s="26"/>
      <c r="Z72" s="41" t="s">
        <v>74</v>
      </c>
      <c r="AA72" s="48">
        <f>COUNTIFS(Données!AC64:AC10062, "oui", Données!Y64:Y10062, "VISAS", Données!Z64:Z10062, "mardi")</f>
        <v>0</v>
      </c>
      <c r="AB72" s="48">
        <f>COUNTIFS(Données!AC64:AC10062, "non", Données!Y64:Y10062, "VISAS", Données!Z64:Z10062, "mardi")</f>
        <v>0</v>
      </c>
      <c r="AC72" s="26"/>
      <c r="AD72" s="26"/>
    </row>
    <row r="73" spans="1:30" ht="15" customHeight="1" x14ac:dyDescent="0.25">
      <c r="B73" s="41"/>
      <c r="C73" s="48"/>
      <c r="D73" s="48"/>
      <c r="E73" s="26"/>
      <c r="F73" s="26"/>
      <c r="J73" s="41"/>
      <c r="K73" s="48"/>
      <c r="L73" s="48"/>
      <c r="M73" s="26"/>
      <c r="N73" s="26"/>
      <c r="R73" s="41"/>
      <c r="S73" s="48"/>
      <c r="T73" s="48"/>
      <c r="U73" s="26"/>
      <c r="V73" s="26"/>
      <c r="Z73" s="41"/>
      <c r="AA73" s="48"/>
      <c r="AB73" s="48"/>
      <c r="AC73" s="26"/>
      <c r="AD73" s="26"/>
    </row>
    <row r="74" spans="1:30" ht="21" x14ac:dyDescent="0.35">
      <c r="B74" s="29" t="s">
        <v>54</v>
      </c>
      <c r="C74" s="22" t="s">
        <v>5</v>
      </c>
      <c r="D74" s="22" t="s">
        <v>6</v>
      </c>
      <c r="E74" s="26"/>
      <c r="F74" s="26"/>
      <c r="J74" s="29" t="s">
        <v>54</v>
      </c>
      <c r="K74" s="22" t="s">
        <v>5</v>
      </c>
      <c r="L74" s="22" t="s">
        <v>6</v>
      </c>
      <c r="M74" s="26"/>
      <c r="N74" s="26"/>
      <c r="R74" s="29" t="s">
        <v>54</v>
      </c>
      <c r="S74" s="22" t="s">
        <v>5</v>
      </c>
      <c r="T74" s="22" t="s">
        <v>6</v>
      </c>
      <c r="U74" s="26"/>
      <c r="V74" s="26"/>
      <c r="Z74" s="29" t="s">
        <v>54</v>
      </c>
      <c r="AA74" s="22" t="s">
        <v>5</v>
      </c>
      <c r="AB74" s="22" t="s">
        <v>6</v>
      </c>
      <c r="AC74" s="26"/>
      <c r="AD74" s="26"/>
    </row>
    <row r="75" spans="1:30" ht="15" customHeight="1" x14ac:dyDescent="0.25">
      <c r="B75" s="51" t="s">
        <v>64</v>
      </c>
      <c r="C75" s="47">
        <f>COUNTIFS(Données!F64:F10062, "oui", Données!A64:A10062, "EC", Données!B64:B10062, "mardi")</f>
        <v>0</v>
      </c>
      <c r="D75" s="47">
        <f>COUNTIFS(Données!F64:F10062, "non", Données!A64:A10062, "EC", Données!B64:B10062, "mardi")</f>
        <v>0</v>
      </c>
      <c r="E75" s="26"/>
      <c r="F75" s="26"/>
      <c r="J75" s="51" t="s">
        <v>64</v>
      </c>
      <c r="K75" s="47">
        <f>COUNTIFS(Données!N64:N10062, "oui", Données!I64:I10062, "AFE", Données!J64:J10062, "mardi")</f>
        <v>0</v>
      </c>
      <c r="L75" s="47">
        <f>COUNTIFS(Données!N64:N10062, "non", Données!I64:I10062, "AFE", Données!J64:J10062, "mardi")</f>
        <v>0</v>
      </c>
      <c r="M75" s="26"/>
      <c r="N75" s="26"/>
      <c r="R75" s="51" t="s">
        <v>64</v>
      </c>
      <c r="S75" s="47">
        <f>COUNTIFS(Données!V64:V10062, "oui", Données!Q64:Q10062, "AS", Données!R64:R10062, "mardi")</f>
        <v>0</v>
      </c>
      <c r="T75" s="47">
        <f>COUNTIFS(Données!V64:V10062, "non", Données!Q64:Q10062, "AS", Données!R64:R10062, "mardi")</f>
        <v>0</v>
      </c>
      <c r="U75" s="26"/>
      <c r="V75" s="26"/>
      <c r="Z75" s="51" t="s">
        <v>64</v>
      </c>
      <c r="AA75" s="47">
        <f>COUNTIFS(Données!AD64:AD10062, "oui", Données!Y64:Y10062, "VISAS", Données!Z64:Z10062, "mardi")</f>
        <v>0</v>
      </c>
      <c r="AB75" s="47">
        <f>COUNTIFS(Données!AD64:AD10062, "non", Données!Y64:Y10062, "VISAS", Données!Z64:Z10062, "mardi")</f>
        <v>0</v>
      </c>
      <c r="AC75" s="26"/>
      <c r="AD75" s="26"/>
    </row>
    <row r="76" spans="1:30" ht="15" customHeight="1" x14ac:dyDescent="0.25">
      <c r="B76" s="52"/>
      <c r="C76" s="47"/>
      <c r="D76" s="47"/>
      <c r="E76" s="26"/>
      <c r="F76" s="26"/>
      <c r="J76" s="52"/>
      <c r="K76" s="47"/>
      <c r="L76" s="47"/>
      <c r="M76" s="26"/>
      <c r="N76" s="26"/>
      <c r="R76" s="52"/>
      <c r="S76" s="47"/>
      <c r="T76" s="47"/>
      <c r="U76" s="26"/>
      <c r="V76" s="26"/>
      <c r="Z76" s="52"/>
      <c r="AA76" s="47"/>
      <c r="AB76" s="47"/>
      <c r="AC76" s="26"/>
      <c r="AD76" s="26"/>
    </row>
    <row r="77" spans="1:30" ht="15" customHeight="1" x14ac:dyDescent="0.25">
      <c r="B77" s="48" t="s">
        <v>61</v>
      </c>
      <c r="C77" s="53" t="s">
        <v>10</v>
      </c>
      <c r="D77" s="54" t="s">
        <v>11</v>
      </c>
      <c r="E77" s="50" t="s">
        <v>12</v>
      </c>
      <c r="F77" s="26"/>
      <c r="J77" s="48" t="s">
        <v>61</v>
      </c>
      <c r="K77" s="53" t="s">
        <v>10</v>
      </c>
      <c r="L77" s="54" t="s">
        <v>11</v>
      </c>
      <c r="M77" s="50" t="s">
        <v>12</v>
      </c>
      <c r="N77" s="26"/>
      <c r="R77" s="48" t="s">
        <v>61</v>
      </c>
      <c r="S77" s="53" t="s">
        <v>10</v>
      </c>
      <c r="T77" s="54" t="s">
        <v>11</v>
      </c>
      <c r="U77" s="50" t="s">
        <v>12</v>
      </c>
      <c r="V77" s="26"/>
      <c r="Z77" s="48" t="s">
        <v>61</v>
      </c>
      <c r="AA77" s="53" t="s">
        <v>10</v>
      </c>
      <c r="AB77" s="54" t="s">
        <v>11</v>
      </c>
      <c r="AC77" s="50" t="s">
        <v>12</v>
      </c>
      <c r="AD77" s="26"/>
    </row>
    <row r="78" spans="1:30" ht="15" customHeight="1" x14ac:dyDescent="0.25">
      <c r="B78" s="48"/>
      <c r="C78" s="53"/>
      <c r="D78" s="54"/>
      <c r="E78" s="50"/>
      <c r="F78" s="26"/>
      <c r="J78" s="48"/>
      <c r="K78" s="53"/>
      <c r="L78" s="54"/>
      <c r="M78" s="50"/>
      <c r="N78" s="26"/>
      <c r="R78" s="48"/>
      <c r="S78" s="53"/>
      <c r="T78" s="54"/>
      <c r="U78" s="50"/>
      <c r="V78" s="26"/>
      <c r="Z78" s="48"/>
      <c r="AA78" s="53"/>
      <c r="AB78" s="54"/>
      <c r="AC78" s="50"/>
      <c r="AD78" s="26"/>
    </row>
    <row r="79" spans="1:30" x14ac:dyDescent="0.25">
      <c r="B79" s="48"/>
      <c r="C79" s="26">
        <f>COUNTIFS(Données!G64:G10062, "téléphone", Données!A64:A10062, "EC", Données!B64:B10062, "mardi")</f>
        <v>0</v>
      </c>
      <c r="D79" s="26">
        <f>COUNTIFS(Données!G64:G10062, "mail", Données!A64:A10062, "EC", Données!B64:B10062, "mardi")</f>
        <v>0</v>
      </c>
      <c r="E79" s="26">
        <f>COUNTIFS(Données!G64:G10062, "sur place", Données!A64:A10062, "EC", Données!B64:B10062, "mardi")</f>
        <v>0</v>
      </c>
      <c r="F79" s="26"/>
      <c r="J79" s="48"/>
      <c r="K79" s="26">
        <f>COUNTIFS(Données!O64:O10062, "téléphone", Données!I64:I10062, "AFE", Données!J64:J10062, "mardi")</f>
        <v>0</v>
      </c>
      <c r="L79" s="26">
        <f>COUNTIFS(Données!O64:O10062, "mail", Données!I64:I10062, "AFE", Données!J64:J10062, "mardi")</f>
        <v>0</v>
      </c>
      <c r="M79" s="26">
        <f>COUNTIFS(Données!O64:O10062, "sur place", Données!I64:I10062, "AFE", Données!J64:J10062, "mardi")</f>
        <v>0</v>
      </c>
      <c r="N79" s="26"/>
      <c r="R79" s="48"/>
      <c r="S79" s="26">
        <f>COUNTIFS(Données!W64:W10062, "téléphone", Données!Q64:Q10062, "AS", Données!R64:R10062, "mardi")</f>
        <v>0</v>
      </c>
      <c r="T79" s="26">
        <f>COUNTIFS(Données!W64:W10062, "mail", Données!Q64:Q10062, "AS", Données!R64:R10062, "mardi")</f>
        <v>0</v>
      </c>
      <c r="U79" s="26">
        <f>COUNTIFS(Données!W64:W10062, "sur place", Données!Q64:Q10062, "AS", Données!R64:R10062, "mardi")</f>
        <v>0</v>
      </c>
      <c r="V79" s="26"/>
      <c r="Z79" s="48"/>
      <c r="AA79" s="26">
        <f>COUNTIFS(Données!AE64:AE10062, "téléphone", Données!Y64:Y10062, "VISAS", Données!Z64:Z10062, "mardi")</f>
        <v>0</v>
      </c>
      <c r="AB79" s="26">
        <f>COUNTIFS(Données!AE64:AE10062, "mail", Données!Y64:Y10062, "VISAS", Données!Z64:Z10062, "mardi")</f>
        <v>0</v>
      </c>
      <c r="AC79" s="26">
        <f>COUNTIFS(Données!AE64:AE10062, "sur place", Données!Y64:Y10062, "VISAS", Données!Z64:Z10062, "mardi")</f>
        <v>0</v>
      </c>
      <c r="AD79" s="26"/>
    </row>
    <row r="80" spans="1:30" ht="15" customHeight="1" x14ac:dyDescent="0.25">
      <c r="B80" s="41" t="s">
        <v>75</v>
      </c>
      <c r="C80" s="37" t="s">
        <v>14</v>
      </c>
      <c r="D80" s="38" t="s">
        <v>56</v>
      </c>
      <c r="E80" s="39" t="s">
        <v>57</v>
      </c>
      <c r="F80" s="40" t="s">
        <v>17</v>
      </c>
      <c r="J80" s="41" t="s">
        <v>75</v>
      </c>
      <c r="K80" s="37" t="s">
        <v>14</v>
      </c>
      <c r="L80" s="38" t="s">
        <v>56</v>
      </c>
      <c r="M80" s="39" t="s">
        <v>57</v>
      </c>
      <c r="N80" s="40" t="s">
        <v>17</v>
      </c>
      <c r="R80" s="41" t="s">
        <v>75</v>
      </c>
      <c r="S80" s="37" t="s">
        <v>14</v>
      </c>
      <c r="T80" s="38" t="s">
        <v>56</v>
      </c>
      <c r="U80" s="39" t="s">
        <v>57</v>
      </c>
      <c r="V80" s="40" t="s">
        <v>17</v>
      </c>
      <c r="Z80" s="41" t="s">
        <v>75</v>
      </c>
      <c r="AA80" s="37" t="s">
        <v>14</v>
      </c>
      <c r="AB80" s="38" t="s">
        <v>56</v>
      </c>
      <c r="AC80" s="39" t="s">
        <v>57</v>
      </c>
      <c r="AD80" s="40" t="s">
        <v>17</v>
      </c>
    </row>
    <row r="81" spans="2:30" ht="15" customHeight="1" x14ac:dyDescent="0.25">
      <c r="B81" s="41"/>
      <c r="C81" s="37"/>
      <c r="D81" s="38"/>
      <c r="E81" s="39"/>
      <c r="F81" s="40"/>
      <c r="J81" s="41"/>
      <c r="K81" s="37"/>
      <c r="L81" s="38"/>
      <c r="M81" s="39"/>
      <c r="N81" s="40"/>
      <c r="R81" s="41"/>
      <c r="S81" s="37"/>
      <c r="T81" s="38"/>
      <c r="U81" s="39"/>
      <c r="V81" s="40"/>
      <c r="Z81" s="41"/>
      <c r="AA81" s="37"/>
      <c r="AB81" s="38"/>
      <c r="AC81" s="39"/>
      <c r="AD81" s="40"/>
    </row>
    <row r="82" spans="2:30" ht="15" customHeight="1" x14ac:dyDescent="0.25">
      <c r="B82" s="41"/>
      <c r="C82" s="26">
        <f>COUNTIFS(Données!H64:H10062, "immédiat", Données!A64:A10062, "EC", Données!B64:B10062, "mardi")</f>
        <v>0</v>
      </c>
      <c r="D82" s="26">
        <f>COUNTIFS(Données!H64:H10062, "entre 24-48h", Données!A64:A10062, "EC", Données!B64:B10062, "mardi")</f>
        <v>0</v>
      </c>
      <c r="E82" s="26">
        <f>COUNTIFS(Données!H64:H10062, "entre 24-48h", Données!A64:A10062, "EC", Données!B64:B10062, "mardi")</f>
        <v>0</v>
      </c>
      <c r="F82" s="26">
        <f>COUNTIFS(Données!H64:H10062, "plus de 48h", Données!A64:A10062, "EC", Données!B64:B10062, "mardi")</f>
        <v>0</v>
      </c>
      <c r="J82" s="41"/>
      <c r="K82" s="26">
        <f>COUNTIFS(Données!P64:P10062, "immédiat", Données!I64:I10062, "AFE", Données!J64:J10062, "mardi")</f>
        <v>0</v>
      </c>
      <c r="L82" s="26">
        <f>COUNTIFS(Données!P64:P10062, "entre 24-48h", Données!I64:I10062, "AFE", Données!J64:J10062, "mardi")</f>
        <v>0</v>
      </c>
      <c r="M82" s="26">
        <f>COUNTIFS(Données!P64:P10062, "entre 24-48h", Données!I64:I10062, "AFE", Données!J64:J10062, "mardi")</f>
        <v>0</v>
      </c>
      <c r="N82" s="26">
        <f>COUNTIFS(Données!P64:P10062, "plus de 48h", Données!I64:I10062, "AFE", Données!J64:J10062, "mardi")</f>
        <v>0</v>
      </c>
      <c r="R82" s="41"/>
      <c r="S82" s="26">
        <f>COUNTIFS(Données!X64:X10062, "immédiat", Données!Q64:Q10062, "AS", Données!R64:R10062, "mardi")</f>
        <v>0</v>
      </c>
      <c r="T82" s="26">
        <f>COUNTIFS(Données!X64:X10062, "entre 24-48h", Données!Q64:Q10062, "AS", Données!R64:R10062, "mardi")</f>
        <v>0</v>
      </c>
      <c r="U82" s="26">
        <f>COUNTIFS(Données!X64:X10062, "entre 24-48h", Données!Q64:Q10062, "AS", Données!R64:R10062, "mardi")</f>
        <v>0</v>
      </c>
      <c r="V82" s="26">
        <f>COUNTIFS(Données!X64:X10062, "plus de 48h", Données!Q64:Q10062, "AS", Données!R64:R10062, "mardi")</f>
        <v>0</v>
      </c>
      <c r="Z82" s="41"/>
      <c r="AA82" s="26">
        <f>COUNTIFS(Données!AF64:AF10062, "immédiat", Données!Y64:Y10062, "VISAS", Données!Z64:Z10062, "mardi")</f>
        <v>0</v>
      </c>
      <c r="AB82" s="26">
        <f>COUNTIFS(Données!AF64:AF10062, "entre 24-48h", Données!Y64:Y10062, "VISAS", Données!Z64:Z10062, "mardi")</f>
        <v>0</v>
      </c>
      <c r="AC82" s="26">
        <f>COUNTIFS(Données!AF64:AF10062, "entre 24-48h", Données!Y64:Y10062, "VISAS", Données!Z64:Z10062, "mardi")</f>
        <v>0</v>
      </c>
      <c r="AD82" s="26">
        <f>COUNTIFS(Données!AF64:AF10062, "plus de 48h", Données!Y64:Y10062, "VISAS", Données!Z64:Z10062, "mardi")</f>
        <v>0</v>
      </c>
    </row>
    <row r="83" spans="2:30" ht="15" customHeight="1" x14ac:dyDescent="0.25">
      <c r="B83" s="41" t="s">
        <v>63</v>
      </c>
      <c r="C83" s="44" t="s">
        <v>55</v>
      </c>
      <c r="D83" s="44" t="s">
        <v>65</v>
      </c>
      <c r="E83" s="26"/>
      <c r="F83" s="26"/>
      <c r="J83" s="41" t="s">
        <v>63</v>
      </c>
      <c r="K83" s="44" t="s">
        <v>55</v>
      </c>
      <c r="L83" s="44" t="s">
        <v>65</v>
      </c>
      <c r="M83" s="26"/>
      <c r="N83" s="26"/>
      <c r="R83" s="41" t="s">
        <v>63</v>
      </c>
      <c r="S83" s="44" t="s">
        <v>55</v>
      </c>
      <c r="T83" s="44" t="s">
        <v>65</v>
      </c>
      <c r="U83" s="26"/>
      <c r="V83" s="26"/>
      <c r="Z83" s="41" t="s">
        <v>63</v>
      </c>
      <c r="AA83" s="44" t="s">
        <v>55</v>
      </c>
      <c r="AB83" s="44" t="s">
        <v>65</v>
      </c>
      <c r="AC83" s="26"/>
      <c r="AD83" s="26"/>
    </row>
    <row r="84" spans="2:30" ht="15" customHeight="1" x14ac:dyDescent="0.25">
      <c r="B84" s="41"/>
      <c r="C84" s="44"/>
      <c r="D84" s="44"/>
      <c r="E84" s="26"/>
      <c r="F84" s="26"/>
      <c r="J84" s="41"/>
      <c r="K84" s="44"/>
      <c r="L84" s="44"/>
      <c r="M84" s="26"/>
      <c r="N84" s="26"/>
      <c r="R84" s="41"/>
      <c r="S84" s="44"/>
      <c r="T84" s="44"/>
      <c r="U84" s="26"/>
      <c r="V84" s="26"/>
      <c r="Z84" s="41"/>
      <c r="AA84" s="44"/>
      <c r="AB84" s="44"/>
    </row>
    <row r="85" spans="2:30" ht="15" customHeight="1" x14ac:dyDescent="0.25">
      <c r="B85" s="41"/>
      <c r="C85" s="26">
        <f>SUMIFS(Données!I:I,Données!A:A,"EC",Données!B:B,"mardi")</f>
        <v>0</v>
      </c>
      <c r="D85" s="26">
        <f>SUMIFS(Données!J:J,Données!A:A,"EC",Données!B:B,"mardi")</f>
        <v>0</v>
      </c>
      <c r="E85" s="26"/>
      <c r="F85" s="26"/>
      <c r="J85" s="41"/>
      <c r="K85" s="26">
        <f>SUMIFS(Données!Q:Q,Données!I:I,"AFE",Données!J:J,"mardi")</f>
        <v>0</v>
      </c>
      <c r="L85" s="26">
        <f>SUMIFS(Données!R:R,Données!I:I,"AFE",Données!J:J,"mardi")</f>
        <v>0</v>
      </c>
      <c r="M85" s="26"/>
      <c r="N85" s="26"/>
      <c r="R85" s="41"/>
      <c r="S85" s="26">
        <f>SUMIFS(Données!Y:Y,Données!Q:Q,"AS",Données!R:R,"mardi")</f>
        <v>0</v>
      </c>
      <c r="T85" s="26">
        <f>SUMIFS(Données!Z:Z,Données!Q:Q,"AS",Données!R:R,"mardi")</f>
        <v>0</v>
      </c>
      <c r="U85" s="26"/>
      <c r="V85" s="26"/>
      <c r="Z85" s="41"/>
      <c r="AA85" s="26">
        <f ca="1">SUMIFS(Données!AG:AG,Données!Y:Y,"VISAS",Données!Z:Z,"mardi")</f>
        <v>0</v>
      </c>
      <c r="AB85" s="26">
        <f ca="1">SUMIFS(Données!AH:AH,Données!Y:Y,"VISAS",Données!Z:Z,"mardi")</f>
        <v>0</v>
      </c>
    </row>
    <row r="86" spans="2:30" ht="15" customHeight="1" x14ac:dyDescent="0.25">
      <c r="B86" s="41" t="s">
        <v>62</v>
      </c>
      <c r="C86" s="37" t="s">
        <v>58</v>
      </c>
      <c r="D86" s="39" t="s">
        <v>59</v>
      </c>
      <c r="E86" s="40" t="s">
        <v>24</v>
      </c>
      <c r="F86" s="26"/>
      <c r="J86" s="41" t="s">
        <v>62</v>
      </c>
      <c r="K86" s="37" t="s">
        <v>58</v>
      </c>
      <c r="L86" s="39" t="s">
        <v>59</v>
      </c>
      <c r="M86" s="40" t="s">
        <v>24</v>
      </c>
      <c r="N86" s="26"/>
      <c r="R86" s="41" t="s">
        <v>62</v>
      </c>
      <c r="S86" s="37" t="s">
        <v>58</v>
      </c>
      <c r="T86" s="39" t="s">
        <v>59</v>
      </c>
      <c r="U86" s="40" t="s">
        <v>24</v>
      </c>
      <c r="V86" s="26"/>
      <c r="Z86" s="41" t="s">
        <v>62</v>
      </c>
      <c r="AA86" s="37" t="s">
        <v>58</v>
      </c>
      <c r="AB86" s="39" t="s">
        <v>59</v>
      </c>
      <c r="AC86" s="40" t="s">
        <v>24</v>
      </c>
    </row>
    <row r="87" spans="2:30" ht="15" customHeight="1" x14ac:dyDescent="0.25">
      <c r="B87" s="41"/>
      <c r="C87" s="37"/>
      <c r="D87" s="39"/>
      <c r="E87" s="40"/>
      <c r="F87" s="26"/>
      <c r="J87" s="41"/>
      <c r="K87" s="37"/>
      <c r="L87" s="39"/>
      <c r="M87" s="40"/>
      <c r="N87" s="26"/>
      <c r="R87" s="41"/>
      <c r="S87" s="37"/>
      <c r="T87" s="39"/>
      <c r="U87" s="40"/>
      <c r="V87" s="26"/>
      <c r="Z87" s="41"/>
      <c r="AA87" s="37"/>
      <c r="AB87" s="39"/>
      <c r="AC87" s="40"/>
    </row>
    <row r="88" spans="2:30" ht="15" customHeight="1" x14ac:dyDescent="0.25">
      <c r="B88" s="42"/>
      <c r="C88" s="26">
        <f>COUNTIFS(Données!K64:K10062, "complet", Données!A64:A10062, "EC", Données!B64:B10062, "mardi")</f>
        <v>0</v>
      </c>
      <c r="D88" s="26">
        <f>COUNTIFS(Données!K64:K10062, "partiel", Données!A64:A10062, "EC", Données!B64:B10062, "mardi")</f>
        <v>0</v>
      </c>
      <c r="E88" s="26">
        <f>COUNTIFS(Données!K64:K10062, "pas du tout", Données!A64:A10062, "EC", Données!B64:B10062, "mardi")</f>
        <v>0</v>
      </c>
      <c r="F88" s="26"/>
      <c r="J88" s="42"/>
      <c r="K88" s="26">
        <f>COUNTIFS(Données!S64:S10062, "complet", Données!I64:I10062, "AFE", Données!J64:J10062, "mardi")</f>
        <v>0</v>
      </c>
      <c r="L88" s="26">
        <f>COUNTIFS(Données!S64:S10062, "partiel", Données!I64:I10062, "AFE", Données!J64:J10062, "mardi")</f>
        <v>0</v>
      </c>
      <c r="M88" s="26">
        <f>COUNTIFS(Données!S64:S10062, "pas du tout", Données!I64:I10062, "AFE", Données!J64:J10062, "mardi")</f>
        <v>0</v>
      </c>
      <c r="N88" s="26"/>
      <c r="R88" s="42"/>
      <c r="S88" s="26">
        <f>COUNTIFS(Données!AA64:AA10062, "complet", Données!Q64:Q10062, "AS", Données!R64:R10062, "mardi")</f>
        <v>0</v>
      </c>
      <c r="T88" s="26">
        <f>COUNTIFS(Données!AA64:AA10062, "partiel", Données!Q64:Q10062, "AS", Données!R64:R10062, "mardi")</f>
        <v>0</v>
      </c>
      <c r="U88" s="26">
        <f>COUNTIFS(Données!AA64:AA10062, "pas du tout", Données!Q64:Q10062, "AS", Données!R64:R10062, "mardi")</f>
        <v>0</v>
      </c>
      <c r="V88" s="26"/>
      <c r="Z88" s="42"/>
      <c r="AA88" s="26">
        <f>COUNTIFS(Données!AI64:AI10062, "complet", Données!Y64:Y10062, "VISAS", Données!Z64:Z10062, "mardi")</f>
        <v>0</v>
      </c>
      <c r="AB88" s="26">
        <f>COUNTIFS(Données!AI64:AI10062, "partiel", Données!Y64:Y10062, "VISAS", Données!Z64:Z10062, "mardi")</f>
        <v>0</v>
      </c>
      <c r="AC88" s="26">
        <f>COUNTIFS(Données!AI64:AI10062, "pas du tout", Données!Y64:Y10062, "VISAS", Données!Z64:Z10062, "mardi")</f>
        <v>0</v>
      </c>
    </row>
    <row r="89" spans="2:30" ht="21" x14ac:dyDescent="0.25">
      <c r="B89" s="28" t="s">
        <v>76</v>
      </c>
      <c r="C89" s="30" t="s">
        <v>5</v>
      </c>
      <c r="D89" s="30" t="s">
        <v>6</v>
      </c>
      <c r="E89" s="30" t="s">
        <v>28</v>
      </c>
      <c r="F89" s="26"/>
      <c r="J89" s="28" t="s">
        <v>76</v>
      </c>
      <c r="K89" s="30" t="s">
        <v>5</v>
      </c>
      <c r="L89" s="30" t="s">
        <v>6</v>
      </c>
      <c r="M89" s="30" t="s">
        <v>28</v>
      </c>
      <c r="N89" s="26"/>
      <c r="R89" s="28" t="s">
        <v>76</v>
      </c>
      <c r="S89" s="30" t="s">
        <v>5</v>
      </c>
      <c r="T89" s="30" t="s">
        <v>6</v>
      </c>
      <c r="U89" s="30" t="s">
        <v>28</v>
      </c>
      <c r="V89" s="26"/>
      <c r="Z89" s="28" t="s">
        <v>76</v>
      </c>
      <c r="AA89" s="30" t="s">
        <v>5</v>
      </c>
      <c r="AB89" s="30" t="s">
        <v>6</v>
      </c>
      <c r="AC89" s="30" t="s">
        <v>28</v>
      </c>
    </row>
    <row r="90" spans="2:30" ht="15" customHeight="1" x14ac:dyDescent="0.25">
      <c r="B90" s="41" t="s">
        <v>93</v>
      </c>
      <c r="C90" s="47">
        <f>COUNTIFS(Données!L64:L10062, "oui", Données!A64:A10062, "EC", Données!B64:B10062, "mardi")</f>
        <v>0</v>
      </c>
      <c r="D90" s="47">
        <f>COUNTIFS(Données!L64:L10062, "non", Données!A64:A10062, "EC", Données!B64:B10062, "mardi")</f>
        <v>0</v>
      </c>
      <c r="E90" s="48" t="s">
        <v>92</v>
      </c>
      <c r="F90" s="26"/>
      <c r="J90" s="41" t="s">
        <v>93</v>
      </c>
      <c r="K90" s="47">
        <f>COUNTIFS(Données!T64:T10062, "oui", Données!I64:I10062, "AFE", Données!J64:J10062, "mardi")</f>
        <v>0</v>
      </c>
      <c r="L90" s="47">
        <f>COUNTIFS(Données!T64:T10062, "non", Données!I64:I10062, "AFE", Données!J64:J10062, "mardi")</f>
        <v>0</v>
      </c>
      <c r="M90" s="48" t="s">
        <v>92</v>
      </c>
      <c r="N90" s="26"/>
      <c r="R90" s="41" t="s">
        <v>93</v>
      </c>
      <c r="S90" s="47">
        <f>COUNTIFS(Données!AB64:AB10062, "oui", Données!Q64:Q10062, "AS", Données!R64:R10062, "mardi")</f>
        <v>0</v>
      </c>
      <c r="T90" s="47">
        <f>COUNTIFS(Données!AB64:AB10062, "non", Données!Q64:Q10062, "AS", Données!R64:R10062, "mardi")</f>
        <v>0</v>
      </c>
      <c r="U90" s="48" t="s">
        <v>92</v>
      </c>
      <c r="V90" s="26"/>
      <c r="Z90" s="41" t="s">
        <v>93</v>
      </c>
      <c r="AA90" s="47">
        <f>COUNTIFS(Données!AJ64:AJ10062, "oui", Données!Y64:Y10062, "VISAS", Données!Z64:Z10062, "mardi")</f>
        <v>0</v>
      </c>
      <c r="AB90" s="47">
        <f>COUNTIFS(Données!AJ64:AJ10062, "non", Données!Y64:Y10062, "VISAS", Données!Z64:Z10062, "mardi")</f>
        <v>0</v>
      </c>
      <c r="AC90" s="48" t="s">
        <v>92</v>
      </c>
    </row>
    <row r="91" spans="2:30" ht="15" customHeight="1" x14ac:dyDescent="0.25">
      <c r="B91" s="41"/>
      <c r="C91" s="47"/>
      <c r="D91" s="47"/>
      <c r="E91" s="48"/>
      <c r="F91" s="26"/>
      <c r="J91" s="41"/>
      <c r="K91" s="47"/>
      <c r="L91" s="47"/>
      <c r="M91" s="48"/>
      <c r="N91" s="26"/>
      <c r="R91" s="41"/>
      <c r="S91" s="47"/>
      <c r="T91" s="47"/>
      <c r="U91" s="48"/>
      <c r="V91" s="26"/>
      <c r="Z91" s="41"/>
      <c r="AA91" s="47"/>
      <c r="AB91" s="47"/>
      <c r="AC91" s="48"/>
    </row>
    <row r="92" spans="2:30" ht="15" customHeight="1" x14ac:dyDescent="0.25">
      <c r="B92" s="41" t="s">
        <v>94</v>
      </c>
      <c r="C92" s="47">
        <f>COUNTIFS(Données!M64:M10062, "oui", Données!A64:A10062, "EC", Données!B64:B10062, "mardi")</f>
        <v>0</v>
      </c>
      <c r="D92" s="47">
        <f>COUNTIFS(Données!M64:M10062, "non", Données!A64:A10062, "EC", Données!B64:B10062, "mardi")</f>
        <v>0</v>
      </c>
      <c r="E92" s="48" t="s">
        <v>92</v>
      </c>
      <c r="F92" s="26"/>
      <c r="J92" s="41" t="s">
        <v>94</v>
      </c>
      <c r="K92" s="47">
        <f>COUNTIFS(Données!U64:U10062, "oui", Données!I64:I10062, "AFE", Données!J64:J10062, "mardi")</f>
        <v>0</v>
      </c>
      <c r="L92" s="47">
        <f>COUNTIFS(Données!U64:U10062, "non", Données!I64:I10062, "AFE", Données!J64:J10062, "mardi")</f>
        <v>0</v>
      </c>
      <c r="M92" s="48" t="s">
        <v>92</v>
      </c>
      <c r="N92" s="26"/>
      <c r="R92" s="41" t="s">
        <v>94</v>
      </c>
      <c r="S92" s="47">
        <f>COUNTIFS(Données!AC64:AC10062, "oui", Données!Q64:Q10062, "AS", Données!R64:R10062, "mardi")</f>
        <v>0</v>
      </c>
      <c r="T92" s="47">
        <f>COUNTIFS(Données!AC64:AC10062, "non", Données!Q64:Q10062, "AS", Données!R64:R10062, "mardi")</f>
        <v>0</v>
      </c>
      <c r="U92" s="48" t="s">
        <v>92</v>
      </c>
      <c r="V92" s="26"/>
      <c r="Z92" s="41" t="s">
        <v>94</v>
      </c>
      <c r="AA92" s="47">
        <f>COUNTIFS(Données!AK64:AK10062, "oui", Données!Y64:Y10062, "VISAS", Données!Z64:Z10062, "mardi")</f>
        <v>0</v>
      </c>
      <c r="AB92" s="47">
        <f>COUNTIFS(Données!AK64:AK10062, "non", Données!Y64:Y10062, "VISAS", Données!Z64:Z10062, "mardi")</f>
        <v>0</v>
      </c>
      <c r="AC92" s="48" t="s">
        <v>92</v>
      </c>
    </row>
    <row r="93" spans="2:30" ht="15" customHeight="1" x14ac:dyDescent="0.25">
      <c r="B93" s="41"/>
      <c r="C93" s="47"/>
      <c r="D93" s="47"/>
      <c r="E93" s="48"/>
      <c r="F93" s="26"/>
      <c r="J93" s="41"/>
      <c r="K93" s="47"/>
      <c r="L93" s="47"/>
      <c r="M93" s="48"/>
      <c r="N93" s="26"/>
      <c r="R93" s="41"/>
      <c r="S93" s="47"/>
      <c r="T93" s="47"/>
      <c r="U93" s="48"/>
      <c r="V93" s="26"/>
      <c r="Z93" s="41"/>
      <c r="AA93" s="47"/>
      <c r="AB93" s="47"/>
      <c r="AC93" s="48"/>
    </row>
    <row r="94" spans="2:30" ht="15" customHeight="1" x14ac:dyDescent="0.25">
      <c r="B94" s="41" t="s">
        <v>95</v>
      </c>
      <c r="C94" s="47">
        <f>COUNTIFS(Données!N64:N10062, "oui", Données!A64:A10062, "EC", Données!B64:B10062, "mardi")</f>
        <v>0</v>
      </c>
      <c r="D94" s="47">
        <f>COUNTIFS(Données!N64:N10062, "non", Données!A64:A10062, "EC", Données!B64:B10062, "mardi")</f>
        <v>0</v>
      </c>
      <c r="E94" s="47">
        <f>COUNTIFS(Données!N64:N10062, "ne sais pas", Données!A64:A10062, "EC", Données!B64:B10062, "mardi")</f>
        <v>0</v>
      </c>
      <c r="F94" s="26"/>
      <c r="J94" s="41" t="s">
        <v>95</v>
      </c>
      <c r="K94" s="47">
        <f>COUNTIFS(Données!V64:V10062, "oui", Données!I64:I10062, "AFE", Données!J64:J10062, "mardi")</f>
        <v>0</v>
      </c>
      <c r="L94" s="47">
        <f>COUNTIFS(Données!V64:V10062, "non", Données!I64:I10062, "AFE", Données!J64:J10062, "mardi")</f>
        <v>0</v>
      </c>
      <c r="M94" s="47">
        <f>COUNTIFS(Données!V64:V10062, "ne sais pas", Données!I64:I10062, "AFE", Données!J64:J10062, "mardi")</f>
        <v>0</v>
      </c>
      <c r="N94" s="26"/>
      <c r="R94" s="41" t="s">
        <v>95</v>
      </c>
      <c r="S94" s="47">
        <f>COUNTIFS(Données!AD64:AD10062, "oui", Données!Q64:Q10062, "AS", Données!R64:R10062, "mardi")</f>
        <v>0</v>
      </c>
      <c r="T94" s="47">
        <f>COUNTIFS(Données!AD64:AD10062, "non", Données!Q64:Q10062, "AS", Données!R64:R10062, "mardi")</f>
        <v>0</v>
      </c>
      <c r="U94" s="47">
        <f>COUNTIFS(Données!AD64:AD10062, "ne sais pas", Données!Q64:Q10062, "AS", Données!R64:R10062, "mardi")</f>
        <v>0</v>
      </c>
      <c r="V94" s="26"/>
      <c r="Z94" s="41" t="s">
        <v>95</v>
      </c>
      <c r="AA94" s="47">
        <f>COUNTIFS(Données!AL64:AL10062, "oui", Données!Y64:Y10062, "VISAS", Données!Z64:Z10062, "mardi")</f>
        <v>0</v>
      </c>
      <c r="AB94" s="47">
        <f>COUNTIFS(Données!AL64:AL10062, "non", Données!Y64:Y10062, "VISAS", Données!Z64:Z10062, "mardi")</f>
        <v>0</v>
      </c>
      <c r="AC94" s="47">
        <f>COUNTIFS(Données!AL64:AL10062, "ne sais pas", Données!Y64:Y10062, "VISAS", Données!Z64:Z10062, "mardi")</f>
        <v>0</v>
      </c>
    </row>
    <row r="95" spans="2:30" ht="15" customHeight="1" x14ac:dyDescent="0.25">
      <c r="B95" s="41"/>
      <c r="C95" s="47"/>
      <c r="D95" s="47"/>
      <c r="E95" s="47"/>
      <c r="F95" s="26"/>
      <c r="J95" s="41"/>
      <c r="K95" s="47"/>
      <c r="L95" s="47"/>
      <c r="M95" s="47"/>
      <c r="N95" s="26"/>
      <c r="R95" s="41"/>
      <c r="S95" s="47"/>
      <c r="T95" s="47"/>
      <c r="U95" s="47"/>
      <c r="V95" s="26"/>
      <c r="Z95" s="41"/>
      <c r="AA95" s="47"/>
      <c r="AB95" s="47"/>
      <c r="AC95" s="47"/>
    </row>
    <row r="96" spans="2:30" ht="15" customHeight="1" x14ac:dyDescent="0.25">
      <c r="B96" s="45" t="s">
        <v>96</v>
      </c>
      <c r="C96" s="47">
        <f>COUNTIFS(Données!M64:M10062, "oui", Données!A64:A10062, "EC", Données!B64:B10062, "mardi")</f>
        <v>0</v>
      </c>
      <c r="D96" s="47">
        <f>COUNTIFS(Données!N64:N10062, "non", Données!A64:A10062, "EC", Données!B64:B10062, "mardi")</f>
        <v>0</v>
      </c>
      <c r="E96" s="48" t="s">
        <v>92</v>
      </c>
      <c r="F96" s="26"/>
      <c r="J96" s="45" t="s">
        <v>96</v>
      </c>
      <c r="K96" s="47">
        <f>COUNTIFS(Données!U64:U10062, "oui", Données!I64:I10062, "AFE", Données!J64:J10062, "mardi")</f>
        <v>0</v>
      </c>
      <c r="L96" s="47">
        <f>COUNTIFS(Données!V64:V10062, "non", Données!I64:I10062, "AFE", Données!J64:J10062, "mardi")</f>
        <v>0</v>
      </c>
      <c r="M96" s="48" t="s">
        <v>92</v>
      </c>
      <c r="N96" s="26"/>
      <c r="R96" s="45" t="s">
        <v>96</v>
      </c>
      <c r="S96" s="47">
        <f>COUNTIFS(Données!AC64:AC10062, "oui", Données!Q64:Q10062, "AS", Données!R64:R10062, "mardi")</f>
        <v>0</v>
      </c>
      <c r="T96" s="47">
        <f>COUNTIFS(Données!AD64:AD10062, "non", Données!Q64:Q10062, "AS", Données!R64:R10062, "mardi")</f>
        <v>0</v>
      </c>
      <c r="U96" s="48" t="s">
        <v>92</v>
      </c>
      <c r="V96" s="26"/>
      <c r="Z96" s="45" t="s">
        <v>96</v>
      </c>
      <c r="AA96" s="47">
        <f>COUNTIFS(Données!AK64:AK10062, "oui", Données!Y64:Y10062, "VISAS", Données!Z64:Z10062, "mardi")</f>
        <v>0</v>
      </c>
      <c r="AB96" s="47">
        <f>COUNTIFS(Données!AL64:AL10062, "non", Données!Y64:Y10062, "VISAS", Données!Z64:Z10062, "mardi")</f>
        <v>0</v>
      </c>
      <c r="AC96" s="48" t="s">
        <v>92</v>
      </c>
    </row>
    <row r="97" spans="2:30" ht="15" customHeight="1" x14ac:dyDescent="0.25">
      <c r="B97" s="49"/>
      <c r="C97" s="47"/>
      <c r="D97" s="47"/>
      <c r="E97" s="48"/>
      <c r="F97" s="26"/>
      <c r="J97" s="49"/>
      <c r="K97" s="47"/>
      <c r="L97" s="47"/>
      <c r="M97" s="48"/>
      <c r="N97" s="26"/>
      <c r="R97" s="49"/>
      <c r="S97" s="47"/>
      <c r="T97" s="47"/>
      <c r="U97" s="48"/>
      <c r="V97" s="26"/>
      <c r="Z97" s="49"/>
      <c r="AA97" s="47"/>
      <c r="AB97" s="47"/>
      <c r="AC97" s="48"/>
    </row>
    <row r="98" spans="2:30" ht="15" customHeight="1" x14ac:dyDescent="0.25">
      <c r="B98" s="41" t="s">
        <v>97</v>
      </c>
      <c r="C98" s="47">
        <f>COUNTIFS(Données!O64:O10062, "oui", Données!A64:A10062, "EC", Données!B64:B10062, "mardi")</f>
        <v>0</v>
      </c>
      <c r="D98" s="47">
        <f>COUNTIFS(Données!O64:O10062, "non", Données!A64:A10062, "EC", Données!B64:B10062, "mardi")</f>
        <v>0</v>
      </c>
      <c r="E98" s="48" t="s">
        <v>92</v>
      </c>
      <c r="F98" s="26"/>
      <c r="J98" s="41" t="s">
        <v>97</v>
      </c>
      <c r="K98" s="47">
        <f>COUNTIFS(Données!W64:W10062, "oui", Données!I64:I10062, "AFE", Données!J64:J10062, "mardi")</f>
        <v>0</v>
      </c>
      <c r="L98" s="47">
        <f>COUNTIFS(Données!W64:W10062, "non", Données!I64:I10062, "AFE", Données!J64:J10062, "mardi")</f>
        <v>0</v>
      </c>
      <c r="M98" s="48" t="s">
        <v>92</v>
      </c>
      <c r="N98" s="26"/>
      <c r="R98" s="41" t="s">
        <v>97</v>
      </c>
      <c r="S98" s="47">
        <f>COUNTIFS(Données!AE64:AE10062, "oui", Données!Q64:Q10062, "AS", Données!R64:R10062, "mardi")</f>
        <v>0</v>
      </c>
      <c r="T98" s="47">
        <f>COUNTIFS(Données!AE64:AE10062, "non", Données!Q64:Q10062, "AS", Données!R64:R10062, "mardi")</f>
        <v>0</v>
      </c>
      <c r="U98" s="48" t="s">
        <v>92</v>
      </c>
      <c r="V98" s="26"/>
      <c r="Z98" s="41" t="s">
        <v>97</v>
      </c>
      <c r="AA98" s="47">
        <f>COUNTIFS(Données!AM64:AM10062, "oui", Données!Y64:Y10062, "VISAS", Données!Z64:Z10062, "mardi")</f>
        <v>0</v>
      </c>
      <c r="AB98" s="47">
        <f>COUNTIFS(Données!AM64:AM10062, "non", Données!Y64:Y10062, "VISAS", Données!Z64:Z10062, "mardi")</f>
        <v>0</v>
      </c>
      <c r="AC98" s="48" t="s">
        <v>92</v>
      </c>
    </row>
    <row r="99" spans="2:30" ht="15" customHeight="1" x14ac:dyDescent="0.25">
      <c r="B99" s="41"/>
      <c r="C99" s="47"/>
      <c r="D99" s="47"/>
      <c r="E99" s="48"/>
      <c r="F99" s="26"/>
      <c r="J99" s="41"/>
      <c r="K99" s="47"/>
      <c r="L99" s="47"/>
      <c r="M99" s="48"/>
      <c r="N99" s="26"/>
      <c r="R99" s="41"/>
      <c r="S99" s="47"/>
      <c r="T99" s="47"/>
      <c r="U99" s="48"/>
      <c r="V99" s="26"/>
      <c r="Z99" s="41"/>
      <c r="AA99" s="47"/>
      <c r="AB99" s="47"/>
      <c r="AC99" s="48"/>
    </row>
    <row r="100" spans="2:30" ht="21" x14ac:dyDescent="0.35">
      <c r="B100" s="29" t="s">
        <v>78</v>
      </c>
      <c r="C100" s="37" t="s">
        <v>79</v>
      </c>
      <c r="D100" s="38" t="s">
        <v>34</v>
      </c>
      <c r="E100" s="39" t="s">
        <v>83</v>
      </c>
      <c r="F100" s="40" t="s">
        <v>35</v>
      </c>
      <c r="J100" s="29" t="s">
        <v>78</v>
      </c>
      <c r="K100" s="37" t="s">
        <v>79</v>
      </c>
      <c r="L100" s="38" t="s">
        <v>34</v>
      </c>
      <c r="M100" s="39" t="s">
        <v>83</v>
      </c>
      <c r="N100" s="40" t="s">
        <v>35</v>
      </c>
      <c r="R100" s="29" t="s">
        <v>78</v>
      </c>
      <c r="S100" s="37" t="s">
        <v>79</v>
      </c>
      <c r="T100" s="38" t="s">
        <v>34</v>
      </c>
      <c r="U100" s="39" t="s">
        <v>83</v>
      </c>
      <c r="V100" s="40" t="s">
        <v>35</v>
      </c>
      <c r="Z100" s="29" t="s">
        <v>78</v>
      </c>
      <c r="AA100" s="37" t="s">
        <v>79</v>
      </c>
      <c r="AB100" s="38" t="s">
        <v>34</v>
      </c>
      <c r="AC100" s="39" t="s">
        <v>83</v>
      </c>
      <c r="AD100" s="40" t="s">
        <v>35</v>
      </c>
    </row>
    <row r="101" spans="2:30" ht="15.75" x14ac:dyDescent="0.25">
      <c r="B101" s="32" t="s">
        <v>98</v>
      </c>
      <c r="C101" s="37"/>
      <c r="D101" s="38"/>
      <c r="E101" s="39"/>
      <c r="F101" s="40"/>
      <c r="J101" s="32" t="s">
        <v>98</v>
      </c>
      <c r="K101" s="37"/>
      <c r="L101" s="38"/>
      <c r="M101" s="39"/>
      <c r="N101" s="40"/>
      <c r="R101" s="32" t="s">
        <v>98</v>
      </c>
      <c r="S101" s="37"/>
      <c r="T101" s="38"/>
      <c r="U101" s="39"/>
      <c r="V101" s="40"/>
      <c r="Z101" s="32" t="s">
        <v>98</v>
      </c>
      <c r="AA101" s="37"/>
      <c r="AB101" s="38"/>
      <c r="AC101" s="39"/>
      <c r="AD101" s="40"/>
    </row>
    <row r="102" spans="2:30" ht="15.75" x14ac:dyDescent="0.25">
      <c r="B102" s="21" t="s">
        <v>80</v>
      </c>
      <c r="C102" s="26">
        <f>COUNTIFS(Données!R64:R10062, "très satisfaisant", Données!A64:A10062, "EC", Données!B64:B10062, "mardi")</f>
        <v>0</v>
      </c>
      <c r="D102" s="26">
        <f>COUNTIFS(Données!R64:R10062, "satisfaisant", Données!A64:A10062, "EC", Données!B64:B10062, "mardi")</f>
        <v>0</v>
      </c>
      <c r="E102" s="26">
        <f>COUNTIFS(Données!S64:S10062, "moy. satisfaisant", Données!A64:A10062, "EC", Données!B64:B10062, "mardi")</f>
        <v>0</v>
      </c>
      <c r="F102" s="26">
        <f>COUNTIFS(Données!R64:R10062, "pas du tout satisfaisant", Données!A64:A10062, "EC", Données!B64:B10062, "mardi")</f>
        <v>0</v>
      </c>
      <c r="J102" s="24" t="s">
        <v>80</v>
      </c>
      <c r="K102" s="26">
        <f>COUNTIFS(Données!Z64:Z10062, "très satisfaisant", Données!I64:I10062, "AFE", Données!J64:J10062, "mardi")</f>
        <v>0</v>
      </c>
      <c r="L102" s="26">
        <f>COUNTIFS(Données!Z64:Z10062, "satisfaisant", Données!I64:I10062, "AFE", Données!J64:J10062, "mardi")</f>
        <v>0</v>
      </c>
      <c r="M102" s="26">
        <f>COUNTIFS(Données!AA64:AA10062, "moy. satisfaisant", Données!I64:I10062, "AFE", Données!J64:J10062, "mardi")</f>
        <v>0</v>
      </c>
      <c r="N102" s="26">
        <f>COUNTIFS(Données!Z64:Z10062, "pas du tout satisfaisant", Données!I64:I10062, "AFE", Données!J64:J10062, "mardi")</f>
        <v>0</v>
      </c>
      <c r="R102" s="24" t="s">
        <v>80</v>
      </c>
      <c r="S102" s="26">
        <f>COUNTIFS(Données!AH64:AH10062, "très satisfaisant", Données!Q64:Q10062, "AS", Données!R64:R10062, "mardi")</f>
        <v>0</v>
      </c>
      <c r="T102" s="26">
        <f>COUNTIFS(Données!AH64:AH10062, "satisfaisant", Données!Q64:Q10062, "AS", Données!R64:R10062, "mardi")</f>
        <v>0</v>
      </c>
      <c r="U102" s="26">
        <f>COUNTIFS(Données!AI64:AI10062, "moy. satisfaisant", Données!Q64:Q10062, "AS", Données!R64:R10062, "mardi")</f>
        <v>0</v>
      </c>
      <c r="V102" s="26">
        <f>COUNTIFS(Données!AH64:AH10062, "pas du tout satisfaisant", Données!Q64:Q10062, "AS", Données!R64:R10062, "mardi")</f>
        <v>0</v>
      </c>
      <c r="Z102" s="24" t="s">
        <v>80</v>
      </c>
      <c r="AA102" s="26">
        <f>COUNTIFS(Données!AP64:AP10062, "très satisfaisant", Données!Y64:Y10062, "VISAS", Données!Z64:Z10062, "mardi")</f>
        <v>0</v>
      </c>
      <c r="AB102" s="26">
        <f>COUNTIFS(Données!AP64:AP10062, "satisfaisant", Données!Y64:Y10062, "VISAS", Données!Z64:Z10062, "mardi")</f>
        <v>0</v>
      </c>
      <c r="AC102" s="26">
        <f>COUNTIFS(Données!AQ64:AQ10062, "moy. satisfaisant", Données!Y64:Y10062, "VISAS", Données!Z64:Z10062, "mardi")</f>
        <v>0</v>
      </c>
      <c r="AD102" s="26">
        <f>COUNTIFS(Données!AP64:AP10062, "pas du tout satisfaisant", Données!Y64:Y10062, "VISAS", Données!Z64:Z10062, "mardi")</f>
        <v>0</v>
      </c>
    </row>
    <row r="103" spans="2:30" ht="15.75" x14ac:dyDescent="0.25">
      <c r="B103" s="21" t="s">
        <v>81</v>
      </c>
      <c r="C103" s="26">
        <f>COUNTIFS(Données!S64:S10062, "très satisfaisant", Données!A64:A10062, "EC", Données!B64:B10062, "mardi")</f>
        <v>0</v>
      </c>
      <c r="D103" s="26">
        <f>COUNTIFS(Données!S64:S10062, "satisfaisant", Données!A64:A10062, "EC", Données!B64:B10062, "mardi")</f>
        <v>0</v>
      </c>
      <c r="E103" s="26">
        <f>COUNTIFS(Données!S64:S10062, "moy. satisfaisant", Données!A64:A10062, "EC", Données!B64:B10062, "mardi")</f>
        <v>0</v>
      </c>
      <c r="F103" s="26">
        <f>COUNTIFS(Données!S64:S10062, "pas du tout satisfaisant", Données!A64:A10062, "EC", Données!B64:B10062, "mardi")</f>
        <v>0</v>
      </c>
      <c r="J103" s="24" t="s">
        <v>81</v>
      </c>
      <c r="K103" s="26">
        <f>COUNTIFS(Données!AA64:AA10062, "très satisfaisant", Données!I64:I10062, "AFE", Données!J64:J10062, "mardi")</f>
        <v>0</v>
      </c>
      <c r="L103" s="26">
        <f>COUNTIFS(Données!AA64:AA10062, "satisfaisant", Données!I64:I10062, "AFE", Données!J64:J10062, "mardi")</f>
        <v>0</v>
      </c>
      <c r="M103" s="26">
        <f>COUNTIFS(Données!AA64:AA10062, "moy. satisfaisant", Données!I64:I10062, "AFE", Données!J64:J10062, "mardi")</f>
        <v>0</v>
      </c>
      <c r="N103" s="26">
        <f>COUNTIFS(Données!AA64:AA10062, "pas du tout satisfaisant", Données!I64:I10062, "AFE", Données!J64:J10062, "mardi")</f>
        <v>0</v>
      </c>
      <c r="R103" s="24" t="s">
        <v>81</v>
      </c>
      <c r="S103" s="26">
        <f>COUNTIFS(Données!AI64:AI10062, "très satisfaisant", Données!Q64:Q10062, "AS", Données!R64:R10062, "mardi")</f>
        <v>0</v>
      </c>
      <c r="T103" s="26">
        <f>COUNTIFS(Données!AI64:AI10062, "satisfaisant", Données!Q64:Q10062, "AS", Données!R64:R10062, "mardi")</f>
        <v>0</v>
      </c>
      <c r="U103" s="26">
        <f>COUNTIFS(Données!AI64:AI10062, "moy. satisfaisant", Données!Q64:Q10062, "AS", Données!R64:R10062, "mardi")</f>
        <v>0</v>
      </c>
      <c r="V103" s="26">
        <f>COUNTIFS(Données!AI64:AI10062, "pas du tout satisfaisant", Données!Q64:Q10062, "AS", Données!R64:R10062, "mardi")</f>
        <v>0</v>
      </c>
      <c r="Z103" s="24" t="s">
        <v>81</v>
      </c>
      <c r="AA103" s="26">
        <f>COUNTIFS(Données!AQ64:AQ10062, "très satisfaisant", Données!Y64:Y10062, "VISAS", Données!Z64:Z10062, "mardi")</f>
        <v>0</v>
      </c>
      <c r="AB103" s="26">
        <f>COUNTIFS(Données!AQ64:AQ10062, "satisfaisant", Données!Y64:Y10062, "VISAS", Données!Z64:Z10062, "mardi")</f>
        <v>0</v>
      </c>
      <c r="AC103" s="26">
        <f>COUNTIFS(Données!AQ64:AQ10062, "moy. satisfaisant", Données!Y64:Y10062, "VISAS", Données!Z64:Z10062, "mardi")</f>
        <v>0</v>
      </c>
      <c r="AD103" s="26">
        <f>COUNTIFS(Données!AQ64:AQ10062, "pas du tout satisfaisant", Données!Y64:Y10062, "VISAS", Données!Z64:Z10062, "mardi")</f>
        <v>0</v>
      </c>
    </row>
    <row r="104" spans="2:30" ht="15.75" x14ac:dyDescent="0.25">
      <c r="B104" s="21" t="s">
        <v>82</v>
      </c>
      <c r="C104" s="23">
        <f>COUNTIFS(Données!T64:T10062, "très satisfaisant", Données!A64:A10062, "EC", Données!B64:B10062, "mardi")</f>
        <v>0</v>
      </c>
      <c r="D104" s="26">
        <f>COUNTIFS(Données!T64:T10062, "satisfaisant", Données!A64:A10062, "EC", Données!B64:B10062, "mardi")</f>
        <v>0</v>
      </c>
      <c r="E104" s="26">
        <f>COUNTIFS(Données!T64:T10062, "moy. satisfaisant", Données!A64:A10062, "EC", Données!B64:B10062, "mardi")</f>
        <v>0</v>
      </c>
      <c r="F104" s="26">
        <f>COUNTIFS(Données!T64:T10062, "pas du tout satisfaisant", Données!A64:A10062, "EC", Données!B64:B10062, "mardi")</f>
        <v>0</v>
      </c>
      <c r="J104" s="24" t="s">
        <v>82</v>
      </c>
      <c r="K104" s="23">
        <f>COUNTIFS(Données!AB64:AB10062, "très satisfaisant", Données!I64:I10062, "AFE", Données!J64:J10062, "mardi")</f>
        <v>0</v>
      </c>
      <c r="L104" s="26">
        <f>COUNTIFS(Données!AB64:AB10062, "satisfaisant", Données!I64:I10062, "AFE", Données!J64:J10062, "mardi")</f>
        <v>0</v>
      </c>
      <c r="M104" s="26">
        <f>COUNTIFS(Données!AB64:AB10062, "moy. satisfaisant", Données!I64:I10062, "AFE", Données!J64:J10062, "mardi")</f>
        <v>0</v>
      </c>
      <c r="N104" s="26">
        <f>COUNTIFS(Données!AB64:AB10062, "pas du tout satisfaisant", Données!I64:I10062, "AFE", Données!J64:J10062, "mardi")</f>
        <v>0</v>
      </c>
      <c r="R104" s="24" t="s">
        <v>82</v>
      </c>
      <c r="S104" s="23">
        <f>COUNTIFS(Données!AJ64:AJ10062, "très satisfaisant", Données!Q64:Q10062, "AS", Données!R64:R10062, "mardi")</f>
        <v>0</v>
      </c>
      <c r="T104" s="26">
        <f>COUNTIFS(Données!AJ64:AJ10062, "satisfaisant", Données!Q64:Q10062, "AS", Données!R64:R10062, "mardi")</f>
        <v>0</v>
      </c>
      <c r="U104" s="26">
        <f>COUNTIFS(Données!AJ64:AJ10062, "moy. satisfaisant", Données!Q64:Q10062, "AS", Données!R64:R10062, "mardi")</f>
        <v>0</v>
      </c>
      <c r="V104" s="26">
        <f>COUNTIFS(Données!AJ64:AJ10062, "pas du tout satisfaisant", Données!Q64:Q10062, "AS", Données!R64:R10062, "mardi")</f>
        <v>0</v>
      </c>
      <c r="Z104" s="24" t="s">
        <v>82</v>
      </c>
      <c r="AA104" s="23">
        <f>COUNTIFS(Données!AR64:AR10062, "très satisfaisant", Données!Y64:Y10062, "VISAS", Données!Z64:Z10062, "mardi")</f>
        <v>0</v>
      </c>
      <c r="AB104" s="26">
        <f>COUNTIFS(Données!AR64:AR10062, "satisfaisant", Données!Y64:Y10062, "VISAS", Données!Z64:Z10062, "mardi")</f>
        <v>0</v>
      </c>
      <c r="AC104" s="26">
        <f>COUNTIFS(Données!AR64:AR10062, "moy. satisfaisant", Données!Y64:Y10062, "VISAS", Données!Z64:Z10062, "mardi")</f>
        <v>0</v>
      </c>
      <c r="AD104" s="26">
        <f>COUNTIFS(Données!AR64:AR10062, "pas du tout satisfaisant", Données!Y64:Y10062, "VISAS", Données!Z64:Z10062, "mardi")</f>
        <v>0</v>
      </c>
    </row>
    <row r="105" spans="2:30" ht="21" x14ac:dyDescent="0.25">
      <c r="B105" s="28" t="s">
        <v>84</v>
      </c>
      <c r="C105" s="30" t="s">
        <v>5</v>
      </c>
      <c r="D105" s="30" t="s">
        <v>6</v>
      </c>
      <c r="E105" s="26"/>
      <c r="F105" s="26"/>
      <c r="J105" s="28" t="s">
        <v>84</v>
      </c>
      <c r="K105" s="30" t="s">
        <v>5</v>
      </c>
      <c r="L105" s="30" t="s">
        <v>6</v>
      </c>
      <c r="M105" s="26"/>
      <c r="N105" s="26"/>
      <c r="R105" s="28" t="s">
        <v>84</v>
      </c>
      <c r="S105" s="30" t="s">
        <v>5</v>
      </c>
      <c r="T105" s="30" t="s">
        <v>6</v>
      </c>
      <c r="U105" s="26"/>
      <c r="V105" s="26"/>
      <c r="Z105" s="28" t="s">
        <v>84</v>
      </c>
      <c r="AA105" s="30" t="s">
        <v>5</v>
      </c>
      <c r="AB105" s="30" t="s">
        <v>6</v>
      </c>
      <c r="AC105" s="26"/>
      <c r="AD105" s="26"/>
    </row>
    <row r="106" spans="2:30" ht="15.75" x14ac:dyDescent="0.25">
      <c r="B106" s="33" t="s">
        <v>99</v>
      </c>
      <c r="C106" s="23">
        <f>COUNTIFS(Données!U64:U10062, "oui", Données!A64:A10062, "EC", Données!B64:B10062, "mardi")</f>
        <v>0</v>
      </c>
      <c r="D106" s="23">
        <f>COUNTIFS(Données!U64:U10062, "oui", Données!A64:A10062, "EC", Données!B64:B10062, "mardi")</f>
        <v>0</v>
      </c>
      <c r="E106" s="23"/>
      <c r="F106" s="23"/>
      <c r="J106" s="33" t="s">
        <v>99</v>
      </c>
      <c r="K106" s="23">
        <f>COUNTIFS(Données!AC64:AC10062, "oui", Données!I64:I10062, "AFE", Données!J64:J10062, "mardi")</f>
        <v>0</v>
      </c>
      <c r="L106" s="23">
        <f>COUNTIFS(Données!AC64:AC10062, "oui", Données!I64:I10062, "AFE", Données!J64:J10062, "mardi")</f>
        <v>0</v>
      </c>
      <c r="M106" s="23"/>
      <c r="N106" s="23"/>
      <c r="R106" s="33" t="s">
        <v>99</v>
      </c>
      <c r="S106" s="23">
        <f>COUNTIFS(Données!AK64:AK10062, "oui", Données!Q64:Q10062, "AS", Données!R64:R10062, "mardi")</f>
        <v>0</v>
      </c>
      <c r="T106" s="23">
        <f>COUNTIFS(Données!AK64:AK10062, "oui", Données!Q64:Q10062, "AS", Données!R64:R10062, "mardi")</f>
        <v>0</v>
      </c>
      <c r="U106" s="23"/>
      <c r="V106" s="23"/>
      <c r="Z106" s="33" t="s">
        <v>99</v>
      </c>
      <c r="AA106" s="23">
        <f>COUNTIFS(Données!AS64:AS10062, "oui", Données!Y64:Y10062, "VISAS", Données!Z64:Z10062, "mardi")</f>
        <v>0</v>
      </c>
      <c r="AB106" s="23">
        <f>COUNTIFS(Données!AS64:AS10062, "oui", Données!Y64:Y10062, "VISAS", Données!Z64:Z10062, "mardi")</f>
        <v>0</v>
      </c>
      <c r="AC106" s="31"/>
      <c r="AD106" s="31"/>
    </row>
    <row r="107" spans="2:30" ht="15" customHeight="1" x14ac:dyDescent="0.25">
      <c r="B107" s="43" t="s">
        <v>100</v>
      </c>
      <c r="C107" s="44" t="s">
        <v>37</v>
      </c>
      <c r="D107" s="44" t="s">
        <v>38</v>
      </c>
      <c r="E107" s="23"/>
      <c r="F107" s="23"/>
      <c r="J107" s="43" t="s">
        <v>100</v>
      </c>
      <c r="K107" s="44" t="s">
        <v>37</v>
      </c>
      <c r="L107" s="44" t="s">
        <v>38</v>
      </c>
      <c r="M107" s="23"/>
      <c r="N107" s="23"/>
      <c r="R107" s="43" t="s">
        <v>100</v>
      </c>
      <c r="S107" s="44" t="s">
        <v>37</v>
      </c>
      <c r="T107" s="44" t="s">
        <v>38</v>
      </c>
      <c r="U107" s="23"/>
      <c r="V107" s="23"/>
      <c r="Z107" s="43" t="s">
        <v>100</v>
      </c>
      <c r="AA107" s="44" t="s">
        <v>37</v>
      </c>
      <c r="AB107" s="44" t="s">
        <v>38</v>
      </c>
      <c r="AC107" s="31"/>
      <c r="AD107" s="31"/>
    </row>
    <row r="108" spans="2:30" ht="15" customHeight="1" x14ac:dyDescent="0.25">
      <c r="B108" s="43"/>
      <c r="C108" s="44"/>
      <c r="D108" s="44"/>
      <c r="E108" s="23"/>
      <c r="F108" s="23"/>
      <c r="J108" s="43"/>
      <c r="K108" s="44"/>
      <c r="L108" s="44"/>
      <c r="M108" s="23"/>
      <c r="N108" s="23"/>
      <c r="R108" s="43"/>
      <c r="S108" s="44"/>
      <c r="T108" s="44"/>
      <c r="U108" s="23"/>
      <c r="V108" s="23"/>
      <c r="Z108" s="43"/>
      <c r="AA108" s="44"/>
      <c r="AB108" s="44"/>
      <c r="AC108" s="31"/>
      <c r="AD108" s="31"/>
    </row>
    <row r="109" spans="2:30" ht="15" customHeight="1" x14ac:dyDescent="0.25">
      <c r="B109" s="43"/>
      <c r="C109" s="23">
        <f>COUNTIFS(Données!V64:V10062, "A l'heure", Données!A64:A10062, "EC", Données!B64:B10062, "mardi")</f>
        <v>0</v>
      </c>
      <c r="D109" s="23">
        <f>COUNTIFS(Données!V64:V10062, "En retard", Données!A64:A10062, "EC", Données!B64:B10062, "mardi")</f>
        <v>0</v>
      </c>
      <c r="E109" s="23"/>
      <c r="F109" s="23"/>
      <c r="J109" s="43"/>
      <c r="K109" s="23">
        <f>COUNTIFS(Données!AD64:AD10062, "A l'heure", Données!I64:I10062, "AFE", Données!J64:J10062, "mardi")</f>
        <v>0</v>
      </c>
      <c r="L109" s="23">
        <f>COUNTIFS(Données!AD64:AD10062, "En retard", Données!I64:I10062, "AFE", Données!J64:J10062, "mardi")</f>
        <v>0</v>
      </c>
      <c r="M109" s="23"/>
      <c r="N109" s="23"/>
      <c r="R109" s="43"/>
      <c r="S109" s="23">
        <f>COUNTIFS(Données!AL64:AL10062, "A l'heure", Données!Q64:Q10062, "AS", Données!R64:R10062, "mardi")</f>
        <v>0</v>
      </c>
      <c r="T109" s="23">
        <f>COUNTIFS(Données!AL64:AL10062, "En retard", Données!Q64:Q10062, "AS", Données!R64:R10062, "mardi")</f>
        <v>0</v>
      </c>
      <c r="U109" s="23"/>
      <c r="V109" s="23"/>
      <c r="Z109" s="43"/>
      <c r="AA109" s="23">
        <f>COUNTIFS(Données!AT64:AT10062, "A l'heure", Données!Y64:Y10062, "VISAS", Données!Z64:Z10062, "mardi")</f>
        <v>0</v>
      </c>
      <c r="AB109" s="23">
        <f>COUNTIFS(Données!AT64:AT10062, "En retard", Données!Y64:Y10062, "VISAS", Données!Z64:Z10062, "mardi")</f>
        <v>0</v>
      </c>
      <c r="AC109" s="31"/>
      <c r="AD109" s="31"/>
    </row>
    <row r="110" spans="2:30" ht="15" customHeight="1" x14ac:dyDescent="0.25">
      <c r="B110" s="45" t="s">
        <v>101</v>
      </c>
      <c r="C110" s="37" t="s">
        <v>40</v>
      </c>
      <c r="D110" s="38" t="s">
        <v>41</v>
      </c>
      <c r="E110" s="39" t="s">
        <v>42</v>
      </c>
      <c r="F110" s="46" t="s">
        <v>85</v>
      </c>
      <c r="J110" s="45" t="s">
        <v>101</v>
      </c>
      <c r="K110" s="37" t="s">
        <v>40</v>
      </c>
      <c r="L110" s="38" t="s">
        <v>41</v>
      </c>
      <c r="M110" s="39" t="s">
        <v>42</v>
      </c>
      <c r="N110" s="46" t="s">
        <v>85</v>
      </c>
      <c r="R110" s="45" t="s">
        <v>101</v>
      </c>
      <c r="S110" s="37" t="s">
        <v>40</v>
      </c>
      <c r="T110" s="38" t="s">
        <v>41</v>
      </c>
      <c r="U110" s="39" t="s">
        <v>42</v>
      </c>
      <c r="V110" s="46" t="s">
        <v>85</v>
      </c>
      <c r="Z110" s="45" t="s">
        <v>101</v>
      </c>
      <c r="AA110" s="37" t="s">
        <v>40</v>
      </c>
      <c r="AB110" s="38" t="s">
        <v>41</v>
      </c>
      <c r="AC110" s="39" t="s">
        <v>42</v>
      </c>
      <c r="AD110" s="46" t="s">
        <v>85</v>
      </c>
    </row>
    <row r="111" spans="2:30" ht="15" customHeight="1" x14ac:dyDescent="0.25">
      <c r="B111" s="45"/>
      <c r="C111" s="37"/>
      <c r="D111" s="38"/>
      <c r="E111" s="39"/>
      <c r="F111" s="46"/>
      <c r="J111" s="45"/>
      <c r="K111" s="37"/>
      <c r="L111" s="38"/>
      <c r="M111" s="39"/>
      <c r="N111" s="46"/>
      <c r="R111" s="45"/>
      <c r="S111" s="37"/>
      <c r="T111" s="38"/>
      <c r="U111" s="39"/>
      <c r="V111" s="46"/>
      <c r="Z111" s="45"/>
      <c r="AA111" s="37"/>
      <c r="AB111" s="38"/>
      <c r="AC111" s="39"/>
      <c r="AD111" s="46"/>
    </row>
    <row r="112" spans="2:30" ht="15" customHeight="1" x14ac:dyDescent="0.25">
      <c r="B112" s="45"/>
      <c r="C112" s="23">
        <f>COUNTIFS(Données!W64:W10062, "0-15", Données!A64:A10062, "EC", Données!B64:B10062, "mardi")</f>
        <v>0</v>
      </c>
      <c r="D112" s="23">
        <f>COUNTIFS(Données!W64:W10062, "15-30", Données!A64:A10062, "EC", Données!B64:B10062, "mardi")</f>
        <v>0</v>
      </c>
      <c r="E112" s="23">
        <f>COUNTIFS(Données!W64:W10062, "30-60", Données!A64:A10062, "EC", Données!B64:B10062, "mardi")</f>
        <v>0</v>
      </c>
      <c r="F112" s="23">
        <f>COUNTIFS(Données!W64:W10062, "plus 60", Données!A64:A10062, "EC", Données!B64:B10062, "mardi")</f>
        <v>0</v>
      </c>
      <c r="J112" s="45"/>
      <c r="K112" s="23">
        <f>COUNTIFS(Données!AE64:AE10062, "0-15", Données!I64:I10062, "AFE", Données!J64:J10062, "mardi")</f>
        <v>0</v>
      </c>
      <c r="L112" s="23">
        <f>COUNTIFS(Données!AE64:AE10062, "15-30", Données!I64:I10062, "AFE", Données!J64:J10062, "mardi")</f>
        <v>0</v>
      </c>
      <c r="M112" s="23">
        <f>COUNTIFS(Données!AE64:AE10062, "30-60", Données!I64:I10062, "AFE", Données!J64:J10062, "mardi")</f>
        <v>0</v>
      </c>
      <c r="N112" s="23">
        <f>COUNTIFS(Données!AE64:AE10062, "plus 60", Données!I64:I10062, "AFE", Données!J64:J10062, "mardi")</f>
        <v>0</v>
      </c>
      <c r="R112" s="45"/>
      <c r="S112" s="23">
        <f>COUNTIFS(Données!AM64:AM10062, "0-15", Données!Q64:Q10062, "AS", Données!R64:R10062, "mardi")</f>
        <v>0</v>
      </c>
      <c r="T112" s="23">
        <f>COUNTIFS(Données!AM64:AM10062, "15-30", Données!Q64:Q10062, "AS", Données!R64:R10062, "mardi")</f>
        <v>0</v>
      </c>
      <c r="U112" s="23">
        <f>COUNTIFS(Données!AM64:AM10062, "30-60", Données!Q64:Q10062, "AS", Données!R64:R10062, "mardi")</f>
        <v>0</v>
      </c>
      <c r="V112" s="23">
        <f>COUNTIFS(Données!AM64:AM10062, "plus 60", Données!Q64:Q10062, "AS", Données!R64:R10062, "mardi")</f>
        <v>0</v>
      </c>
      <c r="Z112" s="45"/>
      <c r="AA112" s="23">
        <f>COUNTIFS(Données!AU64:AU10062, "0-15", Données!Y64:Y10062, "VISAS", Données!Z64:Z10062, "mardi")</f>
        <v>0</v>
      </c>
      <c r="AB112" s="23">
        <f>COUNTIFS(Données!AU64:AU10062, "15-30", Données!Y64:Y10062, "VISAS", Données!Z64:Z10062, "mardi")</f>
        <v>0</v>
      </c>
      <c r="AC112" s="23">
        <f>COUNTIFS(Données!AU64:AU10062, "30-60", Données!Y64:Y10062, "VISAS", Données!Z64:Z10062, "mardi")</f>
        <v>0</v>
      </c>
      <c r="AD112" s="23">
        <f>COUNTIFS(Données!AU64:AU10062, "plus 60", Données!Y64:Y10062, "VISAS", Données!Z64:Z10062, "mardi")</f>
        <v>0</v>
      </c>
    </row>
    <row r="113" spans="1:30" ht="15" customHeight="1" x14ac:dyDescent="0.25">
      <c r="B113" s="41" t="s">
        <v>102</v>
      </c>
      <c r="C113" s="37" t="s">
        <v>40</v>
      </c>
      <c r="D113" s="38" t="s">
        <v>41</v>
      </c>
      <c r="E113" s="39" t="s">
        <v>42</v>
      </c>
      <c r="F113" s="40" t="s">
        <v>85</v>
      </c>
      <c r="J113" s="41" t="s">
        <v>102</v>
      </c>
      <c r="K113" s="37" t="s">
        <v>40</v>
      </c>
      <c r="L113" s="38" t="s">
        <v>41</v>
      </c>
      <c r="M113" s="39" t="s">
        <v>42</v>
      </c>
      <c r="N113" s="40" t="s">
        <v>85</v>
      </c>
      <c r="R113" s="41" t="s">
        <v>102</v>
      </c>
      <c r="S113" s="37" t="s">
        <v>40</v>
      </c>
      <c r="T113" s="38" t="s">
        <v>41</v>
      </c>
      <c r="U113" s="39" t="s">
        <v>42</v>
      </c>
      <c r="V113" s="40" t="s">
        <v>85</v>
      </c>
      <c r="Z113" s="41" t="s">
        <v>102</v>
      </c>
      <c r="AA113" s="37" t="s">
        <v>40</v>
      </c>
      <c r="AB113" s="38" t="s">
        <v>41</v>
      </c>
      <c r="AC113" s="39" t="s">
        <v>42</v>
      </c>
      <c r="AD113" s="40" t="s">
        <v>85</v>
      </c>
    </row>
    <row r="114" spans="1:30" ht="15" customHeight="1" x14ac:dyDescent="0.25">
      <c r="B114" s="41"/>
      <c r="C114" s="37"/>
      <c r="D114" s="38"/>
      <c r="E114" s="39"/>
      <c r="F114" s="40"/>
      <c r="J114" s="41"/>
      <c r="K114" s="37"/>
      <c r="L114" s="38"/>
      <c r="M114" s="39"/>
      <c r="N114" s="40"/>
      <c r="R114" s="41"/>
      <c r="S114" s="37"/>
      <c r="T114" s="38"/>
      <c r="U114" s="39"/>
      <c r="V114" s="40"/>
      <c r="Z114" s="41"/>
      <c r="AA114" s="37"/>
      <c r="AB114" s="38"/>
      <c r="AC114" s="39"/>
      <c r="AD114" s="40"/>
    </row>
    <row r="115" spans="1:30" ht="15" customHeight="1" x14ac:dyDescent="0.25">
      <c r="B115" s="42"/>
      <c r="C115" s="23">
        <f>COUNTIFS(Données!X64:X10062, "0-15", Données!A64:A10062, "EC", Données!B64:B10062, "mardi")</f>
        <v>0</v>
      </c>
      <c r="D115" s="23">
        <f>COUNTIFS(Données!X64:X10062, "15-30", Données!A64:A10062, "EC", Données!B64:B10062, "mardi")</f>
        <v>0</v>
      </c>
      <c r="E115" s="23">
        <f>COUNTIFS(Données!X64:X10062, "30-60", Données!A64:A10062, "EC", Données!B64:B10062, "mardi")</f>
        <v>0</v>
      </c>
      <c r="F115" s="23">
        <f>COUNTIFS(Données!X64:X10062, "plus 60", Données!A64:A10062, "EC", Données!B64:B10062, "mardi")</f>
        <v>0</v>
      </c>
      <c r="J115" s="42"/>
      <c r="K115" s="23">
        <f>COUNTIFS(Données!AF64:AF10062, "0-15", Données!I64:I10062, "AFE", Données!J64:J10062, "mardi")</f>
        <v>0</v>
      </c>
      <c r="L115" s="23">
        <f>COUNTIFS(Données!AF64:AF10062, "15-30", Données!I64:I10062, "AFE", Données!J64:J10062, "mardi")</f>
        <v>0</v>
      </c>
      <c r="M115" s="23">
        <f>COUNTIFS(Données!AF64:AF10062, "30-60", Données!I64:I10062, "AFE", Données!J64:J10062, "mardi")</f>
        <v>0</v>
      </c>
      <c r="N115" s="23">
        <f>COUNTIFS(Données!AF64:AF10062, "plus 60", Données!I64:I10062, "AFE", Données!J64:J10062, "mardi")</f>
        <v>0</v>
      </c>
      <c r="R115" s="42"/>
      <c r="S115" s="23">
        <f>COUNTIFS(Données!AN64:AN10062, "0-15", Données!Q64:Q10062, "AS", Données!R64:R10062, "mardi")</f>
        <v>0</v>
      </c>
      <c r="T115" s="23">
        <f>COUNTIFS(Données!AN64:AN10062, "15-30", Données!Q64:Q10062, "AS", Données!R64:R10062, "mardi")</f>
        <v>0</v>
      </c>
      <c r="U115" s="23">
        <f>COUNTIFS(Données!AN64:AN10062, "30-60", Données!Q64:Q10062, "AS", Données!R64:R10062, "mardi")</f>
        <v>0</v>
      </c>
      <c r="V115" s="23">
        <f>COUNTIFS(Données!AN64:AN10062, "plus 60", Données!Q64:Q10062, "AS", Données!R64:R10062, "mardi")</f>
        <v>0</v>
      </c>
      <c r="Z115" s="42"/>
      <c r="AA115" s="23">
        <f>COUNTIFS(Données!AV64:AV10062, "0-15", Données!Y64:Y10062, "VISAS", Données!Z64:Z10062, "mardi")</f>
        <v>0</v>
      </c>
      <c r="AB115" s="23">
        <f>COUNTIFS(Données!AV64:AV10062, "15-30", Données!Y64:Y10062, "VISAS", Données!Z64:Z10062, "mardi")</f>
        <v>0</v>
      </c>
      <c r="AC115" s="23">
        <f>COUNTIFS(Données!AV64:AV10062, "30-60", Données!Y64:Y10062, "VISAS", Données!Z64:Z10062, "mardi")</f>
        <v>0</v>
      </c>
      <c r="AD115" s="23">
        <f>COUNTIFS(Données!AV64:AV10062, "plus 60", Données!Y64:Y10062, "VISAS", Données!Z64:Z10062, "mardi")</f>
        <v>0</v>
      </c>
    </row>
    <row r="116" spans="1:30" ht="21" x14ac:dyDescent="0.25">
      <c r="B116" s="28" t="s">
        <v>86</v>
      </c>
      <c r="C116" s="22" t="s">
        <v>5</v>
      </c>
      <c r="D116" s="22" t="s">
        <v>6</v>
      </c>
      <c r="E116" s="23"/>
      <c r="F116" s="23"/>
      <c r="J116" s="28" t="s">
        <v>86</v>
      </c>
      <c r="K116" s="22" t="s">
        <v>5</v>
      </c>
      <c r="L116" s="22" t="s">
        <v>6</v>
      </c>
      <c r="M116" s="23"/>
      <c r="N116" s="23"/>
      <c r="R116" s="28" t="s">
        <v>86</v>
      </c>
      <c r="S116" s="22" t="s">
        <v>5</v>
      </c>
      <c r="T116" s="22" t="s">
        <v>6</v>
      </c>
      <c r="U116" s="23"/>
      <c r="V116" s="23"/>
      <c r="Z116" s="28" t="s">
        <v>86</v>
      </c>
      <c r="AA116" s="22" t="s">
        <v>5</v>
      </c>
      <c r="AB116" s="22" t="s">
        <v>6</v>
      </c>
      <c r="AC116" s="23"/>
      <c r="AD116" s="23"/>
    </row>
    <row r="117" spans="1:30" ht="15.75" x14ac:dyDescent="0.25">
      <c r="B117" s="35" t="s">
        <v>88</v>
      </c>
      <c r="C117" s="23">
        <f>COUNTIFS(Données!Z64:Z10062, "oui", Données!A64:A10062, "EC", Données!B64:B10062, "mardi")</f>
        <v>0</v>
      </c>
      <c r="D117" s="23">
        <f>COUNTIFS(Données!Z64:Z10062, "non", Données!A64:A10062, "EC", Données!B64:B10062, "mardi")</f>
        <v>0</v>
      </c>
      <c r="E117" s="23"/>
      <c r="F117" s="23"/>
      <c r="J117" s="35" t="s">
        <v>88</v>
      </c>
      <c r="K117" s="23">
        <f>COUNTIFS(Données!AH64:AH10062, "oui", Données!I64:I10062, "AFE", Données!J64:J10062, "mardi")</f>
        <v>0</v>
      </c>
      <c r="L117" s="23">
        <f>COUNTIFS(Données!AH64:AH10062, "non", Données!I64:I10062, "AFE", Données!J64:J10062, "mardi")</f>
        <v>0</v>
      </c>
      <c r="M117" s="23"/>
      <c r="N117" s="23"/>
      <c r="R117" s="35" t="s">
        <v>88</v>
      </c>
      <c r="S117" s="23">
        <f>COUNTIFS(Données!AP64:AP10062, "oui", Données!Q64:Q10062, "AS", Données!R64:R10062, "mardi")</f>
        <v>0</v>
      </c>
      <c r="T117" s="23">
        <f>COUNTIFS(Données!AP64:AP10062, "non", Données!Q64:Q10062, "AS", Données!R64:R10062, "mardi")</f>
        <v>0</v>
      </c>
      <c r="U117" s="23"/>
      <c r="V117" s="23"/>
      <c r="Z117" s="35" t="s">
        <v>88</v>
      </c>
      <c r="AA117" s="23">
        <f>COUNTIFS(Données!AX64:AX10062, "oui", Données!Y64:Y10062, "VISAS", Données!Z64:Z10062, "mardi")</f>
        <v>0</v>
      </c>
      <c r="AB117" s="23">
        <f>COUNTIFS(Données!AX64:AX10062, "non", Données!Y64:Y10062, "VISAS", Données!Z64:Z10062, "mardi")</f>
        <v>0</v>
      </c>
      <c r="AC117" s="23"/>
      <c r="AD117" s="23"/>
    </row>
    <row r="118" spans="1:30" ht="15.75" x14ac:dyDescent="0.25">
      <c r="B118" s="34" t="s">
        <v>89</v>
      </c>
      <c r="C118" s="23">
        <f>COUNTIFS(Données!AA64:AA10062, "oui", Données!A64:A10062, "EC", Données!B64:B10062, "mardi")</f>
        <v>0</v>
      </c>
      <c r="D118" s="23">
        <f>COUNTIFS(Données!AA64:AA10062, "non", Données!A64:A10062, "EC", Données!B64:B10062, "mardi")</f>
        <v>0</v>
      </c>
      <c r="E118" s="23"/>
      <c r="F118" s="23"/>
      <c r="J118" s="34" t="s">
        <v>89</v>
      </c>
      <c r="K118" s="23">
        <f>COUNTIFS(Données!AI64:AI10062, "oui", Données!I64:I10062, "AFE", Données!J64:J10062, "mardi")</f>
        <v>0</v>
      </c>
      <c r="L118" s="23">
        <f>COUNTIFS(Données!AI64:AI10062, "non", Données!I64:I10062, "AFE", Données!J64:J10062, "mardi")</f>
        <v>0</v>
      </c>
      <c r="M118" s="23"/>
      <c r="N118" s="23"/>
      <c r="R118" s="34" t="s">
        <v>89</v>
      </c>
      <c r="S118" s="23">
        <f>COUNTIFS(Données!AQ64:AQ10062, "oui", Données!Q64:Q10062, "AS", Données!R64:R10062, "mardi")</f>
        <v>0</v>
      </c>
      <c r="T118" s="23">
        <f>COUNTIFS(Données!AQ64:AQ10062, "non", Données!Q64:Q10062, "AS", Données!R64:R10062, "mardi")</f>
        <v>0</v>
      </c>
      <c r="U118" s="23"/>
      <c r="V118" s="23"/>
      <c r="Z118" s="34" t="s">
        <v>89</v>
      </c>
      <c r="AA118" s="23">
        <f>COUNTIFS(Données!AY64:AY10062, "oui", Données!Y64:Y10062, "VISAS", Données!Z64:Z10062, "mardi")</f>
        <v>0</v>
      </c>
      <c r="AB118" s="23">
        <f>COUNTIFS(Données!AY64:AY10062, "non", Données!Y64:Y10062, "VISAS", Données!Z64:Z10062, "mardi")</f>
        <v>0</v>
      </c>
      <c r="AC118" s="23"/>
      <c r="AD118" s="23"/>
    </row>
    <row r="119" spans="1:30" ht="15.75" x14ac:dyDescent="0.25">
      <c r="B119" s="21" t="s">
        <v>90</v>
      </c>
      <c r="C119" s="23">
        <f>COUNTIFS(Données!AB64:AB10062, "oui", Données!A64:A10062, "EC", Données!B64:B10062, "mardi")</f>
        <v>0</v>
      </c>
      <c r="D119" s="23">
        <f>COUNTIFS(Données!AB64:AB10062, "non", Données!A64:A10062, "EC", Données!B64:B10062, "mardi")</f>
        <v>0</v>
      </c>
      <c r="E119" s="23"/>
      <c r="F119" s="23"/>
      <c r="J119" s="24" t="s">
        <v>90</v>
      </c>
      <c r="K119" s="23">
        <f>COUNTIFS(Données!AJ64:AJ10062, "oui", Données!I64:I10062, "AFE", Données!J64:J10062, "mardi")</f>
        <v>0</v>
      </c>
      <c r="L119" s="23">
        <f>COUNTIFS(Données!AJ64:AJ10062, "non", Données!I64:I10062, "AFE", Données!J64:J10062, "mardi")</f>
        <v>0</v>
      </c>
      <c r="M119" s="23"/>
      <c r="N119" s="23"/>
      <c r="R119" s="24" t="s">
        <v>90</v>
      </c>
      <c r="S119" s="23">
        <f>COUNTIFS(Données!AR64:AR10062, "oui", Données!Q64:Q10062, "AS", Données!R64:R10062, "mardi")</f>
        <v>0</v>
      </c>
      <c r="T119" s="23">
        <f>COUNTIFS(Données!AR64:AR10062, "non", Données!Q64:Q10062, "AS", Données!R64:R10062, "mardi")</f>
        <v>0</v>
      </c>
      <c r="U119" s="23"/>
      <c r="V119" s="23"/>
      <c r="Z119" s="24" t="s">
        <v>90</v>
      </c>
      <c r="AA119" s="23">
        <f>COUNTIFS(Données!AZ64:AZ10062, "oui", Données!Y64:Y10062, "VISAS", Données!Z64:Z10062, "mardi")</f>
        <v>0</v>
      </c>
      <c r="AB119" s="23">
        <f>COUNTIFS(Données!AZ64:AZ10062, "non", Données!Y64:Y10062, "VISAS", Données!Z64:Z10062, "mardi")</f>
        <v>0</v>
      </c>
      <c r="AC119" s="23"/>
      <c r="AD119" s="23"/>
    </row>
    <row r="120" spans="1:30" ht="15" customHeight="1" x14ac:dyDescent="0.25">
      <c r="B120" s="36" t="s">
        <v>91</v>
      </c>
      <c r="C120" s="37" t="s">
        <v>79</v>
      </c>
      <c r="D120" s="38" t="s">
        <v>34</v>
      </c>
      <c r="E120" s="39" t="s">
        <v>83</v>
      </c>
      <c r="F120" s="40" t="s">
        <v>35</v>
      </c>
      <c r="J120" s="36" t="s">
        <v>91</v>
      </c>
      <c r="K120" s="37" t="s">
        <v>79</v>
      </c>
      <c r="L120" s="38" t="s">
        <v>34</v>
      </c>
      <c r="M120" s="39" t="s">
        <v>83</v>
      </c>
      <c r="N120" s="40" t="s">
        <v>35</v>
      </c>
      <c r="R120" s="36" t="s">
        <v>91</v>
      </c>
      <c r="S120" s="37" t="s">
        <v>79</v>
      </c>
      <c r="T120" s="38" t="s">
        <v>34</v>
      </c>
      <c r="U120" s="39" t="s">
        <v>83</v>
      </c>
      <c r="V120" s="40" t="s">
        <v>35</v>
      </c>
      <c r="Z120" s="36" t="s">
        <v>91</v>
      </c>
      <c r="AA120" s="37" t="s">
        <v>79</v>
      </c>
      <c r="AB120" s="38" t="s">
        <v>34</v>
      </c>
      <c r="AC120" s="39" t="s">
        <v>83</v>
      </c>
      <c r="AD120" s="40" t="s">
        <v>35</v>
      </c>
    </row>
    <row r="121" spans="1:30" ht="15" customHeight="1" x14ac:dyDescent="0.25">
      <c r="B121" s="36"/>
      <c r="C121" s="37"/>
      <c r="D121" s="38"/>
      <c r="E121" s="39"/>
      <c r="F121" s="40"/>
      <c r="J121" s="36"/>
      <c r="K121" s="37"/>
      <c r="L121" s="38"/>
      <c r="M121" s="39"/>
      <c r="N121" s="40"/>
      <c r="R121" s="36"/>
      <c r="S121" s="37"/>
      <c r="T121" s="38"/>
      <c r="U121" s="39"/>
      <c r="V121" s="40"/>
      <c r="Z121" s="36"/>
      <c r="AA121" s="37"/>
      <c r="AB121" s="38"/>
      <c r="AC121" s="39"/>
      <c r="AD121" s="40"/>
    </row>
    <row r="122" spans="1:30" ht="15" customHeight="1" x14ac:dyDescent="0.25">
      <c r="B122" s="36"/>
      <c r="C122" s="26">
        <f>COUNTIFS(Données!AC64:AC10062, "très satisfaisant", Données!A64:A10062, "EC", Données!B64:B10062, "mardi")</f>
        <v>0</v>
      </c>
      <c r="D122" s="26">
        <f>COUNTIFS(Données!AC64:AC10062, "satisfaisant", Données!A64:A10062, "EC", Données!B64:B10062, "mardi")</f>
        <v>0</v>
      </c>
      <c r="E122" s="26">
        <f>COUNTIFS(Données!AC64:AC10062, "moy. satisfaisant", Données!A64:A10062, "EC", Données!B64:B10062, "mardi")</f>
        <v>0</v>
      </c>
      <c r="F122" s="26">
        <f>COUNTIFS(Données!AC64:AC10062, "pas du tout satisfaisant", Données!A64:A10062, "EC", Données!B64:B10062, "mardi")</f>
        <v>0</v>
      </c>
      <c r="J122" s="36"/>
      <c r="K122" s="26">
        <f>COUNTIFS(Données!AK64:AK10062, "très satisfaisant", Données!I64:I10062, "AFE", Données!J64:J10062, "mardi")</f>
        <v>0</v>
      </c>
      <c r="L122" s="26">
        <f>COUNTIFS(Données!AK64:AK10062, "satisfaisant", Données!I64:I10062, "AFE", Données!J64:J10062, "mardi")</f>
        <v>0</v>
      </c>
      <c r="M122" s="26">
        <f>COUNTIFS(Données!AK64:AK10062, "moy. satisfaisant", Données!I64:I10062, "AFE", Données!J64:J10062, "mardi")</f>
        <v>0</v>
      </c>
      <c r="N122" s="26">
        <f>COUNTIFS(Données!AK64:AK10062, "pas du tout satisfaisant", Données!I64:I10062, "AFE", Données!J64:J10062, "mardi")</f>
        <v>0</v>
      </c>
      <c r="R122" s="36"/>
      <c r="S122" s="26">
        <f>COUNTIFS(Données!AS64:AS10062, "très satisfaisant", Données!Q64:Q10062, "AS", Données!R64:R10062, "mardi")</f>
        <v>0</v>
      </c>
      <c r="T122" s="26">
        <f>COUNTIFS(Données!AS64:AS10062, "satisfaisant", Données!Q64:Q10062, "AS", Données!R64:R10062, "mardi")</f>
        <v>0</v>
      </c>
      <c r="U122" s="26">
        <f>COUNTIFS(Données!AS64:AS10062, "moy. satisfaisant", Données!Q64:Q10062, "AS", Données!R64:R10062, "mardi")</f>
        <v>0</v>
      </c>
      <c r="V122" s="26">
        <f>COUNTIFS(Données!AS64:AS10062, "pas du tout satisfaisant", Données!Q64:Q10062, "AS", Données!R64:R10062, "mardi")</f>
        <v>0</v>
      </c>
      <c r="Z122" s="36"/>
      <c r="AA122" s="26">
        <f>COUNTIFS(Données!BA64:BA10062, "très satisfaisant", Données!Y64:Y10062, "VISAS", Données!Z64:Z10062, "mardi")</f>
        <v>0</v>
      </c>
      <c r="AB122" s="26">
        <f>COUNTIFS(Données!BA64:BA10062, "satisfaisant", Données!Y64:Y10062, "VISAS", Données!Z64:Z10062, "mardi")</f>
        <v>0</v>
      </c>
      <c r="AC122" s="26">
        <f>COUNTIFS(Données!BA64:BA10062, "moy. satisfaisant", Données!Y64:Y10062, "VISAS", Données!Z64:Z10062, "mardi")</f>
        <v>0</v>
      </c>
      <c r="AD122" s="26">
        <f>COUNTIFS(Données!BA64:BA10062, "pas du tout satisfaisant", Données!Y64:Y10062, "VISAS", Données!Z64:Z10062, "mardi")</f>
        <v>0</v>
      </c>
    </row>
    <row r="123" spans="1:30" ht="15" customHeight="1" x14ac:dyDescent="0.25">
      <c r="C123" s="26"/>
      <c r="D123" s="26"/>
      <c r="E123" s="26"/>
      <c r="F123" s="26"/>
      <c r="K123" s="26"/>
      <c r="L123" s="26"/>
      <c r="M123" s="26"/>
      <c r="N123" s="26"/>
      <c r="S123" s="26"/>
      <c r="T123" s="26"/>
      <c r="U123" s="26"/>
      <c r="V123" s="26"/>
    </row>
    <row r="124" spans="1:30" ht="15" customHeight="1" x14ac:dyDescent="0.25">
      <c r="C124" s="26"/>
      <c r="D124" s="26"/>
      <c r="E124" s="26"/>
      <c r="F124" s="26"/>
      <c r="K124" s="26"/>
      <c r="L124" s="26"/>
      <c r="M124" s="26"/>
      <c r="N124" s="26"/>
      <c r="S124" s="26"/>
      <c r="T124" s="26"/>
      <c r="U124" s="26"/>
      <c r="V124" s="26"/>
    </row>
    <row r="125" spans="1:30" x14ac:dyDescent="0.25">
      <c r="C125" s="26"/>
      <c r="D125" s="26"/>
      <c r="E125" s="26"/>
      <c r="F125" s="26"/>
      <c r="K125" s="26"/>
      <c r="L125" s="26"/>
      <c r="M125" s="26"/>
      <c r="N125" s="26"/>
      <c r="S125" s="26"/>
      <c r="T125" s="26"/>
      <c r="U125" s="26"/>
      <c r="V125" s="26"/>
    </row>
    <row r="126" spans="1:30" x14ac:dyDescent="0.25">
      <c r="C126" s="26"/>
      <c r="D126" s="26"/>
      <c r="E126" s="26"/>
      <c r="F126" s="26"/>
      <c r="K126" s="26"/>
      <c r="L126" s="26"/>
      <c r="M126" s="26"/>
      <c r="N126" s="26"/>
      <c r="S126" s="26"/>
      <c r="T126" s="26"/>
      <c r="U126" s="26"/>
      <c r="V126" s="26"/>
    </row>
    <row r="127" spans="1:30" ht="15" customHeight="1" x14ac:dyDescent="0.25">
      <c r="A127" s="57" t="s">
        <v>104</v>
      </c>
      <c r="B127" s="55" t="s">
        <v>51</v>
      </c>
      <c r="C127" s="55" t="s">
        <v>87</v>
      </c>
      <c r="D127" s="55"/>
      <c r="E127" s="55"/>
      <c r="F127" s="55"/>
      <c r="I127" s="59" t="s">
        <v>104</v>
      </c>
      <c r="J127" s="55" t="s">
        <v>0</v>
      </c>
      <c r="K127" s="55" t="s">
        <v>87</v>
      </c>
      <c r="L127" s="55"/>
      <c r="M127" s="55"/>
      <c r="N127" s="55"/>
      <c r="Q127" s="59" t="s">
        <v>104</v>
      </c>
      <c r="R127" s="55" t="s">
        <v>2</v>
      </c>
      <c r="S127" s="55" t="s">
        <v>87</v>
      </c>
      <c r="T127" s="55"/>
      <c r="U127" s="55"/>
      <c r="V127" s="55"/>
      <c r="Y127" s="59" t="s">
        <v>104</v>
      </c>
      <c r="Z127" s="55" t="s">
        <v>3</v>
      </c>
      <c r="AA127" s="55" t="s">
        <v>87</v>
      </c>
      <c r="AB127" s="55"/>
      <c r="AC127" s="55"/>
      <c r="AD127" s="55"/>
    </row>
    <row r="128" spans="1:30" ht="15" customHeight="1" x14ac:dyDescent="0.25">
      <c r="A128" s="57"/>
      <c r="B128" s="55"/>
      <c r="C128" s="55"/>
      <c r="D128" s="55"/>
      <c r="E128" s="55"/>
      <c r="F128" s="55"/>
      <c r="I128" s="59"/>
      <c r="J128" s="55"/>
      <c r="K128" s="55"/>
      <c r="L128" s="55"/>
      <c r="M128" s="55"/>
      <c r="N128" s="55"/>
      <c r="Q128" s="59"/>
      <c r="R128" s="55"/>
      <c r="S128" s="55"/>
      <c r="T128" s="55"/>
      <c r="U128" s="55"/>
      <c r="V128" s="55"/>
      <c r="Y128" s="59"/>
      <c r="Z128" s="55"/>
      <c r="AA128" s="55"/>
      <c r="AB128" s="55"/>
      <c r="AC128" s="55"/>
      <c r="AD128" s="55"/>
    </row>
    <row r="129" spans="2:30" ht="21" customHeight="1" x14ac:dyDescent="0.25">
      <c r="B129" s="28" t="s">
        <v>53</v>
      </c>
      <c r="C129" s="22" t="s">
        <v>5</v>
      </c>
      <c r="D129" s="22" t="s">
        <v>6</v>
      </c>
      <c r="E129" s="26"/>
      <c r="F129" s="26"/>
      <c r="J129" s="28" t="s">
        <v>53</v>
      </c>
      <c r="K129" s="22" t="s">
        <v>5</v>
      </c>
      <c r="L129" s="22" t="s">
        <v>6</v>
      </c>
      <c r="M129" s="26"/>
      <c r="N129" s="26"/>
      <c r="R129" s="28" t="s">
        <v>53</v>
      </c>
      <c r="S129" s="22" t="s">
        <v>5</v>
      </c>
      <c r="T129" s="22" t="s">
        <v>6</v>
      </c>
      <c r="U129" s="26"/>
      <c r="V129" s="26"/>
      <c r="Z129" s="28" t="s">
        <v>53</v>
      </c>
      <c r="AA129" s="22" t="s">
        <v>5</v>
      </c>
      <c r="AB129" s="22" t="s">
        <v>6</v>
      </c>
    </row>
    <row r="130" spans="2:30" ht="15" customHeight="1" x14ac:dyDescent="0.25">
      <c r="B130" s="56" t="s">
        <v>52</v>
      </c>
      <c r="C130" s="48">
        <f>COUNTIFS(Données!C126:C10124, "oui", Données!A126:A10124, "EC", Données!B126:B10124, "mercredi")</f>
        <v>0</v>
      </c>
      <c r="D130" s="48">
        <f>COUNTIFS(Données!C126:C10124, "non", Données!A126:A10124, "EC", Données!B126:B10124,  "mercredi")</f>
        <v>0</v>
      </c>
      <c r="E130" s="26"/>
      <c r="F130" s="26"/>
      <c r="J130" s="56" t="s">
        <v>52</v>
      </c>
      <c r="K130" s="48">
        <f>COUNTIFS(Données!K126:K10124, "oui", Données!I126:I10124, "AFE", Données!J126:J10124, "mercredi")</f>
        <v>0</v>
      </c>
      <c r="L130" s="48">
        <f>COUNTIFS(Données!K126:K10124, "non", Données!I126:I10124, "AFE", Données!J126:J10124, "mercredi")</f>
        <v>0</v>
      </c>
      <c r="M130" s="26"/>
      <c r="N130" s="26"/>
      <c r="R130" s="56" t="s">
        <v>52</v>
      </c>
      <c r="S130" s="48">
        <f>COUNTIFS(Données!S126:S10124, "oui", Données!Q126:Q10124, "AS", Données!R126:R10124, "mercredi")</f>
        <v>0</v>
      </c>
      <c r="T130" s="48">
        <f>COUNTIFS(Données!S126:S10124, "non", Données!Q126:Q10124, "AS", Données!R126:R10124, "mercredi")</f>
        <v>0</v>
      </c>
      <c r="U130" s="26"/>
      <c r="V130" s="26"/>
      <c r="Z130" s="56" t="s">
        <v>52</v>
      </c>
      <c r="AA130" s="48">
        <f>COUNTIFS(Données!AA126:AA10124, "oui", Données!Y126:Y10124, "VISAS", Données!Z126:Z10124, "mercredi")</f>
        <v>0</v>
      </c>
      <c r="AB130" s="48">
        <f>COUNTIFS(Données!AA126:AA10124, "non", Données!Y126:Y10124, "VISAS", Données!Z126:Z10124, "mercredi")</f>
        <v>0</v>
      </c>
      <c r="AC130" s="26"/>
      <c r="AD130" s="26"/>
    </row>
    <row r="131" spans="2:30" ht="15" customHeight="1" x14ac:dyDescent="0.25">
      <c r="B131" s="56"/>
      <c r="C131" s="48"/>
      <c r="D131" s="48"/>
      <c r="E131" s="26"/>
      <c r="F131" s="26"/>
      <c r="J131" s="56"/>
      <c r="K131" s="48"/>
      <c r="L131" s="48"/>
      <c r="M131" s="26"/>
      <c r="N131" s="26"/>
      <c r="R131" s="56"/>
      <c r="S131" s="48"/>
      <c r="T131" s="48"/>
      <c r="U131" s="26"/>
      <c r="V131" s="26"/>
      <c r="Z131" s="56"/>
      <c r="AA131" s="48"/>
      <c r="AB131" s="48"/>
      <c r="AC131" s="26"/>
      <c r="AD131" s="26"/>
    </row>
    <row r="132" spans="2:30" ht="15" customHeight="1" x14ac:dyDescent="0.25">
      <c r="B132" s="45" t="s">
        <v>60</v>
      </c>
      <c r="C132" s="48">
        <f>COUNTIFS(Données!D126:D10124, "oui", Données!A126:A10124, "EC", Données!B126:B10124,  "mercredi")</f>
        <v>0</v>
      </c>
      <c r="D132" s="48">
        <f>COUNTIFS(Données!D126:D10124, "non", Données!A126:A10124, "EC", Données!B126:B10124,  "mercredi")</f>
        <v>0</v>
      </c>
      <c r="E132" s="26"/>
      <c r="F132" s="26"/>
      <c r="J132" s="45" t="s">
        <v>60</v>
      </c>
      <c r="K132" s="48">
        <f>COUNTIFS(Données!L126:L10124, "oui", Données!I126:I10124, "AFE", Données!J126:J10124, "mercredi")</f>
        <v>0</v>
      </c>
      <c r="L132" s="48">
        <f>COUNTIFS(Données!L126:L10124, "non", Données!I126:I10124, "AFE", Données!J126:J10124, "mercredi")</f>
        <v>0</v>
      </c>
      <c r="M132" s="26"/>
      <c r="N132" s="26"/>
      <c r="R132" s="45" t="s">
        <v>60</v>
      </c>
      <c r="S132" s="48">
        <f>COUNTIFS(Données!T126:T10124, "oui", Données!Q126:Q10124, "AS", Données!R126:R10124, "mercredi")</f>
        <v>0</v>
      </c>
      <c r="T132" s="48">
        <f>COUNTIFS(Données!T126:T10124, "non", Données!Q126:Q10124, "AS", Données!R126:R10124, "mercredi")</f>
        <v>0</v>
      </c>
      <c r="U132" s="26"/>
      <c r="V132" s="26"/>
      <c r="Z132" s="45" t="s">
        <v>60</v>
      </c>
      <c r="AA132" s="48">
        <f>COUNTIFS(Données!AB126:AB10124, "oui", Données!Y126:Y10124, "VISAS", Données!Z126:Z10124, "mercredi")</f>
        <v>0</v>
      </c>
      <c r="AB132" s="48">
        <f>COUNTIFS(Données!AB126:AB10124, "non", Données!Y126:Y10124, "VISAS", Données!Z126:Z10124, "mercredi")</f>
        <v>0</v>
      </c>
      <c r="AC132" s="26"/>
      <c r="AD132" s="26"/>
    </row>
    <row r="133" spans="2:30" ht="15" customHeight="1" x14ac:dyDescent="0.25">
      <c r="B133" s="45"/>
      <c r="C133" s="48"/>
      <c r="D133" s="48"/>
      <c r="E133" s="26"/>
      <c r="F133" s="26"/>
      <c r="J133" s="45"/>
      <c r="K133" s="48"/>
      <c r="L133" s="48"/>
      <c r="M133" s="26"/>
      <c r="N133" s="26"/>
      <c r="R133" s="45"/>
      <c r="S133" s="48"/>
      <c r="T133" s="48"/>
      <c r="U133" s="26"/>
      <c r="V133" s="26"/>
      <c r="Z133" s="45"/>
      <c r="AA133" s="48"/>
      <c r="AB133" s="48"/>
      <c r="AC133" s="26"/>
      <c r="AD133" s="26"/>
    </row>
    <row r="134" spans="2:30" ht="15" customHeight="1" x14ac:dyDescent="0.25">
      <c r="B134" s="41" t="s">
        <v>74</v>
      </c>
      <c r="C134" s="48">
        <f>COUNTIFS(Données!E126:E10124, "oui", Données!A126:A10124, "EC", Données!B126:B10124,  "mercredi")</f>
        <v>0</v>
      </c>
      <c r="D134" s="48">
        <f>COUNTIFS(Données!E126:E10124, "non", Données!A126:A10124, "EC", Données!B126:B10124,  "mercredi")</f>
        <v>0</v>
      </c>
      <c r="E134" s="26"/>
      <c r="F134" s="26"/>
      <c r="J134" s="41" t="s">
        <v>74</v>
      </c>
      <c r="K134" s="48">
        <f>COUNTIFS(Données!M126:M10124, "oui", Données!I126:I10124, "AFE", Données!J126:J10124, "mercredi")</f>
        <v>0</v>
      </c>
      <c r="L134" s="48">
        <f>COUNTIFS(Données!M126:M10124, "non", Données!I126:I10124, "AFE", Données!J126:J10124, "mercredi")</f>
        <v>0</v>
      </c>
      <c r="M134" s="26"/>
      <c r="N134" s="26"/>
      <c r="R134" s="41" t="s">
        <v>74</v>
      </c>
      <c r="S134" s="48">
        <f>COUNTIFS(Données!U126:U10124, "oui", Données!Q126:Q10124, "AS", Données!R126:R10124, "mercredi")</f>
        <v>0</v>
      </c>
      <c r="T134" s="48">
        <f>COUNTIFS(Données!U126:U10124, "non", Données!Q126:Q10124, "AS", Données!R126:R10124, "mercredi")</f>
        <v>0</v>
      </c>
      <c r="U134" s="26"/>
      <c r="V134" s="26"/>
      <c r="Z134" s="41" t="s">
        <v>74</v>
      </c>
      <c r="AA134" s="48">
        <f>COUNTIFS(Données!AC126:AC10124, "oui", Données!Y126:Y10124, "VISAS", Données!Z126:Z10124, "mercredi")</f>
        <v>0</v>
      </c>
      <c r="AB134" s="48">
        <f>COUNTIFS(Données!AC126:AC10124, "non", Données!Y126:Y10124, "VISAS", Données!Z126:Z10124, "mercredi")</f>
        <v>0</v>
      </c>
      <c r="AC134" s="26"/>
      <c r="AD134" s="26"/>
    </row>
    <row r="135" spans="2:30" ht="15" customHeight="1" x14ac:dyDescent="0.25">
      <c r="B135" s="41"/>
      <c r="C135" s="48"/>
      <c r="D135" s="48"/>
      <c r="E135" s="26"/>
      <c r="F135" s="26"/>
      <c r="J135" s="41"/>
      <c r="K135" s="48"/>
      <c r="L135" s="48"/>
      <c r="M135" s="26"/>
      <c r="N135" s="26"/>
      <c r="R135" s="41"/>
      <c r="S135" s="48"/>
      <c r="T135" s="48"/>
      <c r="U135" s="26"/>
      <c r="V135" s="26"/>
      <c r="Z135" s="41"/>
      <c r="AA135" s="48"/>
      <c r="AB135" s="48"/>
      <c r="AC135" s="26"/>
      <c r="AD135" s="26"/>
    </row>
    <row r="136" spans="2:30" ht="21" x14ac:dyDescent="0.35">
      <c r="B136" s="29" t="s">
        <v>54</v>
      </c>
      <c r="C136" s="22" t="s">
        <v>5</v>
      </c>
      <c r="D136" s="22" t="s">
        <v>6</v>
      </c>
      <c r="E136" s="26"/>
      <c r="F136" s="26"/>
      <c r="J136" s="29" t="s">
        <v>54</v>
      </c>
      <c r="K136" s="22" t="s">
        <v>5</v>
      </c>
      <c r="L136" s="22" t="s">
        <v>6</v>
      </c>
      <c r="M136" s="26"/>
      <c r="N136" s="26"/>
      <c r="R136" s="29" t="s">
        <v>54</v>
      </c>
      <c r="S136" s="22" t="s">
        <v>5</v>
      </c>
      <c r="T136" s="22" t="s">
        <v>6</v>
      </c>
      <c r="U136" s="26"/>
      <c r="V136" s="26"/>
      <c r="Z136" s="29" t="s">
        <v>54</v>
      </c>
      <c r="AA136" s="22" t="s">
        <v>5</v>
      </c>
      <c r="AB136" s="22" t="s">
        <v>6</v>
      </c>
      <c r="AC136" s="26"/>
      <c r="AD136" s="26"/>
    </row>
    <row r="137" spans="2:30" ht="15" customHeight="1" x14ac:dyDescent="0.25">
      <c r="B137" s="51" t="s">
        <v>64</v>
      </c>
      <c r="C137" s="47">
        <f>COUNTIFS(Données!F126:F10124, "oui", Données!A126:A10124, "EC", Données!B126:B10124,  "mercredi")</f>
        <v>0</v>
      </c>
      <c r="D137" s="47">
        <f>COUNTIFS(Données!F126:F10124, "non", Données!A126:A10124, "EC", Données!B126:B10124,  "mercredi")</f>
        <v>0</v>
      </c>
      <c r="E137" s="26"/>
      <c r="F137" s="26"/>
      <c r="J137" s="51" t="s">
        <v>64</v>
      </c>
      <c r="K137" s="47">
        <f>COUNTIFS(Données!N126:N10124, "oui", Données!I126:I10124, "AFE", Données!J126:J10124, "mercredi")</f>
        <v>0</v>
      </c>
      <c r="L137" s="47">
        <f>COUNTIFS(Données!N126:N10124, "non", Données!I126:I10124, "AFE", Données!J126:J10124, "mercredi")</f>
        <v>0</v>
      </c>
      <c r="M137" s="26"/>
      <c r="N137" s="26"/>
      <c r="R137" s="51" t="s">
        <v>64</v>
      </c>
      <c r="S137" s="47">
        <f>COUNTIFS(Données!V126:V10124, "oui", Données!Q126:Q10124, "AS", Données!R126:R10124, "mercredi")</f>
        <v>0</v>
      </c>
      <c r="T137" s="47">
        <f>COUNTIFS(Données!V126:V10124, "non", Données!Q126:Q10124, "AS", Données!R126:R10124, "mercredi")</f>
        <v>0</v>
      </c>
      <c r="U137" s="26"/>
      <c r="V137" s="26"/>
      <c r="Z137" s="51" t="s">
        <v>64</v>
      </c>
      <c r="AA137" s="47">
        <f>COUNTIFS(Données!AD126:AD10124, "oui", Données!Y126:Y10124, "VISAS", Données!Z126:Z10124, "mercredi")</f>
        <v>0</v>
      </c>
      <c r="AB137" s="47">
        <f>COUNTIFS(Données!AD126:AD10124, "non", Données!Y126:Y10124, "VISAS", Données!Z126:Z10124, "mercredi")</f>
        <v>0</v>
      </c>
      <c r="AC137" s="26"/>
      <c r="AD137" s="26"/>
    </row>
    <row r="138" spans="2:30" ht="15" customHeight="1" x14ac:dyDescent="0.25">
      <c r="B138" s="52"/>
      <c r="C138" s="47"/>
      <c r="D138" s="47"/>
      <c r="E138" s="26"/>
      <c r="F138" s="26"/>
      <c r="J138" s="52"/>
      <c r="K138" s="47"/>
      <c r="L138" s="47"/>
      <c r="M138" s="26"/>
      <c r="N138" s="26"/>
      <c r="R138" s="52"/>
      <c r="S138" s="47"/>
      <c r="T138" s="47"/>
      <c r="U138" s="26"/>
      <c r="V138" s="26"/>
      <c r="Z138" s="52"/>
      <c r="AA138" s="47"/>
      <c r="AB138" s="47"/>
      <c r="AC138" s="26"/>
      <c r="AD138" s="26"/>
    </row>
    <row r="139" spans="2:30" ht="15" customHeight="1" x14ac:dyDescent="0.25">
      <c r="B139" s="48" t="s">
        <v>61</v>
      </c>
      <c r="C139" s="53" t="s">
        <v>10</v>
      </c>
      <c r="D139" s="54" t="s">
        <v>11</v>
      </c>
      <c r="E139" s="50" t="s">
        <v>12</v>
      </c>
      <c r="F139" s="26"/>
      <c r="J139" s="48" t="s">
        <v>61</v>
      </c>
      <c r="K139" s="53" t="s">
        <v>10</v>
      </c>
      <c r="L139" s="54" t="s">
        <v>11</v>
      </c>
      <c r="M139" s="50" t="s">
        <v>12</v>
      </c>
      <c r="N139" s="26"/>
      <c r="R139" s="48" t="s">
        <v>61</v>
      </c>
      <c r="S139" s="53" t="s">
        <v>10</v>
      </c>
      <c r="T139" s="54" t="s">
        <v>11</v>
      </c>
      <c r="U139" s="50" t="s">
        <v>12</v>
      </c>
      <c r="V139" s="26"/>
      <c r="Z139" s="48" t="s">
        <v>61</v>
      </c>
      <c r="AA139" s="53" t="s">
        <v>10</v>
      </c>
      <c r="AB139" s="54" t="s">
        <v>11</v>
      </c>
      <c r="AC139" s="50" t="s">
        <v>12</v>
      </c>
      <c r="AD139" s="26"/>
    </row>
    <row r="140" spans="2:30" ht="15" customHeight="1" x14ac:dyDescent="0.25">
      <c r="B140" s="48"/>
      <c r="C140" s="53"/>
      <c r="D140" s="54"/>
      <c r="E140" s="50"/>
      <c r="F140" s="26"/>
      <c r="J140" s="48"/>
      <c r="K140" s="53"/>
      <c r="L140" s="54"/>
      <c r="M140" s="50"/>
      <c r="N140" s="26"/>
      <c r="R140" s="48"/>
      <c r="S140" s="53"/>
      <c r="T140" s="54"/>
      <c r="U140" s="50"/>
      <c r="V140" s="26"/>
      <c r="Z140" s="48"/>
      <c r="AA140" s="53"/>
      <c r="AB140" s="54"/>
      <c r="AC140" s="50"/>
      <c r="AD140" s="26"/>
    </row>
    <row r="141" spans="2:30" x14ac:dyDescent="0.25">
      <c r="B141" s="48"/>
      <c r="C141" s="26">
        <f>COUNTIFS(Données!G126:G10124, "téléphone", Données!A126:A10124, "EC", Données!B126:B10124,  "mercredi")</f>
        <v>0</v>
      </c>
      <c r="D141" s="26">
        <f>COUNTIFS(Données!G126:G10124, "mail", Données!A126:A10124, "EC", Données!B126:B10124,  "mercredi")</f>
        <v>0</v>
      </c>
      <c r="E141" s="26">
        <f>COUNTIFS(Données!G126:G10124, "sur place", Données!A126:A10124, "EC", Données!B126:B10124,  "mercredi")</f>
        <v>0</v>
      </c>
      <c r="F141" s="26"/>
      <c r="J141" s="48"/>
      <c r="K141" s="26">
        <f>COUNTIFS(Données!O126:O10124, "téléphone", Données!I126:I10124, "AFE", Données!J126:J10124, "mercredi")</f>
        <v>0</v>
      </c>
      <c r="L141" s="26">
        <f>COUNTIFS(Données!O126:O10124, "mail", Données!I126:I10124, "AFE", Données!J126:J10124, "mercredi")</f>
        <v>0</v>
      </c>
      <c r="M141" s="26">
        <f>COUNTIFS(Données!O126:O10124, "sur place", Données!I126:I10124, "AFE", Données!J126:J10124, "mercredi")</f>
        <v>0</v>
      </c>
      <c r="N141" s="26"/>
      <c r="R141" s="48"/>
      <c r="S141" s="26">
        <f>COUNTIFS(Données!W126:W10124, "téléphone", Données!Q126:Q10124, "AS", Données!R126:R10124, "mercredi")</f>
        <v>0</v>
      </c>
      <c r="T141" s="26">
        <f>COUNTIFS(Données!W126:W10124, "mail", Données!Q126:Q10124, "AS", Données!R126:R10124, "mercredi")</f>
        <v>0</v>
      </c>
      <c r="U141" s="26">
        <f>COUNTIFS(Données!W126:W10124, "sur place", Données!Q126:Q10124, "AS", Données!R126:R10124, "mercredi")</f>
        <v>0</v>
      </c>
      <c r="V141" s="26"/>
      <c r="Z141" s="48"/>
      <c r="AA141" s="26">
        <f>COUNTIFS(Données!AE126:AE10124, "téléphone", Données!Y126:Y10124, "VISAS", Données!Z126:Z10124, "mercredi")</f>
        <v>0</v>
      </c>
      <c r="AB141" s="26">
        <f>COUNTIFS(Données!AE126:AE10124, "mail", Données!Y126:Y10124, "VISAS", Données!Z126:Z10124, "mercredi")</f>
        <v>0</v>
      </c>
      <c r="AC141" s="26">
        <f>COUNTIFS(Données!AE126:AE10124, "sur place", Données!Y126:Y10124, "VISAS", Données!Z126:Z10124, "mercredi")</f>
        <v>0</v>
      </c>
      <c r="AD141" s="26"/>
    </row>
    <row r="142" spans="2:30" ht="15" customHeight="1" x14ac:dyDescent="0.25">
      <c r="B142" s="41" t="s">
        <v>75</v>
      </c>
      <c r="C142" s="37" t="s">
        <v>14</v>
      </c>
      <c r="D142" s="38" t="s">
        <v>56</v>
      </c>
      <c r="E142" s="39" t="s">
        <v>57</v>
      </c>
      <c r="F142" s="40" t="s">
        <v>17</v>
      </c>
      <c r="J142" s="41" t="s">
        <v>75</v>
      </c>
      <c r="K142" s="37" t="s">
        <v>14</v>
      </c>
      <c r="L142" s="38" t="s">
        <v>56</v>
      </c>
      <c r="M142" s="39" t="s">
        <v>57</v>
      </c>
      <c r="N142" s="40" t="s">
        <v>17</v>
      </c>
      <c r="R142" s="41" t="s">
        <v>75</v>
      </c>
      <c r="S142" s="37" t="s">
        <v>14</v>
      </c>
      <c r="T142" s="38" t="s">
        <v>56</v>
      </c>
      <c r="U142" s="39" t="s">
        <v>57</v>
      </c>
      <c r="V142" s="40" t="s">
        <v>17</v>
      </c>
      <c r="Z142" s="41" t="s">
        <v>75</v>
      </c>
      <c r="AA142" s="37" t="s">
        <v>14</v>
      </c>
      <c r="AB142" s="38" t="s">
        <v>56</v>
      </c>
      <c r="AC142" s="39" t="s">
        <v>57</v>
      </c>
      <c r="AD142" s="40" t="s">
        <v>17</v>
      </c>
    </row>
    <row r="143" spans="2:30" ht="15" customHeight="1" x14ac:dyDescent="0.25">
      <c r="B143" s="41"/>
      <c r="C143" s="37"/>
      <c r="D143" s="38"/>
      <c r="E143" s="39"/>
      <c r="F143" s="40"/>
      <c r="J143" s="41"/>
      <c r="K143" s="37"/>
      <c r="L143" s="38"/>
      <c r="M143" s="39"/>
      <c r="N143" s="40"/>
      <c r="R143" s="41"/>
      <c r="S143" s="37"/>
      <c r="T143" s="38"/>
      <c r="U143" s="39"/>
      <c r="V143" s="40"/>
      <c r="Z143" s="41"/>
      <c r="AA143" s="37"/>
      <c r="AB143" s="38"/>
      <c r="AC143" s="39"/>
      <c r="AD143" s="40"/>
    </row>
    <row r="144" spans="2:30" ht="15" customHeight="1" x14ac:dyDescent="0.25">
      <c r="B144" s="41"/>
      <c r="C144" s="26">
        <f>COUNTIFS(Données!H126:H10124, "immédiat", Données!A126:A10124, "EC", Données!B126:B10124,  "mercredi")</f>
        <v>0</v>
      </c>
      <c r="D144" s="26">
        <f>COUNTIFS(Données!H126:H10124, "entre 24-48h", Données!A126:A10124, "EC", Données!B126:B10124,  "mercredi")</f>
        <v>0</v>
      </c>
      <c r="E144" s="26">
        <f>COUNTIFS(Données!H126:H10124, "entre 24-48h", Données!A126:A10124, "EC", Données!B126:B10124,  "mercredi")</f>
        <v>0</v>
      </c>
      <c r="F144" s="26">
        <f>COUNTIFS(Données!H126:H10124, "plus de 48h", Données!A126:A10124, "EC", Données!B126:B10124,  "mercredi")</f>
        <v>0</v>
      </c>
      <c r="J144" s="41"/>
      <c r="K144" s="26">
        <f>COUNTIFS(Données!P126:P10124, "immédiat", Données!I126:I10124, "AFE", Données!J126:J10124, "mercredi")</f>
        <v>0</v>
      </c>
      <c r="L144" s="26">
        <f>COUNTIFS(Données!P126:P10124, "entre 24-48h", Données!I126:I10124, "AFE", Données!J126:J10124, "mercredi")</f>
        <v>0</v>
      </c>
      <c r="M144" s="26">
        <f>COUNTIFS(Données!P126:P10124, "entre 24-48h", Données!I126:I10124, "AFE", Données!J126:J10124, "mercredi")</f>
        <v>0</v>
      </c>
      <c r="N144" s="26">
        <f>COUNTIFS(Données!P126:P10124, "plus de 48h", Données!I126:I10124, "AFE", Données!J126:J10124, "mercredi")</f>
        <v>0</v>
      </c>
      <c r="R144" s="41"/>
      <c r="S144" s="26">
        <f>COUNTIFS(Données!X126:X10124, "immédiat", Données!Q126:Q10124, "AS", Données!R126:R10124, "mercredi")</f>
        <v>0</v>
      </c>
      <c r="T144" s="26">
        <f>COUNTIFS(Données!X126:X10124, "entre 24-48h", Données!Q126:Q10124, "AS", Données!R126:R10124, "mercredi")</f>
        <v>0</v>
      </c>
      <c r="U144" s="26">
        <f>COUNTIFS(Données!X126:X10124, "entre 24-48h", Données!Q126:Q10124, "AS", Données!R126:R10124, "mercredi")</f>
        <v>0</v>
      </c>
      <c r="V144" s="26">
        <f>COUNTIFS(Données!X126:X10124, "plus de 48h", Données!Q126:Q10124, "AS", Données!R126:R10124, "mercredi")</f>
        <v>0</v>
      </c>
      <c r="Z144" s="41"/>
      <c r="AA144" s="26">
        <f>COUNTIFS(Données!AF126:AF10124, "immédiat", Données!Y126:Y10124, "VISAS", Données!Z126:Z10124, "mercredi")</f>
        <v>0</v>
      </c>
      <c r="AB144" s="26">
        <f>COUNTIFS(Données!AF126:AF10124, "entre 24-48h", Données!Y126:Y10124, "VISAS", Données!Z126:Z10124, "mercredi")</f>
        <v>0</v>
      </c>
      <c r="AC144" s="26">
        <f>COUNTIFS(Données!AF126:AF10124, "entre 24-48h", Données!Y126:Y10124, "VISAS", Données!Z126:Z10124, "mercredi")</f>
        <v>0</v>
      </c>
      <c r="AD144" s="26">
        <f>COUNTIFS(Données!AF126:AF10124, "plus de 48h", Données!Y126:Y10124, "VISAS", Données!Z126:Z10124, "mercredi")</f>
        <v>0</v>
      </c>
    </row>
    <row r="145" spans="2:30" ht="15" customHeight="1" x14ac:dyDescent="0.25">
      <c r="B145" s="41" t="s">
        <v>63</v>
      </c>
      <c r="C145" s="44" t="s">
        <v>55</v>
      </c>
      <c r="D145" s="44" t="s">
        <v>65</v>
      </c>
      <c r="E145" s="26"/>
      <c r="F145" s="26"/>
      <c r="J145" s="41" t="s">
        <v>63</v>
      </c>
      <c r="K145" s="44" t="s">
        <v>55</v>
      </c>
      <c r="L145" s="44" t="s">
        <v>65</v>
      </c>
      <c r="M145" s="26"/>
      <c r="N145" s="26"/>
      <c r="R145" s="41" t="s">
        <v>63</v>
      </c>
      <c r="S145" s="44" t="s">
        <v>55</v>
      </c>
      <c r="T145" s="44" t="s">
        <v>65</v>
      </c>
      <c r="U145" s="26"/>
      <c r="V145" s="26"/>
      <c r="Z145" s="41" t="s">
        <v>63</v>
      </c>
      <c r="AA145" s="44" t="s">
        <v>55</v>
      </c>
      <c r="AB145" s="44" t="s">
        <v>65</v>
      </c>
      <c r="AC145" s="26"/>
      <c r="AD145" s="26"/>
    </row>
    <row r="146" spans="2:30" ht="15" customHeight="1" x14ac:dyDescent="0.25">
      <c r="B146" s="41"/>
      <c r="C146" s="44"/>
      <c r="D146" s="44"/>
      <c r="E146" s="26"/>
      <c r="F146" s="26"/>
      <c r="J146" s="41"/>
      <c r="K146" s="44"/>
      <c r="L146" s="44"/>
      <c r="M146" s="26"/>
      <c r="N146" s="26"/>
      <c r="R146" s="41"/>
      <c r="S146" s="44"/>
      <c r="T146" s="44"/>
      <c r="U146" s="26"/>
      <c r="V146" s="26"/>
      <c r="Z146" s="41"/>
      <c r="AA146" s="44"/>
      <c r="AB146" s="44"/>
    </row>
    <row r="147" spans="2:30" ht="15" customHeight="1" x14ac:dyDescent="0.25">
      <c r="B147" s="41"/>
      <c r="C147" s="26">
        <f>SUMIFS(Données!I:I,Données!A:A,"EC",Données!B:B,"mercredi")</f>
        <v>0</v>
      </c>
      <c r="D147" s="26">
        <f>SUMIFS(Données!J:J,Données!A:A,"EC",Données!B:B,"mercredi")</f>
        <v>0</v>
      </c>
      <c r="E147" s="26"/>
      <c r="F147" s="26"/>
      <c r="J147" s="41"/>
      <c r="K147" s="26">
        <f>SUMIFS(Données!Q:Q,Données!I:I,"AFE",Données!J:J,"mercredi")</f>
        <v>0</v>
      </c>
      <c r="L147" s="26">
        <f>SUMIFS(Données!R:R,Données!I:I,"AFE",Données!J:J,"mercredi")</f>
        <v>0</v>
      </c>
      <c r="M147" s="26"/>
      <c r="N147" s="26"/>
      <c r="R147" s="41"/>
      <c r="S147" s="26">
        <f>SUMIFS(Données!Y:Y,Données!Q:Q,"AS",Données!R:R,"mercredi")</f>
        <v>0</v>
      </c>
      <c r="T147" s="26">
        <f>SUMIFS(Données!Z:Z,Données!Q:Q,"AS",Données!R:R,"mercredi")</f>
        <v>0</v>
      </c>
      <c r="U147" s="26"/>
      <c r="V147" s="26"/>
      <c r="Z147" s="41"/>
      <c r="AA147" s="26">
        <f ca="1">SUMIFS(Données!AG:AG,Données!Y:Y,"VISAS",Données!Z:Z,"mercredi")</f>
        <v>0</v>
      </c>
      <c r="AB147" s="26">
        <f ca="1">SUMIFS(Données!AH:AH,Données!Y:Y,"VISAS",Données!Z:Z,"mercredi")</f>
        <v>0</v>
      </c>
    </row>
    <row r="148" spans="2:30" ht="15" customHeight="1" x14ac:dyDescent="0.25">
      <c r="B148" s="41" t="s">
        <v>62</v>
      </c>
      <c r="C148" s="37" t="s">
        <v>58</v>
      </c>
      <c r="D148" s="39" t="s">
        <v>59</v>
      </c>
      <c r="E148" s="40" t="s">
        <v>24</v>
      </c>
      <c r="F148" s="26"/>
      <c r="J148" s="41" t="s">
        <v>62</v>
      </c>
      <c r="K148" s="37" t="s">
        <v>58</v>
      </c>
      <c r="L148" s="39" t="s">
        <v>59</v>
      </c>
      <c r="M148" s="40" t="s">
        <v>24</v>
      </c>
      <c r="N148" s="26"/>
      <c r="R148" s="41" t="s">
        <v>62</v>
      </c>
      <c r="S148" s="37" t="s">
        <v>58</v>
      </c>
      <c r="T148" s="39" t="s">
        <v>59</v>
      </c>
      <c r="U148" s="40" t="s">
        <v>24</v>
      </c>
      <c r="V148" s="26"/>
      <c r="Z148" s="41" t="s">
        <v>62</v>
      </c>
      <c r="AA148" s="37" t="s">
        <v>58</v>
      </c>
      <c r="AB148" s="39" t="s">
        <v>59</v>
      </c>
      <c r="AC148" s="40" t="s">
        <v>24</v>
      </c>
    </row>
    <row r="149" spans="2:30" ht="15" customHeight="1" x14ac:dyDescent="0.25">
      <c r="B149" s="41"/>
      <c r="C149" s="37"/>
      <c r="D149" s="39"/>
      <c r="E149" s="40"/>
      <c r="F149" s="26"/>
      <c r="J149" s="41"/>
      <c r="K149" s="37"/>
      <c r="L149" s="39"/>
      <c r="M149" s="40"/>
      <c r="N149" s="26"/>
      <c r="R149" s="41"/>
      <c r="S149" s="37"/>
      <c r="T149" s="39"/>
      <c r="U149" s="40"/>
      <c r="V149" s="26"/>
      <c r="Z149" s="41"/>
      <c r="AA149" s="37"/>
      <c r="AB149" s="39"/>
      <c r="AC149" s="40"/>
    </row>
    <row r="150" spans="2:30" ht="15" customHeight="1" x14ac:dyDescent="0.25">
      <c r="B150" s="42"/>
      <c r="C150" s="26">
        <f>COUNTIFS(Données!K126:K10124, "complet", Données!A126:A10124, "EC", Données!B126:B10124, "mercredi")</f>
        <v>0</v>
      </c>
      <c r="D150" s="26">
        <f>COUNTIFS(Données!K126:K10124, "partiel", Données!A126:A10124, "EC", Données!B126:B10124, "mercredi")</f>
        <v>0</v>
      </c>
      <c r="E150" s="26">
        <f>COUNTIFS(Données!K126:K10124, "pas du tout", Données!A126:A10124, "EC", Données!B126:B10124, "mercredi")</f>
        <v>0</v>
      </c>
      <c r="F150" s="26"/>
      <c r="J150" s="42"/>
      <c r="K150" s="26">
        <f>COUNTIFS(Données!S126:S10124, "complet", Données!I126:I10124, "AFE", Données!J126:J10124, "mercredi")</f>
        <v>0</v>
      </c>
      <c r="L150" s="26">
        <f>COUNTIFS(Données!S126:S10124, "partiel", Données!I126:I10124, "AFE", Données!J126:J10124, "mercredi")</f>
        <v>0</v>
      </c>
      <c r="M150" s="26">
        <f>COUNTIFS(Données!S126:S10124, "pas du tout", Données!I126:I10124, "AFE", Données!J126:J10124, "mercredi")</f>
        <v>0</v>
      </c>
      <c r="N150" s="26"/>
      <c r="R150" s="42"/>
      <c r="S150" s="26">
        <f>COUNTIFS(Données!AA126:AA10124, "complet", Données!Q126:Q10124, "AS", Données!R126:R10124, "mercredi")</f>
        <v>0</v>
      </c>
      <c r="T150" s="26">
        <f>COUNTIFS(Données!AA126:AA10124, "partiel", Données!Q126:Q10124, "AS", Données!R126:R10124, "mercredi")</f>
        <v>0</v>
      </c>
      <c r="U150" s="26">
        <f>COUNTIFS(Données!AA126:AA10124, "pas du tout", Données!Q126:Q10124, "AS", Données!R126:R10124, "mercredi")</f>
        <v>0</v>
      </c>
      <c r="V150" s="26"/>
      <c r="Z150" s="42"/>
      <c r="AA150" s="26">
        <f>COUNTIFS(Données!AI126:AI10124, "complet", Données!Y126:Y10124, "VISAS", Données!Z126:Z10124, "mercredi")</f>
        <v>0</v>
      </c>
      <c r="AB150" s="26">
        <f>COUNTIFS(Données!AI126:AI10124, "partiel", Données!Y126:Y10124, "VISAS", Données!Z126:Z10124, "mercredi")</f>
        <v>0</v>
      </c>
      <c r="AC150" s="26">
        <f>COUNTIFS(Données!AI126:AI10124, "pas du tout", Données!Y126:Y10124, "VISAS", Données!Z126:Z10124, "mercredi")</f>
        <v>0</v>
      </c>
    </row>
    <row r="151" spans="2:30" ht="21" x14ac:dyDescent="0.25">
      <c r="B151" s="28" t="s">
        <v>76</v>
      </c>
      <c r="C151" s="30" t="s">
        <v>5</v>
      </c>
      <c r="D151" s="30" t="s">
        <v>6</v>
      </c>
      <c r="E151" s="30" t="s">
        <v>28</v>
      </c>
      <c r="F151" s="26"/>
      <c r="J151" s="28" t="s">
        <v>76</v>
      </c>
      <c r="K151" s="30" t="s">
        <v>5</v>
      </c>
      <c r="L151" s="30" t="s">
        <v>6</v>
      </c>
      <c r="M151" s="30" t="s">
        <v>28</v>
      </c>
      <c r="N151" s="26"/>
      <c r="R151" s="28" t="s">
        <v>76</v>
      </c>
      <c r="S151" s="30" t="s">
        <v>5</v>
      </c>
      <c r="T151" s="30" t="s">
        <v>6</v>
      </c>
      <c r="U151" s="30" t="s">
        <v>28</v>
      </c>
      <c r="V151" s="26"/>
      <c r="Z151" s="28" t="s">
        <v>76</v>
      </c>
      <c r="AA151" s="30" t="s">
        <v>5</v>
      </c>
      <c r="AB151" s="30" t="s">
        <v>6</v>
      </c>
      <c r="AC151" s="30" t="s">
        <v>28</v>
      </c>
    </row>
    <row r="152" spans="2:30" ht="15" customHeight="1" x14ac:dyDescent="0.25">
      <c r="B152" s="41" t="s">
        <v>93</v>
      </c>
      <c r="C152" s="47">
        <f>COUNTIFS(Données!L126:L10124, "oui", Données!A126:A10124, "EC", Données!B126:B10124, "mercredi")</f>
        <v>0</v>
      </c>
      <c r="D152" s="47">
        <f>COUNTIFS(Données!L126:L10124, "non", Données!A126:A10124, "EC", Données!B126:B10124, "mercredi")</f>
        <v>0</v>
      </c>
      <c r="E152" s="48" t="s">
        <v>92</v>
      </c>
      <c r="F152" s="26"/>
      <c r="J152" s="41" t="s">
        <v>93</v>
      </c>
      <c r="K152" s="47">
        <f>COUNTIFS(Données!T126:T10124, "oui", Données!I126:I10124, "AFE", Données!J126:J10124, "mercredi")</f>
        <v>0</v>
      </c>
      <c r="L152" s="47">
        <f>COUNTIFS(Données!T126:T10124, "non", Données!I126:I10124, "AFE", Données!J126:J10124, "mercredi")</f>
        <v>0</v>
      </c>
      <c r="M152" s="48" t="s">
        <v>92</v>
      </c>
      <c r="N152" s="26"/>
      <c r="R152" s="41" t="s">
        <v>93</v>
      </c>
      <c r="S152" s="47">
        <f>COUNTIFS(Données!AB126:AB10124, "oui", Données!Q126:Q10124, "AS", Données!R126:R10124, "mercredi")</f>
        <v>0</v>
      </c>
      <c r="T152" s="47">
        <f>COUNTIFS(Données!AB126:AB10124, "non", Données!Q126:Q10124, "AS", Données!R126:R10124, "mercredi")</f>
        <v>0</v>
      </c>
      <c r="U152" s="48" t="s">
        <v>92</v>
      </c>
      <c r="V152" s="26"/>
      <c r="Z152" s="41" t="s">
        <v>93</v>
      </c>
      <c r="AA152" s="47">
        <f>COUNTIFS(Données!AJ126:AJ10124, "oui", Données!Y126:Y10124, "VISAS", Données!Z126:Z10124, "mercredi")</f>
        <v>0</v>
      </c>
      <c r="AB152" s="47">
        <f>COUNTIFS(Données!AJ126:AJ10124, "non", Données!Y126:Y10124, "VISAS", Données!Z126:Z10124, "mercredi")</f>
        <v>0</v>
      </c>
      <c r="AC152" s="48" t="s">
        <v>92</v>
      </c>
    </row>
    <row r="153" spans="2:30" ht="15" customHeight="1" x14ac:dyDescent="0.25">
      <c r="B153" s="41"/>
      <c r="C153" s="47"/>
      <c r="D153" s="47"/>
      <c r="E153" s="48"/>
      <c r="F153" s="26"/>
      <c r="J153" s="41"/>
      <c r="K153" s="47"/>
      <c r="L153" s="47"/>
      <c r="M153" s="48"/>
      <c r="N153" s="26"/>
      <c r="R153" s="41"/>
      <c r="S153" s="47"/>
      <c r="T153" s="47"/>
      <c r="U153" s="48"/>
      <c r="V153" s="26"/>
      <c r="Z153" s="41"/>
      <c r="AA153" s="47"/>
      <c r="AB153" s="47"/>
      <c r="AC153" s="48"/>
    </row>
    <row r="154" spans="2:30" ht="15" customHeight="1" x14ac:dyDescent="0.25">
      <c r="B154" s="41" t="s">
        <v>94</v>
      </c>
      <c r="C154" s="47">
        <f>COUNTIFS(Données!M126:M10124, "oui", Données!A126:A10124, "EC", Données!B126:B10124, "mercredi")</f>
        <v>0</v>
      </c>
      <c r="D154" s="47">
        <f>COUNTIFS(Données!M126:M10124, "non", Données!A126:A10124, "EC", Données!B126:B10124, "mercredi")</f>
        <v>0</v>
      </c>
      <c r="E154" s="48" t="s">
        <v>92</v>
      </c>
      <c r="F154" s="26"/>
      <c r="J154" s="41" t="s">
        <v>94</v>
      </c>
      <c r="K154" s="47">
        <f>COUNTIFS(Données!U126:U10124, "oui", Données!I126:I10124, "AFE", Données!J126:J10124, "mercredi")</f>
        <v>0</v>
      </c>
      <c r="L154" s="47">
        <f>COUNTIFS(Données!U126:U10124, "non", Données!I126:I10124, "AFE", Données!J126:J10124, "mercredi")</f>
        <v>0</v>
      </c>
      <c r="M154" s="48" t="s">
        <v>92</v>
      </c>
      <c r="N154" s="26"/>
      <c r="R154" s="41" t="s">
        <v>94</v>
      </c>
      <c r="S154" s="47">
        <f>COUNTIFS(Données!AC126:AC10124, "oui", Données!Q126:Q10124, "AS", Données!R126:R10124, "mercredi")</f>
        <v>0</v>
      </c>
      <c r="T154" s="47">
        <f>COUNTIFS(Données!AC126:AC10124, "non", Données!Q126:Q10124, "AS", Données!R126:R10124, "mercredi")</f>
        <v>0</v>
      </c>
      <c r="U154" s="48" t="s">
        <v>92</v>
      </c>
      <c r="V154" s="26"/>
      <c r="Z154" s="41" t="s">
        <v>94</v>
      </c>
      <c r="AA154" s="47">
        <f>COUNTIFS(Données!AK126:AK10124, "oui", Données!Y126:Y10124, "VISAS", Données!Z126:Z10124, "mercredi")</f>
        <v>0</v>
      </c>
      <c r="AB154" s="47">
        <f>COUNTIFS(Données!AK126:AK10124, "non", Données!Y126:Y10124, "VISAS", Données!Z126:Z10124, "mercredi")</f>
        <v>0</v>
      </c>
      <c r="AC154" s="48" t="s">
        <v>92</v>
      </c>
    </row>
    <row r="155" spans="2:30" ht="15" customHeight="1" x14ac:dyDescent="0.25">
      <c r="B155" s="41"/>
      <c r="C155" s="47"/>
      <c r="D155" s="47"/>
      <c r="E155" s="48"/>
      <c r="F155" s="26"/>
      <c r="J155" s="41"/>
      <c r="K155" s="47"/>
      <c r="L155" s="47"/>
      <c r="M155" s="48"/>
      <c r="N155" s="26"/>
      <c r="R155" s="41"/>
      <c r="S155" s="47"/>
      <c r="T155" s="47"/>
      <c r="U155" s="48"/>
      <c r="V155" s="26"/>
      <c r="Z155" s="41"/>
      <c r="AA155" s="47"/>
      <c r="AB155" s="47"/>
      <c r="AC155" s="48"/>
    </row>
    <row r="156" spans="2:30" ht="15" customHeight="1" x14ac:dyDescent="0.25">
      <c r="B156" s="41" t="s">
        <v>95</v>
      </c>
      <c r="C156" s="47">
        <f>COUNTIFS(Données!N126:N10124, "oui", Données!A126:A10124, "EC", Données!B126:B10124, "mercredi")</f>
        <v>0</v>
      </c>
      <c r="D156" s="47">
        <f>COUNTIFS(Données!N126:N10124, "non", Données!A126:A10124, "EC", Données!B126:B10124, "mercredi")</f>
        <v>0</v>
      </c>
      <c r="E156" s="47">
        <f>COUNTIFS(Données!N126:N10124, "ne sais pas", Données!A126:A10124, "EC", Données!B126:B10124, "mercredi")</f>
        <v>0</v>
      </c>
      <c r="F156" s="26"/>
      <c r="J156" s="41" t="s">
        <v>95</v>
      </c>
      <c r="K156" s="47">
        <f>COUNTIFS(Données!V126:V10124, "oui", Données!I126:I10124, "AFE", Données!J126:J10124, "mercredi")</f>
        <v>0</v>
      </c>
      <c r="L156" s="47">
        <f>COUNTIFS(Données!V126:V10124, "non", Données!I126:I10124, "AFE", Données!J126:J10124, "mercredi")</f>
        <v>0</v>
      </c>
      <c r="M156" s="47">
        <f>COUNTIFS(Données!V126:V10124, "ne sais pas", Données!I126:I10124, "AFE", Données!J126:J10124, "mercredi")</f>
        <v>0</v>
      </c>
      <c r="N156" s="26"/>
      <c r="R156" s="41" t="s">
        <v>95</v>
      </c>
      <c r="S156" s="47">
        <f>COUNTIFS(Données!AD126:AD10124, "oui", Données!Q126:Q10124, "AS", Données!R126:R10124, "mercredi")</f>
        <v>0</v>
      </c>
      <c r="T156" s="47">
        <f>COUNTIFS(Données!AD126:AD10124, "non", Données!Q126:Q10124, "AS", Données!R126:R10124, "mercredi")</f>
        <v>0</v>
      </c>
      <c r="U156" s="47">
        <f>COUNTIFS(Données!AD126:AD10124, "ne sais pas", Données!Q126:Q10124, "AS", Données!R126:R10124, "mercredi")</f>
        <v>0</v>
      </c>
      <c r="V156" s="26"/>
      <c r="Z156" s="41" t="s">
        <v>95</v>
      </c>
      <c r="AA156" s="47">
        <f>COUNTIFS(Données!AL126:AL10124, "oui", Données!Y126:Y10124, "VISAS", Données!Z126:Z10124, "mercredi")</f>
        <v>0</v>
      </c>
      <c r="AB156" s="47">
        <f>COUNTIFS(Données!AL126:AL10124, "non", Données!Y126:Y10124, "VISAS", Données!Z126:Z10124, "mercredi")</f>
        <v>0</v>
      </c>
      <c r="AC156" s="47">
        <f>COUNTIFS(Données!AL126:AL10124, "ne sais pas", Données!Y126:Y10124, "VISAS", Données!Z126:Z10124, "mercredi")</f>
        <v>0</v>
      </c>
    </row>
    <row r="157" spans="2:30" ht="15" customHeight="1" x14ac:dyDescent="0.25">
      <c r="B157" s="41"/>
      <c r="C157" s="47"/>
      <c r="D157" s="47"/>
      <c r="E157" s="47"/>
      <c r="F157" s="26"/>
      <c r="J157" s="41"/>
      <c r="K157" s="47"/>
      <c r="L157" s="47"/>
      <c r="M157" s="47"/>
      <c r="N157" s="26"/>
      <c r="R157" s="41"/>
      <c r="S157" s="47"/>
      <c r="T157" s="47"/>
      <c r="U157" s="47"/>
      <c r="V157" s="26"/>
      <c r="Z157" s="41"/>
      <c r="AA157" s="47"/>
      <c r="AB157" s="47"/>
      <c r="AC157" s="47"/>
    </row>
    <row r="158" spans="2:30" ht="15" customHeight="1" x14ac:dyDescent="0.25">
      <c r="B158" s="45" t="s">
        <v>96</v>
      </c>
      <c r="C158" s="47">
        <f>COUNTIFS(Données!M126:M10124, "oui", Données!A126:A10124, "EC", Données!B126:B10124, "mercredi")</f>
        <v>0</v>
      </c>
      <c r="D158" s="47">
        <f>COUNTIFS(Données!N126:N10124, "non", Données!A126:A10124, "EC", Données!B126:B10124, "mercredi")</f>
        <v>0</v>
      </c>
      <c r="E158" s="48" t="s">
        <v>92</v>
      </c>
      <c r="F158" s="26"/>
      <c r="J158" s="45" t="s">
        <v>96</v>
      </c>
      <c r="K158" s="47">
        <f>COUNTIFS(Données!U126:U10124, "oui", Données!I126:I10124, "AFE", Données!J126:J10124, "mercredi")</f>
        <v>0</v>
      </c>
      <c r="L158" s="47">
        <f>COUNTIFS(Données!V126:V10124, "non", Données!I126:I10124, "AFE", Données!J126:J10124, "mercredi")</f>
        <v>0</v>
      </c>
      <c r="M158" s="48" t="s">
        <v>92</v>
      </c>
      <c r="N158" s="26"/>
      <c r="R158" s="45" t="s">
        <v>96</v>
      </c>
      <c r="S158" s="47">
        <f>COUNTIFS(Données!AC126:AC10124, "oui", Données!Q126:Q10124, "AS", Données!R126:R10124, "mercredi")</f>
        <v>0</v>
      </c>
      <c r="T158" s="47">
        <f>COUNTIFS(Données!AD126:AD10124, "non", Données!Q126:Q10124, "AS", Données!R126:R10124, "mercredi")</f>
        <v>0</v>
      </c>
      <c r="U158" s="48" t="s">
        <v>92</v>
      </c>
      <c r="V158" s="26"/>
      <c r="Z158" s="45" t="s">
        <v>96</v>
      </c>
      <c r="AA158" s="47">
        <f>COUNTIFS(Données!AK126:AK10124, "oui", Données!Y126:Y10124, "VISAS", Données!Z126:Z10124, "mercredi")</f>
        <v>0</v>
      </c>
      <c r="AB158" s="47">
        <f>COUNTIFS(Données!AL126:AL10124, "non", Données!Y126:Y10124, "VISAS", Données!Z126:Z10124, "mercredi")</f>
        <v>0</v>
      </c>
      <c r="AC158" s="48" t="s">
        <v>92</v>
      </c>
      <c r="AD158" s="26"/>
    </row>
    <row r="159" spans="2:30" ht="15" customHeight="1" x14ac:dyDescent="0.25">
      <c r="B159" s="49"/>
      <c r="C159" s="47"/>
      <c r="D159" s="47"/>
      <c r="E159" s="48"/>
      <c r="F159" s="26"/>
      <c r="J159" s="49"/>
      <c r="K159" s="47"/>
      <c r="L159" s="47"/>
      <c r="M159" s="48"/>
      <c r="N159" s="26"/>
      <c r="R159" s="49"/>
      <c r="S159" s="47"/>
      <c r="T159" s="47"/>
      <c r="U159" s="48"/>
      <c r="V159" s="26"/>
      <c r="Z159" s="49"/>
      <c r="AA159" s="47"/>
      <c r="AB159" s="47"/>
      <c r="AC159" s="48"/>
      <c r="AD159" s="26"/>
    </row>
    <row r="160" spans="2:30" ht="15" customHeight="1" x14ac:dyDescent="0.25">
      <c r="B160" s="41" t="s">
        <v>97</v>
      </c>
      <c r="C160" s="47">
        <f>COUNTIFS(Données!O126:O10124, "oui", Données!A126:A10124, "EC", Données!B126:B10124, "mercredi")</f>
        <v>0</v>
      </c>
      <c r="D160" s="47">
        <f>COUNTIFS(Données!O126:O10124, "non", Données!A126:A10124, "EC", Données!B126:B10124, "mercredi")</f>
        <v>0</v>
      </c>
      <c r="E160" s="48" t="s">
        <v>92</v>
      </c>
      <c r="F160" s="26"/>
      <c r="J160" s="41" t="s">
        <v>97</v>
      </c>
      <c r="K160" s="47">
        <f>COUNTIFS(Données!W126:W10124, "oui", Données!I126:I10124, "AFE", Données!J126:J10124, "mercredi")</f>
        <v>0</v>
      </c>
      <c r="L160" s="47">
        <f>COUNTIFS(Données!W126:W10124, "non", Données!I126:I10124, "AFE", Données!J126:J10124, "mercredi")</f>
        <v>0</v>
      </c>
      <c r="M160" s="48" t="s">
        <v>92</v>
      </c>
      <c r="N160" s="26"/>
      <c r="R160" s="41" t="s">
        <v>97</v>
      </c>
      <c r="S160" s="47">
        <f>COUNTIFS(Données!AE126:AE10124, "oui", Données!Q126:Q10124, "AS", Données!R126:R10124, "mercredi")</f>
        <v>0</v>
      </c>
      <c r="T160" s="47">
        <f>COUNTIFS(Données!AE126:AE10124, "non", Données!Q126:Q10124, "AS", Données!R126:R10124, "mercredi")</f>
        <v>0</v>
      </c>
      <c r="U160" s="48" t="s">
        <v>92</v>
      </c>
      <c r="V160" s="26"/>
      <c r="Z160" s="41" t="s">
        <v>97</v>
      </c>
      <c r="AA160" s="47">
        <f>COUNTIFS(Données!AM126:AM10124, "oui", Données!Y126:Y10124, "VISAS", Données!Z126:Z10124, "mercredi")</f>
        <v>0</v>
      </c>
      <c r="AB160" s="47">
        <f>COUNTIFS(Données!AM126:AM10124, "non", Données!Y126:Y10124, "VISAS", Données!Z126:Z10124, "mercredi")</f>
        <v>0</v>
      </c>
      <c r="AC160" s="48" t="s">
        <v>92</v>
      </c>
      <c r="AD160" s="26"/>
    </row>
    <row r="161" spans="2:30" ht="15" customHeight="1" x14ac:dyDescent="0.25">
      <c r="B161" s="41"/>
      <c r="C161" s="47"/>
      <c r="D161" s="47"/>
      <c r="E161" s="48"/>
      <c r="F161" s="26"/>
      <c r="J161" s="41"/>
      <c r="K161" s="47"/>
      <c r="L161" s="47"/>
      <c r="M161" s="48"/>
      <c r="N161" s="26"/>
      <c r="R161" s="41"/>
      <c r="S161" s="47"/>
      <c r="T161" s="47"/>
      <c r="U161" s="48"/>
      <c r="V161" s="26"/>
      <c r="Z161" s="41"/>
      <c r="AA161" s="47"/>
      <c r="AB161" s="47"/>
      <c r="AC161" s="48"/>
      <c r="AD161" s="26"/>
    </row>
    <row r="162" spans="2:30" ht="21" x14ac:dyDescent="0.35">
      <c r="B162" s="29" t="s">
        <v>78</v>
      </c>
      <c r="C162" s="37" t="s">
        <v>79</v>
      </c>
      <c r="D162" s="38" t="s">
        <v>34</v>
      </c>
      <c r="E162" s="39" t="s">
        <v>83</v>
      </c>
      <c r="F162" s="40" t="s">
        <v>35</v>
      </c>
      <c r="J162" s="29" t="s">
        <v>78</v>
      </c>
      <c r="K162" s="37" t="s">
        <v>79</v>
      </c>
      <c r="L162" s="38" t="s">
        <v>34</v>
      </c>
      <c r="M162" s="39" t="s">
        <v>83</v>
      </c>
      <c r="N162" s="40" t="s">
        <v>35</v>
      </c>
      <c r="R162" s="29" t="s">
        <v>78</v>
      </c>
      <c r="S162" s="37" t="s">
        <v>79</v>
      </c>
      <c r="T162" s="38" t="s">
        <v>34</v>
      </c>
      <c r="U162" s="39" t="s">
        <v>83</v>
      </c>
      <c r="V162" s="40" t="s">
        <v>35</v>
      </c>
      <c r="Z162" s="29" t="s">
        <v>78</v>
      </c>
      <c r="AA162" s="37" t="s">
        <v>79</v>
      </c>
      <c r="AB162" s="38" t="s">
        <v>34</v>
      </c>
      <c r="AC162" s="39" t="s">
        <v>83</v>
      </c>
      <c r="AD162" s="40" t="s">
        <v>35</v>
      </c>
    </row>
    <row r="163" spans="2:30" ht="15.75" x14ac:dyDescent="0.25">
      <c r="B163" s="32" t="s">
        <v>98</v>
      </c>
      <c r="C163" s="37"/>
      <c r="D163" s="38"/>
      <c r="E163" s="39"/>
      <c r="F163" s="40"/>
      <c r="J163" s="32" t="s">
        <v>98</v>
      </c>
      <c r="K163" s="37"/>
      <c r="L163" s="38"/>
      <c r="M163" s="39"/>
      <c r="N163" s="40"/>
      <c r="R163" s="32" t="s">
        <v>98</v>
      </c>
      <c r="S163" s="37"/>
      <c r="T163" s="38"/>
      <c r="U163" s="39"/>
      <c r="V163" s="40"/>
      <c r="Z163" s="32" t="s">
        <v>98</v>
      </c>
      <c r="AA163" s="37"/>
      <c r="AB163" s="38"/>
      <c r="AC163" s="39"/>
      <c r="AD163" s="40"/>
    </row>
    <row r="164" spans="2:30" ht="15.75" x14ac:dyDescent="0.25">
      <c r="B164" s="21" t="s">
        <v>80</v>
      </c>
      <c r="C164" s="26">
        <f>COUNTIFS(Données!R126:R10124, "très satisfaisant", Données!A126:A10124, "EC", Données!B126:B10124, "mercredi")</f>
        <v>0</v>
      </c>
      <c r="D164" s="26">
        <f>COUNTIFS(Données!R126:R10124, "satisfaisant", Données!A126:A10124, "EC", Données!B126:B10124, "mercredi")</f>
        <v>0</v>
      </c>
      <c r="E164" s="26">
        <f>COUNTIFS(Données!S126:S10124, "moy. satisfaisant", Données!A126:A10124, "EC", Données!B126:B10124, "mercredi")</f>
        <v>0</v>
      </c>
      <c r="F164" s="26">
        <f>COUNTIFS(Données!R126:R10124, "pas du tout satisfaisant", Données!A126:A10124, "EC", Données!B126:B10124, "mercredi")</f>
        <v>0</v>
      </c>
      <c r="J164" s="24" t="s">
        <v>80</v>
      </c>
      <c r="K164" s="26">
        <f>COUNTIFS(Données!Z126:Z10124, "très satisfaisant", Données!I126:I10124, "AFE", Données!J126:J10124, "mercredi")</f>
        <v>0</v>
      </c>
      <c r="L164" s="26">
        <f>COUNTIFS(Données!Z126:Z10124, "satisfaisant", Données!I126:I10124, "AFE", Données!J126:J10124, "mercredi")</f>
        <v>0</v>
      </c>
      <c r="M164" s="26">
        <f>COUNTIFS(Données!AA126:AA10124, "moy. satisfaisant", Données!I126:I10124, "AFE", Données!J126:J10124, "mercredi")</f>
        <v>0</v>
      </c>
      <c r="N164" s="26">
        <f>COUNTIFS(Données!Z126:Z10124, "pas du tout satisfaisant", Données!I126:I10124, "AFE", Données!J126:J10124, "mercredi")</f>
        <v>0</v>
      </c>
      <c r="R164" s="24" t="s">
        <v>80</v>
      </c>
      <c r="S164" s="26">
        <f>COUNTIFS(Données!AH126:AH10124, "très satisfaisant", Données!Q126:Q10124, "AS", Données!R126:R10124, "mercredi")</f>
        <v>0</v>
      </c>
      <c r="T164" s="26">
        <f>COUNTIFS(Données!AH126:AH10124, "satisfaisant", Données!Q126:Q10124, "AS", Données!R126:R10124, "mercredi")</f>
        <v>0</v>
      </c>
      <c r="U164" s="26">
        <f>COUNTIFS(Données!AI126:AI10124, "moy. satisfaisant", Données!Q126:Q10124, "AS", Données!R126:R10124, "mercredi")</f>
        <v>0</v>
      </c>
      <c r="V164" s="26">
        <f>COUNTIFS(Données!AH126:AH10124, "pas du tout satisfaisant", Données!Q126:Q10124, "AS", Données!R126:R10124, "mercredi")</f>
        <v>0</v>
      </c>
      <c r="Z164" s="24" t="s">
        <v>80</v>
      </c>
      <c r="AA164" s="26">
        <f>COUNTIFS(Données!AP126:AP10124, "très satisfaisant", Données!Y126:Y10124, "VISAS", Données!Z126:Z10124, "mercredi")</f>
        <v>0</v>
      </c>
      <c r="AB164" s="26">
        <f>COUNTIFS(Données!AP126:AP10124, "satisfaisant", Données!Y126:Y10124, "VISAS", Données!Z126:Z10124, "mercredi")</f>
        <v>0</v>
      </c>
      <c r="AC164" s="26">
        <f>COUNTIFS(Données!AQ126:AQ10124, "moy. satisfaisant", Données!Y126:Y10124, "VISAS", Données!Z126:Z10124, "mercredi")</f>
        <v>0</v>
      </c>
      <c r="AD164" s="26">
        <f>COUNTIFS(Données!AP126:AP10124, "pas du tout satisfaisant", Données!Y126:Y10124, "VISAS", Données!Z126:Z10124, "mercredi")</f>
        <v>0</v>
      </c>
    </row>
    <row r="165" spans="2:30" ht="15.75" x14ac:dyDescent="0.25">
      <c r="B165" s="21" t="s">
        <v>81</v>
      </c>
      <c r="C165" s="26">
        <f>COUNTIFS(Données!S126:S10124, "très satisfaisant", Données!A126:A10124, "EC", Données!B126:B10124, "mercredi")</f>
        <v>0</v>
      </c>
      <c r="D165" s="26">
        <f>COUNTIFS(Données!S126:S10124, "satisfaisant", Données!A126:A10124, "EC", Données!B126:B10124, "mercredi")</f>
        <v>0</v>
      </c>
      <c r="E165" s="26">
        <f>COUNTIFS(Données!S126:S10124, "moy. satisfaisant", Données!A126:A10124, "EC", Données!B126:B10124, "mercredi")</f>
        <v>0</v>
      </c>
      <c r="F165" s="26">
        <f>COUNTIFS(Données!S126:S10124, "pas du tout satisfaisant", Données!A126:A10124, "EC", Données!B126:B10124, "mercredi")</f>
        <v>0</v>
      </c>
      <c r="J165" s="24" t="s">
        <v>81</v>
      </c>
      <c r="K165" s="26">
        <f>COUNTIFS(Données!AA126:AA10124, "très satisfaisant", Données!I126:I10124, "AFE", Données!J126:J10124, "mercredi")</f>
        <v>0</v>
      </c>
      <c r="L165" s="26">
        <f>COUNTIFS(Données!AA126:AA10124, "satisfaisant", Données!I126:I10124, "AFE", Données!J126:J10124, "mercredi")</f>
        <v>0</v>
      </c>
      <c r="M165" s="26">
        <f>COUNTIFS(Données!AA126:AA10124, "moy. satisfaisant", Données!I126:I10124, "AFE", Données!J126:J10124, "mercredi")</f>
        <v>0</v>
      </c>
      <c r="N165" s="26">
        <f>COUNTIFS(Données!AA126:AA10124, "pas du tout satisfaisant", Données!I126:I10124, "AFE", Données!J126:J10124, "mercredi")</f>
        <v>0</v>
      </c>
      <c r="R165" s="24" t="s">
        <v>81</v>
      </c>
      <c r="S165" s="26">
        <f>COUNTIFS(Données!AI126:AI10124, "très satisfaisant", Données!Q126:Q10124, "AS", Données!R126:R10124, "mercredi")</f>
        <v>0</v>
      </c>
      <c r="T165" s="26">
        <f>COUNTIFS(Données!AI126:AI10124, "satisfaisant", Données!Q126:Q10124, "AS", Données!R126:R10124, "mercredi")</f>
        <v>0</v>
      </c>
      <c r="U165" s="26">
        <f>COUNTIFS(Données!AI126:AI10124, "moy. satisfaisant", Données!Q126:Q10124, "AS", Données!R126:R10124, "mercredi")</f>
        <v>0</v>
      </c>
      <c r="V165" s="26">
        <f>COUNTIFS(Données!AI126:AI10124, "pas du tout satisfaisant", Données!Q126:Q10124, "AS", Données!R126:R10124, "mercredi")</f>
        <v>0</v>
      </c>
      <c r="Z165" s="24" t="s">
        <v>81</v>
      </c>
      <c r="AA165" s="26">
        <f>COUNTIFS(Données!AQ126:AQ10124, "très satisfaisant", Données!Y126:Y10124, "VISAS", Données!Z126:Z10124, "mercredi")</f>
        <v>0</v>
      </c>
      <c r="AB165" s="26">
        <f>COUNTIFS(Données!AQ126:AQ10124, "satisfaisant", Données!Y126:Y10124, "VISAS", Données!Z126:Z10124, "mercredi")</f>
        <v>0</v>
      </c>
      <c r="AC165" s="26">
        <f>COUNTIFS(Données!AQ126:AQ10124, "moy. satisfaisant", Données!Y126:Y10124, "VISAS", Données!Z126:Z10124, "mercredi")</f>
        <v>0</v>
      </c>
      <c r="AD165" s="26">
        <f>COUNTIFS(Données!AQ126:AQ10124, "pas du tout satisfaisant", Données!Y126:Y10124, "VISAS", Données!Z126:Z10124, "mercredi")</f>
        <v>0</v>
      </c>
    </row>
    <row r="166" spans="2:30" ht="15.75" x14ac:dyDescent="0.25">
      <c r="B166" s="21" t="s">
        <v>82</v>
      </c>
      <c r="C166" s="23">
        <f>COUNTIFS(Données!T126:T10124, "très satisfaisant", Données!A126:A10124, "EC", Données!B126:B10124, "mercredi")</f>
        <v>0</v>
      </c>
      <c r="D166" s="26">
        <f>COUNTIFS(Données!T126:T10124, "satisfaisant", Données!A126:A10124, "EC", Données!B126:B10124, "mercredi")</f>
        <v>0</v>
      </c>
      <c r="E166" s="26">
        <f>COUNTIFS(Données!T126:T10124, "moy. satisfaisant", Données!A126:A10124, "EC", Données!B126:B10124, "mercredi")</f>
        <v>0</v>
      </c>
      <c r="F166" s="26">
        <f>COUNTIFS(Données!T126:T10124, "pas du tout satisfaisant", Données!A126:A10124, "EC", Données!B126:B10124, "mercredi")</f>
        <v>0</v>
      </c>
      <c r="J166" s="24" t="s">
        <v>82</v>
      </c>
      <c r="K166" s="23">
        <f>COUNTIFS(Données!AB126:AB10124, "très satisfaisant", Données!I126:I10124, "AFE", Données!J126:J10124, "mercredi")</f>
        <v>0</v>
      </c>
      <c r="L166" s="26">
        <f>COUNTIFS(Données!AB126:AB10124, "satisfaisant", Données!I126:I10124, "AFE", Données!J126:J10124, "mercredi")</f>
        <v>0</v>
      </c>
      <c r="M166" s="26">
        <f>COUNTIFS(Données!AB126:AB10124, "moy. satisfaisant", Données!I126:I10124, "AFE", Données!J126:J10124, "mercredi")</f>
        <v>0</v>
      </c>
      <c r="N166" s="26">
        <f>COUNTIFS(Données!AB126:AB10124, "pas du tout satisfaisant", Données!I126:I10124, "AFE", Données!J126:J10124, "mercredi")</f>
        <v>0</v>
      </c>
      <c r="R166" s="24" t="s">
        <v>82</v>
      </c>
      <c r="S166" s="23">
        <f>COUNTIFS(Données!AJ126:AJ10124, "très satisfaisant", Données!Q126:Q10124, "AS", Données!R126:R10124, "mercredi")</f>
        <v>0</v>
      </c>
      <c r="T166" s="26">
        <f>COUNTIFS(Données!AJ126:AJ10124, "satisfaisant", Données!Q126:Q10124, "AS", Données!R126:R10124, "mercredi")</f>
        <v>0</v>
      </c>
      <c r="U166" s="26">
        <f>COUNTIFS(Données!AJ126:AJ10124, "moy. satisfaisant", Données!Q126:Q10124, "AS", Données!R126:R10124, "mercredi")</f>
        <v>0</v>
      </c>
      <c r="V166" s="26">
        <f>COUNTIFS(Données!AJ126:AJ10124, "pas du tout satisfaisant", Données!Q126:Q10124, "AS", Données!R126:R10124, "mercredi")</f>
        <v>0</v>
      </c>
      <c r="Z166" s="24" t="s">
        <v>82</v>
      </c>
      <c r="AA166" s="23">
        <f>COUNTIFS(Données!AR126:AR10124, "très satisfaisant", Données!Y126:Y10124, "VISAS", Données!Z126:Z10124, "mercredi")</f>
        <v>0</v>
      </c>
      <c r="AB166" s="26">
        <f>COUNTIFS(Données!AR126:AR10124, "satisfaisant", Données!Y126:Y10124, "VISAS", Données!Z126:Z10124, "mercredi")</f>
        <v>0</v>
      </c>
      <c r="AC166" s="26">
        <f>COUNTIFS(Données!AR126:AR10124, "moy. satisfaisant", Données!Y126:Y10124, "VISAS", Données!Z126:Z10124, "mercredi")</f>
        <v>0</v>
      </c>
      <c r="AD166" s="26">
        <f>COUNTIFS(Données!AR126:AR10124, "pas du tout satisfaisant", Données!Y126:Y10124, "VISAS", Données!Z126:Z10124, "mercredi")</f>
        <v>0</v>
      </c>
    </row>
    <row r="167" spans="2:30" ht="21" x14ac:dyDescent="0.25">
      <c r="B167" s="28" t="s">
        <v>84</v>
      </c>
      <c r="C167" s="30" t="s">
        <v>5</v>
      </c>
      <c r="D167" s="30" t="s">
        <v>6</v>
      </c>
      <c r="E167" s="26"/>
      <c r="F167" s="26"/>
      <c r="J167" s="28" t="s">
        <v>84</v>
      </c>
      <c r="K167" s="30" t="s">
        <v>5</v>
      </c>
      <c r="L167" s="30" t="s">
        <v>6</v>
      </c>
      <c r="M167" s="26"/>
      <c r="N167" s="26"/>
      <c r="R167" s="28" t="s">
        <v>84</v>
      </c>
      <c r="S167" s="30" t="s">
        <v>5</v>
      </c>
      <c r="T167" s="30" t="s">
        <v>6</v>
      </c>
      <c r="U167" s="26"/>
      <c r="V167" s="26"/>
      <c r="Z167" s="28" t="s">
        <v>84</v>
      </c>
      <c r="AA167" s="30" t="s">
        <v>5</v>
      </c>
      <c r="AB167" s="30" t="s">
        <v>6</v>
      </c>
      <c r="AC167" s="26"/>
      <c r="AD167" s="26"/>
    </row>
    <row r="168" spans="2:30" ht="15.75" x14ac:dyDescent="0.25">
      <c r="B168" s="33" t="s">
        <v>99</v>
      </c>
      <c r="C168" s="23">
        <f>COUNTIFS(Données!U126:U10124, "oui", Données!A126:A10124, "EC", Données!B126:B10124, "mercredi")</f>
        <v>0</v>
      </c>
      <c r="D168" s="23">
        <f>COUNTIFS(Données!U126:U10124, "oui", Données!A126:A10124, "EC", Données!B126:B10124, "mercredi")</f>
        <v>0</v>
      </c>
      <c r="E168" s="23"/>
      <c r="F168" s="23"/>
      <c r="J168" s="33" t="s">
        <v>99</v>
      </c>
      <c r="K168" s="23">
        <f>COUNTIFS(Données!AC126:AC10124, "oui", Données!I126:I10124, "AFE", Données!J126:J10124, "mercredi")</f>
        <v>0</v>
      </c>
      <c r="L168" s="23">
        <f>COUNTIFS(Données!AC126:AC10124, "oui", Données!I126:I10124, "AFE", Données!J126:J10124, "mercredi")</f>
        <v>0</v>
      </c>
      <c r="M168" s="23"/>
      <c r="N168" s="23"/>
      <c r="R168" s="33" t="s">
        <v>99</v>
      </c>
      <c r="S168" s="23">
        <f>COUNTIFS(Données!AK126:AK10124, "oui", Données!Q126:Q10124, "AS", Données!R126:R10124, "mercredi")</f>
        <v>0</v>
      </c>
      <c r="T168" s="23">
        <f>COUNTIFS(Données!AK126:AK10124, "oui", Données!Q126:Q10124, "AS", Données!R126:R10124, "mercredi")</f>
        <v>0</v>
      </c>
      <c r="U168" s="23"/>
      <c r="V168" s="23"/>
      <c r="Z168" s="33" t="s">
        <v>99</v>
      </c>
      <c r="AA168" s="23">
        <f>COUNTIFS(Données!AS126:AS10124, "oui", Données!Y126:Y10124, "VISAS", Données!Z126:Z10124, "mercredi")</f>
        <v>0</v>
      </c>
      <c r="AB168" s="23">
        <f>COUNTIFS(Données!AS126:AS10124, "oui", Données!Y126:Y10124, "VISAS", Données!Z126:Z10124, "mercredi")</f>
        <v>0</v>
      </c>
      <c r="AC168" s="23"/>
      <c r="AD168" s="23"/>
    </row>
    <row r="169" spans="2:30" ht="15" customHeight="1" x14ac:dyDescent="0.25">
      <c r="B169" s="43" t="s">
        <v>100</v>
      </c>
      <c r="C169" s="44" t="s">
        <v>37</v>
      </c>
      <c r="D169" s="44" t="s">
        <v>38</v>
      </c>
      <c r="E169" s="23"/>
      <c r="F169" s="23"/>
      <c r="J169" s="43" t="s">
        <v>100</v>
      </c>
      <c r="K169" s="44" t="s">
        <v>37</v>
      </c>
      <c r="L169" s="44" t="s">
        <v>38</v>
      </c>
      <c r="M169" s="23"/>
      <c r="N169" s="23"/>
      <c r="R169" s="43" t="s">
        <v>100</v>
      </c>
      <c r="S169" s="44" t="s">
        <v>37</v>
      </c>
      <c r="T169" s="44" t="s">
        <v>38</v>
      </c>
      <c r="U169" s="23"/>
      <c r="V169" s="23"/>
      <c r="Z169" s="43" t="s">
        <v>100</v>
      </c>
      <c r="AA169" s="44" t="s">
        <v>37</v>
      </c>
      <c r="AB169" s="44" t="s">
        <v>38</v>
      </c>
      <c r="AC169" s="23"/>
      <c r="AD169" s="23"/>
    </row>
    <row r="170" spans="2:30" ht="15" customHeight="1" x14ac:dyDescent="0.25">
      <c r="B170" s="43"/>
      <c r="C170" s="44"/>
      <c r="D170" s="44"/>
      <c r="E170" s="23"/>
      <c r="F170" s="23"/>
      <c r="J170" s="43"/>
      <c r="K170" s="44"/>
      <c r="L170" s="44"/>
      <c r="M170" s="23"/>
      <c r="N170" s="23"/>
      <c r="R170" s="43"/>
      <c r="S170" s="44"/>
      <c r="T170" s="44"/>
      <c r="U170" s="23"/>
      <c r="V170" s="23"/>
      <c r="Z170" s="43"/>
      <c r="AA170" s="44"/>
      <c r="AB170" s="44"/>
      <c r="AC170" s="23"/>
      <c r="AD170" s="23"/>
    </row>
    <row r="171" spans="2:30" ht="15" customHeight="1" x14ac:dyDescent="0.25">
      <c r="B171" s="43"/>
      <c r="C171" s="23">
        <f>COUNTIFS(Données!V126:V10124, "A l'heure", Données!A126:A10124, "EC", Données!B126:B10124, "mercredi")</f>
        <v>0</v>
      </c>
      <c r="D171" s="23">
        <f>COUNTIFS(Données!V126:V10124, "En retard", Données!A126:A10124, "EC", Données!B126:B10124, "mercredi")</f>
        <v>0</v>
      </c>
      <c r="E171" s="23"/>
      <c r="F171" s="23"/>
      <c r="J171" s="43"/>
      <c r="K171" s="23">
        <f>COUNTIFS(Données!AD126:AD10124, "A l'heure", Données!I126:I10124, "AFE", Données!J126:J10124, "mercredi")</f>
        <v>0</v>
      </c>
      <c r="L171" s="23">
        <f>COUNTIFS(Données!AD126:AD10124, "En retard", Données!I126:I10124, "AFE", Données!J126:J10124, "mercredi")</f>
        <v>0</v>
      </c>
      <c r="M171" s="23"/>
      <c r="N171" s="23"/>
      <c r="R171" s="43"/>
      <c r="S171" s="23">
        <f>COUNTIFS(Données!AL126:AL10124, "A l'heure", Données!Q126:Q10124, "AS", Données!R126:R10124, "mercredi")</f>
        <v>0</v>
      </c>
      <c r="T171" s="23">
        <f>COUNTIFS(Données!AL126:AL10124, "En retard", Données!Q126:Q10124, "AS", Données!R126:R10124, "mercredi")</f>
        <v>0</v>
      </c>
      <c r="U171" s="23"/>
      <c r="V171" s="23"/>
      <c r="Z171" s="43"/>
      <c r="AA171" s="23">
        <f>COUNTIFS(Données!AT126:AT10124, "A l'heure", Données!Y126:Y10124, "VISAS", Données!Z126:Z10124, "mercredi")</f>
        <v>0</v>
      </c>
      <c r="AB171" s="23">
        <f>COUNTIFS(Données!AT126:AT10124, "En retard", Données!Y126:Y10124, "VISAS", Données!Z126:Z10124, "mercredi")</f>
        <v>0</v>
      </c>
      <c r="AC171" s="23"/>
      <c r="AD171" s="23"/>
    </row>
    <row r="172" spans="2:30" ht="15" customHeight="1" x14ac:dyDescent="0.25">
      <c r="B172" s="45" t="s">
        <v>101</v>
      </c>
      <c r="C172" s="37" t="s">
        <v>40</v>
      </c>
      <c r="D172" s="38" t="s">
        <v>41</v>
      </c>
      <c r="E172" s="39" t="s">
        <v>42</v>
      </c>
      <c r="F172" s="46" t="s">
        <v>85</v>
      </c>
      <c r="J172" s="45" t="s">
        <v>101</v>
      </c>
      <c r="K172" s="37" t="s">
        <v>40</v>
      </c>
      <c r="L172" s="38" t="s">
        <v>41</v>
      </c>
      <c r="M172" s="39" t="s">
        <v>42</v>
      </c>
      <c r="N172" s="46" t="s">
        <v>85</v>
      </c>
      <c r="R172" s="45" t="s">
        <v>101</v>
      </c>
      <c r="S172" s="37" t="s">
        <v>40</v>
      </c>
      <c r="T172" s="38" t="s">
        <v>41</v>
      </c>
      <c r="U172" s="39" t="s">
        <v>42</v>
      </c>
      <c r="V172" s="46" t="s">
        <v>85</v>
      </c>
      <c r="Z172" s="45" t="s">
        <v>101</v>
      </c>
      <c r="AA172" s="37" t="s">
        <v>40</v>
      </c>
      <c r="AB172" s="38" t="s">
        <v>41</v>
      </c>
      <c r="AC172" s="39" t="s">
        <v>42</v>
      </c>
      <c r="AD172" s="46" t="s">
        <v>85</v>
      </c>
    </row>
    <row r="173" spans="2:30" ht="15" customHeight="1" x14ac:dyDescent="0.25">
      <c r="B173" s="45"/>
      <c r="C173" s="37"/>
      <c r="D173" s="38"/>
      <c r="E173" s="39"/>
      <c r="F173" s="46"/>
      <c r="J173" s="45"/>
      <c r="K173" s="37"/>
      <c r="L173" s="38"/>
      <c r="M173" s="39"/>
      <c r="N173" s="46"/>
      <c r="R173" s="45"/>
      <c r="S173" s="37"/>
      <c r="T173" s="38"/>
      <c r="U173" s="39"/>
      <c r="V173" s="46"/>
      <c r="Z173" s="45"/>
      <c r="AA173" s="37"/>
      <c r="AB173" s="38"/>
      <c r="AC173" s="39"/>
      <c r="AD173" s="46"/>
    </row>
    <row r="174" spans="2:30" ht="15" customHeight="1" x14ac:dyDescent="0.25">
      <c r="B174" s="45"/>
      <c r="C174" s="23">
        <f>COUNTIFS(Données!W126:W10124, "0-15", Données!A126:A10124, "EC", Données!B126:B10124, "mercredi")</f>
        <v>0</v>
      </c>
      <c r="D174" s="23">
        <f>COUNTIFS(Données!W126:W10124, "15-30", Données!A126:A10124, "EC", Données!B126:B10124, "mercredi")</f>
        <v>0</v>
      </c>
      <c r="E174" s="23">
        <f>COUNTIFS(Données!W126:W10124, "30-60", Données!A126:A10124, "EC", Données!B126:B10124, "mercredi")</f>
        <v>0</v>
      </c>
      <c r="F174" s="23">
        <f>COUNTIFS(Données!W126:W10124, "plus 60", Données!A126:A10124, "EC", Données!B126:B10124, "mercredi")</f>
        <v>0</v>
      </c>
      <c r="J174" s="45"/>
      <c r="K174" s="23">
        <f>COUNTIFS(Données!AE126:AE10124, "0-15", Données!I126:I10124, "AFE", Données!J126:J10124, "mercredi")</f>
        <v>0</v>
      </c>
      <c r="L174" s="23">
        <f>COUNTIFS(Données!AE126:AE10124, "15-30", Données!I126:I10124, "AFE", Données!J126:J10124, "mercredi")</f>
        <v>0</v>
      </c>
      <c r="M174" s="23">
        <f>COUNTIFS(Données!AE126:AE10124, "30-60", Données!I126:I10124, "AFE", Données!J126:J10124, "mercredi")</f>
        <v>0</v>
      </c>
      <c r="N174" s="23">
        <f>COUNTIFS(Données!AE126:AE10124, "plus 60", Données!I126:I10124, "AFE", Données!J126:J10124, "mercredi")</f>
        <v>0</v>
      </c>
      <c r="R174" s="45"/>
      <c r="S174" s="23">
        <f>COUNTIFS(Données!AM126:AM10124, "0-15", Données!Q126:Q10124, "AS", Données!R126:R10124, "mercredi")</f>
        <v>0</v>
      </c>
      <c r="T174" s="23">
        <f>COUNTIFS(Données!AM126:AM10124, "15-30", Données!Q126:Q10124, "AS", Données!R126:R10124, "mercredi")</f>
        <v>0</v>
      </c>
      <c r="U174" s="23">
        <f>COUNTIFS(Données!AM126:AM10124, "30-60", Données!Q126:Q10124, "AS", Données!R126:R10124, "mercredi")</f>
        <v>0</v>
      </c>
      <c r="V174" s="23">
        <f>COUNTIFS(Données!AM126:AM10124, "plus 60", Données!Q126:Q10124, "AS", Données!R126:R10124, "mercredi")</f>
        <v>0</v>
      </c>
      <c r="Z174" s="45"/>
      <c r="AA174" s="23">
        <f>COUNTIFS(Données!AU126:AU10124, "0-15", Données!Y126:Y10124, "VISAS", Données!Z126:Z10124, "mercredi")</f>
        <v>0</v>
      </c>
      <c r="AB174" s="23">
        <f>COUNTIFS(Données!AU126:AU10124, "15-30", Données!Y126:Y10124, "VISAS", Données!Z126:Z10124, "mercredi")</f>
        <v>0</v>
      </c>
      <c r="AC174" s="23">
        <f>COUNTIFS(Données!AU126:AU10124, "30-60", Données!Y126:Y10124, "VISAS", Données!Z126:Z10124, "mercredi")</f>
        <v>0</v>
      </c>
      <c r="AD174" s="23">
        <f>COUNTIFS(Données!AU126:AU10124, "plus 60", Données!Y126:Y10124, "VISAS", Données!Z126:Z10124, "mercredi")</f>
        <v>0</v>
      </c>
    </row>
    <row r="175" spans="2:30" ht="15" customHeight="1" x14ac:dyDescent="0.25">
      <c r="B175" s="41" t="s">
        <v>102</v>
      </c>
      <c r="C175" s="37" t="s">
        <v>40</v>
      </c>
      <c r="D175" s="38" t="s">
        <v>41</v>
      </c>
      <c r="E175" s="39" t="s">
        <v>42</v>
      </c>
      <c r="F175" s="40" t="s">
        <v>85</v>
      </c>
      <c r="J175" s="41" t="s">
        <v>102</v>
      </c>
      <c r="K175" s="37" t="s">
        <v>40</v>
      </c>
      <c r="L175" s="38" t="s">
        <v>41</v>
      </c>
      <c r="M175" s="39" t="s">
        <v>42</v>
      </c>
      <c r="N175" s="40" t="s">
        <v>85</v>
      </c>
      <c r="R175" s="41" t="s">
        <v>102</v>
      </c>
      <c r="S175" s="37" t="s">
        <v>40</v>
      </c>
      <c r="T175" s="38" t="s">
        <v>41</v>
      </c>
      <c r="U175" s="39" t="s">
        <v>42</v>
      </c>
      <c r="V175" s="40" t="s">
        <v>85</v>
      </c>
      <c r="Z175" s="41" t="s">
        <v>102</v>
      </c>
      <c r="AA175" s="37" t="s">
        <v>40</v>
      </c>
      <c r="AB175" s="38" t="s">
        <v>41</v>
      </c>
      <c r="AC175" s="39" t="s">
        <v>42</v>
      </c>
      <c r="AD175" s="40" t="s">
        <v>85</v>
      </c>
    </row>
    <row r="176" spans="2:30" ht="15" customHeight="1" x14ac:dyDescent="0.25">
      <c r="B176" s="41"/>
      <c r="C176" s="37"/>
      <c r="D176" s="38"/>
      <c r="E176" s="39"/>
      <c r="F176" s="40"/>
      <c r="J176" s="41"/>
      <c r="K176" s="37"/>
      <c r="L176" s="38"/>
      <c r="M176" s="39"/>
      <c r="N176" s="40"/>
      <c r="R176" s="41"/>
      <c r="S176" s="37"/>
      <c r="T176" s="38"/>
      <c r="U176" s="39"/>
      <c r="V176" s="40"/>
      <c r="Z176" s="41"/>
      <c r="AA176" s="37"/>
      <c r="AB176" s="38"/>
      <c r="AC176" s="39"/>
      <c r="AD176" s="40"/>
    </row>
    <row r="177" spans="1:30" ht="15" customHeight="1" x14ac:dyDescent="0.25">
      <c r="B177" s="42"/>
      <c r="C177" s="23">
        <f>COUNTIFS(Données!X126:X10124, "0-15", Données!A126:A10124, "EC", Données!B126:B10124, "mercredi")</f>
        <v>0</v>
      </c>
      <c r="D177" s="23">
        <f>COUNTIFS(Données!X126:X10124, "15-30", Données!A126:A10124, "EC", Données!B126:B10124, "mercredi")</f>
        <v>0</v>
      </c>
      <c r="E177" s="23">
        <f>COUNTIFS(Données!X126:X10124, "30-60", Données!A126:A10124, "EC", Données!B126:B10124, "mercredi")</f>
        <v>0</v>
      </c>
      <c r="F177" s="23">
        <f>COUNTIFS(Données!X126:X10124, "plus 60", Données!A126:A10124, "EC", Données!B126:B10124, "mercredi")</f>
        <v>0</v>
      </c>
      <c r="J177" s="42"/>
      <c r="K177" s="23">
        <f>COUNTIFS(Données!AF126:AF10124, "0-15", Données!I126:I10124, "AFE", Données!J126:J10124, "mercredi")</f>
        <v>0</v>
      </c>
      <c r="L177" s="23">
        <f>COUNTIFS(Données!AF126:AF10124, "15-30", Données!I126:I10124, "AFE", Données!J126:J10124, "mercredi")</f>
        <v>0</v>
      </c>
      <c r="M177" s="23">
        <f>COUNTIFS(Données!AF126:AF10124, "30-60", Données!I126:I10124, "AFE", Données!J126:J10124, "mercredi")</f>
        <v>0</v>
      </c>
      <c r="N177" s="23">
        <f>COUNTIFS(Données!AF126:AF10124, "plus 60", Données!I126:I10124, "AFE", Données!J126:J10124, "mercredi")</f>
        <v>0</v>
      </c>
      <c r="R177" s="42"/>
      <c r="S177" s="23">
        <f>COUNTIFS(Données!AN126:AN10124, "0-15", Données!Q126:Q10124, "AS", Données!R126:R10124, "mercredi")</f>
        <v>0</v>
      </c>
      <c r="T177" s="23">
        <f>COUNTIFS(Données!AN126:AN10124, "15-30", Données!Q126:Q10124, "AS", Données!R126:R10124, "mercredi")</f>
        <v>0</v>
      </c>
      <c r="U177" s="23">
        <f>COUNTIFS(Données!AN126:AN10124, "30-60", Données!Q126:Q10124, "AS", Données!R126:R10124, "mercredi")</f>
        <v>0</v>
      </c>
      <c r="V177" s="23">
        <f>COUNTIFS(Données!AN126:AN10124, "plus 60", Données!Q126:Q10124, "AS", Données!R126:R10124, "mercredi")</f>
        <v>0</v>
      </c>
      <c r="Z177" s="42"/>
      <c r="AA177" s="23">
        <f>COUNTIFS(Données!AV126:AV10124, "0-15", Données!Y126:Y10124, "VISAS", Données!Z126:Z10124, "mercredi")</f>
        <v>0</v>
      </c>
      <c r="AB177" s="23">
        <f>COUNTIFS(Données!AV126:AV10124, "15-30", Données!Y126:Y10124, "VISAS", Données!Z126:Z10124, "mercredi")</f>
        <v>0</v>
      </c>
      <c r="AC177" s="23">
        <f>COUNTIFS(Données!AV126:AV10124, "30-60", Données!Y126:Y10124, "VISAS", Données!Z126:Z10124, "mercredi")</f>
        <v>0</v>
      </c>
      <c r="AD177" s="23">
        <f>COUNTIFS(Données!AV126:AV10124, "plus 60", Données!Y126:Y10124, "VISAS", Données!Z126:Z10124, "mercredi")</f>
        <v>0</v>
      </c>
    </row>
    <row r="178" spans="1:30" ht="21" x14ac:dyDescent="0.25">
      <c r="B178" s="28" t="s">
        <v>86</v>
      </c>
      <c r="C178" s="22" t="s">
        <v>5</v>
      </c>
      <c r="D178" s="22" t="s">
        <v>6</v>
      </c>
      <c r="E178" s="23"/>
      <c r="F178" s="23"/>
      <c r="J178" s="28" t="s">
        <v>86</v>
      </c>
      <c r="K178" s="22" t="s">
        <v>5</v>
      </c>
      <c r="L178" s="22" t="s">
        <v>6</v>
      </c>
      <c r="M178" s="23"/>
      <c r="N178" s="23"/>
      <c r="R178" s="28" t="s">
        <v>86</v>
      </c>
      <c r="S178" s="22" t="s">
        <v>5</v>
      </c>
      <c r="T178" s="22" t="s">
        <v>6</v>
      </c>
      <c r="U178" s="23"/>
      <c r="V178" s="23"/>
      <c r="Z178" s="28" t="s">
        <v>86</v>
      </c>
      <c r="AA178" s="22" t="s">
        <v>5</v>
      </c>
      <c r="AB178" s="22" t="s">
        <v>6</v>
      </c>
      <c r="AC178" s="23"/>
      <c r="AD178" s="23"/>
    </row>
    <row r="179" spans="1:30" ht="15.75" x14ac:dyDescent="0.25">
      <c r="B179" s="35" t="s">
        <v>88</v>
      </c>
      <c r="C179" s="23">
        <f>COUNTIFS(Données!Z126:Z10124, "oui", Données!A126:A10124, "EC", Données!B126:B10124, "mercredi")</f>
        <v>0</v>
      </c>
      <c r="D179" s="23">
        <f>COUNTIFS(Données!Z126:Z10124, "non", Données!A126:A10124, "EC", Données!B126:B10124, "mercredi")</f>
        <v>0</v>
      </c>
      <c r="E179" s="23"/>
      <c r="F179" s="23"/>
      <c r="J179" s="35" t="s">
        <v>88</v>
      </c>
      <c r="K179" s="23">
        <f>COUNTIFS(Données!AH126:AH10124, "oui", Données!I126:I10124, "AFE", Données!J126:J10124, "mercredi")</f>
        <v>0</v>
      </c>
      <c r="L179" s="23">
        <f>COUNTIFS(Données!AH126:AH10124, "non", Données!I126:I10124, "AFE", Données!J126:J10124, "mercredi")</f>
        <v>0</v>
      </c>
      <c r="M179" s="23"/>
      <c r="N179" s="23"/>
      <c r="R179" s="35" t="s">
        <v>88</v>
      </c>
      <c r="S179" s="23">
        <f>COUNTIFS(Données!AP126:AP10124, "oui", Données!Q126:Q10124, "AS", Données!R126:R10124, "mercredi")</f>
        <v>0</v>
      </c>
      <c r="T179" s="23">
        <f>COUNTIFS(Données!AP126:AP10124, "non", Données!Q126:Q10124, "AS", Données!R126:R10124, "mercredi")</f>
        <v>0</v>
      </c>
      <c r="U179" s="23"/>
      <c r="V179" s="23"/>
      <c r="Z179" s="35" t="s">
        <v>88</v>
      </c>
      <c r="AA179" s="23">
        <f>COUNTIFS(Données!AX126:AX10124, "oui", Données!Y126:Y10124, "VISAS", Données!Z126:Z10124, "mercredi")</f>
        <v>0</v>
      </c>
      <c r="AB179" s="23">
        <f>COUNTIFS(Données!AX126:AX10124, "non", Données!Y126:Y10124, "VISAS", Données!Z126:Z10124, "mercredi")</f>
        <v>0</v>
      </c>
      <c r="AC179" s="23"/>
      <c r="AD179" s="23"/>
    </row>
    <row r="180" spans="1:30" ht="15.75" x14ac:dyDescent="0.25">
      <c r="B180" s="34" t="s">
        <v>89</v>
      </c>
      <c r="C180" s="23">
        <f>COUNTIFS(Données!AA126:AA10124, "oui", Données!A126:A10124, "EC", Données!B126:B10124, "mercredi")</f>
        <v>0</v>
      </c>
      <c r="D180" s="23">
        <f>COUNTIFS(Données!AA126:AA10124, "non", Données!A126:A10124, "EC", Données!B126:B10124, "mercredi")</f>
        <v>0</v>
      </c>
      <c r="E180" s="23"/>
      <c r="F180" s="23"/>
      <c r="J180" s="34" t="s">
        <v>89</v>
      </c>
      <c r="K180" s="23">
        <f>COUNTIFS(Données!AI126:AI10124, "oui", Données!I126:I10124, "AFE", Données!J126:J10124, "mercredi")</f>
        <v>0</v>
      </c>
      <c r="L180" s="23">
        <f>COUNTIFS(Données!AI126:AI10124, "non", Données!I126:I10124, "AFE", Données!J126:J10124, "mercredi")</f>
        <v>0</v>
      </c>
      <c r="M180" s="23"/>
      <c r="N180" s="23"/>
      <c r="R180" s="34" t="s">
        <v>89</v>
      </c>
      <c r="S180" s="23">
        <f>COUNTIFS(Données!AQ126:AQ10124, "oui", Données!Q126:Q10124, "AS", Données!R126:R10124, "mercredi")</f>
        <v>0</v>
      </c>
      <c r="T180" s="23">
        <f>COUNTIFS(Données!AQ126:AQ10124, "non", Données!Q126:Q10124, "AS", Données!R126:R10124, "mercredi")</f>
        <v>0</v>
      </c>
      <c r="U180" s="23"/>
      <c r="V180" s="23"/>
      <c r="Z180" s="34" t="s">
        <v>89</v>
      </c>
      <c r="AA180" s="23">
        <f>COUNTIFS(Données!AY126:AY10124, "oui", Données!Y126:Y10124, "VISAS", Données!Z126:Z10124, "mercredi")</f>
        <v>0</v>
      </c>
      <c r="AB180" s="23">
        <f>COUNTIFS(Données!AY126:AY10124, "non", Données!Y126:Y10124, "VISAS", Données!Z126:Z10124, "mercredi")</f>
        <v>0</v>
      </c>
      <c r="AC180" s="23"/>
      <c r="AD180" s="23"/>
    </row>
    <row r="181" spans="1:30" ht="15.75" x14ac:dyDescent="0.25">
      <c r="B181" s="21" t="s">
        <v>90</v>
      </c>
      <c r="C181" s="23">
        <f>COUNTIFS(Données!AB126:AB10124, "oui", Données!A126:A10124, "EC", Données!B126:B10124, "mercredi")</f>
        <v>0</v>
      </c>
      <c r="D181" s="23">
        <f>COUNTIFS(Données!AB126:AB10124, "non", Données!A126:A10124, "EC", Données!B126:B10124, "mercredi")</f>
        <v>0</v>
      </c>
      <c r="E181" s="23"/>
      <c r="F181" s="23"/>
      <c r="J181" s="24" t="s">
        <v>90</v>
      </c>
      <c r="K181" s="23">
        <f>COUNTIFS(Données!AJ126:AJ10124, "oui", Données!I126:I10124, "AFE", Données!J126:J10124, "mercredi")</f>
        <v>0</v>
      </c>
      <c r="L181" s="23">
        <f>COUNTIFS(Données!AJ126:AJ10124, "non", Données!I126:I10124, "AFE", Données!J126:J10124, "mercredi")</f>
        <v>0</v>
      </c>
      <c r="M181" s="23"/>
      <c r="N181" s="23"/>
      <c r="R181" s="24" t="s">
        <v>90</v>
      </c>
      <c r="S181" s="23">
        <f>COUNTIFS(Données!AR126:AR10124, "oui", Données!Q126:Q10124, "AS", Données!R126:R10124, "mercredi")</f>
        <v>0</v>
      </c>
      <c r="T181" s="23">
        <f>COUNTIFS(Données!AR126:AR10124, "non", Données!Q126:Q10124, "AS", Données!R126:R10124, "mercredi")</f>
        <v>0</v>
      </c>
      <c r="U181" s="23"/>
      <c r="V181" s="23"/>
      <c r="Z181" s="24" t="s">
        <v>90</v>
      </c>
      <c r="AA181" s="23">
        <f>COUNTIFS(Données!AZ126:AZ10124, "oui", Données!Y126:Y10124, "VISAS", Données!Z126:Z10124, "mercredi")</f>
        <v>0</v>
      </c>
      <c r="AB181" s="23">
        <f>COUNTIFS(Données!AZ126:AZ10124, "non", Données!Y126:Y10124, "VISAS", Données!Z126:Z10124, "mercredi")</f>
        <v>0</v>
      </c>
      <c r="AC181" s="23"/>
      <c r="AD181" s="23"/>
    </row>
    <row r="182" spans="1:30" ht="15" customHeight="1" x14ac:dyDescent="0.25">
      <c r="B182" s="36" t="s">
        <v>91</v>
      </c>
      <c r="C182" s="37" t="s">
        <v>79</v>
      </c>
      <c r="D182" s="38" t="s">
        <v>34</v>
      </c>
      <c r="E182" s="39" t="s">
        <v>83</v>
      </c>
      <c r="F182" s="40" t="s">
        <v>35</v>
      </c>
      <c r="J182" s="36" t="s">
        <v>91</v>
      </c>
      <c r="K182" s="37" t="s">
        <v>79</v>
      </c>
      <c r="L182" s="38" t="s">
        <v>34</v>
      </c>
      <c r="M182" s="39" t="s">
        <v>83</v>
      </c>
      <c r="N182" s="40" t="s">
        <v>35</v>
      </c>
      <c r="O182" s="26"/>
      <c r="P182" s="26"/>
      <c r="Q182" s="26"/>
      <c r="R182" s="36" t="s">
        <v>91</v>
      </c>
      <c r="S182" s="37" t="s">
        <v>79</v>
      </c>
      <c r="T182" s="38" t="s">
        <v>34</v>
      </c>
      <c r="U182" s="39" t="s">
        <v>83</v>
      </c>
      <c r="V182" s="40" t="s">
        <v>35</v>
      </c>
      <c r="Y182" s="26"/>
      <c r="Z182" s="36" t="s">
        <v>91</v>
      </c>
      <c r="AA182" s="37" t="s">
        <v>79</v>
      </c>
      <c r="AB182" s="38" t="s">
        <v>34</v>
      </c>
      <c r="AC182" s="39" t="s">
        <v>83</v>
      </c>
      <c r="AD182" s="40" t="s">
        <v>35</v>
      </c>
    </row>
    <row r="183" spans="1:30" ht="15" customHeight="1" x14ac:dyDescent="0.25">
      <c r="B183" s="36"/>
      <c r="C183" s="37"/>
      <c r="D183" s="38"/>
      <c r="E183" s="39"/>
      <c r="F183" s="40"/>
      <c r="J183" s="36"/>
      <c r="K183" s="37"/>
      <c r="L183" s="38"/>
      <c r="M183" s="39"/>
      <c r="N183" s="40"/>
      <c r="O183" s="26"/>
      <c r="P183" s="26"/>
      <c r="Q183" s="26"/>
      <c r="R183" s="36"/>
      <c r="S183" s="37"/>
      <c r="T183" s="38"/>
      <c r="U183" s="39"/>
      <c r="V183" s="40"/>
      <c r="Y183" s="26"/>
      <c r="Z183" s="36"/>
      <c r="AA183" s="37"/>
      <c r="AB183" s="38"/>
      <c r="AC183" s="39"/>
      <c r="AD183" s="40"/>
    </row>
    <row r="184" spans="1:30" ht="15" customHeight="1" x14ac:dyDescent="0.25">
      <c r="B184" s="36"/>
      <c r="C184" s="26">
        <f>COUNTIFS(Données!AC126:AC10124, "très satisfaisant", Données!A126:A10124, "EC", Données!B126:B10124, "mercredi")</f>
        <v>0</v>
      </c>
      <c r="D184" s="26">
        <f>COUNTIFS(Données!AC126:AC10124, "satisfaisant", Données!A126:A10124, "EC", Données!B126:B10124, "mercredi")</f>
        <v>0</v>
      </c>
      <c r="E184" s="26">
        <f>COUNTIFS(Données!AC126:AC10124, "moy. satisfaisant", Données!A126:A10124, "EC", Données!B126:B10124, "mercredi")</f>
        <v>0</v>
      </c>
      <c r="F184" s="26">
        <f>COUNTIFS(Données!AC126:AC10124, "pas du tout satisfaisant", Données!A126:A10124, "EC", Données!B126:B10124, "mercredi")</f>
        <v>0</v>
      </c>
      <c r="J184" s="36"/>
      <c r="K184" s="26">
        <f>COUNTIFS(Données!AK126:AK10124, "très satisfaisant", Données!I126:I10124, "AFE", Données!J126:J10124, "mercredi")</f>
        <v>0</v>
      </c>
      <c r="L184" s="26">
        <f>COUNTIFS(Données!AK126:AK10124, "satisfaisant", Données!I126:I10124, "AFE", Données!J126:J10124, "mercredi")</f>
        <v>0</v>
      </c>
      <c r="M184" s="26">
        <f>COUNTIFS(Données!AK126:AK10124, "moy. satisfaisant", Données!I126:I10124, "AFE", Données!J126:J10124, "mercredi")</f>
        <v>0</v>
      </c>
      <c r="N184" s="26">
        <f>COUNTIFS(Données!AK126:AK10124, "pas du tout satisfaisant", Données!I126:I10124, "AFE", Données!J126:J10124, "mercredi")</f>
        <v>0</v>
      </c>
      <c r="O184" s="26"/>
      <c r="P184" s="26"/>
      <c r="Q184" s="26"/>
      <c r="R184" s="36"/>
      <c r="S184" s="26">
        <f>COUNTIFS(Données!AS126:AS10124, "très satisfaisant", Données!Q126:Q10124, "AS", Données!R126:R10124, "mercredi")</f>
        <v>0</v>
      </c>
      <c r="T184" s="26">
        <f>COUNTIFS(Données!AS126:AS10124, "satisfaisant", Données!Q126:Q10124, "AS", Données!R126:R10124, "mercredi")</f>
        <v>0</v>
      </c>
      <c r="U184" s="26">
        <f>COUNTIFS(Données!AS126:AS10124, "moy. satisfaisant", Données!Q126:Q10124, "AS", Données!R126:R10124, "mercredi")</f>
        <v>0</v>
      </c>
      <c r="V184" s="26">
        <f>COUNTIFS(Données!AS126:AS10124, "pas du tout satisfaisant", Données!Q126:Q10124, "AS", Données!R126:R10124, "mercredi")</f>
        <v>0</v>
      </c>
      <c r="Y184" s="26"/>
      <c r="Z184" s="36"/>
      <c r="AA184" s="26">
        <f>COUNTIFS(Données!BA126:BA10124, "très satisfaisant", Données!Y126:Y10124, "VISAS", Données!Z126:Z10124, "mercredi")</f>
        <v>0</v>
      </c>
      <c r="AB184" s="26">
        <f>COUNTIFS(Données!BA126:BA10124, "satisfaisant", Données!Y126:Y10124, "VISAS", Données!Z126:Z10124, "mercredi")</f>
        <v>0</v>
      </c>
      <c r="AC184" s="26">
        <f>COUNTIFS(Données!BA126:BA10124, "moy. satisfaisant", Données!Y126:Y10124, "VISAS", Données!Z126:Z10124, "mercredi")</f>
        <v>0</v>
      </c>
      <c r="AD184" s="26">
        <f>COUNTIFS(Données!BA126:BA10124, "pas du tout satisfaisant", Données!Y126:Y10124, "VISAS", Données!Z126:Z10124, "mercredi")</f>
        <v>0</v>
      </c>
    </row>
    <row r="185" spans="1:30" ht="15" customHeight="1" x14ac:dyDescent="0.25">
      <c r="C185" s="26"/>
      <c r="D185" s="26"/>
      <c r="E185" s="26"/>
      <c r="F185" s="26"/>
      <c r="K185" s="26"/>
      <c r="L185" s="26"/>
      <c r="M185" s="26"/>
      <c r="N185" s="26"/>
      <c r="S185" s="26"/>
      <c r="T185" s="26"/>
      <c r="U185" s="26"/>
      <c r="V185" s="26"/>
      <c r="AA185" s="26"/>
      <c r="AB185" s="26"/>
      <c r="AC185" s="26"/>
      <c r="AD185" s="26"/>
    </row>
    <row r="186" spans="1:30" ht="15" customHeight="1" x14ac:dyDescent="0.25">
      <c r="C186" s="26"/>
      <c r="D186" s="26"/>
      <c r="E186" s="26"/>
      <c r="F186" s="26"/>
      <c r="K186" s="26"/>
      <c r="L186" s="26"/>
      <c r="M186" s="26"/>
      <c r="N186" s="26"/>
      <c r="S186" s="26"/>
      <c r="T186" s="26"/>
      <c r="U186" s="26"/>
      <c r="V186" s="26"/>
      <c r="AA186" s="26"/>
      <c r="AB186" s="26"/>
      <c r="AC186" s="26"/>
      <c r="AD186" s="26"/>
    </row>
    <row r="187" spans="1:30" x14ac:dyDescent="0.25">
      <c r="C187" s="26"/>
      <c r="D187" s="26"/>
      <c r="E187" s="26"/>
      <c r="F187" s="26"/>
      <c r="K187" s="26"/>
      <c r="L187" s="26"/>
      <c r="M187" s="26"/>
      <c r="N187" s="26"/>
      <c r="S187" s="26"/>
      <c r="T187" s="26"/>
      <c r="U187" s="26"/>
      <c r="V187" s="26"/>
      <c r="AA187" s="26"/>
      <c r="AB187" s="26"/>
      <c r="AC187" s="26"/>
      <c r="AD187" s="26"/>
    </row>
    <row r="188" spans="1:30" x14ac:dyDescent="0.25">
      <c r="C188" s="26"/>
      <c r="D188" s="26"/>
      <c r="E188" s="26"/>
      <c r="F188" s="26"/>
      <c r="K188" s="26"/>
      <c r="L188" s="26"/>
      <c r="M188" s="26"/>
      <c r="N188" s="26"/>
      <c r="S188" s="26"/>
      <c r="T188" s="26"/>
      <c r="U188" s="26"/>
      <c r="V188" s="26"/>
      <c r="AA188" s="26"/>
      <c r="AB188" s="26"/>
      <c r="AC188" s="26"/>
      <c r="AD188" s="26"/>
    </row>
    <row r="189" spans="1:30" ht="15" customHeight="1" x14ac:dyDescent="0.25">
      <c r="A189" s="58" t="s">
        <v>105</v>
      </c>
      <c r="B189" s="55" t="s">
        <v>51</v>
      </c>
      <c r="C189" s="55" t="s">
        <v>87</v>
      </c>
      <c r="D189" s="55"/>
      <c r="E189" s="55"/>
      <c r="F189" s="55"/>
      <c r="I189" s="59" t="s">
        <v>105</v>
      </c>
      <c r="J189" s="55" t="s">
        <v>0</v>
      </c>
      <c r="K189" s="55" t="s">
        <v>87</v>
      </c>
      <c r="L189" s="55"/>
      <c r="M189" s="55"/>
      <c r="N189" s="55"/>
      <c r="Q189" s="59" t="s">
        <v>105</v>
      </c>
      <c r="R189" s="55" t="s">
        <v>0</v>
      </c>
      <c r="S189" s="55" t="s">
        <v>87</v>
      </c>
      <c r="T189" s="55"/>
      <c r="U189" s="55"/>
      <c r="V189" s="55"/>
      <c r="Y189" s="59" t="s">
        <v>105</v>
      </c>
      <c r="Z189" s="55" t="s">
        <v>3</v>
      </c>
      <c r="AA189" s="55" t="s">
        <v>87</v>
      </c>
      <c r="AB189" s="55"/>
      <c r="AC189" s="55"/>
      <c r="AD189" s="55"/>
    </row>
    <row r="190" spans="1:30" ht="15" customHeight="1" x14ac:dyDescent="0.25">
      <c r="A190" s="58"/>
      <c r="B190" s="55"/>
      <c r="C190" s="55"/>
      <c r="D190" s="55"/>
      <c r="E190" s="55"/>
      <c r="F190" s="55"/>
      <c r="I190" s="59"/>
      <c r="J190" s="55"/>
      <c r="K190" s="55"/>
      <c r="L190" s="55"/>
      <c r="M190" s="55"/>
      <c r="N190" s="55"/>
      <c r="Q190" s="59"/>
      <c r="R190" s="55"/>
      <c r="S190" s="55"/>
      <c r="T190" s="55"/>
      <c r="U190" s="55"/>
      <c r="V190" s="55"/>
      <c r="Y190" s="59"/>
      <c r="Z190" s="55"/>
      <c r="AA190" s="55"/>
      <c r="AB190" s="55"/>
      <c r="AC190" s="55"/>
      <c r="AD190" s="55"/>
    </row>
    <row r="191" spans="1:30" ht="21" customHeight="1" x14ac:dyDescent="0.25">
      <c r="B191" s="28" t="s">
        <v>53</v>
      </c>
      <c r="C191" s="22" t="s">
        <v>5</v>
      </c>
      <c r="D191" s="22" t="s">
        <v>6</v>
      </c>
      <c r="E191" s="26"/>
      <c r="F191" s="26"/>
      <c r="J191" s="28" t="s">
        <v>53</v>
      </c>
      <c r="K191" s="22" t="s">
        <v>5</v>
      </c>
      <c r="L191" s="22" t="s">
        <v>6</v>
      </c>
      <c r="M191" s="26"/>
      <c r="N191" s="26"/>
      <c r="R191" s="28" t="s">
        <v>53</v>
      </c>
      <c r="S191" s="22" t="s">
        <v>5</v>
      </c>
      <c r="T191" s="22" t="s">
        <v>6</v>
      </c>
      <c r="U191" s="26"/>
      <c r="V191" s="26"/>
      <c r="Z191" s="28" t="s">
        <v>53</v>
      </c>
      <c r="AA191" s="22" t="s">
        <v>5</v>
      </c>
      <c r="AB191" s="22" t="s">
        <v>6</v>
      </c>
      <c r="AC191" s="26"/>
      <c r="AD191" s="26"/>
    </row>
    <row r="192" spans="1:30" ht="15" customHeight="1" x14ac:dyDescent="0.25">
      <c r="B192" s="56" t="s">
        <v>52</v>
      </c>
      <c r="C192" s="48">
        <f>COUNTIFS(Données!C188:C10186, "oui", Données!A188:A10186, "EC", Données!B188:B10186, "jeudi")</f>
        <v>0</v>
      </c>
      <c r="D192" s="48">
        <f>COUNTIFS(Données!C188:C10186, "non", Données!A188:A10186, "EC", Données!B188:B10186,  "jeudi")</f>
        <v>0</v>
      </c>
      <c r="E192" s="26"/>
      <c r="F192" s="26"/>
      <c r="J192" s="56" t="s">
        <v>52</v>
      </c>
      <c r="K192" s="48">
        <f>COUNTIFS(Données!K188:K10186, "oui", Données!I188:I10186, "AFE", Données!J188:J10186, "jeudi")</f>
        <v>0</v>
      </c>
      <c r="L192" s="48">
        <f>COUNTIFS(Données!K188:K10186, "non", Données!I188:I10186, "AFE", Données!J188:J10186, "jeudi")</f>
        <v>0</v>
      </c>
      <c r="M192" s="26"/>
      <c r="N192" s="26"/>
      <c r="R192" s="56" t="s">
        <v>52</v>
      </c>
      <c r="S192" s="48">
        <f>COUNTIFS(Données!S188:S10186, "oui", Données!Q188:Q10186, "AS", Données!R188:R10186, "jeudi")</f>
        <v>0</v>
      </c>
      <c r="T192" s="48">
        <f>COUNTIFS(Données!S188:S10186, "non", Données!Q188:Q10186, "AS", Données!R188:R10186, "jeudi")</f>
        <v>0</v>
      </c>
      <c r="U192" s="26"/>
      <c r="V192" s="26"/>
      <c r="Z192" s="56" t="s">
        <v>52</v>
      </c>
      <c r="AA192" s="48">
        <f>COUNTIFS(Données!AA188:AA10186, "oui", Données!Y188:Y10186, "VISAS", Données!Z188:Z10186, "jeudi")</f>
        <v>0</v>
      </c>
      <c r="AB192" s="48">
        <f>COUNTIFS(Données!AA188:AA10186, "non", Données!Y188:Y10186, "VISAS", Données!Z188:Z10186, "jeudi")</f>
        <v>0</v>
      </c>
      <c r="AC192" s="26"/>
      <c r="AD192" s="26"/>
    </row>
    <row r="193" spans="2:30" ht="15" customHeight="1" x14ac:dyDescent="0.25">
      <c r="B193" s="56"/>
      <c r="C193" s="48"/>
      <c r="D193" s="48"/>
      <c r="E193" s="26"/>
      <c r="F193" s="26"/>
      <c r="J193" s="56"/>
      <c r="K193" s="48"/>
      <c r="L193" s="48"/>
      <c r="M193" s="26"/>
      <c r="N193" s="26"/>
      <c r="R193" s="56"/>
      <c r="S193" s="48"/>
      <c r="T193" s="48"/>
      <c r="U193" s="26"/>
      <c r="V193" s="26"/>
      <c r="Z193" s="56"/>
      <c r="AA193" s="48"/>
      <c r="AB193" s="48"/>
      <c r="AC193" s="26"/>
      <c r="AD193" s="26"/>
    </row>
    <row r="194" spans="2:30" ht="15" customHeight="1" x14ac:dyDescent="0.25">
      <c r="B194" s="45" t="s">
        <v>60</v>
      </c>
      <c r="C194" s="48">
        <f>COUNTIFS(Données!D188:D10186, "oui", Données!A188:A10186, "EC", Données!B188:B10186,  "jeudi")</f>
        <v>0</v>
      </c>
      <c r="D194" s="48">
        <f>COUNTIFS(Données!D188:D10186, "non", Données!A188:A10186, "EC", Données!B188:B10186,  "jeudi")</f>
        <v>0</v>
      </c>
      <c r="E194" s="26"/>
      <c r="F194" s="26"/>
      <c r="J194" s="45" t="s">
        <v>60</v>
      </c>
      <c r="K194" s="48">
        <f>COUNTIFS(Données!L188:L10186, "oui", Données!I188:I10186, "AFE", Données!J188:J10186, "jeudi")</f>
        <v>0</v>
      </c>
      <c r="L194" s="48">
        <f>COUNTIFS(Données!L188:L10186, "non", Données!I188:I10186, "AFE", Données!J188:J10186, "jeudi")</f>
        <v>0</v>
      </c>
      <c r="M194" s="26"/>
      <c r="N194" s="26"/>
      <c r="R194" s="45" t="s">
        <v>60</v>
      </c>
      <c r="S194" s="48">
        <f>COUNTIFS(Données!T188:T10186, "oui", Données!Q188:Q10186, "AS", Données!R188:R10186, "jeudi")</f>
        <v>0</v>
      </c>
      <c r="T194" s="48">
        <f>COUNTIFS(Données!T188:T10186, "non", Données!Q188:Q10186, "AS", Données!R188:R10186, "jeudi")</f>
        <v>0</v>
      </c>
      <c r="U194" s="26"/>
      <c r="V194" s="26"/>
      <c r="Z194" s="45" t="s">
        <v>60</v>
      </c>
      <c r="AA194" s="48">
        <f>COUNTIFS(Données!AB188:AB10186, "oui", Données!Y188:Y10186, "VISAS", Données!Z188:Z10186, "jeudi")</f>
        <v>0</v>
      </c>
      <c r="AB194" s="48">
        <f>COUNTIFS(Données!AB188:AB10186, "non", Données!Y188:Y10186, "VISAS", Données!Z188:Z10186, "jeudi")</f>
        <v>0</v>
      </c>
      <c r="AC194" s="26"/>
      <c r="AD194" s="26"/>
    </row>
    <row r="195" spans="2:30" ht="15" customHeight="1" x14ac:dyDescent="0.25">
      <c r="B195" s="45"/>
      <c r="C195" s="48"/>
      <c r="D195" s="48"/>
      <c r="E195" s="26"/>
      <c r="F195" s="26"/>
      <c r="J195" s="45"/>
      <c r="K195" s="48"/>
      <c r="L195" s="48"/>
      <c r="M195" s="26"/>
      <c r="N195" s="26"/>
      <c r="R195" s="45"/>
      <c r="S195" s="48"/>
      <c r="T195" s="48"/>
      <c r="U195" s="26"/>
      <c r="V195" s="26"/>
      <c r="Z195" s="45"/>
      <c r="AA195" s="48"/>
      <c r="AB195" s="48"/>
      <c r="AC195" s="26"/>
      <c r="AD195" s="26"/>
    </row>
    <row r="196" spans="2:30" ht="15" customHeight="1" x14ac:dyDescent="0.25">
      <c r="B196" s="41" t="s">
        <v>74</v>
      </c>
      <c r="C196" s="48">
        <f>COUNTIFS(Données!E188:E10186, "oui", Données!A188:A10186, "EC", Données!B188:B10186,  "jeudi")</f>
        <v>0</v>
      </c>
      <c r="D196" s="48">
        <f>COUNTIFS(Données!E188:E10186, "non", Données!A188:A10186, "EC", Données!B188:B10186,  "jeudi")</f>
        <v>0</v>
      </c>
      <c r="E196" s="26"/>
      <c r="F196" s="26"/>
      <c r="J196" s="41" t="s">
        <v>74</v>
      </c>
      <c r="K196" s="48">
        <f>COUNTIFS(Données!M188:M10186, "oui", Données!I188:I10186, "AFE", Données!J188:J10186, "jeudi")</f>
        <v>0</v>
      </c>
      <c r="L196" s="48">
        <f>COUNTIFS(Données!M188:M10186, "non", Données!I188:I10186, "AFE", Données!J188:J10186, "jeudi")</f>
        <v>0</v>
      </c>
      <c r="M196" s="26"/>
      <c r="N196" s="26"/>
      <c r="R196" s="41" t="s">
        <v>74</v>
      </c>
      <c r="S196" s="48">
        <f>COUNTIFS(Données!U188:U10186, "oui", Données!Q188:Q10186, "AS", Données!R188:R10186, "jeudi")</f>
        <v>0</v>
      </c>
      <c r="T196" s="48">
        <f>COUNTIFS(Données!U188:U10186, "non", Données!Q188:Q10186, "AS", Données!R188:R10186, "jeudi")</f>
        <v>0</v>
      </c>
      <c r="U196" s="26"/>
      <c r="V196" s="26"/>
      <c r="Z196" s="41" t="s">
        <v>74</v>
      </c>
      <c r="AA196" s="48">
        <f>COUNTIFS(Données!AC188:AC10186, "oui", Données!Y188:Y10186, "VISAS", Données!Z188:Z10186, "jeudi")</f>
        <v>0</v>
      </c>
      <c r="AB196" s="48">
        <f>COUNTIFS(Données!AC188:AC10186, "non", Données!Y188:Y10186, "VISAS", Données!Z188:Z10186, "jeudi")</f>
        <v>0</v>
      </c>
      <c r="AC196" s="26"/>
      <c r="AD196" s="26"/>
    </row>
    <row r="197" spans="2:30" ht="15" customHeight="1" x14ac:dyDescent="0.25">
      <c r="B197" s="41"/>
      <c r="C197" s="48"/>
      <c r="D197" s="48"/>
      <c r="E197" s="26"/>
      <c r="F197" s="26"/>
      <c r="J197" s="41"/>
      <c r="K197" s="48"/>
      <c r="L197" s="48"/>
      <c r="M197" s="26"/>
      <c r="N197" s="26"/>
      <c r="R197" s="41"/>
      <c r="S197" s="48"/>
      <c r="T197" s="48"/>
      <c r="U197" s="26"/>
      <c r="V197" s="26"/>
      <c r="Z197" s="41"/>
      <c r="AA197" s="48"/>
      <c r="AB197" s="48"/>
      <c r="AC197" s="26"/>
      <c r="AD197" s="26"/>
    </row>
    <row r="198" spans="2:30" ht="21" x14ac:dyDescent="0.35">
      <c r="B198" s="29" t="s">
        <v>54</v>
      </c>
      <c r="C198" s="22" t="s">
        <v>5</v>
      </c>
      <c r="D198" s="22" t="s">
        <v>6</v>
      </c>
      <c r="E198" s="26"/>
      <c r="F198" s="26"/>
      <c r="J198" s="29" t="s">
        <v>54</v>
      </c>
      <c r="K198" s="22" t="s">
        <v>5</v>
      </c>
      <c r="L198" s="22" t="s">
        <v>6</v>
      </c>
      <c r="M198" s="26"/>
      <c r="N198" s="26"/>
      <c r="R198" s="29" t="s">
        <v>54</v>
      </c>
      <c r="S198" s="22" t="s">
        <v>5</v>
      </c>
      <c r="T198" s="22" t="s">
        <v>6</v>
      </c>
      <c r="U198" s="26"/>
      <c r="V198" s="26"/>
      <c r="Z198" s="29" t="s">
        <v>54</v>
      </c>
      <c r="AA198" s="22" t="s">
        <v>5</v>
      </c>
      <c r="AB198" s="22" t="s">
        <v>6</v>
      </c>
      <c r="AC198" s="26"/>
      <c r="AD198" s="26"/>
    </row>
    <row r="199" spans="2:30" ht="15" customHeight="1" x14ac:dyDescent="0.25">
      <c r="B199" s="51" t="s">
        <v>64</v>
      </c>
      <c r="C199" s="47">
        <f>COUNTIFS(Données!F188:F10186, "oui", Données!A188:A10186, "EC", Données!B188:B10186,  "jeudi")</f>
        <v>0</v>
      </c>
      <c r="D199" s="47">
        <f>COUNTIFS(Données!F188:F10186, "non", Données!A188:A10186, "EC", Données!B188:B10186,  "jeudi")</f>
        <v>0</v>
      </c>
      <c r="E199" s="26"/>
      <c r="F199" s="26"/>
      <c r="J199" s="51" t="s">
        <v>64</v>
      </c>
      <c r="K199" s="47">
        <f>COUNTIFS(Données!N188:N10186, "oui", Données!I188:I10186, "AFE", Données!J188:J10186, "jeudi")</f>
        <v>0</v>
      </c>
      <c r="L199" s="47">
        <f>COUNTIFS(Données!N188:N10186, "non", Données!I188:I10186, "AFE", Données!J188:J10186, "jeudi")</f>
        <v>0</v>
      </c>
      <c r="M199" s="26"/>
      <c r="N199" s="26"/>
      <c r="R199" s="51" t="s">
        <v>64</v>
      </c>
      <c r="S199" s="47">
        <f>COUNTIFS(Données!V188:V10186, "oui", Données!Q188:Q10186, "AS", Données!R188:R10186, "jeudi")</f>
        <v>0</v>
      </c>
      <c r="T199" s="47">
        <f>COUNTIFS(Données!V188:V10186, "non", Données!Q188:Q10186, "AS", Données!R188:R10186, "jeudi")</f>
        <v>0</v>
      </c>
      <c r="U199" s="26"/>
      <c r="V199" s="26"/>
      <c r="Z199" s="51" t="s">
        <v>64</v>
      </c>
      <c r="AA199" s="47">
        <f>COUNTIFS(Données!AD188:AD10186, "oui", Données!Y188:Y10186, "VISAS", Données!Z188:Z10186, "jeudi")</f>
        <v>0</v>
      </c>
      <c r="AB199" s="47">
        <f>COUNTIFS(Données!AD188:AD10186, "non", Données!Y188:Y10186, "VISAS", Données!Z188:Z10186, "jeudi")</f>
        <v>0</v>
      </c>
      <c r="AC199" s="26"/>
      <c r="AD199" s="26"/>
    </row>
    <row r="200" spans="2:30" ht="15" customHeight="1" x14ac:dyDescent="0.25">
      <c r="B200" s="52"/>
      <c r="C200" s="47"/>
      <c r="D200" s="47"/>
      <c r="E200" s="26"/>
      <c r="F200" s="26"/>
      <c r="J200" s="52"/>
      <c r="K200" s="47"/>
      <c r="L200" s="47"/>
      <c r="M200" s="26"/>
      <c r="N200" s="26"/>
      <c r="R200" s="52"/>
      <c r="S200" s="47"/>
      <c r="T200" s="47"/>
      <c r="U200" s="26"/>
      <c r="V200" s="26"/>
      <c r="Z200" s="52"/>
      <c r="AA200" s="47"/>
      <c r="AB200" s="47"/>
      <c r="AC200" s="26"/>
      <c r="AD200" s="26"/>
    </row>
    <row r="201" spans="2:30" ht="15" customHeight="1" x14ac:dyDescent="0.25">
      <c r="B201" s="48" t="s">
        <v>61</v>
      </c>
      <c r="C201" s="53" t="s">
        <v>10</v>
      </c>
      <c r="D201" s="54" t="s">
        <v>11</v>
      </c>
      <c r="E201" s="50" t="s">
        <v>12</v>
      </c>
      <c r="F201" s="26"/>
      <c r="J201" s="48" t="s">
        <v>61</v>
      </c>
      <c r="K201" s="53" t="s">
        <v>10</v>
      </c>
      <c r="L201" s="54" t="s">
        <v>11</v>
      </c>
      <c r="M201" s="50" t="s">
        <v>12</v>
      </c>
      <c r="N201" s="26"/>
      <c r="R201" s="48" t="s">
        <v>61</v>
      </c>
      <c r="S201" s="53" t="s">
        <v>10</v>
      </c>
      <c r="T201" s="54" t="s">
        <v>11</v>
      </c>
      <c r="U201" s="50" t="s">
        <v>12</v>
      </c>
      <c r="V201" s="26"/>
      <c r="Z201" s="48" t="s">
        <v>61</v>
      </c>
      <c r="AA201" s="53" t="s">
        <v>10</v>
      </c>
      <c r="AB201" s="54" t="s">
        <v>11</v>
      </c>
      <c r="AC201" s="50" t="s">
        <v>12</v>
      </c>
      <c r="AD201" s="26"/>
    </row>
    <row r="202" spans="2:30" ht="15" customHeight="1" x14ac:dyDescent="0.25">
      <c r="B202" s="48"/>
      <c r="C202" s="53"/>
      <c r="D202" s="54"/>
      <c r="E202" s="50"/>
      <c r="F202" s="26"/>
      <c r="J202" s="48"/>
      <c r="K202" s="53"/>
      <c r="L202" s="54"/>
      <c r="M202" s="50"/>
      <c r="N202" s="26"/>
      <c r="R202" s="48"/>
      <c r="S202" s="53"/>
      <c r="T202" s="54"/>
      <c r="U202" s="50"/>
      <c r="V202" s="26"/>
      <c r="Z202" s="48"/>
      <c r="AA202" s="53"/>
      <c r="AB202" s="54"/>
      <c r="AC202" s="50"/>
      <c r="AD202" s="26"/>
    </row>
    <row r="203" spans="2:30" x14ac:dyDescent="0.25">
      <c r="B203" s="48"/>
      <c r="C203" s="26">
        <f>COUNTIFS(Données!G188:G10186, "téléphone", Données!A188:A10186, "EC", Données!B188:B10186,  "jeudi")</f>
        <v>0</v>
      </c>
      <c r="D203" s="26">
        <f>COUNTIFS(Données!G188:G10186, "mail", Données!A188:A10186, "EC", Données!B188:B10186,  "jeudi")</f>
        <v>0</v>
      </c>
      <c r="E203" s="26">
        <f>COUNTIFS(Données!G188:G10186, "sur place", Données!A188:A10186, "EC", Données!B188:B10186,  "jeudi")</f>
        <v>0</v>
      </c>
      <c r="F203" s="26"/>
      <c r="J203" s="48"/>
      <c r="K203" s="26">
        <f>COUNTIFS(Données!O188:O10186, "téléphone", Données!I188:I10186, "AFE", Données!J188:J10186, "jeudi")</f>
        <v>0</v>
      </c>
      <c r="L203" s="26">
        <f>COUNTIFS(Données!O188:O10186, "mail", Données!I188:I10186, "AFE", Données!J188:J10186, "jeudi")</f>
        <v>0</v>
      </c>
      <c r="M203" s="26">
        <f>COUNTIFS(Données!O188:O10186, "sur place", Données!I188:I10186, "AFE", Données!J188:J10186, "jeudi")</f>
        <v>0</v>
      </c>
      <c r="N203" s="26"/>
      <c r="R203" s="48"/>
      <c r="S203" s="26">
        <f>COUNTIFS(Données!W188:W10186, "téléphone", Données!Q188:Q10186, "AS", Données!R188:R10186, "jeudi")</f>
        <v>0</v>
      </c>
      <c r="T203" s="26">
        <f>COUNTIFS(Données!W188:W10186, "mail", Données!Q188:Q10186, "AS", Données!R188:R10186, "jeudi")</f>
        <v>0</v>
      </c>
      <c r="U203" s="26">
        <f>COUNTIFS(Données!W188:W10186, "sur place", Données!Q188:Q10186, "AS", Données!R188:R10186, "jeudi")</f>
        <v>0</v>
      </c>
      <c r="V203" s="26"/>
      <c r="Z203" s="48"/>
      <c r="AA203" s="26">
        <f>COUNTIFS(Données!AE188:AE10186, "téléphone", Données!Y188:Y10186, "VISAS", Données!Z188:Z10186, "jeudi")</f>
        <v>0</v>
      </c>
      <c r="AB203" s="26">
        <f>COUNTIFS(Données!AE188:AE10186, "mail", Données!Y188:Y10186, "VISAS", Données!Z188:Z10186, "jeudi")</f>
        <v>0</v>
      </c>
      <c r="AC203" s="26">
        <f>COUNTIFS(Données!AE188:AE10186, "sur place", Données!Y188:Y10186, "VISAS", Données!Z188:Z10186, "jeudi")</f>
        <v>0</v>
      </c>
      <c r="AD203" s="26"/>
    </row>
    <row r="204" spans="2:30" ht="15" customHeight="1" x14ac:dyDescent="0.25">
      <c r="B204" s="41" t="s">
        <v>75</v>
      </c>
      <c r="C204" s="37" t="s">
        <v>14</v>
      </c>
      <c r="D204" s="38" t="s">
        <v>56</v>
      </c>
      <c r="E204" s="39" t="s">
        <v>57</v>
      </c>
      <c r="F204" s="40" t="s">
        <v>17</v>
      </c>
      <c r="J204" s="41" t="s">
        <v>75</v>
      </c>
      <c r="K204" s="37" t="s">
        <v>14</v>
      </c>
      <c r="L204" s="38" t="s">
        <v>56</v>
      </c>
      <c r="M204" s="39" t="s">
        <v>57</v>
      </c>
      <c r="N204" s="40" t="s">
        <v>17</v>
      </c>
      <c r="R204" s="41" t="s">
        <v>75</v>
      </c>
      <c r="S204" s="37" t="s">
        <v>14</v>
      </c>
      <c r="T204" s="38" t="s">
        <v>56</v>
      </c>
      <c r="U204" s="39" t="s">
        <v>57</v>
      </c>
      <c r="V204" s="40" t="s">
        <v>17</v>
      </c>
      <c r="Z204" s="41" t="s">
        <v>75</v>
      </c>
      <c r="AA204" s="37" t="s">
        <v>14</v>
      </c>
      <c r="AB204" s="38" t="s">
        <v>56</v>
      </c>
      <c r="AC204" s="39" t="s">
        <v>57</v>
      </c>
      <c r="AD204" s="40" t="s">
        <v>17</v>
      </c>
    </row>
    <row r="205" spans="2:30" ht="15" customHeight="1" x14ac:dyDescent="0.25">
      <c r="B205" s="41"/>
      <c r="C205" s="37"/>
      <c r="D205" s="38"/>
      <c r="E205" s="39"/>
      <c r="F205" s="40"/>
      <c r="J205" s="41"/>
      <c r="K205" s="37"/>
      <c r="L205" s="38"/>
      <c r="M205" s="39"/>
      <c r="N205" s="40"/>
      <c r="R205" s="41"/>
      <c r="S205" s="37"/>
      <c r="T205" s="38"/>
      <c r="U205" s="39"/>
      <c r="V205" s="40"/>
      <c r="Z205" s="41"/>
      <c r="AA205" s="37"/>
      <c r="AB205" s="38"/>
      <c r="AC205" s="39"/>
      <c r="AD205" s="40"/>
    </row>
    <row r="206" spans="2:30" ht="15" customHeight="1" x14ac:dyDescent="0.25">
      <c r="B206" s="41"/>
      <c r="C206" s="26">
        <f>COUNTIFS(Données!H188:H10186, "immédiat", Données!A188:A10186, "EC", Données!B188:B10186,  "jeudi")</f>
        <v>0</v>
      </c>
      <c r="D206" s="26">
        <f>COUNTIFS(Données!H188:H10186, "entre 24-48h", Données!A188:A10186, "EC", Données!B188:B10186,  "jeudi")</f>
        <v>0</v>
      </c>
      <c r="E206" s="26">
        <f>COUNTIFS(Données!H188:H10186, "entre 24-48h", Données!A188:A10186, "EC", Données!B188:B10186,  "jeudi")</f>
        <v>0</v>
      </c>
      <c r="F206" s="26">
        <f>COUNTIFS(Données!H188:H10186, "plus de 48h", Données!A188:A10186, "EC", Données!B188:B10186,  "jeudi")</f>
        <v>0</v>
      </c>
      <c r="J206" s="41"/>
      <c r="K206" s="26">
        <f>COUNTIFS(Données!P188:P10186, "immédiat", Données!I188:I10186, "AFE", Données!J188:J10186, "jeudi")</f>
        <v>0</v>
      </c>
      <c r="L206" s="26">
        <f>COUNTIFS(Données!P188:P10186, "entre 24-48h", Données!I188:I10186, "AFE", Données!J188:J10186, "jeudi")</f>
        <v>0</v>
      </c>
      <c r="M206" s="26">
        <f>COUNTIFS(Données!P188:P10186, "entre 24-48h", Données!I188:I10186, "AFE", Données!J188:J10186, "jeudi")</f>
        <v>0</v>
      </c>
      <c r="N206" s="26">
        <f>COUNTIFS(Données!P188:P10186, "plus de 48h", Données!I188:I10186, "AFE", Données!J188:J10186, "lundi")</f>
        <v>0</v>
      </c>
      <c r="R206" s="41"/>
      <c r="S206" s="26">
        <f>COUNTIFS(Données!X188:X10186, "immédiat", Données!Q188:Q10186, "AS", Données!R188:R10186, "jeudi")</f>
        <v>0</v>
      </c>
      <c r="T206" s="26">
        <f>COUNTIFS(Données!X188:X10186, "entre 24-48h", Données!Q188:Q10186, "AS", Données!R188:R10186, "jeudi")</f>
        <v>0</v>
      </c>
      <c r="U206" s="26">
        <f>COUNTIFS(Données!X188:X10186, "entre 24-48h", Données!Q188:Q10186, "AS", Données!R188:R10186, "jeudi")</f>
        <v>0</v>
      </c>
      <c r="V206" s="26">
        <f>COUNTIFS(Données!X188:X10186, "plus de 48h", Données!Q188:Q10186, "AS", Données!R188:R10186, "lundi")</f>
        <v>0</v>
      </c>
      <c r="Z206" s="41"/>
      <c r="AA206" s="26">
        <f>COUNTIFS(Données!AF188:AF10186, "immédiat", Données!Y188:Y10186, "VISAS", Données!Z188:Z10186, "jeudi")</f>
        <v>0</v>
      </c>
      <c r="AB206" s="26">
        <f>COUNTIFS(Données!AF188:AF10186, "entre 24-48h", Données!Y188:Y10186, "VISAS", Données!Z188:Z10186, "jeudi")</f>
        <v>0</v>
      </c>
      <c r="AC206" s="26">
        <f>COUNTIFS(Données!AF188:AF10186, "entre 24-48h", Données!Y188:Y10186, "VISAS", Données!Z188:Z10186, "jeudi")</f>
        <v>0</v>
      </c>
      <c r="AD206" s="26">
        <f>COUNTIFS(Données!AF188:AF10186, "plus de 48h", Données!Y188:Y10186, "VISAS", Données!Z188:Z10186, "lundi")</f>
        <v>0</v>
      </c>
    </row>
    <row r="207" spans="2:30" ht="15" customHeight="1" x14ac:dyDescent="0.25">
      <c r="B207" s="41" t="s">
        <v>63</v>
      </c>
      <c r="C207" s="44" t="s">
        <v>55</v>
      </c>
      <c r="D207" s="44" t="s">
        <v>65</v>
      </c>
      <c r="E207" s="26"/>
      <c r="F207" s="26"/>
      <c r="J207" s="41" t="s">
        <v>63</v>
      </c>
      <c r="K207" s="44" t="s">
        <v>55</v>
      </c>
      <c r="L207" s="44" t="s">
        <v>65</v>
      </c>
      <c r="M207" s="26"/>
      <c r="N207" s="26"/>
      <c r="R207" s="41" t="s">
        <v>63</v>
      </c>
      <c r="S207" s="44" t="s">
        <v>55</v>
      </c>
      <c r="T207" s="44" t="s">
        <v>65</v>
      </c>
      <c r="U207" s="26"/>
      <c r="V207" s="26"/>
      <c r="Z207" s="41" t="s">
        <v>63</v>
      </c>
      <c r="AA207" s="44" t="s">
        <v>55</v>
      </c>
      <c r="AB207" s="44" t="s">
        <v>65</v>
      </c>
      <c r="AC207" s="26"/>
      <c r="AD207" s="26"/>
    </row>
    <row r="208" spans="2:30" ht="15" customHeight="1" x14ac:dyDescent="0.25">
      <c r="B208" s="41"/>
      <c r="C208" s="44"/>
      <c r="D208" s="44"/>
      <c r="E208" s="26"/>
      <c r="F208" s="26"/>
      <c r="J208" s="41"/>
      <c r="K208" s="44"/>
      <c r="L208" s="44"/>
      <c r="M208" s="26"/>
      <c r="N208" s="26"/>
      <c r="R208" s="41"/>
      <c r="S208" s="44"/>
      <c r="T208" s="44"/>
      <c r="U208" s="26"/>
      <c r="V208" s="26"/>
      <c r="Z208" s="41"/>
      <c r="AA208" s="44"/>
      <c r="AB208" s="44"/>
      <c r="AC208" s="26"/>
      <c r="AD208" s="26"/>
    </row>
    <row r="209" spans="2:30" ht="15" customHeight="1" x14ac:dyDescent="0.25">
      <c r="B209" s="41"/>
      <c r="C209" s="26">
        <f>SUMIFS(Données!I:I,Données!A:A,"EC",Données!B:B,"jeudi")</f>
        <v>0</v>
      </c>
      <c r="D209" s="26">
        <f>SUMIFS(Données!J:J,Données!A:A,"EC",Données!B:B,"jeudi")</f>
        <v>0</v>
      </c>
      <c r="E209" s="26"/>
      <c r="F209" s="26"/>
      <c r="J209" s="41"/>
      <c r="K209" s="26">
        <f>SUMIFS(Données!Q:Q,Données!I:I,"AFE",Données!J:J,"lundi")</f>
        <v>0</v>
      </c>
      <c r="L209" s="26">
        <f>SUMIFS(Données!R:R,Données!I:I,"AFE",Données!J:J,"lundi")</f>
        <v>0</v>
      </c>
      <c r="M209" s="26"/>
      <c r="N209" s="26"/>
      <c r="R209" s="41"/>
      <c r="S209" s="26">
        <f>SUMIFS(Données!Y:Y,Données!Q:Q,"AS",Données!R:R,"lundi")</f>
        <v>0</v>
      </c>
      <c r="T209" s="26">
        <f>SUMIFS(Données!Z:Z,Données!Q:Q,"AS",Données!R:R,"lundi")</f>
        <v>0</v>
      </c>
      <c r="U209" s="26"/>
      <c r="V209" s="26"/>
      <c r="Z209" s="41"/>
      <c r="AA209" s="26">
        <f ca="1">SUMIFS(Données!AG:AG,Données!Y:Y,"VISAS",Données!Z:Z,"lundi")</f>
        <v>0</v>
      </c>
      <c r="AB209" s="26">
        <f ca="1">SUMIFS(Données!AH:AH,Données!Y:Y,"VISAS",Données!Z:Z,"lundi")</f>
        <v>0</v>
      </c>
      <c r="AC209" s="26"/>
      <c r="AD209" s="26"/>
    </row>
    <row r="210" spans="2:30" ht="15" customHeight="1" x14ac:dyDescent="0.25">
      <c r="B210" s="41" t="s">
        <v>62</v>
      </c>
      <c r="C210" s="37" t="s">
        <v>58</v>
      </c>
      <c r="D210" s="39" t="s">
        <v>59</v>
      </c>
      <c r="E210" s="40" t="s">
        <v>24</v>
      </c>
      <c r="F210" s="26"/>
      <c r="J210" s="41" t="s">
        <v>62</v>
      </c>
      <c r="K210" s="37" t="s">
        <v>58</v>
      </c>
      <c r="L210" s="39" t="s">
        <v>59</v>
      </c>
      <c r="M210" s="40" t="s">
        <v>24</v>
      </c>
      <c r="N210" s="26"/>
      <c r="R210" s="41" t="s">
        <v>62</v>
      </c>
      <c r="S210" s="37" t="s">
        <v>58</v>
      </c>
      <c r="T210" s="39" t="s">
        <v>59</v>
      </c>
      <c r="U210" s="40" t="s">
        <v>24</v>
      </c>
      <c r="V210" s="26"/>
      <c r="Z210" s="41" t="s">
        <v>62</v>
      </c>
      <c r="AA210" s="37" t="s">
        <v>58</v>
      </c>
      <c r="AB210" s="39" t="s">
        <v>59</v>
      </c>
      <c r="AC210" s="40" t="s">
        <v>24</v>
      </c>
      <c r="AD210" s="26"/>
    </row>
    <row r="211" spans="2:30" ht="15" customHeight="1" x14ac:dyDescent="0.25">
      <c r="B211" s="41"/>
      <c r="C211" s="37"/>
      <c r="D211" s="39"/>
      <c r="E211" s="40"/>
      <c r="F211" s="26"/>
      <c r="J211" s="41"/>
      <c r="K211" s="37"/>
      <c r="L211" s="39"/>
      <c r="M211" s="40"/>
      <c r="N211" s="26"/>
      <c r="R211" s="41"/>
      <c r="S211" s="37"/>
      <c r="T211" s="39"/>
      <c r="U211" s="40"/>
      <c r="V211" s="26"/>
      <c r="Z211" s="41"/>
      <c r="AA211" s="37"/>
      <c r="AB211" s="39"/>
      <c r="AC211" s="40"/>
      <c r="AD211" s="26"/>
    </row>
    <row r="212" spans="2:30" ht="15" customHeight="1" x14ac:dyDescent="0.25">
      <c r="B212" s="42"/>
      <c r="C212" s="26">
        <f>COUNTIFS(Données!K188:K10186, "complet", Données!A188:A10186, "EC", Données!B188:B10186, "jeudi")</f>
        <v>0</v>
      </c>
      <c r="D212" s="26">
        <f>COUNTIFS(Données!K188:K10186, "partiel", Données!A188:A10186, "EC", Données!B188:B10186, "jeudi")</f>
        <v>0</v>
      </c>
      <c r="E212" s="26">
        <f>COUNTIFS(Données!K188:K10186, "pas du tout", Données!A188:A10186, "EC", Données!B188:B10186, "jeudi")</f>
        <v>0</v>
      </c>
      <c r="F212" s="26"/>
      <c r="J212" s="42"/>
      <c r="K212" s="26">
        <f>COUNTIFS(Données!S188:S10186, "complet", Données!I188:I10186, "AFE", Données!J188:J10186, "lundi")</f>
        <v>0</v>
      </c>
      <c r="L212" s="26">
        <f>COUNTIFS(Données!S188:S10186, "partiel", Données!I188:I10186, "AFE", Données!J188:J10186, "lundi")</f>
        <v>0</v>
      </c>
      <c r="M212" s="26">
        <f>COUNTIFS(Données!S188:S10186, "pas du tout", Données!I188:I10186, "AFE", Données!J188:J10186, "jeudi")</f>
        <v>0</v>
      </c>
      <c r="N212" s="26"/>
      <c r="R212" s="42"/>
      <c r="S212" s="26">
        <f>COUNTIFS(Données!AA188:AA10186, "complet", Données!Q188:Q10186, "AS", Données!R188:R10186, "lundi")</f>
        <v>0</v>
      </c>
      <c r="T212" s="26">
        <f>COUNTIFS(Données!AA188:AA10186, "partiel", Données!Q188:Q10186, "AS", Données!R188:R10186, "lundi")</f>
        <v>0</v>
      </c>
      <c r="U212" s="26">
        <f>COUNTIFS(Données!AA188:AA10186, "pas du tout", Données!Q188:Q10186, "AS", Données!R188:R10186, "jeudi")</f>
        <v>0</v>
      </c>
      <c r="V212" s="26"/>
      <c r="Z212" s="42"/>
      <c r="AA212" s="26">
        <f>COUNTIFS(Données!AI188:AI10186, "complet", Données!Y188:Y10186, "VISAS", Données!Z188:Z10186, "lundi")</f>
        <v>0</v>
      </c>
      <c r="AB212" s="26">
        <f>COUNTIFS(Données!AI188:AI10186, "partiel", Données!Y188:Y10186, "VISAS", Données!Z188:Z10186, "lundi")</f>
        <v>0</v>
      </c>
      <c r="AC212" s="26">
        <f>COUNTIFS(Données!AI188:AI10186, "pas du tout", Données!Y188:Y10186, "VISAS", Données!Z188:Z10186, "jeudi")</f>
        <v>0</v>
      </c>
      <c r="AD212" s="26"/>
    </row>
    <row r="213" spans="2:30" ht="21" x14ac:dyDescent="0.25">
      <c r="B213" s="28" t="s">
        <v>76</v>
      </c>
      <c r="C213" s="30" t="s">
        <v>5</v>
      </c>
      <c r="D213" s="30" t="s">
        <v>6</v>
      </c>
      <c r="E213" s="30" t="s">
        <v>28</v>
      </c>
      <c r="F213" s="26"/>
      <c r="J213" s="28" t="s">
        <v>76</v>
      </c>
      <c r="K213" s="30" t="s">
        <v>5</v>
      </c>
      <c r="L213" s="30" t="s">
        <v>6</v>
      </c>
      <c r="M213" s="30" t="s">
        <v>28</v>
      </c>
      <c r="N213" s="26"/>
      <c r="R213" s="28" t="s">
        <v>76</v>
      </c>
      <c r="S213" s="30" t="s">
        <v>5</v>
      </c>
      <c r="T213" s="30" t="s">
        <v>6</v>
      </c>
      <c r="U213" s="30" t="s">
        <v>28</v>
      </c>
      <c r="V213" s="26"/>
      <c r="Z213" s="28" t="s">
        <v>76</v>
      </c>
      <c r="AA213" s="30" t="s">
        <v>5</v>
      </c>
      <c r="AB213" s="30" t="s">
        <v>6</v>
      </c>
      <c r="AC213" s="30" t="s">
        <v>28</v>
      </c>
      <c r="AD213" s="26"/>
    </row>
    <row r="214" spans="2:30" ht="15" customHeight="1" x14ac:dyDescent="0.25">
      <c r="B214" s="41" t="s">
        <v>93</v>
      </c>
      <c r="C214" s="47">
        <f>COUNTIFS(Données!L188:L10186, "oui", Données!A188:A10186, "EC", Données!B188:B10186, "jeudi")</f>
        <v>0</v>
      </c>
      <c r="D214" s="47">
        <f>COUNTIFS(Données!L188:L10186, "non", Données!A188:A10186, "EC", Données!B188:B10186, "jeudi")</f>
        <v>0</v>
      </c>
      <c r="E214" s="48" t="s">
        <v>92</v>
      </c>
      <c r="F214" s="26"/>
      <c r="J214" s="41" t="s">
        <v>93</v>
      </c>
      <c r="K214" s="47">
        <f>COUNTIFS(Données!T188:T10186, "oui", Données!I188:I10186, "AFE", Données!J188:J10186, "jeudi")</f>
        <v>0</v>
      </c>
      <c r="L214" s="47">
        <f>COUNTIFS(Données!T188:T10186, "non", Données!I188:I10186, "AFE", Données!J188:J10186, "jeudi")</f>
        <v>0</v>
      </c>
      <c r="M214" s="48" t="s">
        <v>92</v>
      </c>
      <c r="N214" s="26"/>
      <c r="R214" s="41" t="s">
        <v>93</v>
      </c>
      <c r="S214" s="47">
        <f>COUNTIFS(Données!AB188:AB10186, "oui", Données!Q188:Q10186, "AS", Données!R188:R10186, "jeudi")</f>
        <v>0</v>
      </c>
      <c r="T214" s="47">
        <f>COUNTIFS(Données!AB188:AB10186, "non", Données!Q188:Q10186, "AS", Données!R188:R10186, "jeudi")</f>
        <v>0</v>
      </c>
      <c r="U214" s="48" t="s">
        <v>92</v>
      </c>
      <c r="V214" s="26"/>
      <c r="Z214" s="41" t="s">
        <v>93</v>
      </c>
      <c r="AA214" s="47">
        <f>COUNTIFS(Données!AJ188:AJ10186, "oui", Données!Y188:Y10186, "VISAS", Données!Z188:Z10186, "jeudi")</f>
        <v>0</v>
      </c>
      <c r="AB214" s="47">
        <f>COUNTIFS(Données!AJ188:AJ10186, "non", Données!Y188:Y10186, "VISAS", Données!Z188:Z10186, "jeudi")</f>
        <v>0</v>
      </c>
      <c r="AC214" s="48" t="s">
        <v>92</v>
      </c>
      <c r="AD214" s="26"/>
    </row>
    <row r="215" spans="2:30" ht="15" customHeight="1" x14ac:dyDescent="0.25">
      <c r="B215" s="41"/>
      <c r="C215" s="47"/>
      <c r="D215" s="47"/>
      <c r="E215" s="48"/>
      <c r="F215" s="26"/>
      <c r="J215" s="41"/>
      <c r="K215" s="47"/>
      <c r="L215" s="47"/>
      <c r="M215" s="48"/>
      <c r="N215" s="26"/>
      <c r="R215" s="41"/>
      <c r="S215" s="47"/>
      <c r="T215" s="47"/>
      <c r="U215" s="48"/>
      <c r="V215" s="26"/>
      <c r="Z215" s="41"/>
      <c r="AA215" s="47"/>
      <c r="AB215" s="47"/>
      <c r="AC215" s="48"/>
      <c r="AD215" s="26"/>
    </row>
    <row r="216" spans="2:30" ht="15" customHeight="1" x14ac:dyDescent="0.25">
      <c r="B216" s="41" t="s">
        <v>94</v>
      </c>
      <c r="C216" s="47">
        <f>COUNTIFS(Données!M188:M10186, "oui", Données!A188:A10186, "EC", Données!B188:B10186, "jeudi")</f>
        <v>0</v>
      </c>
      <c r="D216" s="47">
        <f>COUNTIFS(Données!M188:M10186, "non", Données!A188:A10186, "EC", Données!B188:B10186, "jeudi")</f>
        <v>0</v>
      </c>
      <c r="E216" s="48" t="s">
        <v>92</v>
      </c>
      <c r="F216" s="26"/>
      <c r="J216" s="41" t="s">
        <v>94</v>
      </c>
      <c r="K216" s="47">
        <f>COUNTIFS(Données!U188:U10186, "oui", Données!I188:I10186, "AFE", Données!J188:J10186, "jeudi")</f>
        <v>0</v>
      </c>
      <c r="L216" s="47">
        <f>COUNTIFS(Données!U188:U10186, "non", Données!I188:I10186, "AFE", Données!J188:J10186, "jeudi")</f>
        <v>0</v>
      </c>
      <c r="M216" s="48" t="s">
        <v>92</v>
      </c>
      <c r="N216" s="26"/>
      <c r="R216" s="41" t="s">
        <v>94</v>
      </c>
      <c r="S216" s="47">
        <f>COUNTIFS(Données!AC188:AC10186, "oui", Données!Q188:Q10186, "AS", Données!R188:R10186, "jeudi")</f>
        <v>0</v>
      </c>
      <c r="T216" s="47">
        <f>COUNTIFS(Données!AC188:AC10186, "non", Données!Q188:Q10186, "AS", Données!R188:R10186, "jeudi")</f>
        <v>0</v>
      </c>
      <c r="U216" s="48" t="s">
        <v>92</v>
      </c>
      <c r="V216" s="26"/>
      <c r="Z216" s="41" t="s">
        <v>94</v>
      </c>
      <c r="AA216" s="47">
        <f>COUNTIFS(Données!AK188:AK10186, "oui", Données!Y188:Y10186, "VISAS", Données!Z188:Z10186, "jeudi")</f>
        <v>0</v>
      </c>
      <c r="AB216" s="47">
        <f>COUNTIFS(Données!AK188:AK10186, "non", Données!Y188:Y10186, "VISAS", Données!Z188:Z10186, "jeudi")</f>
        <v>0</v>
      </c>
      <c r="AC216" s="48" t="s">
        <v>92</v>
      </c>
      <c r="AD216" s="26"/>
    </row>
    <row r="217" spans="2:30" ht="15" customHeight="1" x14ac:dyDescent="0.25">
      <c r="B217" s="41"/>
      <c r="C217" s="47"/>
      <c r="D217" s="47"/>
      <c r="E217" s="48"/>
      <c r="F217" s="26"/>
      <c r="J217" s="41"/>
      <c r="K217" s="47"/>
      <c r="L217" s="47"/>
      <c r="M217" s="48"/>
      <c r="N217" s="26"/>
      <c r="R217" s="41"/>
      <c r="S217" s="47"/>
      <c r="T217" s="47"/>
      <c r="U217" s="48"/>
      <c r="V217" s="26"/>
      <c r="Z217" s="41"/>
      <c r="AA217" s="47"/>
      <c r="AB217" s="47"/>
      <c r="AC217" s="48"/>
      <c r="AD217" s="26"/>
    </row>
    <row r="218" spans="2:30" ht="15" customHeight="1" x14ac:dyDescent="0.25">
      <c r="B218" s="41" t="s">
        <v>95</v>
      </c>
      <c r="C218" s="47">
        <f>COUNTIFS(Données!N188:N10186, "oui", Données!A188:A10186, "EC", Données!B188:B10186, "jeudi")</f>
        <v>0</v>
      </c>
      <c r="D218" s="47">
        <f>COUNTIFS(Données!N188:N10186, "non", Données!A188:A10186, "EC", Données!B188:B10186, "jeudi")</f>
        <v>0</v>
      </c>
      <c r="E218" s="47">
        <f>COUNTIFS(Données!N188:N10186, "ne sais pas", Données!A188:A10186, "EC", Données!B188:B10186, "jeudi")</f>
        <v>0</v>
      </c>
      <c r="F218" s="26"/>
      <c r="J218" s="41" t="s">
        <v>95</v>
      </c>
      <c r="K218" s="47">
        <f>COUNTIFS(Données!V188:V10186, "oui", Données!I188:I10186, "AFE", Données!J188:J10186, "jeudi")</f>
        <v>0</v>
      </c>
      <c r="L218" s="47">
        <f>COUNTIFS(Données!V188:V10186, "non", Données!I188:I10186, "AFE", Données!J188:J10186, "jeudi")</f>
        <v>0</v>
      </c>
      <c r="M218" s="47">
        <f>COUNTIFS(Données!V188:V10186, "ne sais pas", Données!I188:I10186, "AFE", Données!J188:J10186, "jeudi")</f>
        <v>0</v>
      </c>
      <c r="N218" s="26"/>
      <c r="R218" s="41" t="s">
        <v>95</v>
      </c>
      <c r="S218" s="47">
        <f>COUNTIFS(Données!AD188:AD10186, "oui", Données!Q188:Q10186, "AS", Données!R188:R10186, "jeudi")</f>
        <v>0</v>
      </c>
      <c r="T218" s="47">
        <f>COUNTIFS(Données!AD188:AD10186, "non", Données!Q188:Q10186, "AS", Données!R188:R10186, "jeudi")</f>
        <v>0</v>
      </c>
      <c r="U218" s="47">
        <f>COUNTIFS(Données!AD188:AD10186, "ne sais pas", Données!Q188:Q10186, "AS", Données!R188:R10186, "jeudi")</f>
        <v>0</v>
      </c>
      <c r="V218" s="26"/>
      <c r="Z218" s="41" t="s">
        <v>95</v>
      </c>
      <c r="AA218" s="47">
        <f>COUNTIFS(Données!AL188:AL10186, "oui", Données!Y188:Y10186, "VISAS", Données!Z188:Z10186, "jeudi")</f>
        <v>0</v>
      </c>
      <c r="AB218" s="47">
        <f>COUNTIFS(Données!AL188:AL10186, "non", Données!Y188:Y10186, "VISAS", Données!Z188:Z10186, "jeudi")</f>
        <v>0</v>
      </c>
      <c r="AC218" s="47">
        <f>COUNTIFS(Données!AL188:AL10186, "ne sais pas", Données!Y188:Y10186, "VISAS", Données!Z188:Z10186, "jeudi")</f>
        <v>0</v>
      </c>
      <c r="AD218" s="26"/>
    </row>
    <row r="219" spans="2:30" ht="15" customHeight="1" x14ac:dyDescent="0.25">
      <c r="B219" s="41"/>
      <c r="C219" s="47"/>
      <c r="D219" s="47"/>
      <c r="E219" s="47"/>
      <c r="F219" s="26"/>
      <c r="J219" s="41"/>
      <c r="K219" s="47"/>
      <c r="L219" s="47"/>
      <c r="M219" s="47"/>
      <c r="N219" s="26"/>
      <c r="R219" s="41"/>
      <c r="S219" s="47"/>
      <c r="T219" s="47"/>
      <c r="U219" s="47"/>
      <c r="V219" s="26"/>
      <c r="Z219" s="41"/>
      <c r="AA219" s="47"/>
      <c r="AB219" s="47"/>
      <c r="AC219" s="47"/>
      <c r="AD219" s="26"/>
    </row>
    <row r="220" spans="2:30" ht="15" customHeight="1" x14ac:dyDescent="0.25">
      <c r="B220" s="45" t="s">
        <v>96</v>
      </c>
      <c r="C220" s="47">
        <f>COUNTIFS(Données!M188:M10186, "oui", Données!A188:A10186, "EC", Données!B188:B10186, "jeudi")</f>
        <v>0</v>
      </c>
      <c r="D220" s="47">
        <f>COUNTIFS(Données!N188:N10186, "non", Données!A188:A10186, "EC", Données!B188:B10186, "jeudi")</f>
        <v>0</v>
      </c>
      <c r="E220" s="48" t="s">
        <v>92</v>
      </c>
      <c r="F220" s="26"/>
      <c r="J220" s="45" t="s">
        <v>96</v>
      </c>
      <c r="K220" s="47">
        <f>COUNTIFS(Données!U188:U10186, "oui", Données!I188:I10186, "AFE", Données!J188:J10186, "jeudi")</f>
        <v>0</v>
      </c>
      <c r="L220" s="47">
        <f>COUNTIFS(Données!V188:V10186, "non", Données!I188:I10186, "AFE", Données!J188:J10186, "jeudi")</f>
        <v>0</v>
      </c>
      <c r="M220" s="48" t="s">
        <v>92</v>
      </c>
      <c r="N220" s="26"/>
      <c r="R220" s="45" t="s">
        <v>96</v>
      </c>
      <c r="S220" s="47">
        <f>COUNTIFS(Données!AC188:AC10186, "oui", Données!Q188:Q10186, "AS", Données!R188:R10186, "jeudi")</f>
        <v>0</v>
      </c>
      <c r="T220" s="47">
        <f>COUNTIFS(Données!AD188:AD10186, "non", Données!Q188:Q10186, "AS", Données!R188:R10186, "jeudi")</f>
        <v>0</v>
      </c>
      <c r="U220" s="48" t="s">
        <v>92</v>
      </c>
      <c r="V220" s="26"/>
      <c r="Z220" s="45" t="s">
        <v>96</v>
      </c>
      <c r="AA220" s="47">
        <f>COUNTIFS(Données!AK188:AK10186, "oui", Données!Y188:Y10186, "VISAS", Données!Z188:Z10186, "jeudi")</f>
        <v>0</v>
      </c>
      <c r="AB220" s="47">
        <f>COUNTIFS(Données!AL188:AL10186, "non", Données!Y188:Y10186, "VISAS", Données!Z188:Z10186, "jeudi")</f>
        <v>0</v>
      </c>
      <c r="AC220" s="48" t="s">
        <v>92</v>
      </c>
      <c r="AD220" s="26"/>
    </row>
    <row r="221" spans="2:30" ht="15" customHeight="1" x14ac:dyDescent="0.25">
      <c r="B221" s="49"/>
      <c r="C221" s="47"/>
      <c r="D221" s="47"/>
      <c r="E221" s="48"/>
      <c r="F221" s="26"/>
      <c r="J221" s="49"/>
      <c r="K221" s="47"/>
      <c r="L221" s="47"/>
      <c r="M221" s="48"/>
      <c r="N221" s="26"/>
      <c r="R221" s="49"/>
      <c r="S221" s="47"/>
      <c r="T221" s="47"/>
      <c r="U221" s="48"/>
      <c r="V221" s="26"/>
      <c r="Z221" s="49"/>
      <c r="AA221" s="47"/>
      <c r="AB221" s="47"/>
      <c r="AC221" s="48"/>
      <c r="AD221" s="26"/>
    </row>
    <row r="222" spans="2:30" ht="15" customHeight="1" x14ac:dyDescent="0.25">
      <c r="B222" s="41" t="s">
        <v>97</v>
      </c>
      <c r="C222" s="47">
        <f>COUNTIFS(Données!O188:O10186, "oui", Données!A188:A10186, "EC", Données!B188:B10186, "jeudi")</f>
        <v>0</v>
      </c>
      <c r="D222" s="47">
        <f>COUNTIFS(Données!O188:O10186, "non", Données!A188:A10186, "EC", Données!B188:B10186, "jeudi")</f>
        <v>0</v>
      </c>
      <c r="E222" s="48" t="s">
        <v>92</v>
      </c>
      <c r="F222" s="26"/>
      <c r="J222" s="41" t="s">
        <v>97</v>
      </c>
      <c r="K222" s="47">
        <f>COUNTIFS(Données!W188:W10186, "oui", Données!I188:I10186, "AFE", Données!J188:J10186, "jeudi")</f>
        <v>0</v>
      </c>
      <c r="L222" s="47">
        <f>COUNTIFS(Données!W188:W10186, "non", Données!I188:I10186, "AFE", Données!J188:J10186, "jeudi")</f>
        <v>0</v>
      </c>
      <c r="M222" s="48" t="s">
        <v>92</v>
      </c>
      <c r="N222" s="26"/>
      <c r="R222" s="41" t="s">
        <v>97</v>
      </c>
      <c r="S222" s="47">
        <f>COUNTIFS(Données!AE188:AE10186, "oui", Données!Q188:Q10186, "AS", Données!R188:R10186, "jeudi")</f>
        <v>0</v>
      </c>
      <c r="T222" s="47">
        <f>COUNTIFS(Données!AE188:AE10186, "non", Données!Q188:Q10186, "AS", Données!R188:R10186, "jeudi")</f>
        <v>0</v>
      </c>
      <c r="U222" s="48" t="s">
        <v>92</v>
      </c>
      <c r="V222" s="26"/>
      <c r="Z222" s="41" t="s">
        <v>97</v>
      </c>
      <c r="AA222" s="47">
        <f>COUNTIFS(Données!AM188:AM10186, "oui", Données!Y188:Y10186, "VISAS", Données!Z188:Z10186, "jeudi")</f>
        <v>0</v>
      </c>
      <c r="AB222" s="47">
        <f>COUNTIFS(Données!AM188:AM10186, "non", Données!Y188:Y10186, "VISAS", Données!Z188:Z10186, "jeudi")</f>
        <v>0</v>
      </c>
      <c r="AC222" s="48" t="s">
        <v>92</v>
      </c>
      <c r="AD222" s="26"/>
    </row>
    <row r="223" spans="2:30" ht="15" customHeight="1" x14ac:dyDescent="0.25">
      <c r="B223" s="41"/>
      <c r="C223" s="47"/>
      <c r="D223" s="47"/>
      <c r="E223" s="48"/>
      <c r="F223" s="26"/>
      <c r="J223" s="41"/>
      <c r="K223" s="47"/>
      <c r="L223" s="47"/>
      <c r="M223" s="48"/>
      <c r="N223" s="26"/>
      <c r="R223" s="41"/>
      <c r="S223" s="47"/>
      <c r="T223" s="47"/>
      <c r="U223" s="48"/>
      <c r="V223" s="26"/>
      <c r="Z223" s="41"/>
      <c r="AA223" s="47"/>
      <c r="AB223" s="47"/>
      <c r="AC223" s="48"/>
      <c r="AD223" s="26"/>
    </row>
    <row r="224" spans="2:30" ht="21" x14ac:dyDescent="0.35">
      <c r="B224" s="29" t="s">
        <v>78</v>
      </c>
      <c r="C224" s="37" t="s">
        <v>79</v>
      </c>
      <c r="D224" s="38" t="s">
        <v>34</v>
      </c>
      <c r="E224" s="39" t="s">
        <v>83</v>
      </c>
      <c r="F224" s="40" t="s">
        <v>35</v>
      </c>
      <c r="J224" s="29" t="s">
        <v>78</v>
      </c>
      <c r="K224" s="37" t="s">
        <v>79</v>
      </c>
      <c r="L224" s="38" t="s">
        <v>34</v>
      </c>
      <c r="M224" s="39" t="s">
        <v>83</v>
      </c>
      <c r="N224" s="40" t="s">
        <v>35</v>
      </c>
      <c r="R224" s="29" t="s">
        <v>78</v>
      </c>
      <c r="S224" s="37" t="s">
        <v>79</v>
      </c>
      <c r="T224" s="38" t="s">
        <v>34</v>
      </c>
      <c r="U224" s="39" t="s">
        <v>83</v>
      </c>
      <c r="V224" s="40" t="s">
        <v>35</v>
      </c>
      <c r="Z224" s="29" t="s">
        <v>78</v>
      </c>
      <c r="AA224" s="37" t="s">
        <v>79</v>
      </c>
      <c r="AB224" s="38" t="s">
        <v>34</v>
      </c>
      <c r="AC224" s="39" t="s">
        <v>83</v>
      </c>
      <c r="AD224" s="40" t="s">
        <v>35</v>
      </c>
    </row>
    <row r="225" spans="2:30" ht="15.75" x14ac:dyDescent="0.25">
      <c r="B225" s="32" t="s">
        <v>98</v>
      </c>
      <c r="C225" s="37"/>
      <c r="D225" s="38"/>
      <c r="E225" s="39"/>
      <c r="F225" s="40"/>
      <c r="J225" s="32" t="s">
        <v>98</v>
      </c>
      <c r="K225" s="37"/>
      <c r="L225" s="38"/>
      <c r="M225" s="39"/>
      <c r="N225" s="40"/>
      <c r="R225" s="32" t="s">
        <v>98</v>
      </c>
      <c r="S225" s="37"/>
      <c r="T225" s="38"/>
      <c r="U225" s="39"/>
      <c r="V225" s="40"/>
      <c r="Z225" s="32" t="s">
        <v>98</v>
      </c>
      <c r="AA225" s="37"/>
      <c r="AB225" s="38"/>
      <c r="AC225" s="39"/>
      <c r="AD225" s="40"/>
    </row>
    <row r="226" spans="2:30" ht="15.75" x14ac:dyDescent="0.25">
      <c r="B226" s="24" t="s">
        <v>80</v>
      </c>
      <c r="C226" s="26">
        <f>COUNTIFS(Données!R188:R10186, "très satisfaisant", Données!A188:A10186, "EC", Données!B188:B10186, "jeudi")</f>
        <v>0</v>
      </c>
      <c r="D226" s="26">
        <f>COUNTIFS(Données!R188:R10186, "satisfaisant", Données!A188:A10186, "EC", Données!B188:B10186, "jeudi")</f>
        <v>0</v>
      </c>
      <c r="E226" s="26">
        <f>COUNTIFS(Données!S188:S10186, "moy. satisfaisant", Données!A188:A10186, "EC", Données!B188:B10186, "jeudi")</f>
        <v>0</v>
      </c>
      <c r="F226" s="26">
        <f>COUNTIFS(Données!R188:R10186, "pas du tout satisfaisant", Données!A188:A10186, "EC", Données!B188:B10186, "jeudi")</f>
        <v>0</v>
      </c>
      <c r="J226" s="24" t="s">
        <v>80</v>
      </c>
      <c r="K226" s="26">
        <f>COUNTIFS(Données!Z188:Z10186, "très satisfaisant", Données!I188:I10186, "AFE", Données!J188:J10186, "jeudi")</f>
        <v>0</v>
      </c>
      <c r="L226" s="26">
        <f>COUNTIFS(Données!Z188:Z10186, "satisfaisant", Données!I188:I10186, "AFE", Données!J188:J10186, "jeudi")</f>
        <v>0</v>
      </c>
      <c r="M226" s="26">
        <f>COUNTIFS(Données!AA188:AA10186, "moy. satisfaisant", Données!I188:I10186, "AFE", Données!J188:J10186, "jeudi")</f>
        <v>0</v>
      </c>
      <c r="N226" s="26">
        <f>COUNTIFS(Données!Z188:Z10186, "pas du tout satisfaisant", Données!I188:I10186, "AFE", Données!J188:J10186, "jeudi")</f>
        <v>0</v>
      </c>
      <c r="R226" s="24" t="s">
        <v>80</v>
      </c>
      <c r="S226" s="26">
        <f>COUNTIFS(Données!AH188:AH10186, "très satisfaisant", Données!Q188:Q10186, "AS", Données!R188:R10186, "jeudi")</f>
        <v>0</v>
      </c>
      <c r="T226" s="26">
        <f>COUNTIFS(Données!AH188:AH10186, "satisfaisant", Données!Q188:Q10186, "AS", Données!R188:R10186, "jeudi")</f>
        <v>0</v>
      </c>
      <c r="U226" s="26">
        <f>COUNTIFS(Données!AI188:AI10186, "moy. satisfaisant", Données!Q188:Q10186, "AS", Données!R188:R10186, "jeudi")</f>
        <v>0</v>
      </c>
      <c r="V226" s="26">
        <f>COUNTIFS(Données!AH188:AH10186, "pas du tout satisfaisant", Données!Q188:Q10186, "AS", Données!R188:R10186, "jeudi")</f>
        <v>0</v>
      </c>
      <c r="Z226" s="24" t="s">
        <v>80</v>
      </c>
      <c r="AA226" s="26">
        <f>COUNTIFS(Données!AP188:AP10186, "très satisfaisant", Données!Y188:Y10186, "VISAS", Données!Z188:Z10186, "jeudi")</f>
        <v>0</v>
      </c>
      <c r="AB226" s="26">
        <f>COUNTIFS(Données!AP188:AP10186, "satisfaisant", Données!Y188:Y10186, "VISAS", Données!Z188:Z10186, "jeudi")</f>
        <v>0</v>
      </c>
      <c r="AC226" s="26">
        <f>COUNTIFS(Données!AQ188:AQ10186, "moy. satisfaisant", Données!Y188:Y10186, "VISAS", Données!Z188:Z10186, "jeudi")</f>
        <v>0</v>
      </c>
      <c r="AD226" s="26">
        <f>COUNTIFS(Données!AP188:AP10186, "pas du tout satisfaisant", Données!Y188:Y10186, "VISAS", Données!Z188:Z10186, "jeudi")</f>
        <v>0</v>
      </c>
    </row>
    <row r="227" spans="2:30" ht="15.75" x14ac:dyDescent="0.25">
      <c r="B227" s="24" t="s">
        <v>81</v>
      </c>
      <c r="C227" s="26">
        <f>COUNTIFS(Données!S188:S10186, "très satisfaisant", Données!A188:A10186, "EC", Données!B188:B10186, "jeudi")</f>
        <v>0</v>
      </c>
      <c r="D227" s="26">
        <f>COUNTIFS(Données!S188:S10186, "satisfaisant", Données!A188:A10186, "EC", Données!B188:B10186, "jeudi")</f>
        <v>0</v>
      </c>
      <c r="E227" s="26">
        <f>COUNTIFS(Données!S188:S10186, "moy. satisfaisant", Données!A188:A10186, "EC", Données!B188:B10186, "jeudi")</f>
        <v>0</v>
      </c>
      <c r="F227" s="26">
        <f>COUNTIFS(Données!S188:S10186, "pas du tout satisfaisant", Données!A188:A10186, "EC", Données!B188:B10186, "jeudi")</f>
        <v>0</v>
      </c>
      <c r="J227" s="24" t="s">
        <v>81</v>
      </c>
      <c r="K227" s="26">
        <f>COUNTIFS(Données!AA188:AA10186, "très satisfaisant", Données!I188:I10186, "AFE", Données!J188:J10186, "jeudi")</f>
        <v>0</v>
      </c>
      <c r="L227" s="26">
        <f>COUNTIFS(Données!AA188:AA10186, "satisfaisant", Données!I188:I10186, "AFE", Données!J188:J10186, "jeudi")</f>
        <v>0</v>
      </c>
      <c r="M227" s="26">
        <f>COUNTIFS(Données!AA188:AA10186, "moy. satisfaisant", Données!I188:I10186, "AFE", Données!J188:J10186, "jeudi")</f>
        <v>0</v>
      </c>
      <c r="N227" s="26">
        <f>COUNTIFS(Données!AA188:AA10186, "pas du tout satisfaisant", Données!I188:I10186, "AFE", Données!J188:J10186, "jeudi")</f>
        <v>0</v>
      </c>
      <c r="R227" s="24" t="s">
        <v>81</v>
      </c>
      <c r="S227" s="26">
        <f>COUNTIFS(Données!AI188:AI10186, "très satisfaisant", Données!Q188:Q10186, "AS", Données!R188:R10186, "jeudi")</f>
        <v>0</v>
      </c>
      <c r="T227" s="26">
        <f>COUNTIFS(Données!AI188:AI10186, "satisfaisant", Données!Q188:Q10186, "AS", Données!R188:R10186, "jeudi")</f>
        <v>0</v>
      </c>
      <c r="U227" s="26">
        <f>COUNTIFS(Données!AI188:AI10186, "moy. satisfaisant", Données!Q188:Q10186, "AS", Données!R188:R10186, "jeudi")</f>
        <v>0</v>
      </c>
      <c r="V227" s="26">
        <f>COUNTIFS(Données!AI188:AI10186, "pas du tout satisfaisant", Données!Q188:Q10186, "AS", Données!R188:R10186, "jeudi")</f>
        <v>0</v>
      </c>
      <c r="Z227" s="24" t="s">
        <v>81</v>
      </c>
      <c r="AA227" s="26">
        <f>COUNTIFS(Données!AQ188:AQ10186, "très satisfaisant", Données!Y188:Y10186, "VISAS", Données!Z188:Z10186, "jeudi")</f>
        <v>0</v>
      </c>
      <c r="AB227" s="26">
        <f>COUNTIFS(Données!AQ188:AQ10186, "satisfaisant", Données!Y188:Y10186, "VISAS", Données!Z188:Z10186, "jeudi")</f>
        <v>0</v>
      </c>
      <c r="AC227" s="26">
        <f>COUNTIFS(Données!AQ188:AQ10186, "moy. satisfaisant", Données!Y188:Y10186, "VISAS", Données!Z188:Z10186, "jeudi")</f>
        <v>0</v>
      </c>
      <c r="AD227" s="26">
        <f>COUNTIFS(Données!AQ188:AQ10186, "pas du tout satisfaisant", Données!Y188:Y10186, "VISAS", Données!Z188:Z10186, "jeudi")</f>
        <v>0</v>
      </c>
    </row>
    <row r="228" spans="2:30" ht="15.75" x14ac:dyDescent="0.25">
      <c r="B228" s="24" t="s">
        <v>82</v>
      </c>
      <c r="C228" s="23">
        <f>COUNTIFS(Données!T188:T10186, "très satisfaisant", Données!A188:A10186, "EC", Données!B188:B10186, "jeudi")</f>
        <v>0</v>
      </c>
      <c r="D228" s="26">
        <f>COUNTIFS(Données!T188:T10186, "satisfaisant", Données!A188:A10186, "EC", Données!B188:B10186, "jeudi")</f>
        <v>0</v>
      </c>
      <c r="E228" s="26">
        <f>COUNTIFS(Données!T188:T10186, "moy. satisfaisant", Données!A188:A10186, "EC", Données!B188:B10186, "jeudi")</f>
        <v>0</v>
      </c>
      <c r="F228" s="26">
        <f>COUNTIFS(Données!T188:T10186, "pas du tout satisfaisant", Données!A188:A10186, "EC", Données!B188:B10186, "jeudi")</f>
        <v>0</v>
      </c>
      <c r="J228" s="24" t="s">
        <v>82</v>
      </c>
      <c r="K228" s="23">
        <f>COUNTIFS(Données!AB188:AB10186, "très satisfaisant", Données!I188:I10186, "AFE", Données!J188:J10186, "jeudi")</f>
        <v>0</v>
      </c>
      <c r="L228" s="26">
        <f>COUNTIFS(Données!AB188:AB10186, "satisfaisant", Données!I188:I10186, "AFE", Données!J188:J10186, "jeudi")</f>
        <v>0</v>
      </c>
      <c r="M228" s="26">
        <f>COUNTIFS(Données!AB188:AB10186, "moy. satisfaisant", Données!I188:I10186, "AFE", Données!J188:J10186, "jeudi")</f>
        <v>0</v>
      </c>
      <c r="N228" s="26">
        <f>COUNTIFS(Données!AB188:AB10186, "pas du tout satisfaisant", Données!I188:I10186, "AFE", Données!J188:J10186, "jeudi")</f>
        <v>0</v>
      </c>
      <c r="R228" s="24" t="s">
        <v>82</v>
      </c>
      <c r="S228" s="23">
        <f>COUNTIFS(Données!AJ188:AJ10186, "très satisfaisant", Données!Q188:Q10186, "AS", Données!R188:R10186, "jeudi")</f>
        <v>0</v>
      </c>
      <c r="T228" s="26">
        <f>COUNTIFS(Données!AJ188:AJ10186, "satisfaisant", Données!Q188:Q10186, "AS", Données!R188:R10186, "jeudi")</f>
        <v>0</v>
      </c>
      <c r="U228" s="26">
        <f>COUNTIFS(Données!AJ188:AJ10186, "moy. satisfaisant", Données!Q188:Q10186, "AS", Données!R188:R10186, "jeudi")</f>
        <v>0</v>
      </c>
      <c r="V228" s="26">
        <f>COUNTIFS(Données!AJ188:AJ10186, "pas du tout satisfaisant", Données!Q188:Q10186, "AS", Données!R188:R10186, "jeudi")</f>
        <v>0</v>
      </c>
      <c r="Z228" s="24" t="s">
        <v>82</v>
      </c>
      <c r="AA228" s="23">
        <f>COUNTIFS(Données!AR188:AR10186, "très satisfaisant", Données!Y188:Y10186, "VISAS", Données!Z188:Z10186, "jeudi")</f>
        <v>0</v>
      </c>
      <c r="AB228" s="26">
        <f>COUNTIFS(Données!AR188:AR10186, "satisfaisant", Données!Y188:Y10186, "VISAS", Données!Z188:Z10186, "jeudi")</f>
        <v>0</v>
      </c>
      <c r="AC228" s="26">
        <f>COUNTIFS(Données!AR188:AR10186, "moy. satisfaisant", Données!Y188:Y10186, "VISAS", Données!Z188:Z10186, "jeudi")</f>
        <v>0</v>
      </c>
      <c r="AD228" s="26">
        <f>COUNTIFS(Données!AR188:AR10186, "pas du tout satisfaisant", Données!Y188:Y10186, "VISAS", Données!Z188:Z10186, "jeudi")</f>
        <v>0</v>
      </c>
    </row>
    <row r="229" spans="2:30" ht="21" x14ac:dyDescent="0.25">
      <c r="B229" s="28" t="s">
        <v>84</v>
      </c>
      <c r="C229" s="30" t="s">
        <v>5</v>
      </c>
      <c r="D229" s="30" t="s">
        <v>6</v>
      </c>
      <c r="E229" s="26"/>
      <c r="F229" s="26"/>
      <c r="J229" s="28" t="s">
        <v>84</v>
      </c>
      <c r="K229" s="30" t="s">
        <v>5</v>
      </c>
      <c r="L229" s="30" t="s">
        <v>6</v>
      </c>
      <c r="M229" s="26"/>
      <c r="N229" s="26"/>
      <c r="R229" s="28" t="s">
        <v>84</v>
      </c>
      <c r="S229" s="30" t="s">
        <v>5</v>
      </c>
      <c r="T229" s="30" t="s">
        <v>6</v>
      </c>
      <c r="U229" s="26"/>
      <c r="V229" s="26"/>
      <c r="Z229" s="28" t="s">
        <v>84</v>
      </c>
      <c r="AA229" s="30" t="s">
        <v>5</v>
      </c>
      <c r="AB229" s="30" t="s">
        <v>6</v>
      </c>
      <c r="AC229" s="26"/>
      <c r="AD229" s="26"/>
    </row>
    <row r="230" spans="2:30" ht="15.75" x14ac:dyDescent="0.25">
      <c r="B230" s="33" t="s">
        <v>99</v>
      </c>
      <c r="C230" s="23">
        <f>COUNTIFS(Données!U188:U10186, "oui", Données!A188:A10186, "EC", Données!B188:B10186, "jeudi")</f>
        <v>0</v>
      </c>
      <c r="D230" s="23">
        <f>COUNTIFS(Données!U188:U10186, "oui", Données!A188:A10186, "EC", Données!B188:B10186, "jeudi")</f>
        <v>0</v>
      </c>
      <c r="E230" s="23"/>
      <c r="F230" s="23"/>
      <c r="J230" s="33" t="s">
        <v>99</v>
      </c>
      <c r="K230" s="23">
        <f>COUNTIFS(Données!AC188:AC10186, "oui", Données!I188:I10186, "AFE", Données!J188:J10186, "jeudi")</f>
        <v>0</v>
      </c>
      <c r="L230" s="23">
        <f>COUNTIFS(Données!AC188:AC10186, "oui", Données!I188:I10186, "AFE", Données!J188:J10186, "jeudi")</f>
        <v>0</v>
      </c>
      <c r="M230" s="23"/>
      <c r="N230" s="23"/>
      <c r="R230" s="33" t="s">
        <v>99</v>
      </c>
      <c r="S230" s="23">
        <f>COUNTIFS(Données!AK188:AK10186, "oui", Données!Q188:Q10186, "AS", Données!R188:R10186, "jeudi")</f>
        <v>0</v>
      </c>
      <c r="T230" s="23">
        <f>COUNTIFS(Données!AK188:AK10186, "oui", Données!Q188:Q10186, "AS", Données!R188:R10186, "jeudi")</f>
        <v>0</v>
      </c>
      <c r="U230" s="23"/>
      <c r="V230" s="23"/>
      <c r="Z230" s="33" t="s">
        <v>99</v>
      </c>
      <c r="AA230" s="23">
        <f>COUNTIFS(Données!AS188:AS10186, "oui", Données!Y188:Y10186, "VISAS", Données!Z188:Z10186, "jeudi")</f>
        <v>0</v>
      </c>
      <c r="AB230" s="23">
        <f>COUNTIFS(Données!AS188:AS10186, "oui", Données!Y188:Y10186, "VISAS", Données!Z188:Z10186, "jeudi")</f>
        <v>0</v>
      </c>
      <c r="AC230" s="23"/>
      <c r="AD230" s="23"/>
    </row>
    <row r="231" spans="2:30" ht="15" customHeight="1" x14ac:dyDescent="0.25">
      <c r="B231" s="43" t="s">
        <v>100</v>
      </c>
      <c r="C231" s="44" t="s">
        <v>37</v>
      </c>
      <c r="D231" s="44" t="s">
        <v>38</v>
      </c>
      <c r="E231" s="23"/>
      <c r="F231" s="23"/>
      <c r="J231" s="43" t="s">
        <v>100</v>
      </c>
      <c r="K231" s="44" t="s">
        <v>37</v>
      </c>
      <c r="L231" s="44" t="s">
        <v>38</v>
      </c>
      <c r="M231" s="23"/>
      <c r="N231" s="23"/>
      <c r="R231" s="43" t="s">
        <v>100</v>
      </c>
      <c r="S231" s="44" t="s">
        <v>37</v>
      </c>
      <c r="T231" s="44" t="s">
        <v>38</v>
      </c>
      <c r="U231" s="23"/>
      <c r="V231" s="23"/>
      <c r="Z231" s="43" t="s">
        <v>100</v>
      </c>
      <c r="AA231" s="44" t="s">
        <v>37</v>
      </c>
      <c r="AB231" s="44" t="s">
        <v>38</v>
      </c>
      <c r="AC231" s="23"/>
      <c r="AD231" s="23"/>
    </row>
    <row r="232" spans="2:30" ht="15" customHeight="1" x14ac:dyDescent="0.25">
      <c r="B232" s="43"/>
      <c r="C232" s="44"/>
      <c r="D232" s="44"/>
      <c r="E232" s="23"/>
      <c r="F232" s="23"/>
      <c r="J232" s="43"/>
      <c r="K232" s="44"/>
      <c r="L232" s="44"/>
      <c r="M232" s="23"/>
      <c r="N232" s="23"/>
      <c r="R232" s="43"/>
      <c r="S232" s="44"/>
      <c r="T232" s="44"/>
      <c r="U232" s="23"/>
      <c r="V232" s="23"/>
      <c r="Z232" s="43"/>
      <c r="AA232" s="44"/>
      <c r="AB232" s="44"/>
      <c r="AC232" s="23"/>
      <c r="AD232" s="23"/>
    </row>
    <row r="233" spans="2:30" ht="15" customHeight="1" x14ac:dyDescent="0.25">
      <c r="B233" s="43"/>
      <c r="C233" s="23">
        <f>COUNTIFS(Données!V188:V10186, "A l'heure", Données!A188:A10186, "EC", Données!B188:B10186, "jeudi")</f>
        <v>0</v>
      </c>
      <c r="D233" s="23">
        <f>COUNTIFS(Données!V188:V10186, "En retard", Données!A188:A10186, "EC", Données!B188:B10186, "jeudi")</f>
        <v>0</v>
      </c>
      <c r="E233" s="23"/>
      <c r="F233" s="23"/>
      <c r="J233" s="43"/>
      <c r="K233" s="23">
        <f>COUNTIFS(Données!AD188:AD10186, "A l'heure", Données!I188:I10186, "AFE", Données!J188:J10186, "jeudi")</f>
        <v>0</v>
      </c>
      <c r="L233" s="23">
        <f>COUNTIFS(Données!AD188:AD10186, "En retard", Données!I188:I10186, "AFE", Données!J188:J10186, "jeudi")</f>
        <v>0</v>
      </c>
      <c r="M233" s="23"/>
      <c r="N233" s="23"/>
      <c r="R233" s="43"/>
      <c r="S233" s="23">
        <f>COUNTIFS(Données!AL188:AL10186, "A l'heure", Données!Q188:Q10186, "AS", Données!R188:R10186, "jeudi")</f>
        <v>0</v>
      </c>
      <c r="T233" s="23">
        <f>COUNTIFS(Données!AL188:AL10186, "En retard", Données!Q188:Q10186, "AS", Données!R188:R10186, "jeudi")</f>
        <v>0</v>
      </c>
      <c r="U233" s="23"/>
      <c r="V233" s="23"/>
      <c r="Z233" s="43"/>
      <c r="AA233" s="23">
        <f>COUNTIFS(Données!AT188:AT10186, "A l'heure", Données!Y188:Y10186, "VISAS", Données!Z188:Z10186, "jeudi")</f>
        <v>0</v>
      </c>
      <c r="AB233" s="23">
        <f>COUNTIFS(Données!AT188:AT10186, "En retard", Données!Y188:Y10186, "VISAS", Données!Z188:Z10186, "jeudi")</f>
        <v>0</v>
      </c>
      <c r="AC233" s="23"/>
      <c r="AD233" s="23"/>
    </row>
    <row r="234" spans="2:30" ht="15" customHeight="1" x14ac:dyDescent="0.25">
      <c r="B234" s="45" t="s">
        <v>101</v>
      </c>
      <c r="C234" s="37" t="s">
        <v>40</v>
      </c>
      <c r="D234" s="38" t="s">
        <v>41</v>
      </c>
      <c r="E234" s="39" t="s">
        <v>42</v>
      </c>
      <c r="F234" s="46" t="s">
        <v>85</v>
      </c>
      <c r="J234" s="45" t="s">
        <v>101</v>
      </c>
      <c r="K234" s="37" t="s">
        <v>40</v>
      </c>
      <c r="L234" s="38" t="s">
        <v>41</v>
      </c>
      <c r="M234" s="39" t="s">
        <v>42</v>
      </c>
      <c r="N234" s="46" t="s">
        <v>85</v>
      </c>
      <c r="R234" s="45" t="s">
        <v>101</v>
      </c>
      <c r="S234" s="37" t="s">
        <v>40</v>
      </c>
      <c r="T234" s="38" t="s">
        <v>41</v>
      </c>
      <c r="U234" s="39" t="s">
        <v>42</v>
      </c>
      <c r="V234" s="46" t="s">
        <v>85</v>
      </c>
      <c r="Z234" s="45" t="s">
        <v>101</v>
      </c>
      <c r="AA234" s="37" t="s">
        <v>40</v>
      </c>
      <c r="AB234" s="38" t="s">
        <v>41</v>
      </c>
      <c r="AC234" s="39" t="s">
        <v>42</v>
      </c>
      <c r="AD234" s="46" t="s">
        <v>85</v>
      </c>
    </row>
    <row r="235" spans="2:30" ht="15" customHeight="1" x14ac:dyDescent="0.25">
      <c r="B235" s="45"/>
      <c r="C235" s="37"/>
      <c r="D235" s="38"/>
      <c r="E235" s="39"/>
      <c r="F235" s="46"/>
      <c r="J235" s="45"/>
      <c r="K235" s="37"/>
      <c r="L235" s="38"/>
      <c r="M235" s="39"/>
      <c r="N235" s="46"/>
      <c r="R235" s="45"/>
      <c r="S235" s="37"/>
      <c r="T235" s="38"/>
      <c r="U235" s="39"/>
      <c r="V235" s="46"/>
      <c r="Z235" s="45"/>
      <c r="AA235" s="37"/>
      <c r="AB235" s="38"/>
      <c r="AC235" s="39"/>
      <c r="AD235" s="46"/>
    </row>
    <row r="236" spans="2:30" ht="15" customHeight="1" x14ac:dyDescent="0.25">
      <c r="B236" s="45"/>
      <c r="C236" s="23">
        <f>COUNTIFS(Données!W188:W10186, "0-15", Données!A188:A10186, "EC", Données!B188:B10186, "jeudi")</f>
        <v>0</v>
      </c>
      <c r="D236" s="23">
        <f>COUNTIFS(Données!W188:W10186, "15-30", Données!A188:A10186, "EC", Données!B188:B10186, "jeudi")</f>
        <v>0</v>
      </c>
      <c r="E236" s="23">
        <f>COUNTIFS(Données!W188:W10186, "30-60", Données!A188:A10186, "EC", Données!B188:B10186, "jeudi")</f>
        <v>0</v>
      </c>
      <c r="F236" s="23">
        <f>COUNTIFS(Données!W188:W10186, "plus 60", Données!A188:A10186, "EC", Données!B188:B10186, "jeudi")</f>
        <v>0</v>
      </c>
      <c r="J236" s="45"/>
      <c r="K236" s="23">
        <f>COUNTIFS(Données!AE188:AE10186, "0-15", Données!I188:I10186, "AFE", Données!J188:J10186, "jeudi")</f>
        <v>0</v>
      </c>
      <c r="L236" s="23">
        <f>COUNTIFS(Données!AE188:AE10186, "15-30", Données!I188:I10186, "AFE", Données!J188:J10186, "jeudi")</f>
        <v>0</v>
      </c>
      <c r="M236" s="23">
        <f>COUNTIFS(Données!AE188:AE10186, "30-60", Données!I188:I10186, "AFE", Données!J188:J10186, "jeudi")</f>
        <v>0</v>
      </c>
      <c r="N236" s="23">
        <f>COUNTIFS(Données!AE188:AE10186, "plus 60", Données!I188:I10186, "AFE", Données!J188:J10186, "jeudi")</f>
        <v>0</v>
      </c>
      <c r="R236" s="45"/>
      <c r="S236" s="23">
        <f>COUNTIFS(Données!AM188:AM10186, "0-15", Données!Q188:Q10186, "AS", Données!R188:R10186, "jeudi")</f>
        <v>0</v>
      </c>
      <c r="T236" s="23">
        <f>COUNTIFS(Données!AM188:AM10186, "15-30", Données!Q188:Q10186, "AS", Données!R188:R10186, "jeudi")</f>
        <v>0</v>
      </c>
      <c r="U236" s="23">
        <f>COUNTIFS(Données!AM188:AM10186, "30-60", Données!Q188:Q10186, "AS", Données!R188:R10186, "jeudi")</f>
        <v>0</v>
      </c>
      <c r="V236" s="23">
        <f>COUNTIFS(Données!AM188:AM10186, "plus 60", Données!Q188:Q10186, "AS", Données!R188:R10186, "jeudi")</f>
        <v>0</v>
      </c>
      <c r="Z236" s="45"/>
      <c r="AA236" s="23">
        <f>COUNTIFS(Données!AU188:AU10186, "0-15", Données!Y188:Y10186, "VISAS", Données!Z188:Z10186, "jeudi")</f>
        <v>0</v>
      </c>
      <c r="AB236" s="23">
        <f>COUNTIFS(Données!AU188:AU10186, "15-30", Données!Y188:Y10186, "VISAS", Données!Z188:Z10186, "jeudi")</f>
        <v>0</v>
      </c>
      <c r="AC236" s="23">
        <f>COUNTIFS(Données!AU188:AU10186, "30-60", Données!Y188:Y10186, "VISAS", Données!Z188:Z10186, "jeudi")</f>
        <v>0</v>
      </c>
      <c r="AD236" s="23">
        <f>COUNTIFS(Données!AU188:AU10186, "plus 60", Données!Y188:Y10186, "VISAS", Données!Z188:Z10186, "jeudi")</f>
        <v>0</v>
      </c>
    </row>
    <row r="237" spans="2:30" ht="15" customHeight="1" x14ac:dyDescent="0.25">
      <c r="B237" s="41" t="s">
        <v>102</v>
      </c>
      <c r="C237" s="37" t="s">
        <v>40</v>
      </c>
      <c r="D237" s="38" t="s">
        <v>41</v>
      </c>
      <c r="E237" s="39" t="s">
        <v>42</v>
      </c>
      <c r="F237" s="40" t="s">
        <v>85</v>
      </c>
      <c r="J237" s="41" t="s">
        <v>102</v>
      </c>
      <c r="K237" s="37" t="s">
        <v>40</v>
      </c>
      <c r="L237" s="38" t="s">
        <v>41</v>
      </c>
      <c r="M237" s="39" t="s">
        <v>42</v>
      </c>
      <c r="N237" s="40" t="s">
        <v>85</v>
      </c>
      <c r="R237" s="41" t="s">
        <v>102</v>
      </c>
      <c r="S237" s="37" t="s">
        <v>40</v>
      </c>
      <c r="T237" s="38" t="s">
        <v>41</v>
      </c>
      <c r="U237" s="39" t="s">
        <v>42</v>
      </c>
      <c r="V237" s="40" t="s">
        <v>85</v>
      </c>
      <c r="Z237" s="41" t="s">
        <v>102</v>
      </c>
      <c r="AA237" s="37" t="s">
        <v>40</v>
      </c>
      <c r="AB237" s="38" t="s">
        <v>41</v>
      </c>
      <c r="AC237" s="39" t="s">
        <v>42</v>
      </c>
      <c r="AD237" s="40" t="s">
        <v>85</v>
      </c>
    </row>
    <row r="238" spans="2:30" ht="15" customHeight="1" x14ac:dyDescent="0.25">
      <c r="B238" s="41"/>
      <c r="C238" s="37"/>
      <c r="D238" s="38"/>
      <c r="E238" s="39"/>
      <c r="F238" s="40"/>
      <c r="J238" s="41"/>
      <c r="K238" s="37"/>
      <c r="L238" s="38"/>
      <c r="M238" s="39"/>
      <c r="N238" s="40"/>
      <c r="R238" s="41"/>
      <c r="S238" s="37"/>
      <c r="T238" s="38"/>
      <c r="U238" s="39"/>
      <c r="V238" s="40"/>
      <c r="Z238" s="41"/>
      <c r="AA238" s="37"/>
      <c r="AB238" s="38"/>
      <c r="AC238" s="39"/>
      <c r="AD238" s="40"/>
    </row>
    <row r="239" spans="2:30" ht="15" customHeight="1" x14ac:dyDescent="0.25">
      <c r="B239" s="42"/>
      <c r="C239" s="23">
        <f>COUNTIFS(Données!X188:X10186, "0-15", Données!A188:A10186, "EC", Données!B188:B10186, "jeudi")</f>
        <v>0</v>
      </c>
      <c r="D239" s="23">
        <f>COUNTIFS(Données!X188:X10186, "15-30", Données!A188:A10186, "EC", Données!B188:B10186, "jeudi")</f>
        <v>0</v>
      </c>
      <c r="E239" s="23">
        <f>COUNTIFS(Données!X188:X10186, "30-60", Données!A188:A10186, "EC", Données!B188:B10186, "jeudi")</f>
        <v>0</v>
      </c>
      <c r="F239" s="23">
        <f>COUNTIFS(Données!X188:X10186, "plus 60", Données!A188:A10186, "EC", Données!B188:B10186, "jeudi")</f>
        <v>0</v>
      </c>
      <c r="J239" s="42"/>
      <c r="K239" s="23">
        <f>COUNTIFS(Données!AF188:AF10186, "0-15", Données!I188:I10186, "AFE", Données!J188:J10186, "jeudi")</f>
        <v>0</v>
      </c>
      <c r="L239" s="23">
        <f>COUNTIFS(Données!AF188:AF10186, "15-30", Données!I188:I10186, "AFE", Données!J188:J10186, "jeudi")</f>
        <v>0</v>
      </c>
      <c r="M239" s="23">
        <f>COUNTIFS(Données!AF188:AF10186, "30-60", Données!I188:I10186, "AFE", Données!J188:J10186, "jeudi")</f>
        <v>0</v>
      </c>
      <c r="N239" s="23">
        <f>COUNTIFS(Données!AF188:AF10186, "plus 60", Données!I188:I10186, "AFE", Données!J188:J10186, "jeudi")</f>
        <v>0</v>
      </c>
      <c r="R239" s="42"/>
      <c r="S239" s="23">
        <f>COUNTIFS(Données!AN188:AN10186, "0-15", Données!Q188:Q10186, "AS", Données!R188:R10186, "jeudi")</f>
        <v>0</v>
      </c>
      <c r="T239" s="23">
        <f>COUNTIFS(Données!AN188:AN10186, "15-30", Données!Q188:Q10186, "AS", Données!R188:R10186, "jeudi")</f>
        <v>0</v>
      </c>
      <c r="U239" s="23">
        <f>COUNTIFS(Données!AN188:AN10186, "30-60", Données!Q188:Q10186, "AS", Données!R188:R10186, "jeudi")</f>
        <v>0</v>
      </c>
      <c r="V239" s="23">
        <f>COUNTIFS(Données!AN188:AN10186, "plus 60", Données!Q188:Q10186, "AS", Données!R188:R10186, "jeudi")</f>
        <v>0</v>
      </c>
      <c r="Z239" s="42"/>
      <c r="AA239" s="23">
        <f>COUNTIFS(Données!AV188:AV10186, "0-15", Données!Y188:Y10186, "VISAS", Données!Z188:Z10186, "jeudi")</f>
        <v>0</v>
      </c>
      <c r="AB239" s="23">
        <f>COUNTIFS(Données!AV188:AV10186, "15-30", Données!Y188:Y10186, "VISAS", Données!Z188:Z10186, "jeudi")</f>
        <v>0</v>
      </c>
      <c r="AC239" s="23">
        <f>COUNTIFS(Données!AV188:AV10186, "30-60", Données!Y188:Y10186, "VISAS", Données!Z188:Z10186, "jeudi")</f>
        <v>0</v>
      </c>
      <c r="AD239" s="23">
        <f>COUNTIFS(Données!AV188:AV10186, "plus 60", Données!Y188:Y10186, "VISAS", Données!Z188:Z10186, "jeudi")</f>
        <v>0</v>
      </c>
    </row>
    <row r="240" spans="2:30" ht="21" x14ac:dyDescent="0.25">
      <c r="B240" s="28" t="s">
        <v>86</v>
      </c>
      <c r="C240" s="22" t="s">
        <v>5</v>
      </c>
      <c r="D240" s="22" t="s">
        <v>6</v>
      </c>
      <c r="E240" s="23"/>
      <c r="F240" s="23"/>
      <c r="J240" s="28" t="s">
        <v>86</v>
      </c>
      <c r="K240" s="22" t="s">
        <v>5</v>
      </c>
      <c r="L240" s="22" t="s">
        <v>6</v>
      </c>
      <c r="M240" s="23"/>
      <c r="N240" s="23"/>
      <c r="R240" s="28" t="s">
        <v>86</v>
      </c>
      <c r="S240" s="22" t="s">
        <v>5</v>
      </c>
      <c r="T240" s="22" t="s">
        <v>6</v>
      </c>
      <c r="U240" s="23"/>
      <c r="V240" s="23"/>
      <c r="Z240" s="28" t="s">
        <v>86</v>
      </c>
      <c r="AA240" s="22" t="s">
        <v>5</v>
      </c>
      <c r="AB240" s="22" t="s">
        <v>6</v>
      </c>
      <c r="AC240" s="23"/>
      <c r="AD240" s="23"/>
    </row>
    <row r="241" spans="1:30" ht="15.75" x14ac:dyDescent="0.25">
      <c r="B241" s="35" t="s">
        <v>88</v>
      </c>
      <c r="C241" s="23">
        <f>COUNTIFS(Données!Z188:Z10186, "oui", Données!A188:A10186, "EC", Données!B188:B10186, "jeudi")</f>
        <v>0</v>
      </c>
      <c r="D241" s="23">
        <f>COUNTIFS(Données!Z188:Z10186, "non", Données!A188:A10186, "EC", Données!B188:B10186, "jeudi")</f>
        <v>0</v>
      </c>
      <c r="E241" s="23"/>
      <c r="F241" s="23"/>
      <c r="J241" s="35" t="s">
        <v>88</v>
      </c>
      <c r="K241" s="23">
        <f>COUNTIFS(Données!AH188:AH10186, "oui", Données!I188:I10186, "AFE", Données!J188:J10186, "jeudi")</f>
        <v>0</v>
      </c>
      <c r="L241" s="23">
        <f>COUNTIFS(Données!AH188:AH10186, "non", Données!I188:I10186, "AFE", Données!J188:J10186, "jeudi")</f>
        <v>0</v>
      </c>
      <c r="M241" s="23"/>
      <c r="N241" s="23"/>
      <c r="R241" s="35" t="s">
        <v>88</v>
      </c>
      <c r="S241" s="23">
        <f>COUNTIFS(Données!AP188:AP10186, "oui", Données!Q188:Q10186, "AS", Données!R188:R10186, "jeudi")</f>
        <v>0</v>
      </c>
      <c r="T241" s="23">
        <f>COUNTIFS(Données!AP188:AP10186, "non", Données!Q188:Q10186, "AS", Données!R188:R10186, "jeudi")</f>
        <v>0</v>
      </c>
      <c r="U241" s="23"/>
      <c r="V241" s="23"/>
      <c r="Z241" s="35" t="s">
        <v>88</v>
      </c>
      <c r="AA241" s="23">
        <f>COUNTIFS(Données!AX188:AX10186, "oui", Données!Y188:Y10186, "VISAS", Données!Z188:Z10186, "jeudi")</f>
        <v>0</v>
      </c>
      <c r="AB241" s="23">
        <f>COUNTIFS(Données!AX188:AX10186, "non", Données!Y188:Y10186, "VISAS", Données!Z188:Z10186, "jeudi")</f>
        <v>0</v>
      </c>
      <c r="AC241" s="23"/>
      <c r="AD241" s="23"/>
    </row>
    <row r="242" spans="1:30" ht="15.75" x14ac:dyDescent="0.25">
      <c r="B242" s="34" t="s">
        <v>89</v>
      </c>
      <c r="C242" s="23">
        <f>COUNTIFS(Données!AA188:AA10186, "oui", Données!A188:A10186, "EC", Données!B188:B10186, "jeudi")</f>
        <v>0</v>
      </c>
      <c r="D242" s="23">
        <f>COUNTIFS(Données!AA188:AA10186, "non", Données!A188:A10186, "EC", Données!B188:B10186, "jeudi")</f>
        <v>0</v>
      </c>
      <c r="E242" s="23"/>
      <c r="F242" s="23"/>
      <c r="J242" s="34" t="s">
        <v>89</v>
      </c>
      <c r="K242" s="23">
        <f>COUNTIFS(Données!AI188:AI10186, "oui", Données!I188:I10186, "AFE", Données!J188:J10186, "jeudi")</f>
        <v>0</v>
      </c>
      <c r="L242" s="23">
        <f>COUNTIFS(Données!AI188:AI10186, "non", Données!I188:I10186, "AFE", Données!J188:J10186, "jeudi")</f>
        <v>0</v>
      </c>
      <c r="M242" s="23"/>
      <c r="N242" s="23"/>
      <c r="R242" s="34" t="s">
        <v>89</v>
      </c>
      <c r="S242" s="23">
        <f>COUNTIFS(Données!AQ188:AQ10186, "oui", Données!Q188:Q10186, "AS", Données!R188:R10186, "jeudi")</f>
        <v>0</v>
      </c>
      <c r="T242" s="23">
        <f>COUNTIFS(Données!AQ188:AQ10186, "non", Données!Q188:Q10186, "AS", Données!R188:R10186, "jeudi")</f>
        <v>0</v>
      </c>
      <c r="U242" s="23"/>
      <c r="V242" s="23"/>
      <c r="Z242" s="34" t="s">
        <v>89</v>
      </c>
      <c r="AA242" s="23">
        <f>COUNTIFS(Données!AY188:AY10186, "oui", Données!Y188:Y10186, "VISAS", Données!Z188:Z10186, "jeudi")</f>
        <v>0</v>
      </c>
      <c r="AB242" s="23">
        <f>COUNTIFS(Données!AY188:AY10186, "non", Données!Y188:Y10186, "VISAS", Données!Z188:Z10186, "jeudi")</f>
        <v>0</v>
      </c>
      <c r="AC242" s="23"/>
      <c r="AD242" s="23"/>
    </row>
    <row r="243" spans="1:30" ht="15.75" x14ac:dyDescent="0.25">
      <c r="B243" s="24" t="s">
        <v>90</v>
      </c>
      <c r="C243" s="23">
        <f>COUNTIFS(Données!AB188:AB10186, "oui", Données!A188:A10186, "EC", Données!B188:B10186, "jeudi")</f>
        <v>0</v>
      </c>
      <c r="D243" s="23">
        <f>COUNTIFS(Données!AB188:AB10186, "non", Données!A188:A10186, "EC", Données!B188:B10186, "jeudi")</f>
        <v>0</v>
      </c>
      <c r="E243" s="23"/>
      <c r="F243" s="23"/>
      <c r="J243" s="24" t="s">
        <v>90</v>
      </c>
      <c r="K243" s="23">
        <f>COUNTIFS(Données!AJ188:AJ10186, "oui", Données!I188:I10186, "AFE", Données!J188:J10186, "jeudi")</f>
        <v>0</v>
      </c>
      <c r="L243" s="23">
        <f>COUNTIFS(Données!AJ188:AJ10186, "non", Données!I188:I10186, "AFE", Données!J188:J10186, "jeudi")</f>
        <v>0</v>
      </c>
      <c r="M243" s="23"/>
      <c r="N243" s="23"/>
      <c r="R243" s="24" t="s">
        <v>90</v>
      </c>
      <c r="S243" s="23">
        <f>COUNTIFS(Données!AR188:AR10186, "oui", Données!Q188:Q10186, "AS", Données!R188:R10186, "jeudi")</f>
        <v>0</v>
      </c>
      <c r="T243" s="23">
        <f>COUNTIFS(Données!AR188:AR10186, "non", Données!Q188:Q10186, "AS", Données!R188:R10186, "jeudi")</f>
        <v>0</v>
      </c>
      <c r="U243" s="23"/>
      <c r="V243" s="23"/>
      <c r="Z243" s="24" t="s">
        <v>90</v>
      </c>
      <c r="AA243" s="23">
        <f>COUNTIFS(Données!AZ188:AZ10186, "oui", Données!Y188:Y10186, "VISAS", Données!Z188:Z10186, "jeudi")</f>
        <v>0</v>
      </c>
      <c r="AB243" s="23">
        <f>COUNTIFS(Données!AZ188:AZ10186, "non", Données!Y188:Y10186, "VISAS", Données!Z188:Z10186, "jeudi")</f>
        <v>0</v>
      </c>
      <c r="AC243" s="23"/>
      <c r="AD243" s="23"/>
    </row>
    <row r="244" spans="1:30" ht="15" customHeight="1" x14ac:dyDescent="0.25">
      <c r="B244" s="36" t="s">
        <v>91</v>
      </c>
      <c r="C244" s="37" t="s">
        <v>79</v>
      </c>
      <c r="D244" s="38" t="s">
        <v>34</v>
      </c>
      <c r="E244" s="39" t="s">
        <v>83</v>
      </c>
      <c r="F244" s="40" t="s">
        <v>35</v>
      </c>
      <c r="J244" s="36" t="s">
        <v>91</v>
      </c>
      <c r="K244" s="37" t="s">
        <v>79</v>
      </c>
      <c r="L244" s="38" t="s">
        <v>34</v>
      </c>
      <c r="M244" s="39" t="s">
        <v>83</v>
      </c>
      <c r="N244" s="40" t="s">
        <v>35</v>
      </c>
      <c r="R244" s="36" t="s">
        <v>91</v>
      </c>
      <c r="S244" s="37" t="s">
        <v>79</v>
      </c>
      <c r="T244" s="38" t="s">
        <v>34</v>
      </c>
      <c r="U244" s="39" t="s">
        <v>83</v>
      </c>
      <c r="V244" s="40" t="s">
        <v>35</v>
      </c>
      <c r="Z244" s="36" t="s">
        <v>91</v>
      </c>
      <c r="AA244" s="37" t="s">
        <v>79</v>
      </c>
      <c r="AB244" s="38" t="s">
        <v>34</v>
      </c>
      <c r="AC244" s="39" t="s">
        <v>83</v>
      </c>
      <c r="AD244" s="40" t="s">
        <v>35</v>
      </c>
    </row>
    <row r="245" spans="1:30" ht="15" customHeight="1" x14ac:dyDescent="0.25">
      <c r="B245" s="36"/>
      <c r="C245" s="37"/>
      <c r="D245" s="38"/>
      <c r="E245" s="39"/>
      <c r="F245" s="40"/>
      <c r="J245" s="36"/>
      <c r="K245" s="37"/>
      <c r="L245" s="38"/>
      <c r="M245" s="39"/>
      <c r="N245" s="40"/>
      <c r="R245" s="36"/>
      <c r="S245" s="37"/>
      <c r="T245" s="38"/>
      <c r="U245" s="39"/>
      <c r="V245" s="40"/>
      <c r="Z245" s="36"/>
      <c r="AA245" s="37"/>
      <c r="AB245" s="38"/>
      <c r="AC245" s="39"/>
      <c r="AD245" s="40"/>
    </row>
    <row r="246" spans="1:30" ht="15" customHeight="1" x14ac:dyDescent="0.25">
      <c r="B246" s="36"/>
      <c r="C246" s="26">
        <f>COUNTIFS(Données!AC188:AC10186, "très satisfaisant", Données!A188:A10186, "EC", Données!B188:B10186, "jeudi")</f>
        <v>0</v>
      </c>
      <c r="D246" s="26">
        <f>COUNTIFS(Données!AC188:AC10186, "satisfaisant", Données!A188:A10186, "EC", Données!B188:B10186, "jeudi")</f>
        <v>0</v>
      </c>
      <c r="E246" s="26">
        <f>COUNTIFS(Données!AC188:AC10186, "moy. satisfaisant", Données!A188:A10186, "EC", Données!B188:B10186, "jeudi")</f>
        <v>0</v>
      </c>
      <c r="F246" s="26">
        <f>COUNTIFS(Données!AC188:AC10186, "pas du tout satisfaisant", Données!A188:A10186, "EC", Données!B188:B10186, "jeudi")</f>
        <v>0</v>
      </c>
      <c r="J246" s="36"/>
      <c r="K246" s="26">
        <f>COUNTIFS(Données!AK188:AK10186, "très satisfaisant", Données!I188:I10186, "AFE", Données!J188:J10186, "jeudi")</f>
        <v>0</v>
      </c>
      <c r="L246" s="26">
        <f>COUNTIFS(Données!AK188:AK10186, "satisfaisant", Données!I188:I10186, "AFE", Données!J188:J10186, "jeudi")</f>
        <v>0</v>
      </c>
      <c r="M246" s="26">
        <f>COUNTIFS(Données!AK188:AK10186, "moy. satisfaisant", Données!I188:I10186, "AFE", Données!J188:J10186, "jeudi")</f>
        <v>0</v>
      </c>
      <c r="N246" s="26">
        <f>COUNTIFS(Données!AK188:AK10186, "pas du tout satisfaisant", Données!I188:I10186, "AFE", Données!J188:J10186, "jeudi")</f>
        <v>0</v>
      </c>
      <c r="R246" s="36"/>
      <c r="S246" s="26">
        <f>COUNTIFS(Données!AS188:AS10186, "très satisfaisant", Données!Q188:Q10186, "AS", Données!R188:R10186, "jeudi")</f>
        <v>0</v>
      </c>
      <c r="T246" s="26">
        <f>COUNTIFS(Données!AS188:AS10186, "satisfaisant", Données!Q188:Q10186, "AS", Données!R188:R10186, "jeudi")</f>
        <v>0</v>
      </c>
      <c r="U246" s="26">
        <f>COUNTIFS(Données!AS188:AS10186, "moy. satisfaisant", Données!Q188:Q10186, "AS", Données!R188:R10186, "jeudi")</f>
        <v>0</v>
      </c>
      <c r="V246" s="26">
        <f>COUNTIFS(Données!AS188:AS10186, "pas du tout satisfaisant", Données!Q188:Q10186, "AS", Données!R188:R10186, "jeudi")</f>
        <v>0</v>
      </c>
      <c r="Z246" s="36"/>
      <c r="AA246" s="26">
        <f>COUNTIFS(Données!BA188:BA10186, "très satisfaisant", Données!Y188:Y10186, "VISAS", Données!Z188:Z10186, "jeudi")</f>
        <v>0</v>
      </c>
      <c r="AB246" s="26">
        <f>COUNTIFS(Données!BA188:BA10186, "satisfaisant", Données!Y188:Y10186, "VISAS", Données!Z188:Z10186, "jeudi")</f>
        <v>0</v>
      </c>
      <c r="AC246" s="26">
        <f>COUNTIFS(Données!BA188:BA10186, "moy. satisfaisant", Données!Y188:Y10186, "VISAS", Données!Z188:Z10186, "jeudi")</f>
        <v>0</v>
      </c>
      <c r="AD246" s="26">
        <f>COUNTIFS(Données!BA188:BA10186, "pas du tout satisfaisant", Données!Y188:Y10186, "VISAS", Données!Z188:Z10186, "jeudi")</f>
        <v>0</v>
      </c>
    </row>
    <row r="247" spans="1:30" ht="15" customHeight="1" x14ac:dyDescent="0.25">
      <c r="C247" s="26"/>
      <c r="D247" s="26"/>
      <c r="E247" s="26"/>
      <c r="F247" s="26"/>
      <c r="K247" s="26"/>
      <c r="L247" s="26"/>
      <c r="M247" s="26"/>
      <c r="N247" s="26"/>
      <c r="S247" s="26"/>
      <c r="T247" s="26"/>
      <c r="U247" s="26"/>
      <c r="V247" s="26"/>
      <c r="AA247" s="26"/>
      <c r="AB247" s="26"/>
      <c r="AC247" s="26"/>
      <c r="AD247" s="26"/>
    </row>
    <row r="248" spans="1:30" ht="15" customHeight="1" x14ac:dyDescent="0.25">
      <c r="C248" s="26"/>
      <c r="D248" s="26"/>
      <c r="E248" s="26"/>
      <c r="F248" s="26"/>
      <c r="K248" s="26"/>
      <c r="L248" s="26"/>
      <c r="M248" s="26"/>
      <c r="N248" s="26"/>
      <c r="S248" s="26"/>
      <c r="T248" s="26"/>
      <c r="U248" s="26"/>
      <c r="V248" s="26"/>
      <c r="AA248" s="26"/>
      <c r="AB248" s="26"/>
      <c r="AC248" s="26"/>
      <c r="AD248" s="26"/>
    </row>
    <row r="249" spans="1:30" x14ac:dyDescent="0.25">
      <c r="C249" s="26"/>
      <c r="D249" s="26"/>
      <c r="E249" s="26"/>
      <c r="F249" s="26"/>
      <c r="K249" s="26"/>
      <c r="L249" s="26"/>
      <c r="M249" s="26"/>
      <c r="N249" s="26"/>
      <c r="S249" s="26"/>
      <c r="T249" s="26"/>
      <c r="U249" s="26"/>
      <c r="V249" s="26"/>
      <c r="AA249" s="26"/>
      <c r="AB249" s="26"/>
      <c r="AC249" s="26"/>
      <c r="AD249" s="26"/>
    </row>
    <row r="250" spans="1:30" x14ac:dyDescent="0.25">
      <c r="C250" s="26"/>
      <c r="D250" s="26"/>
      <c r="E250" s="26"/>
      <c r="F250" s="26"/>
      <c r="K250" s="26"/>
      <c r="L250" s="26"/>
      <c r="M250" s="26"/>
      <c r="N250" s="26"/>
      <c r="S250" s="26"/>
      <c r="T250" s="26"/>
      <c r="U250" s="26"/>
      <c r="V250" s="26"/>
      <c r="AA250" s="26"/>
      <c r="AB250" s="26"/>
      <c r="AC250" s="26"/>
      <c r="AD250" s="26"/>
    </row>
    <row r="251" spans="1:30" ht="15" customHeight="1" x14ac:dyDescent="0.25">
      <c r="A251" s="57" t="s">
        <v>106</v>
      </c>
      <c r="B251" s="55" t="s">
        <v>51</v>
      </c>
      <c r="C251" s="55" t="s">
        <v>87</v>
      </c>
      <c r="D251" s="55"/>
      <c r="E251" s="55"/>
      <c r="F251" s="55"/>
      <c r="I251" s="59" t="s">
        <v>106</v>
      </c>
      <c r="J251" s="55" t="s">
        <v>0</v>
      </c>
      <c r="K251" s="55" t="s">
        <v>87</v>
      </c>
      <c r="L251" s="55"/>
      <c r="M251" s="55"/>
      <c r="N251" s="55"/>
      <c r="Q251" s="59" t="s">
        <v>106</v>
      </c>
      <c r="R251" s="55" t="s">
        <v>0</v>
      </c>
      <c r="S251" s="55" t="s">
        <v>87</v>
      </c>
      <c r="T251" s="55"/>
      <c r="U251" s="55"/>
      <c r="V251" s="55"/>
      <c r="Y251" s="59" t="s">
        <v>106</v>
      </c>
      <c r="Z251" s="55" t="s">
        <v>3</v>
      </c>
      <c r="AA251" s="55" t="s">
        <v>87</v>
      </c>
      <c r="AB251" s="55"/>
      <c r="AC251" s="55"/>
      <c r="AD251" s="55"/>
    </row>
    <row r="252" spans="1:30" ht="15" customHeight="1" x14ac:dyDescent="0.25">
      <c r="A252" s="57"/>
      <c r="B252" s="55"/>
      <c r="C252" s="55"/>
      <c r="D252" s="55"/>
      <c r="E252" s="55"/>
      <c r="F252" s="55"/>
      <c r="I252" s="59"/>
      <c r="J252" s="55"/>
      <c r="K252" s="55"/>
      <c r="L252" s="55"/>
      <c r="M252" s="55"/>
      <c r="N252" s="55"/>
      <c r="Q252" s="59"/>
      <c r="R252" s="55"/>
      <c r="S252" s="55"/>
      <c r="T252" s="55"/>
      <c r="U252" s="55"/>
      <c r="V252" s="55"/>
      <c r="Y252" s="59"/>
      <c r="Z252" s="55"/>
      <c r="AA252" s="55"/>
      <c r="AB252" s="55"/>
      <c r="AC252" s="55"/>
      <c r="AD252" s="55"/>
    </row>
    <row r="253" spans="1:30" ht="21" customHeight="1" x14ac:dyDescent="0.25">
      <c r="B253" s="28" t="s">
        <v>53</v>
      </c>
      <c r="C253" s="22" t="s">
        <v>5</v>
      </c>
      <c r="D253" s="22" t="s">
        <v>6</v>
      </c>
      <c r="E253" s="26"/>
      <c r="F253" s="26"/>
      <c r="J253" s="28" t="s">
        <v>53</v>
      </c>
      <c r="K253" s="22" t="s">
        <v>5</v>
      </c>
      <c r="L253" s="22" t="s">
        <v>6</v>
      </c>
      <c r="M253" s="26"/>
      <c r="N253" s="26"/>
      <c r="R253" s="28" t="s">
        <v>53</v>
      </c>
      <c r="S253" s="22" t="s">
        <v>5</v>
      </c>
      <c r="T253" s="22" t="s">
        <v>6</v>
      </c>
      <c r="U253" s="26"/>
      <c r="V253" s="26"/>
      <c r="Z253" s="28" t="s">
        <v>53</v>
      </c>
      <c r="AA253" s="22" t="s">
        <v>5</v>
      </c>
      <c r="AB253" s="22" t="s">
        <v>6</v>
      </c>
      <c r="AC253" s="26"/>
      <c r="AD253" s="26"/>
    </row>
    <row r="254" spans="1:30" ht="15" customHeight="1" x14ac:dyDescent="0.25">
      <c r="B254" s="56" t="s">
        <v>52</v>
      </c>
      <c r="C254" s="48">
        <f>COUNTIFS(Données!C250:C10248, "oui", Données!A250:A10248, "EC", Données!B250:B10248, "vendredi")</f>
        <v>0</v>
      </c>
      <c r="D254" s="48">
        <f>COUNTIFS(Données!C250:C10248, "non", Données!A250:A10248, "EC", Données!B250:B10248,  "mercredi")</f>
        <v>0</v>
      </c>
      <c r="E254" s="26"/>
      <c r="F254" s="26"/>
      <c r="J254" s="56" t="s">
        <v>52</v>
      </c>
      <c r="K254" s="48">
        <f>COUNTIFS(Données!K250:K10248, "oui", Données!I250:I10248, "AFE", Données!J250:J10248, "vendredi")</f>
        <v>0</v>
      </c>
      <c r="L254" s="48">
        <f>COUNTIFS(Données!K250:K10248, "non", Données!I250:I10248, "AFE", Données!J250:J10248, "vendredi")</f>
        <v>0</v>
      </c>
      <c r="M254" s="26"/>
      <c r="N254" s="26"/>
      <c r="R254" s="56" t="s">
        <v>52</v>
      </c>
      <c r="S254" s="48">
        <f>COUNTIFS(Données!S250:S10248, "oui", Données!Q250:Q10248, "AS", Données!R250:R10248, "vendredi")</f>
        <v>0</v>
      </c>
      <c r="T254" s="48">
        <f>COUNTIFS(Données!S250:S10248, "non", Données!Q250:Q10248, "AS", Données!R250:R10248, "vendredi")</f>
        <v>0</v>
      </c>
      <c r="U254" s="26"/>
      <c r="V254" s="26"/>
      <c r="Z254" s="56" t="s">
        <v>52</v>
      </c>
      <c r="AA254" s="48">
        <f>COUNTIFS(Données!AA250:AA10248, "oui", Données!Y250:Y10248, "VISAS", Données!Z250:Z10248, "vendredi")</f>
        <v>0</v>
      </c>
      <c r="AB254" s="48">
        <f>COUNTIFS(Données!AA250:AA10248, "non", Données!Y250:Y10248, "VISAS", Données!Z250:Z10248, "vendredi")</f>
        <v>0</v>
      </c>
      <c r="AC254" s="26"/>
      <c r="AD254" s="26"/>
    </row>
    <row r="255" spans="1:30" ht="15" customHeight="1" x14ac:dyDescent="0.25">
      <c r="B255" s="56"/>
      <c r="C255" s="48"/>
      <c r="D255" s="48"/>
      <c r="E255" s="26"/>
      <c r="F255" s="26"/>
      <c r="J255" s="56"/>
      <c r="K255" s="48"/>
      <c r="L255" s="48"/>
      <c r="M255" s="26"/>
      <c r="N255" s="26"/>
      <c r="R255" s="56"/>
      <c r="S255" s="48"/>
      <c r="T255" s="48"/>
      <c r="U255" s="26"/>
      <c r="V255" s="26"/>
      <c r="Z255" s="56"/>
      <c r="AA255" s="48"/>
      <c r="AB255" s="48"/>
      <c r="AC255" s="26"/>
      <c r="AD255" s="26"/>
    </row>
    <row r="256" spans="1:30" ht="15" customHeight="1" x14ac:dyDescent="0.25">
      <c r="B256" s="45" t="s">
        <v>60</v>
      </c>
      <c r="C256" s="48">
        <f>COUNTIFS(Données!D250:D10248, "oui", Données!A250:A10248, "EC", Données!B250:B10248,  "vendredi")</f>
        <v>0</v>
      </c>
      <c r="D256" s="48">
        <f>COUNTIFS(Données!D250:D10248, "non", Données!A250:A10248, "EC", Données!B250:B10248,  "mercredi")</f>
        <v>0</v>
      </c>
      <c r="E256" s="26"/>
      <c r="F256" s="26"/>
      <c r="J256" s="45" t="s">
        <v>60</v>
      </c>
      <c r="K256" s="48">
        <f>COUNTIFS(Données!L250:L10248, "oui", Données!I250:I10248, "AFE", Données!J250:J10248, "vendredi")</f>
        <v>0</v>
      </c>
      <c r="L256" s="48">
        <f>COUNTIFS(Données!L250:L10248, "non", Données!I250:I10248, "AFE", Données!J250:J10248, "vendredi")</f>
        <v>0</v>
      </c>
      <c r="M256" s="26"/>
      <c r="N256" s="26"/>
      <c r="R256" s="45" t="s">
        <v>60</v>
      </c>
      <c r="S256" s="48">
        <f>COUNTIFS(Données!T250:T10248, "oui", Données!Q250:Q10248, "AS", Données!R250:R10248, "vendredi")</f>
        <v>0</v>
      </c>
      <c r="T256" s="48">
        <f>COUNTIFS(Données!T250:T10248, "non", Données!Q250:Q10248, "AS", Données!R250:R10248, "vendredi")</f>
        <v>0</v>
      </c>
      <c r="U256" s="26"/>
      <c r="V256" s="26"/>
      <c r="Z256" s="45" t="s">
        <v>60</v>
      </c>
      <c r="AA256" s="48">
        <f>COUNTIFS(Données!AB250:AB10248, "oui", Données!Y250:Y10248, "VISAS", Données!Z250:Z10248, "vendredi")</f>
        <v>0</v>
      </c>
      <c r="AB256" s="48">
        <f>COUNTIFS(Données!AB250:AB10248, "non", Données!Y250:Y10248, "VISAS", Données!Z250:Z10248, "vendredi")</f>
        <v>0</v>
      </c>
      <c r="AC256" s="26"/>
      <c r="AD256" s="26"/>
    </row>
    <row r="257" spans="2:30" ht="15" customHeight="1" x14ac:dyDescent="0.25">
      <c r="B257" s="45"/>
      <c r="C257" s="48"/>
      <c r="D257" s="48"/>
      <c r="E257" s="26"/>
      <c r="F257" s="26"/>
      <c r="J257" s="45"/>
      <c r="K257" s="48"/>
      <c r="L257" s="48"/>
      <c r="M257" s="26"/>
      <c r="N257" s="26"/>
      <c r="R257" s="45"/>
      <c r="S257" s="48"/>
      <c r="T257" s="48"/>
      <c r="U257" s="26"/>
      <c r="V257" s="26"/>
      <c r="Z257" s="45"/>
      <c r="AA257" s="48"/>
      <c r="AB257" s="48"/>
      <c r="AC257" s="26"/>
      <c r="AD257" s="26"/>
    </row>
    <row r="258" spans="2:30" ht="15" customHeight="1" x14ac:dyDescent="0.25">
      <c r="B258" s="41" t="s">
        <v>74</v>
      </c>
      <c r="C258" s="48">
        <f>COUNTIFS(Données!E250:E10248, "oui", Données!A250:A10248, "EC", Données!B250:B10248,  "vendredi")</f>
        <v>0</v>
      </c>
      <c r="D258" s="48">
        <f>COUNTIFS(Données!E250:E10248, "non", Données!A250:A10248, "EC", Données!B250:B10248,  "vendredi")</f>
        <v>0</v>
      </c>
      <c r="E258" s="26"/>
      <c r="F258" s="26"/>
      <c r="J258" s="41" t="s">
        <v>74</v>
      </c>
      <c r="K258" s="48">
        <f>COUNTIFS(Données!M250:M10248, "oui", Données!I250:I10248, "AFE", Données!J250:J10248, "vendredi")</f>
        <v>0</v>
      </c>
      <c r="L258" s="48">
        <f>COUNTIFS(Données!M250:M10248, "non", Données!I250:I10248, "AFE", Données!J250:J10248, "vendredi")</f>
        <v>0</v>
      </c>
      <c r="M258" s="26"/>
      <c r="N258" s="26"/>
      <c r="R258" s="41" t="s">
        <v>74</v>
      </c>
      <c r="S258" s="48">
        <f>COUNTIFS(Données!U250:U10248, "oui", Données!Q250:Q10248, "AS", Données!R250:R10248, "vendredi")</f>
        <v>0</v>
      </c>
      <c r="T258" s="48">
        <f>COUNTIFS(Données!U250:U10248, "non", Données!Q250:Q10248, "AS", Données!R250:R10248, "vendredi")</f>
        <v>0</v>
      </c>
      <c r="U258" s="26"/>
      <c r="V258" s="26"/>
      <c r="Z258" s="41" t="s">
        <v>74</v>
      </c>
      <c r="AA258" s="48">
        <f>COUNTIFS(Données!AC250:AC10248, "oui", Données!Y250:Y10248, "VISAS", Données!Z250:Z10248, "vendredi")</f>
        <v>0</v>
      </c>
      <c r="AB258" s="48">
        <f>COUNTIFS(Données!AC250:AC10248, "non", Données!Y250:Y10248, "VISAS", Données!Z250:Z10248, "vendredi")</f>
        <v>0</v>
      </c>
      <c r="AC258" s="26"/>
      <c r="AD258" s="26"/>
    </row>
    <row r="259" spans="2:30" ht="15" customHeight="1" x14ac:dyDescent="0.25">
      <c r="B259" s="41"/>
      <c r="C259" s="48"/>
      <c r="D259" s="48"/>
      <c r="E259" s="26"/>
      <c r="F259" s="26"/>
      <c r="J259" s="41"/>
      <c r="K259" s="48"/>
      <c r="L259" s="48"/>
      <c r="M259" s="26"/>
      <c r="N259" s="26"/>
      <c r="R259" s="41"/>
      <c r="S259" s="48"/>
      <c r="T259" s="48"/>
      <c r="U259" s="26"/>
      <c r="V259" s="26"/>
      <c r="Z259" s="41"/>
      <c r="AA259" s="48"/>
      <c r="AB259" s="48"/>
      <c r="AC259" s="26"/>
      <c r="AD259" s="26"/>
    </row>
    <row r="260" spans="2:30" ht="21" x14ac:dyDescent="0.35">
      <c r="B260" s="29" t="s">
        <v>54</v>
      </c>
      <c r="C260" s="22" t="s">
        <v>5</v>
      </c>
      <c r="D260" s="22" t="s">
        <v>6</v>
      </c>
      <c r="E260" s="26"/>
      <c r="F260" s="26"/>
      <c r="J260" s="29" t="s">
        <v>54</v>
      </c>
      <c r="K260" s="22" t="s">
        <v>5</v>
      </c>
      <c r="L260" s="22" t="s">
        <v>6</v>
      </c>
      <c r="M260" s="26"/>
      <c r="N260" s="26"/>
      <c r="R260" s="29" t="s">
        <v>54</v>
      </c>
      <c r="S260" s="22" t="s">
        <v>5</v>
      </c>
      <c r="T260" s="22" t="s">
        <v>6</v>
      </c>
      <c r="U260" s="26"/>
      <c r="V260" s="26"/>
      <c r="Z260" s="29" t="s">
        <v>54</v>
      </c>
      <c r="AA260" s="22" t="s">
        <v>5</v>
      </c>
      <c r="AB260" s="22" t="s">
        <v>6</v>
      </c>
      <c r="AC260" s="26"/>
      <c r="AD260" s="26"/>
    </row>
    <row r="261" spans="2:30" ht="15" customHeight="1" x14ac:dyDescent="0.25">
      <c r="B261" s="51" t="s">
        <v>64</v>
      </c>
      <c r="C261" s="47">
        <f>COUNTIFS(Données!F250:F10248, "oui", Données!A250:A10248, "EC", Données!B250:B10248,  "vendredi")</f>
        <v>0</v>
      </c>
      <c r="D261" s="47">
        <f>COUNTIFS(Données!F250:F10248, "non", Données!A250:A10248, "EC", Données!B250:B10248,  "vendredi")</f>
        <v>0</v>
      </c>
      <c r="E261" s="26"/>
      <c r="F261" s="26"/>
      <c r="J261" s="51" t="s">
        <v>64</v>
      </c>
      <c r="K261" s="47">
        <f>COUNTIFS(Données!N250:N10248, "oui", Données!I250:I10248, "AFE", Données!J250:J10248, "vendredi")</f>
        <v>0</v>
      </c>
      <c r="L261" s="47">
        <f>COUNTIFS(Données!N250:N10248, "non", Données!I250:I10248, "AFE", Données!J250:J10248, "vendredi")</f>
        <v>0</v>
      </c>
      <c r="M261" s="26"/>
      <c r="N261" s="26"/>
      <c r="R261" s="51" t="s">
        <v>64</v>
      </c>
      <c r="S261" s="47">
        <f>COUNTIFS(Données!V250:V10248, "oui", Données!Q250:Q10248, "AS", Données!R250:R10248, "vendredi")</f>
        <v>0</v>
      </c>
      <c r="T261" s="47">
        <f>COUNTIFS(Données!V250:V10248, "non", Données!Q250:Q10248, "AS", Données!R250:R10248, "vendredi")</f>
        <v>0</v>
      </c>
      <c r="U261" s="26"/>
      <c r="V261" s="26"/>
      <c r="Z261" s="51" t="s">
        <v>64</v>
      </c>
      <c r="AA261" s="47">
        <f>COUNTIFS(Données!AD250:AD10248, "oui", Données!Y250:Y10248, "VISAS", Données!Z250:Z10248, "vendredi")</f>
        <v>0</v>
      </c>
      <c r="AB261" s="47">
        <f>COUNTIFS(Données!AD250:AD10248, "non", Données!Y250:Y10248, "VISAS", Données!Z250:Z10248, "vendredi")</f>
        <v>0</v>
      </c>
      <c r="AC261" s="26"/>
      <c r="AD261" s="26"/>
    </row>
    <row r="262" spans="2:30" ht="15" customHeight="1" x14ac:dyDescent="0.25">
      <c r="B262" s="52"/>
      <c r="C262" s="47"/>
      <c r="D262" s="47"/>
      <c r="E262" s="26"/>
      <c r="F262" s="26"/>
      <c r="J262" s="52"/>
      <c r="K262" s="47"/>
      <c r="L262" s="47"/>
      <c r="M262" s="26"/>
      <c r="N262" s="26"/>
      <c r="R262" s="52"/>
      <c r="S262" s="47"/>
      <c r="T262" s="47"/>
      <c r="U262" s="26"/>
      <c r="V262" s="26"/>
      <c r="Z262" s="52"/>
      <c r="AA262" s="47"/>
      <c r="AB262" s="47"/>
      <c r="AC262" s="26"/>
      <c r="AD262" s="26"/>
    </row>
    <row r="263" spans="2:30" ht="15" customHeight="1" x14ac:dyDescent="0.25">
      <c r="B263" s="48" t="s">
        <v>61</v>
      </c>
      <c r="C263" s="53" t="s">
        <v>10</v>
      </c>
      <c r="D263" s="54" t="s">
        <v>11</v>
      </c>
      <c r="E263" s="50" t="s">
        <v>12</v>
      </c>
      <c r="F263" s="26"/>
      <c r="J263" s="48" t="s">
        <v>61</v>
      </c>
      <c r="K263" s="53" t="s">
        <v>10</v>
      </c>
      <c r="L263" s="54" t="s">
        <v>11</v>
      </c>
      <c r="M263" s="50" t="s">
        <v>12</v>
      </c>
      <c r="N263" s="26"/>
      <c r="R263" s="48" t="s">
        <v>61</v>
      </c>
      <c r="S263" s="53" t="s">
        <v>10</v>
      </c>
      <c r="T263" s="54" t="s">
        <v>11</v>
      </c>
      <c r="U263" s="50" t="s">
        <v>12</v>
      </c>
      <c r="V263" s="26"/>
      <c r="Z263" s="48" t="s">
        <v>61</v>
      </c>
      <c r="AA263" s="53" t="s">
        <v>10</v>
      </c>
      <c r="AB263" s="54" t="s">
        <v>11</v>
      </c>
      <c r="AC263" s="50" t="s">
        <v>12</v>
      </c>
      <c r="AD263" s="26"/>
    </row>
    <row r="264" spans="2:30" ht="15" customHeight="1" x14ac:dyDescent="0.25">
      <c r="B264" s="48"/>
      <c r="C264" s="53"/>
      <c r="D264" s="54"/>
      <c r="E264" s="50"/>
      <c r="F264" s="26"/>
      <c r="J264" s="48"/>
      <c r="K264" s="53"/>
      <c r="L264" s="54"/>
      <c r="M264" s="50"/>
      <c r="N264" s="26"/>
      <c r="R264" s="48"/>
      <c r="S264" s="53"/>
      <c r="T264" s="54"/>
      <c r="U264" s="50"/>
      <c r="V264" s="26"/>
      <c r="Z264" s="48"/>
      <c r="AA264" s="53"/>
      <c r="AB264" s="54"/>
      <c r="AC264" s="50"/>
      <c r="AD264" s="26"/>
    </row>
    <row r="265" spans="2:30" x14ac:dyDescent="0.25">
      <c r="B265" s="48"/>
      <c r="C265" s="26">
        <f>COUNTIFS(Données!G250:G10248, "téléphone", Données!A250:A10248, "EC", Données!B250:B10248,  "vendredi")</f>
        <v>0</v>
      </c>
      <c r="D265" s="26">
        <f>COUNTIFS(Données!G250:G10248, "mail", Données!A250:A10248, "EC", Données!B250:B10248,  "vendredi")</f>
        <v>0</v>
      </c>
      <c r="E265" s="26">
        <f>COUNTIFS(Données!G250:G10248, "sur place", Données!A250:A10248, "EC", Données!B250:B10248,  "vendredi")</f>
        <v>0</v>
      </c>
      <c r="F265" s="26"/>
      <c r="J265" s="48"/>
      <c r="K265" s="26">
        <f>COUNTIFS(Données!O250:O10248, "téléphone", Données!I250:I10248, "AFE", Données!J250:J10248, "vendredi")</f>
        <v>0</v>
      </c>
      <c r="L265" s="26">
        <f>COUNTIFS(Données!O250:O10248, "mail", Données!I250:I10248, "AFE", Données!J250:J10248, "vendredi")</f>
        <v>0</v>
      </c>
      <c r="M265" s="26">
        <f>COUNTIFS(Données!O250:O10248, "sur place", Données!I250:I10248, "AFE", Données!J250:J10248, "vendredi")</f>
        <v>0</v>
      </c>
      <c r="N265" s="26"/>
      <c r="R265" s="48"/>
      <c r="S265" s="26">
        <f>COUNTIFS(Données!W250:W10248, "téléphone", Données!Q250:Q10248, "AS", Données!R250:R10248, "vendredi")</f>
        <v>0</v>
      </c>
      <c r="T265" s="26">
        <f>COUNTIFS(Données!W250:W10248, "mail", Données!Q250:Q10248, "AS", Données!R250:R10248, "vendredi")</f>
        <v>0</v>
      </c>
      <c r="U265" s="26">
        <f>COUNTIFS(Données!W250:W10248, "sur place", Données!Q250:Q10248, "AS", Données!R250:R10248, "vendredi")</f>
        <v>0</v>
      </c>
      <c r="V265" s="26"/>
      <c r="Z265" s="48"/>
      <c r="AA265" s="26">
        <f>COUNTIFS(Données!AE250:AE10248, "téléphone", Données!Y250:Y10248, "VISAS", Données!Z250:Z10248, "vendredi")</f>
        <v>0</v>
      </c>
      <c r="AB265" s="26">
        <f>COUNTIFS(Données!AE250:AE10248, "mail", Données!Y250:Y10248, "VISAS", Données!Z250:Z10248, "vendredi")</f>
        <v>0</v>
      </c>
      <c r="AC265" s="26">
        <f>COUNTIFS(Données!AE250:AE10248, "sur place", Données!Y250:Y10248, "VISAS", Données!Z250:Z10248, "vendredi")</f>
        <v>0</v>
      </c>
      <c r="AD265" s="26"/>
    </row>
    <row r="266" spans="2:30" ht="15" customHeight="1" x14ac:dyDescent="0.25">
      <c r="B266" s="41" t="s">
        <v>75</v>
      </c>
      <c r="C266" s="37" t="s">
        <v>14</v>
      </c>
      <c r="D266" s="38" t="s">
        <v>56</v>
      </c>
      <c r="E266" s="39" t="s">
        <v>57</v>
      </c>
      <c r="F266" s="40" t="s">
        <v>17</v>
      </c>
      <c r="J266" s="41" t="s">
        <v>75</v>
      </c>
      <c r="K266" s="37" t="s">
        <v>14</v>
      </c>
      <c r="L266" s="38" t="s">
        <v>56</v>
      </c>
      <c r="M266" s="39" t="s">
        <v>57</v>
      </c>
      <c r="N266" s="40" t="s">
        <v>17</v>
      </c>
      <c r="R266" s="41" t="s">
        <v>75</v>
      </c>
      <c r="S266" s="37" t="s">
        <v>14</v>
      </c>
      <c r="T266" s="38" t="s">
        <v>56</v>
      </c>
      <c r="U266" s="39" t="s">
        <v>57</v>
      </c>
      <c r="V266" s="40" t="s">
        <v>17</v>
      </c>
      <c r="Z266" s="41" t="s">
        <v>75</v>
      </c>
      <c r="AA266" s="37" t="s">
        <v>14</v>
      </c>
      <c r="AB266" s="38" t="s">
        <v>56</v>
      </c>
      <c r="AC266" s="39" t="s">
        <v>57</v>
      </c>
      <c r="AD266" s="40" t="s">
        <v>17</v>
      </c>
    </row>
    <row r="267" spans="2:30" ht="15" customHeight="1" x14ac:dyDescent="0.25">
      <c r="B267" s="41"/>
      <c r="C267" s="37"/>
      <c r="D267" s="38"/>
      <c r="E267" s="39"/>
      <c r="F267" s="40"/>
      <c r="J267" s="41"/>
      <c r="K267" s="37"/>
      <c r="L267" s="38"/>
      <c r="M267" s="39"/>
      <c r="N267" s="40"/>
      <c r="R267" s="41"/>
      <c r="S267" s="37"/>
      <c r="T267" s="38"/>
      <c r="U267" s="39"/>
      <c r="V267" s="40"/>
      <c r="Z267" s="41"/>
      <c r="AA267" s="37"/>
      <c r="AB267" s="38"/>
      <c r="AC267" s="39"/>
      <c r="AD267" s="40"/>
    </row>
    <row r="268" spans="2:30" ht="15" customHeight="1" x14ac:dyDescent="0.25">
      <c r="B268" s="41"/>
      <c r="C268" s="26">
        <f>COUNTIFS(Données!H250:H10248, "immédiat", Données!A250:A10248, "EC", Données!B250:B10248,  "vendredi")</f>
        <v>0</v>
      </c>
      <c r="D268" s="26">
        <f>COUNTIFS(Données!H250:H10248, "entre 24-48h", Données!A250:A10248, "EC", Données!B250:B10248,  "vendredi")</f>
        <v>0</v>
      </c>
      <c r="E268" s="26">
        <f>COUNTIFS(Données!H250:H10248, "entre 24-48h", Données!A250:A10248, "EC", Données!B250:B10248,  "vendredi")</f>
        <v>0</v>
      </c>
      <c r="F268" s="26">
        <f>COUNTIFS(Données!H250:H10248, "plus de 48h", Données!A250:A10248, "EC", Données!B250:B10248,  "vendredi")</f>
        <v>0</v>
      </c>
      <c r="J268" s="41"/>
      <c r="K268" s="26">
        <f>COUNTIFS(Données!P250:P10248, "immédiat", Données!I250:I10248, "AFE", Données!J250:J10248, "vendredi")</f>
        <v>0</v>
      </c>
      <c r="L268" s="26">
        <f>COUNTIFS(Données!P250:P10248, "entre 24-48h", Données!I250:I10248, "AFE", Données!J250:J10248, "vendredi")</f>
        <v>0</v>
      </c>
      <c r="M268" s="26">
        <f>COUNTIFS(Données!P250:P10248, "entre 24-48h", Données!I250:I10248, "AFE", Données!J250:J10248, "vendredi")</f>
        <v>0</v>
      </c>
      <c r="N268" s="26">
        <f>COUNTIFS(Données!P250:P10248, "plus de 48h", Données!I250:I10248, "AFE", Données!J250:J10248, "vendredi")</f>
        <v>0</v>
      </c>
      <c r="R268" s="41"/>
      <c r="S268" s="26">
        <f>COUNTIFS(Données!X250:X10248, "immédiat", Données!Q250:Q10248, "AS", Données!R250:R10248, "vendredi")</f>
        <v>0</v>
      </c>
      <c r="T268" s="26">
        <f>COUNTIFS(Données!X250:X10248, "entre 24-48h", Données!Q250:Q10248, "AS", Données!R250:R10248, "vendredi")</f>
        <v>0</v>
      </c>
      <c r="U268" s="26">
        <f>COUNTIFS(Données!X250:X10248, "entre 24-48h", Données!Q250:Q10248, "AS", Données!R250:R10248, "vendredi")</f>
        <v>0</v>
      </c>
      <c r="V268" s="26">
        <f>COUNTIFS(Données!X250:X10248, "plus de 48h", Données!Q250:Q10248, "AS", Données!R250:R10248, "vendredi")</f>
        <v>0</v>
      </c>
      <c r="Z268" s="41"/>
      <c r="AA268" s="26">
        <f>COUNTIFS(Données!AF250:AF10248, "immédiat", Données!Y250:Y10248, "VISAS", Données!Z250:Z10248, "vendredi")</f>
        <v>0</v>
      </c>
      <c r="AB268" s="26">
        <f>COUNTIFS(Données!AF250:AF10248, "entre 24-48h", Données!Y250:Y10248, "VISAS", Données!Z250:Z10248, "vendredi")</f>
        <v>0</v>
      </c>
      <c r="AC268" s="26">
        <f>COUNTIFS(Données!AF250:AF10248, "entre 24-48h", Données!Y250:Y10248, "VISAS", Données!Z250:Z10248, "vendredi")</f>
        <v>0</v>
      </c>
      <c r="AD268" s="26">
        <f>COUNTIFS(Données!AF250:AF10248, "plus de 48h", Données!Y250:Y10248, "VISAS", Données!Z250:Z10248, "vendredi")</f>
        <v>0</v>
      </c>
    </row>
    <row r="269" spans="2:30" ht="15" customHeight="1" x14ac:dyDescent="0.25">
      <c r="B269" s="41" t="s">
        <v>63</v>
      </c>
      <c r="C269" s="44" t="s">
        <v>55</v>
      </c>
      <c r="D269" s="44" t="s">
        <v>65</v>
      </c>
      <c r="E269" s="26"/>
      <c r="F269" s="26"/>
      <c r="J269" s="41" t="s">
        <v>63</v>
      </c>
      <c r="K269" s="44" t="s">
        <v>55</v>
      </c>
      <c r="L269" s="44" t="s">
        <v>65</v>
      </c>
      <c r="M269" s="26"/>
      <c r="N269" s="26"/>
      <c r="R269" s="41" t="s">
        <v>63</v>
      </c>
      <c r="S269" s="44" t="s">
        <v>55</v>
      </c>
      <c r="T269" s="44" t="s">
        <v>65</v>
      </c>
      <c r="U269" s="26"/>
      <c r="V269" s="26"/>
      <c r="Z269" s="41" t="s">
        <v>63</v>
      </c>
      <c r="AA269" s="44" t="s">
        <v>55</v>
      </c>
      <c r="AB269" s="44" t="s">
        <v>65</v>
      </c>
      <c r="AC269" s="26"/>
      <c r="AD269" s="26"/>
    </row>
    <row r="270" spans="2:30" ht="15" customHeight="1" x14ac:dyDescent="0.25">
      <c r="B270" s="41"/>
      <c r="C270" s="44"/>
      <c r="D270" s="44"/>
      <c r="E270" s="26"/>
      <c r="F270" s="26"/>
      <c r="J270" s="41"/>
      <c r="K270" s="44"/>
      <c r="L270" s="44"/>
      <c r="M270" s="26"/>
      <c r="N270" s="26"/>
      <c r="R270" s="41"/>
      <c r="S270" s="44"/>
      <c r="T270" s="44"/>
      <c r="U270" s="26"/>
      <c r="V270" s="26"/>
      <c r="Z270" s="41"/>
      <c r="AA270" s="44"/>
      <c r="AB270" s="44"/>
      <c r="AC270" s="26"/>
      <c r="AD270" s="26"/>
    </row>
    <row r="271" spans="2:30" ht="15" customHeight="1" x14ac:dyDescent="0.25">
      <c r="B271" s="41"/>
      <c r="C271" s="26">
        <f>SUMIFS(Données!I:I,Données!A:A,"EC",Données!B:B,"vendredi")</f>
        <v>0</v>
      </c>
      <c r="D271" s="26">
        <f>SUMIFS(Données!J:J,Données!A:A,"EC",Données!B:B,"vendredi")</f>
        <v>0</v>
      </c>
      <c r="E271" s="26"/>
      <c r="F271" s="26"/>
      <c r="J271" s="41"/>
      <c r="K271" s="26">
        <f>SUMIFS(Données!Q:Q,Données!I:I,"AFE",Données!J:J,"vendredi")</f>
        <v>0</v>
      </c>
      <c r="L271" s="26">
        <f>SUMIFS(Données!R:R,Données!I:I,"AFE",Données!J:J,"vendredi")</f>
        <v>0</v>
      </c>
      <c r="M271" s="26"/>
      <c r="N271" s="26"/>
      <c r="R271" s="41"/>
      <c r="S271" s="26">
        <f>SUMIFS(Données!Y:Y,Données!Q:Q,"AS",Données!R:R,"vendredi")</f>
        <v>0</v>
      </c>
      <c r="T271" s="26">
        <f>SUMIFS(Données!Z:Z,Données!Q:Q,"AS",Données!R:R,"vendredi")</f>
        <v>0</v>
      </c>
      <c r="U271" s="26"/>
      <c r="V271" s="26"/>
      <c r="Z271" s="41"/>
      <c r="AA271" s="26">
        <f ca="1">SUMIFS(Données!AG:AG,Données!Y:Y,"VISAS",Données!Z:Z,"vendredi")</f>
        <v>0</v>
      </c>
      <c r="AB271" s="26">
        <f ca="1">SUMIFS(Données!AH:AH,Données!Y:Y,"VISAS",Données!Z:Z,"vendredi")</f>
        <v>0</v>
      </c>
      <c r="AC271" s="26"/>
      <c r="AD271" s="26"/>
    </row>
    <row r="272" spans="2:30" ht="15" customHeight="1" x14ac:dyDescent="0.25">
      <c r="B272" s="41" t="s">
        <v>62</v>
      </c>
      <c r="C272" s="37" t="s">
        <v>58</v>
      </c>
      <c r="D272" s="39" t="s">
        <v>59</v>
      </c>
      <c r="E272" s="40" t="s">
        <v>24</v>
      </c>
      <c r="F272" s="26"/>
      <c r="J272" s="41" t="s">
        <v>62</v>
      </c>
      <c r="K272" s="37" t="s">
        <v>58</v>
      </c>
      <c r="L272" s="39" t="s">
        <v>59</v>
      </c>
      <c r="M272" s="40" t="s">
        <v>24</v>
      </c>
      <c r="N272" s="26"/>
      <c r="R272" s="41" t="s">
        <v>62</v>
      </c>
      <c r="S272" s="37" t="s">
        <v>58</v>
      </c>
      <c r="T272" s="39" t="s">
        <v>59</v>
      </c>
      <c r="U272" s="40" t="s">
        <v>24</v>
      </c>
      <c r="V272" s="26"/>
      <c r="Z272" s="41" t="s">
        <v>62</v>
      </c>
      <c r="AA272" s="37" t="s">
        <v>58</v>
      </c>
      <c r="AB272" s="39" t="s">
        <v>59</v>
      </c>
      <c r="AC272" s="40" t="s">
        <v>24</v>
      </c>
      <c r="AD272" s="26"/>
    </row>
    <row r="273" spans="2:30" ht="15" customHeight="1" x14ac:dyDescent="0.25">
      <c r="B273" s="41"/>
      <c r="C273" s="37"/>
      <c r="D273" s="39"/>
      <c r="E273" s="40"/>
      <c r="F273" s="26"/>
      <c r="J273" s="41"/>
      <c r="K273" s="37"/>
      <c r="L273" s="39"/>
      <c r="M273" s="40"/>
      <c r="N273" s="26"/>
      <c r="R273" s="41"/>
      <c r="S273" s="37"/>
      <c r="T273" s="39"/>
      <c r="U273" s="40"/>
      <c r="V273" s="26"/>
      <c r="Z273" s="41"/>
      <c r="AA273" s="37"/>
      <c r="AB273" s="39"/>
      <c r="AC273" s="40"/>
      <c r="AD273" s="26"/>
    </row>
    <row r="274" spans="2:30" ht="15" customHeight="1" x14ac:dyDescent="0.25">
      <c r="B274" s="42"/>
      <c r="C274" s="26">
        <f>COUNTIFS(Données!K250:K10248, "complet", Données!A250:A10248, "EC", Données!B250:B10248, "vendredi")</f>
        <v>0</v>
      </c>
      <c r="D274" s="26">
        <f>COUNTIFS(Données!K250:K10248, "partiel", Données!A250:A10248, "EC", Données!B250:B10248, "vendredi")</f>
        <v>0</v>
      </c>
      <c r="E274" s="26">
        <f>COUNTIFS(Données!K250:K10248, "pas du tout", Données!A250:A10248, "EC", Données!B250:B10248, "vendredi")</f>
        <v>0</v>
      </c>
      <c r="F274" s="26"/>
      <c r="J274" s="42"/>
      <c r="K274" s="26">
        <f>COUNTIFS(Données!S250:S10248, "complet", Données!I250:I10248, "AFE", Données!J250:J10248, "vendredi")</f>
        <v>0</v>
      </c>
      <c r="L274" s="26">
        <f>COUNTIFS(Données!S250:S10248, "partiel", Données!I250:I10248, "AFE", Données!J250:J10248, "vendredi")</f>
        <v>0</v>
      </c>
      <c r="M274" s="26">
        <f>COUNTIFS(Données!S250:S10248, "pas du tout", Données!I250:I10248, "AFE", Données!J250:J10248, "vendredi")</f>
        <v>0</v>
      </c>
      <c r="N274" s="26"/>
      <c r="R274" s="42"/>
      <c r="S274" s="26">
        <f>COUNTIFS(Données!AA250:AA10248, "complet", Données!Q250:Q10248, "AS", Données!R250:R10248, "vendredi")</f>
        <v>0</v>
      </c>
      <c r="T274" s="26">
        <f>COUNTIFS(Données!AA250:AA10248, "partiel", Données!Q250:Q10248, "AS", Données!R250:R10248, "vendredi")</f>
        <v>0</v>
      </c>
      <c r="U274" s="26">
        <f>COUNTIFS(Données!AA250:AA10248, "pas du tout", Données!Q250:Q10248, "AS", Données!R250:R10248, "vendredi")</f>
        <v>0</v>
      </c>
      <c r="V274" s="26"/>
      <c r="Z274" s="42"/>
      <c r="AA274" s="26">
        <f>COUNTIFS(Données!AI250:AI10248, "complet", Données!Y250:Y10248, "VISAS", Données!Z250:Z10248, "vendredi")</f>
        <v>0</v>
      </c>
      <c r="AB274" s="26">
        <f>COUNTIFS(Données!AI250:AI10248, "partiel", Données!Y250:Y10248, "VISAS", Données!Z250:Z10248, "vendredi")</f>
        <v>0</v>
      </c>
      <c r="AC274" s="26">
        <f>COUNTIFS(Données!AI250:AI10248, "pas du tout", Données!Y250:Y10248, "VISAS", Données!Z250:Z10248, "vendredi")</f>
        <v>0</v>
      </c>
      <c r="AD274" s="26"/>
    </row>
    <row r="275" spans="2:30" ht="21" x14ac:dyDescent="0.25">
      <c r="B275" s="28" t="s">
        <v>76</v>
      </c>
      <c r="C275" s="30" t="s">
        <v>5</v>
      </c>
      <c r="D275" s="30" t="s">
        <v>6</v>
      </c>
      <c r="E275" s="30" t="s">
        <v>28</v>
      </c>
      <c r="F275" s="26"/>
      <c r="J275" s="28" t="s">
        <v>76</v>
      </c>
      <c r="K275" s="30" t="s">
        <v>5</v>
      </c>
      <c r="L275" s="30" t="s">
        <v>6</v>
      </c>
      <c r="M275" s="30" t="s">
        <v>28</v>
      </c>
      <c r="N275" s="26"/>
      <c r="R275" s="28" t="s">
        <v>76</v>
      </c>
      <c r="S275" s="30" t="s">
        <v>5</v>
      </c>
      <c r="T275" s="30" t="s">
        <v>6</v>
      </c>
      <c r="U275" s="30" t="s">
        <v>28</v>
      </c>
      <c r="V275" s="26"/>
      <c r="Z275" s="28" t="s">
        <v>76</v>
      </c>
      <c r="AA275" s="30" t="s">
        <v>5</v>
      </c>
      <c r="AB275" s="30" t="s">
        <v>6</v>
      </c>
      <c r="AC275" s="30" t="s">
        <v>28</v>
      </c>
      <c r="AD275" s="26"/>
    </row>
    <row r="276" spans="2:30" ht="15" customHeight="1" x14ac:dyDescent="0.25">
      <c r="B276" s="41" t="s">
        <v>93</v>
      </c>
      <c r="C276" s="47">
        <f>COUNTIFS(Données!L250:L10248, "oui", Données!A250:A10248, "EC", Données!B250:B10248, "vendredi")</f>
        <v>0</v>
      </c>
      <c r="D276" s="47">
        <f>COUNTIFS(Données!L250:L10248, "non", Données!A250:A10248, "EC", Données!B250:B10248, "vendredi")</f>
        <v>0</v>
      </c>
      <c r="E276" s="48" t="s">
        <v>92</v>
      </c>
      <c r="F276" s="26"/>
      <c r="J276" s="41" t="s">
        <v>93</v>
      </c>
      <c r="K276" s="47">
        <f>COUNTIFS(Données!T250:T10248, "oui", Données!I250:I10248, "AFE", Données!J250:J10248, "vendredi")</f>
        <v>0</v>
      </c>
      <c r="L276" s="47">
        <f>COUNTIFS(Données!T250:T10248, "non", Données!I250:I10248, "AFE", Données!J250:J10248, "vendredi")</f>
        <v>0</v>
      </c>
      <c r="M276" s="48" t="s">
        <v>92</v>
      </c>
      <c r="N276" s="26"/>
      <c r="R276" s="41" t="s">
        <v>93</v>
      </c>
      <c r="S276" s="47">
        <f>COUNTIFS(Données!AB250:AB10248, "oui", Données!Q250:Q10248, "AS", Données!R250:R10248, "vendredi")</f>
        <v>0</v>
      </c>
      <c r="T276" s="47">
        <f>COUNTIFS(Données!AB250:AB10248, "non", Données!Q250:Q10248, "AS", Données!R250:R10248, "vendredi")</f>
        <v>0</v>
      </c>
      <c r="U276" s="48" t="s">
        <v>92</v>
      </c>
      <c r="V276" s="26"/>
      <c r="Z276" s="41" t="s">
        <v>93</v>
      </c>
      <c r="AA276" s="47">
        <f>COUNTIFS(Données!AJ250:AJ10248, "oui", Données!Y250:Y10248, "VISAS", Données!Z250:Z10248, "vendredi")</f>
        <v>0</v>
      </c>
      <c r="AB276" s="47">
        <f>COUNTIFS(Données!AJ250:AJ10248, "non", Données!Y250:Y10248, "VISAS", Données!Z250:Z10248, "vendredi")</f>
        <v>0</v>
      </c>
      <c r="AC276" s="48" t="s">
        <v>92</v>
      </c>
      <c r="AD276" s="26"/>
    </row>
    <row r="277" spans="2:30" ht="15" customHeight="1" x14ac:dyDescent="0.25">
      <c r="B277" s="41"/>
      <c r="C277" s="47"/>
      <c r="D277" s="47"/>
      <c r="E277" s="48"/>
      <c r="F277" s="26"/>
      <c r="J277" s="41"/>
      <c r="K277" s="47"/>
      <c r="L277" s="47"/>
      <c r="M277" s="48"/>
      <c r="N277" s="26"/>
      <c r="R277" s="41"/>
      <c r="S277" s="47"/>
      <c r="T277" s="47"/>
      <c r="U277" s="48"/>
      <c r="V277" s="26"/>
      <c r="Z277" s="41"/>
      <c r="AA277" s="47"/>
      <c r="AB277" s="47"/>
      <c r="AC277" s="48"/>
      <c r="AD277" s="26"/>
    </row>
    <row r="278" spans="2:30" ht="15" customHeight="1" x14ac:dyDescent="0.25">
      <c r="B278" s="41" t="s">
        <v>94</v>
      </c>
      <c r="C278" s="47">
        <f>COUNTIFS(Données!M250:M10248, "oui", Données!A250:A10248, "EC", Données!B250:B10248, "vendredi")</f>
        <v>0</v>
      </c>
      <c r="D278" s="47">
        <f>COUNTIFS(Données!M250:M10248, "non", Données!A250:A10248, "EC", Données!B250:B10248, "vendredi")</f>
        <v>0</v>
      </c>
      <c r="E278" s="48" t="s">
        <v>92</v>
      </c>
      <c r="F278" s="26"/>
      <c r="J278" s="41" t="s">
        <v>94</v>
      </c>
      <c r="K278" s="47">
        <f>COUNTIFS(Données!U250:U10248, "oui", Données!I250:I10248, "AFE", Données!J250:J10248, "vendredi")</f>
        <v>0</v>
      </c>
      <c r="L278" s="47">
        <f>COUNTIFS(Données!U250:U10248, "non", Données!I250:I10248, "AFE", Données!J250:J10248, "vendredi")</f>
        <v>0</v>
      </c>
      <c r="M278" s="48" t="s">
        <v>92</v>
      </c>
      <c r="N278" s="26"/>
      <c r="R278" s="41" t="s">
        <v>94</v>
      </c>
      <c r="S278" s="47">
        <f>COUNTIFS(Données!AC250:AC10248, "oui", Données!Q250:Q10248, "AS", Données!R250:R10248, "vendredi")</f>
        <v>0</v>
      </c>
      <c r="T278" s="47">
        <f>COUNTIFS(Données!AC250:AC10248, "non", Données!Q250:Q10248, "AS", Données!R250:R10248, "vendredi")</f>
        <v>0</v>
      </c>
      <c r="U278" s="48" t="s">
        <v>92</v>
      </c>
      <c r="V278" s="26"/>
      <c r="Z278" s="41" t="s">
        <v>94</v>
      </c>
      <c r="AA278" s="47">
        <f>COUNTIFS(Données!AK250:AK10248, "oui", Données!Y250:Y10248, "VISAS", Données!Z250:Z10248, "vendredi")</f>
        <v>0</v>
      </c>
      <c r="AB278" s="47">
        <f>COUNTIFS(Données!AK250:AK10248, "non", Données!Y250:Y10248, "VISAS", Données!Z250:Z10248, "vendredi")</f>
        <v>0</v>
      </c>
      <c r="AC278" s="48" t="s">
        <v>92</v>
      </c>
      <c r="AD278" s="26"/>
    </row>
    <row r="279" spans="2:30" ht="15" customHeight="1" x14ac:dyDescent="0.25">
      <c r="B279" s="41"/>
      <c r="C279" s="47"/>
      <c r="D279" s="47"/>
      <c r="E279" s="48"/>
      <c r="F279" s="26"/>
      <c r="J279" s="41"/>
      <c r="K279" s="47"/>
      <c r="L279" s="47"/>
      <c r="M279" s="48"/>
      <c r="N279" s="26"/>
      <c r="R279" s="41"/>
      <c r="S279" s="47"/>
      <c r="T279" s="47"/>
      <c r="U279" s="48"/>
      <c r="V279" s="26"/>
      <c r="Z279" s="41"/>
      <c r="AA279" s="47"/>
      <c r="AB279" s="47"/>
      <c r="AC279" s="48"/>
      <c r="AD279" s="26"/>
    </row>
    <row r="280" spans="2:30" ht="15" customHeight="1" x14ac:dyDescent="0.25">
      <c r="B280" s="41" t="s">
        <v>95</v>
      </c>
      <c r="C280" s="47">
        <f>COUNTIFS(Données!N250:N10248, "oui", Données!A250:A10248, "EC", Données!B250:B10248, "vendredi")</f>
        <v>0</v>
      </c>
      <c r="D280" s="47">
        <f>COUNTIFS(Données!N250:N10248, "non", Données!A250:A10248, "EC", Données!B250:B10248, "vendredi")</f>
        <v>0</v>
      </c>
      <c r="E280" s="47">
        <f>COUNTIFS(Données!N250:N10248, "ne sais pas", Données!A250:A10248, "EC", Données!B250:B10248, "vendredi")</f>
        <v>0</v>
      </c>
      <c r="F280" s="26"/>
      <c r="J280" s="41" t="s">
        <v>95</v>
      </c>
      <c r="K280" s="47">
        <f>COUNTIFS(Données!V250:V10248, "oui", Données!I250:I10248, "AFE", Données!J250:J10248, "vendredi")</f>
        <v>0</v>
      </c>
      <c r="L280" s="47">
        <f>COUNTIFS(Données!V250:V10248, "non", Données!I250:I10248, "AFE", Données!J250:J10248, "vendredi")</f>
        <v>0</v>
      </c>
      <c r="M280" s="47">
        <f>COUNTIFS(Données!V250:V10248, "ne sais pas", Données!I250:I10248, "AFE", Données!J250:J10248, "vendredi")</f>
        <v>0</v>
      </c>
      <c r="N280" s="26"/>
      <c r="R280" s="41" t="s">
        <v>95</v>
      </c>
      <c r="S280" s="47">
        <f>COUNTIFS(Données!AD250:AD10248, "oui", Données!Q250:Q10248, "AS", Données!R250:R10248, "vendredi")</f>
        <v>0</v>
      </c>
      <c r="T280" s="47">
        <f>COUNTIFS(Données!AD250:AD10248, "non", Données!Q250:Q10248, "AS", Données!R250:R10248, "vendredi")</f>
        <v>0</v>
      </c>
      <c r="U280" s="47">
        <f>COUNTIFS(Données!AD250:AD10248, "ne sais pas", Données!Q250:Q10248, "AS", Données!R250:R10248, "vendredi")</f>
        <v>0</v>
      </c>
      <c r="V280" s="26"/>
      <c r="Z280" s="41" t="s">
        <v>95</v>
      </c>
      <c r="AA280" s="47">
        <f>COUNTIFS(Données!AL250:AL10248, "oui", Données!Y250:Y10248, "VISAS", Données!Z250:Z10248, "vendredi")</f>
        <v>0</v>
      </c>
      <c r="AB280" s="47">
        <f>COUNTIFS(Données!AL250:AL10248, "non", Données!Y250:Y10248, "VISAS", Données!Z250:Z10248, "vendredi")</f>
        <v>0</v>
      </c>
      <c r="AC280" s="47">
        <f>COUNTIFS(Données!AL250:AL10248, "ne sais pas", Données!Y250:Y10248, "VISAS", Données!Z250:Z10248, "vendredi")</f>
        <v>0</v>
      </c>
      <c r="AD280" s="26"/>
    </row>
    <row r="281" spans="2:30" ht="15" customHeight="1" x14ac:dyDescent="0.25">
      <c r="B281" s="41"/>
      <c r="C281" s="47"/>
      <c r="D281" s="47"/>
      <c r="E281" s="47"/>
      <c r="F281" s="26"/>
      <c r="J281" s="41"/>
      <c r="K281" s="47"/>
      <c r="L281" s="47"/>
      <c r="M281" s="47"/>
      <c r="N281" s="26"/>
      <c r="R281" s="41"/>
      <c r="S281" s="47"/>
      <c r="T281" s="47"/>
      <c r="U281" s="47"/>
      <c r="V281" s="26"/>
      <c r="Z281" s="41"/>
      <c r="AA281" s="47"/>
      <c r="AB281" s="47"/>
      <c r="AC281" s="47"/>
      <c r="AD281" s="26"/>
    </row>
    <row r="282" spans="2:30" ht="15" customHeight="1" x14ac:dyDescent="0.25">
      <c r="B282" s="45" t="s">
        <v>96</v>
      </c>
      <c r="C282" s="47">
        <f>COUNTIFS(Données!M250:M10248, "oui", Données!A250:A10248, "EC", Données!B250:B10248, "vendredi")</f>
        <v>0</v>
      </c>
      <c r="D282" s="47">
        <f>COUNTIFS(Données!N250:N10248, "non", Données!A250:A10248, "EC", Données!B250:B10248, "vendredi")</f>
        <v>0</v>
      </c>
      <c r="E282" s="48" t="s">
        <v>92</v>
      </c>
      <c r="F282" s="26"/>
      <c r="J282" s="45" t="s">
        <v>96</v>
      </c>
      <c r="K282" s="47">
        <f>COUNTIFS(Données!U250:U10248, "oui", Données!I250:I10248, "AFE", Données!J250:J10248, "vendredi")</f>
        <v>0</v>
      </c>
      <c r="L282" s="47">
        <f>COUNTIFS(Données!V250:V10248, "non", Données!I250:I10248, "AFE", Données!J250:J10248, "vendredi")</f>
        <v>0</v>
      </c>
      <c r="M282" s="48" t="s">
        <v>92</v>
      </c>
      <c r="N282" s="26"/>
      <c r="R282" s="45" t="s">
        <v>96</v>
      </c>
      <c r="S282" s="47">
        <f>COUNTIFS(Données!AC250:AC10248, "oui", Données!Q250:Q10248, "AS", Données!R250:R10248, "vendredi")</f>
        <v>0</v>
      </c>
      <c r="T282" s="47">
        <f>COUNTIFS(Données!AD250:AD10248, "non", Données!Q250:Q10248, "AS", Données!R250:R10248, "vendredi")</f>
        <v>0</v>
      </c>
      <c r="U282" s="48" t="s">
        <v>92</v>
      </c>
      <c r="V282" s="26"/>
      <c r="Z282" s="45" t="s">
        <v>96</v>
      </c>
      <c r="AA282" s="47">
        <f>COUNTIFS(Données!AK250:AK10248, "oui", Données!Y250:Y10248, "VISAS", Données!Z250:Z10248, "vendredi")</f>
        <v>0</v>
      </c>
      <c r="AB282" s="47">
        <f>COUNTIFS(Données!AL250:AL10248, "non", Données!Y250:Y10248, "VISAS", Données!Z250:Z10248, "vendredi")</f>
        <v>0</v>
      </c>
      <c r="AC282" s="48" t="s">
        <v>92</v>
      </c>
      <c r="AD282" s="26"/>
    </row>
    <row r="283" spans="2:30" ht="15" customHeight="1" x14ac:dyDescent="0.25">
      <c r="B283" s="49"/>
      <c r="C283" s="47"/>
      <c r="D283" s="47"/>
      <c r="E283" s="48"/>
      <c r="F283" s="26"/>
      <c r="J283" s="49"/>
      <c r="K283" s="47"/>
      <c r="L283" s="47"/>
      <c r="M283" s="48"/>
      <c r="N283" s="26"/>
      <c r="R283" s="49"/>
      <c r="S283" s="47"/>
      <c r="T283" s="47"/>
      <c r="U283" s="48"/>
      <c r="V283" s="26"/>
      <c r="Z283" s="49"/>
      <c r="AA283" s="47"/>
      <c r="AB283" s="47"/>
      <c r="AC283" s="48"/>
      <c r="AD283" s="26"/>
    </row>
    <row r="284" spans="2:30" ht="15" customHeight="1" x14ac:dyDescent="0.25">
      <c r="B284" s="41" t="s">
        <v>97</v>
      </c>
      <c r="C284" s="47">
        <f>COUNTIFS(Données!O250:O10248, "oui", Données!A250:A10248, "EC", Données!B250:B10248, "vendredi")</f>
        <v>0</v>
      </c>
      <c r="D284" s="47">
        <f>COUNTIFS(Données!O250:O10248, "non", Données!A250:A10248, "EC", Données!B250:B10248, "vendredi")</f>
        <v>0</v>
      </c>
      <c r="E284" s="48" t="s">
        <v>92</v>
      </c>
      <c r="F284" s="26"/>
      <c r="J284" s="41" t="s">
        <v>97</v>
      </c>
      <c r="K284" s="47">
        <f>COUNTIFS(Données!W250:W10248, "oui", Données!I250:I10248, "AFE", Données!J250:J10248, "vendredi")</f>
        <v>0</v>
      </c>
      <c r="L284" s="47">
        <f>COUNTIFS(Données!W250:W10248, "non", Données!I250:I10248, "AFE", Données!J250:J10248, "vendredi")</f>
        <v>0</v>
      </c>
      <c r="M284" s="48" t="s">
        <v>92</v>
      </c>
      <c r="N284" s="26"/>
      <c r="R284" s="41" t="s">
        <v>97</v>
      </c>
      <c r="S284" s="47">
        <f>COUNTIFS(Données!AE250:AE10248, "oui", Données!Q250:Q10248, "AS", Données!R250:R10248, "vendredi")</f>
        <v>0</v>
      </c>
      <c r="T284" s="47">
        <f>COUNTIFS(Données!AE250:AE10248, "non", Données!Q250:Q10248, "AS", Données!R250:R10248, "vendredi")</f>
        <v>0</v>
      </c>
      <c r="U284" s="48" t="s">
        <v>92</v>
      </c>
      <c r="V284" s="26"/>
      <c r="Z284" s="41" t="s">
        <v>97</v>
      </c>
      <c r="AA284" s="47">
        <f>COUNTIFS(Données!AM250:AM10248, "oui", Données!Y250:Y10248, "VISAS", Données!Z250:Z10248, "vendredi")</f>
        <v>0</v>
      </c>
      <c r="AB284" s="47">
        <f>COUNTIFS(Données!AM250:AM10248, "non", Données!Y250:Y10248, "VISAS", Données!Z250:Z10248, "vendredi")</f>
        <v>0</v>
      </c>
      <c r="AC284" s="48" t="s">
        <v>92</v>
      </c>
      <c r="AD284" s="26"/>
    </row>
    <row r="285" spans="2:30" ht="15" customHeight="1" x14ac:dyDescent="0.25">
      <c r="B285" s="41"/>
      <c r="C285" s="47"/>
      <c r="D285" s="47"/>
      <c r="E285" s="48"/>
      <c r="F285" s="26"/>
      <c r="J285" s="41"/>
      <c r="K285" s="47"/>
      <c r="L285" s="47"/>
      <c r="M285" s="48"/>
      <c r="N285" s="26"/>
      <c r="R285" s="41"/>
      <c r="S285" s="47"/>
      <c r="T285" s="47"/>
      <c r="U285" s="48"/>
      <c r="V285" s="26"/>
      <c r="Z285" s="41"/>
      <c r="AA285" s="47"/>
      <c r="AB285" s="47"/>
      <c r="AC285" s="48"/>
      <c r="AD285" s="26"/>
    </row>
    <row r="286" spans="2:30" ht="21" x14ac:dyDescent="0.35">
      <c r="B286" s="29" t="s">
        <v>78</v>
      </c>
      <c r="C286" s="37" t="s">
        <v>79</v>
      </c>
      <c r="D286" s="38" t="s">
        <v>34</v>
      </c>
      <c r="E286" s="39" t="s">
        <v>83</v>
      </c>
      <c r="F286" s="40" t="s">
        <v>35</v>
      </c>
      <c r="J286" s="29" t="s">
        <v>78</v>
      </c>
      <c r="K286" s="37" t="s">
        <v>79</v>
      </c>
      <c r="L286" s="38" t="s">
        <v>34</v>
      </c>
      <c r="M286" s="39" t="s">
        <v>83</v>
      </c>
      <c r="N286" s="40" t="s">
        <v>35</v>
      </c>
      <c r="R286" s="29" t="s">
        <v>78</v>
      </c>
      <c r="S286" s="37" t="s">
        <v>79</v>
      </c>
      <c r="T286" s="38" t="s">
        <v>34</v>
      </c>
      <c r="U286" s="39" t="s">
        <v>83</v>
      </c>
      <c r="V286" s="40" t="s">
        <v>35</v>
      </c>
      <c r="Z286" s="29" t="s">
        <v>78</v>
      </c>
      <c r="AA286" s="37" t="s">
        <v>79</v>
      </c>
      <c r="AB286" s="38" t="s">
        <v>34</v>
      </c>
      <c r="AC286" s="39" t="s">
        <v>83</v>
      </c>
      <c r="AD286" s="40" t="s">
        <v>35</v>
      </c>
    </row>
    <row r="287" spans="2:30" ht="15.75" x14ac:dyDescent="0.25">
      <c r="B287" s="32" t="s">
        <v>98</v>
      </c>
      <c r="C287" s="37"/>
      <c r="D287" s="38"/>
      <c r="E287" s="39"/>
      <c r="F287" s="40"/>
      <c r="J287" s="32" t="s">
        <v>98</v>
      </c>
      <c r="K287" s="37"/>
      <c r="L287" s="38"/>
      <c r="M287" s="39"/>
      <c r="N287" s="40"/>
      <c r="R287" s="32" t="s">
        <v>98</v>
      </c>
      <c r="S287" s="37"/>
      <c r="T287" s="38"/>
      <c r="U287" s="39"/>
      <c r="V287" s="40"/>
      <c r="Z287" s="32" t="s">
        <v>98</v>
      </c>
      <c r="AA287" s="37"/>
      <c r="AB287" s="38"/>
      <c r="AC287" s="39"/>
      <c r="AD287" s="40"/>
    </row>
    <row r="288" spans="2:30" ht="15.75" x14ac:dyDescent="0.25">
      <c r="B288" s="24" t="s">
        <v>80</v>
      </c>
      <c r="C288" s="26">
        <f>COUNTIFS(Données!R250:R10248, "très satisfaisant", Données!A250:A10248, "EC", Données!B250:B10248, "vendredi")</f>
        <v>0</v>
      </c>
      <c r="D288" s="26">
        <f>COUNTIFS(Données!R250:R10248, "satisfaisant", Données!A250:A10248, "EC", Données!B250:B10248, "vendredi")</f>
        <v>0</v>
      </c>
      <c r="E288" s="26">
        <f>COUNTIFS(Données!S250:S10248, "moy. satisfaisant", Données!A250:A10248, "EC", Données!B250:B10248, "mercredi")</f>
        <v>0</v>
      </c>
      <c r="F288" s="26">
        <f>COUNTIFS(Données!R250:R10248, "pas du tout satisfaisant", Données!A250:A10248, "EC", Données!B250:B10248, "vendredi")</f>
        <v>0</v>
      </c>
      <c r="J288" s="24" t="s">
        <v>80</v>
      </c>
      <c r="K288" s="26">
        <f>COUNTIFS(Données!Z250:Z10248, "très satisfaisant", Données!I250:I10248, "AFE", Données!J250:J10248, "vendredi")</f>
        <v>0</v>
      </c>
      <c r="L288" s="26">
        <f>COUNTIFS(Données!Z250:Z10248, "satisfaisant", Données!I250:I10248, "AFE", Données!J250:J10248, "vendredi")</f>
        <v>0</v>
      </c>
      <c r="M288" s="26">
        <f>COUNTIFS(Données!AA250:AA10248, "moy. satisfaisant", Données!I250:I10248, "AFE", Données!J250:J10248, "vendredi")</f>
        <v>0</v>
      </c>
      <c r="N288" s="26">
        <f>COUNTIFS(Données!Z250:Z10248, "pas du tout satisfaisant", Données!I250:I10248, "AFE", Données!J250:J10248, "vendredi")</f>
        <v>0</v>
      </c>
      <c r="R288" s="24" t="s">
        <v>80</v>
      </c>
      <c r="S288" s="26">
        <f>COUNTIFS(Données!AH250:AH10248, "très satisfaisant", Données!Q250:Q10248, "AS", Données!R250:R10248, "vendredi")</f>
        <v>0</v>
      </c>
      <c r="T288" s="26">
        <f>COUNTIFS(Données!AH250:AH10248, "satisfaisant", Données!Q250:Q10248, "AS", Données!R250:R10248, "vendredi")</f>
        <v>0</v>
      </c>
      <c r="U288" s="26">
        <f>COUNTIFS(Données!AI250:AI10248, "moy. satisfaisant", Données!Q250:Q10248, "AS", Données!R250:R10248, "vendredi")</f>
        <v>0</v>
      </c>
      <c r="V288" s="26">
        <f>COUNTIFS(Données!AH250:AH10248, "pas du tout satisfaisant", Données!Q250:Q10248, "AS", Données!R250:R10248, "vendredi")</f>
        <v>0</v>
      </c>
      <c r="Z288" s="24" t="s">
        <v>80</v>
      </c>
      <c r="AA288" s="26">
        <f>COUNTIFS(Données!AP250:AP10248, "très satisfaisant", Données!Y250:Y10248, "VISAS", Données!Z250:Z10248, "vendredi")</f>
        <v>0</v>
      </c>
      <c r="AB288" s="26">
        <f>COUNTIFS(Données!AP250:AP10248, "satisfaisant", Données!Y250:Y10248, "VISAS", Données!Z250:Z10248, "vendredi")</f>
        <v>0</v>
      </c>
      <c r="AC288" s="26">
        <f>COUNTIFS(Données!AQ250:AQ10248, "moy. satisfaisant", Données!Y250:Y10248, "VISAS", Données!Z250:Z10248, "vendredi")</f>
        <v>0</v>
      </c>
      <c r="AD288" s="26">
        <f>COUNTIFS(Données!AP250:AP10248, "pas du tout satisfaisant", Données!Y250:Y10248, "VISAS", Données!Z250:Z10248, "vendredi")</f>
        <v>0</v>
      </c>
    </row>
    <row r="289" spans="2:30" ht="15.75" x14ac:dyDescent="0.25">
      <c r="B289" s="24" t="s">
        <v>81</v>
      </c>
      <c r="C289" s="26">
        <f>COUNTIFS(Données!S250:S10248, "très satisfaisant", Données!A250:A10248, "EC", Données!B250:B10248, "vendredi")</f>
        <v>0</v>
      </c>
      <c r="D289" s="26">
        <f>COUNTIFS(Données!S250:S10248, "satisfaisant", Données!A250:A10248, "EC", Données!B250:B10248, "vendredi")</f>
        <v>0</v>
      </c>
      <c r="E289" s="26">
        <f>COUNTIFS(Données!S250:S10248, "moy. satisfaisant", Données!A250:A10248, "EC", Données!B250:B10248, "vendredi")</f>
        <v>0</v>
      </c>
      <c r="F289" s="26">
        <f>COUNTIFS(Données!S250:S10248, "pas du tout satisfaisant", Données!A250:A10248, "EC", Données!B250:B10248, "vendredi")</f>
        <v>0</v>
      </c>
      <c r="J289" s="24" t="s">
        <v>81</v>
      </c>
      <c r="K289" s="26">
        <f>COUNTIFS(Données!AA250:AA10248, "très satisfaisant", Données!I250:I10248, "AFE", Données!J250:J10248, "vendredi")</f>
        <v>0</v>
      </c>
      <c r="L289" s="26">
        <f>COUNTIFS(Données!AA250:AA10248, "satisfaisant", Données!I250:I10248, "AFE", Données!J250:J10248, "vendredi")</f>
        <v>0</v>
      </c>
      <c r="M289" s="26">
        <f>COUNTIFS(Données!AA250:AA10248, "moy. satisfaisant", Données!I250:I10248, "AFE", Données!J250:J10248, "vendredi")</f>
        <v>0</v>
      </c>
      <c r="N289" s="26">
        <f>COUNTIFS(Données!AA250:AA10248, "pas du tout satisfaisant", Données!I250:I10248, "AFE", Données!J250:J10248, "vendredi")</f>
        <v>0</v>
      </c>
      <c r="R289" s="24" t="s">
        <v>81</v>
      </c>
      <c r="S289" s="26">
        <f>COUNTIFS(Données!AI250:AI10248, "très satisfaisant", Données!Q250:Q10248, "AS", Données!R250:R10248, "vendredi")</f>
        <v>0</v>
      </c>
      <c r="T289" s="26">
        <f>COUNTIFS(Données!AI250:AI10248, "satisfaisant", Données!Q250:Q10248, "AS", Données!R250:R10248, "vendredi")</f>
        <v>0</v>
      </c>
      <c r="U289" s="26">
        <f>COUNTIFS(Données!AI250:AI10248, "moy. satisfaisant", Données!Q250:Q10248, "AS", Données!R250:R10248, "vendredi")</f>
        <v>0</v>
      </c>
      <c r="V289" s="26">
        <f>COUNTIFS(Données!AI250:AI10248, "pas du tout satisfaisant", Données!Q250:Q10248, "AS", Données!R250:R10248, "vendredi")</f>
        <v>0</v>
      </c>
      <c r="Z289" s="24" t="s">
        <v>81</v>
      </c>
      <c r="AA289" s="26">
        <f>COUNTIFS(Données!AQ250:AQ10248, "très satisfaisant", Données!Y250:Y10248, "VISAS", Données!Z250:Z10248, "vendredi")</f>
        <v>0</v>
      </c>
      <c r="AB289" s="26">
        <f>COUNTIFS(Données!AQ250:AQ10248, "satisfaisant", Données!Y250:Y10248, "VISAS", Données!Z250:Z10248, "vendredi")</f>
        <v>0</v>
      </c>
      <c r="AC289" s="26">
        <f>COUNTIFS(Données!AQ250:AQ10248, "moy. satisfaisant", Données!Y250:Y10248, "VISAS", Données!Z250:Z10248, "vendredi")</f>
        <v>0</v>
      </c>
      <c r="AD289" s="26">
        <f>COUNTIFS(Données!AQ250:AQ10248, "pas du tout satisfaisant", Données!Y250:Y10248, "VISAS", Données!Z250:Z10248, "vendredi")</f>
        <v>0</v>
      </c>
    </row>
    <row r="290" spans="2:30" ht="15.75" x14ac:dyDescent="0.25">
      <c r="B290" s="24" t="s">
        <v>82</v>
      </c>
      <c r="C290" s="23">
        <f>COUNTIFS(Données!T250:T10248, "très satisfaisant", Données!A250:A10248, "EC", Données!B250:B10248, "vendredi")</f>
        <v>0</v>
      </c>
      <c r="D290" s="26">
        <f>COUNTIFS(Données!T250:T10248, "satisfaisant", Données!A250:A10248, "EC", Données!B250:B10248, "vendredi")</f>
        <v>0</v>
      </c>
      <c r="E290" s="26">
        <f>COUNTIFS(Données!T250:T10248, "moy. satisfaisant", Données!A250:A10248, "EC", Données!B250:B10248, "vendredi")</f>
        <v>0</v>
      </c>
      <c r="F290" s="26">
        <f>COUNTIFS(Données!T250:T10248, "pas du tout satisfaisant", Données!A250:A10248, "EC", Données!B250:B10248, "vendredi")</f>
        <v>0</v>
      </c>
      <c r="J290" s="24" t="s">
        <v>82</v>
      </c>
      <c r="K290" s="23">
        <f>COUNTIFS(Données!AB250:AB10248, "très satisfaisant", Données!I250:I10248, "AFE", Données!J250:J10248, "vendredi")</f>
        <v>0</v>
      </c>
      <c r="L290" s="26">
        <f>COUNTIFS(Données!AB250:AB10248, "satisfaisant", Données!I250:I10248, "AFE", Données!J250:J10248, "vendredi")</f>
        <v>0</v>
      </c>
      <c r="M290" s="26">
        <f>COUNTIFS(Données!AB250:AB10248, "moy. satisfaisant", Données!I250:I10248, "AFE", Données!J250:J10248, "vendredi")</f>
        <v>0</v>
      </c>
      <c r="N290" s="26">
        <f>COUNTIFS(Données!AB250:AB10248, "pas du tout satisfaisant", Données!I250:I10248, "AFE", Données!J250:J10248, "vendredi")</f>
        <v>0</v>
      </c>
      <c r="R290" s="24" t="s">
        <v>82</v>
      </c>
      <c r="S290" s="23">
        <f>COUNTIFS(Données!AJ250:AJ10248, "très satisfaisant", Données!Q250:Q10248, "AS", Données!R250:R10248, "vendredi")</f>
        <v>0</v>
      </c>
      <c r="T290" s="26">
        <f>COUNTIFS(Données!AJ250:AJ10248, "satisfaisant", Données!Q250:Q10248, "AS", Données!R250:R10248, "vendredi")</f>
        <v>0</v>
      </c>
      <c r="U290" s="26">
        <f>COUNTIFS(Données!AJ250:AJ10248, "moy. satisfaisant", Données!Q250:Q10248, "AS", Données!R250:R10248, "vendredi")</f>
        <v>0</v>
      </c>
      <c r="V290" s="26">
        <f>COUNTIFS(Données!AJ250:AJ10248, "pas du tout satisfaisant", Données!Q250:Q10248, "AS", Données!R250:R10248, "vendredi")</f>
        <v>0</v>
      </c>
      <c r="Z290" s="24" t="s">
        <v>82</v>
      </c>
      <c r="AA290" s="23">
        <f>COUNTIFS(Données!AR250:AR10248, "très satisfaisant", Données!Y250:Y10248, "VISAS", Données!Z250:Z10248, "vendredi")</f>
        <v>0</v>
      </c>
      <c r="AB290" s="26">
        <f>COUNTIFS(Données!AR250:AR10248, "satisfaisant", Données!Y250:Y10248, "VISAS", Données!Z250:Z10248, "vendredi")</f>
        <v>0</v>
      </c>
      <c r="AC290" s="26">
        <f>COUNTIFS(Données!AR250:AR10248, "moy. satisfaisant", Données!Y250:Y10248, "VISAS", Données!Z250:Z10248, "vendredi")</f>
        <v>0</v>
      </c>
      <c r="AD290" s="26">
        <f>COUNTIFS(Données!AR250:AR10248, "pas du tout satisfaisant", Données!Y250:Y10248, "VISAS", Données!Z250:Z10248, "vendredi")</f>
        <v>0</v>
      </c>
    </row>
    <row r="291" spans="2:30" ht="21" x14ac:dyDescent="0.25">
      <c r="B291" s="28" t="s">
        <v>84</v>
      </c>
      <c r="C291" s="30" t="s">
        <v>5</v>
      </c>
      <c r="D291" s="30" t="s">
        <v>6</v>
      </c>
      <c r="E291" s="26"/>
      <c r="F291" s="26"/>
      <c r="J291" s="28" t="s">
        <v>84</v>
      </c>
      <c r="K291" s="30" t="s">
        <v>5</v>
      </c>
      <c r="L291" s="30" t="s">
        <v>6</v>
      </c>
      <c r="M291" s="26"/>
      <c r="N291" s="26"/>
      <c r="R291" s="28" t="s">
        <v>84</v>
      </c>
      <c r="S291" s="30" t="s">
        <v>5</v>
      </c>
      <c r="T291" s="30" t="s">
        <v>6</v>
      </c>
      <c r="U291" s="26"/>
      <c r="V291" s="26"/>
      <c r="Z291" s="28" t="s">
        <v>84</v>
      </c>
      <c r="AA291" s="30" t="s">
        <v>5</v>
      </c>
      <c r="AB291" s="30" t="s">
        <v>6</v>
      </c>
      <c r="AC291" s="26"/>
      <c r="AD291" s="26"/>
    </row>
    <row r="292" spans="2:30" ht="15.75" x14ac:dyDescent="0.25">
      <c r="B292" s="33" t="s">
        <v>99</v>
      </c>
      <c r="C292" s="23">
        <f>COUNTIFS(Données!U250:U10248, "oui", Données!A250:A10248, "EC", Données!B250:B10248, "vendredi")</f>
        <v>0</v>
      </c>
      <c r="D292" s="23">
        <f>COUNTIFS(Données!U250:U10248, "oui", Données!A250:A10248, "EC", Données!B250:B10248, "vendredi")</f>
        <v>0</v>
      </c>
      <c r="E292" s="23"/>
      <c r="F292" s="23"/>
      <c r="J292" s="33" t="s">
        <v>99</v>
      </c>
      <c r="K292" s="23">
        <f>COUNTIFS(Données!AC250:AC10248, "oui", Données!I250:I10248, "AFE", Données!J250:J10248, "vendredi")</f>
        <v>0</v>
      </c>
      <c r="L292" s="23">
        <f>COUNTIFS(Données!AC250:AC10248, "oui", Données!I250:I10248, "AFE", Données!J250:J10248, "vendredi")</f>
        <v>0</v>
      </c>
      <c r="M292" s="23"/>
      <c r="N292" s="23"/>
      <c r="R292" s="33" t="s">
        <v>99</v>
      </c>
      <c r="S292" s="23">
        <f>COUNTIFS(Données!AK250:AK10248, "oui", Données!Q250:Q10248, "AS", Données!R250:R10248, "vendredi")</f>
        <v>0</v>
      </c>
      <c r="T292" s="23">
        <f>COUNTIFS(Données!AK250:AK10248, "oui", Données!Q250:Q10248, "AS", Données!R250:R10248, "vendredi")</f>
        <v>0</v>
      </c>
      <c r="U292" s="23"/>
      <c r="V292" s="23"/>
      <c r="Z292" s="33" t="s">
        <v>99</v>
      </c>
      <c r="AA292" s="23">
        <f>COUNTIFS(Données!AS250:AS10248, "oui", Données!Y250:Y10248, "VISAS", Données!Z250:Z10248, "vendredi")</f>
        <v>0</v>
      </c>
      <c r="AB292" s="23">
        <f>COUNTIFS(Données!AS250:AS10248, "oui", Données!Y250:Y10248, "VISAS", Données!Z250:Z10248, "vendredi")</f>
        <v>0</v>
      </c>
      <c r="AC292" s="23"/>
      <c r="AD292" s="23"/>
    </row>
    <row r="293" spans="2:30" ht="15" customHeight="1" x14ac:dyDescent="0.25">
      <c r="B293" s="43" t="s">
        <v>100</v>
      </c>
      <c r="C293" s="44" t="s">
        <v>37</v>
      </c>
      <c r="D293" s="44" t="s">
        <v>38</v>
      </c>
      <c r="E293" s="23"/>
      <c r="F293" s="23"/>
      <c r="J293" s="43" t="s">
        <v>100</v>
      </c>
      <c r="K293" s="44" t="s">
        <v>37</v>
      </c>
      <c r="L293" s="44" t="s">
        <v>38</v>
      </c>
      <c r="M293" s="23"/>
      <c r="N293" s="23"/>
      <c r="R293" s="43" t="s">
        <v>100</v>
      </c>
      <c r="S293" s="44" t="s">
        <v>37</v>
      </c>
      <c r="T293" s="44" t="s">
        <v>38</v>
      </c>
      <c r="U293" s="23"/>
      <c r="V293" s="23"/>
      <c r="Z293" s="43" t="s">
        <v>100</v>
      </c>
      <c r="AA293" s="44" t="s">
        <v>37</v>
      </c>
      <c r="AB293" s="44" t="s">
        <v>38</v>
      </c>
      <c r="AC293" s="23"/>
      <c r="AD293" s="23"/>
    </row>
    <row r="294" spans="2:30" ht="15" customHeight="1" x14ac:dyDescent="0.25">
      <c r="B294" s="43"/>
      <c r="C294" s="44"/>
      <c r="D294" s="44"/>
      <c r="E294" s="23"/>
      <c r="F294" s="23"/>
      <c r="J294" s="43"/>
      <c r="K294" s="44"/>
      <c r="L294" s="44"/>
      <c r="M294" s="23"/>
      <c r="N294" s="23"/>
      <c r="R294" s="43"/>
      <c r="S294" s="44"/>
      <c r="T294" s="44"/>
      <c r="U294" s="23"/>
      <c r="V294" s="23"/>
      <c r="Z294" s="43"/>
      <c r="AA294" s="44"/>
      <c r="AB294" s="44"/>
      <c r="AC294" s="23"/>
      <c r="AD294" s="23"/>
    </row>
    <row r="295" spans="2:30" ht="15" customHeight="1" x14ac:dyDescent="0.25">
      <c r="B295" s="43"/>
      <c r="C295" s="23">
        <f>COUNTIFS(Données!V250:V10248, "A l'heure", Données!A250:A10248, "EC", Données!B250:B10248, "vendredi")</f>
        <v>0</v>
      </c>
      <c r="D295" s="23">
        <f>COUNTIFS(Données!V250:V10248, "En retard", Données!A250:A10248, "EC", Données!B250:B10248, "vendredi")</f>
        <v>0</v>
      </c>
      <c r="E295" s="23"/>
      <c r="F295" s="23"/>
      <c r="J295" s="43"/>
      <c r="K295" s="23">
        <f>COUNTIFS(Données!AD250:AD10248, "A l'heure", Données!I250:I10248, "AFE", Données!J250:J10248, "vendredi")</f>
        <v>0</v>
      </c>
      <c r="L295" s="23">
        <f>COUNTIFS(Données!AD250:AD10248, "En retard", Données!I250:I10248, "AFE", Données!J250:J10248, "vendredi")</f>
        <v>0</v>
      </c>
      <c r="M295" s="23"/>
      <c r="N295" s="23"/>
      <c r="R295" s="43"/>
      <c r="S295" s="23">
        <f>COUNTIFS(Données!AL250:AL10248, "A l'heure", Données!Q250:Q10248, "AS", Données!R250:R10248, "vendredi")</f>
        <v>0</v>
      </c>
      <c r="T295" s="23">
        <f>COUNTIFS(Données!AL250:AL10248, "En retard", Données!Q250:Q10248, "AS", Données!R250:R10248, "vendredi")</f>
        <v>0</v>
      </c>
      <c r="U295" s="23"/>
      <c r="V295" s="23"/>
      <c r="Z295" s="43"/>
      <c r="AA295" s="23">
        <f>COUNTIFS(Données!AT250:AT10248, "A l'heure", Données!Y250:Y10248, "VISAS", Données!Z250:Z10248, "vendredi")</f>
        <v>0</v>
      </c>
      <c r="AB295" s="23">
        <f>COUNTIFS(Données!AT250:AT10248, "En retard", Données!Y250:Y10248, "VISAS", Données!Z250:Z10248, "vendredi")</f>
        <v>0</v>
      </c>
      <c r="AC295" s="23"/>
      <c r="AD295" s="23"/>
    </row>
    <row r="296" spans="2:30" ht="15" customHeight="1" x14ac:dyDescent="0.25">
      <c r="B296" s="45" t="s">
        <v>101</v>
      </c>
      <c r="C296" s="37" t="s">
        <v>40</v>
      </c>
      <c r="D296" s="38" t="s">
        <v>41</v>
      </c>
      <c r="E296" s="39" t="s">
        <v>42</v>
      </c>
      <c r="F296" s="46" t="s">
        <v>85</v>
      </c>
      <c r="J296" s="45" t="s">
        <v>101</v>
      </c>
      <c r="K296" s="37" t="s">
        <v>40</v>
      </c>
      <c r="L296" s="38" t="s">
        <v>41</v>
      </c>
      <c r="M296" s="39" t="s">
        <v>42</v>
      </c>
      <c r="N296" s="46" t="s">
        <v>85</v>
      </c>
      <c r="R296" s="45" t="s">
        <v>101</v>
      </c>
      <c r="S296" s="37" t="s">
        <v>40</v>
      </c>
      <c r="T296" s="38" t="s">
        <v>41</v>
      </c>
      <c r="U296" s="39" t="s">
        <v>42</v>
      </c>
      <c r="V296" s="46" t="s">
        <v>85</v>
      </c>
      <c r="Z296" s="45" t="s">
        <v>101</v>
      </c>
      <c r="AA296" s="37" t="s">
        <v>40</v>
      </c>
      <c r="AB296" s="38" t="s">
        <v>41</v>
      </c>
      <c r="AC296" s="39" t="s">
        <v>42</v>
      </c>
      <c r="AD296" s="46" t="s">
        <v>85</v>
      </c>
    </row>
    <row r="297" spans="2:30" ht="15" customHeight="1" x14ac:dyDescent="0.25">
      <c r="B297" s="45"/>
      <c r="C297" s="37"/>
      <c r="D297" s="38"/>
      <c r="E297" s="39"/>
      <c r="F297" s="46"/>
      <c r="J297" s="45"/>
      <c r="K297" s="37"/>
      <c r="L297" s="38"/>
      <c r="M297" s="39"/>
      <c r="N297" s="46"/>
      <c r="R297" s="45"/>
      <c r="S297" s="37"/>
      <c r="T297" s="38"/>
      <c r="U297" s="39"/>
      <c r="V297" s="46"/>
      <c r="Z297" s="45"/>
      <c r="AA297" s="37"/>
      <c r="AB297" s="38"/>
      <c r="AC297" s="39"/>
      <c r="AD297" s="46"/>
    </row>
    <row r="298" spans="2:30" ht="15" customHeight="1" x14ac:dyDescent="0.25">
      <c r="B298" s="45"/>
      <c r="C298" s="23">
        <f>COUNTIFS(Données!W250:W10248, "0-15", Données!A250:A10248, "EC", Données!B250:B10248, "vendredi")</f>
        <v>0</v>
      </c>
      <c r="D298" s="23">
        <f>COUNTIFS(Données!W250:W10248, "15-30", Données!A250:A10248, "EC", Données!B250:B10248, "vendredi")</f>
        <v>0</v>
      </c>
      <c r="E298" s="23">
        <f>COUNTIFS(Données!W250:W10248, "30-60", Données!A250:A10248, "EC", Données!B250:B10248, "vendredi")</f>
        <v>0</v>
      </c>
      <c r="F298" s="23">
        <f>COUNTIFS(Données!W250:W10248, "plus 60", Données!A250:A10248, "EC", Données!B250:B10248, "vendredi")</f>
        <v>0</v>
      </c>
      <c r="J298" s="45"/>
      <c r="K298" s="23">
        <f>COUNTIFS(Données!AE250:AE10248, "0-15", Données!I250:I10248, "AFE", Données!J250:J10248, "vendredi")</f>
        <v>0</v>
      </c>
      <c r="L298" s="23">
        <f>COUNTIFS(Données!AE250:AE10248, "15-30", Données!I250:I10248, "AFE", Données!J250:J10248, "vendredi")</f>
        <v>0</v>
      </c>
      <c r="M298" s="23">
        <f>COUNTIFS(Données!AE250:AE10248, "30-60", Données!I250:I10248, "AFE", Données!J250:J10248, "vendredi")</f>
        <v>0</v>
      </c>
      <c r="N298" s="23">
        <f>COUNTIFS(Données!AE250:AE10248, "plus 60", Données!I250:I10248, "AFE", Données!J250:J10248, "vendredi")</f>
        <v>0</v>
      </c>
      <c r="R298" s="45"/>
      <c r="S298" s="23">
        <f>COUNTIFS(Données!AM250:AM10248, "0-15", Données!Q250:Q10248, "AS", Données!R250:R10248, "vendredi")</f>
        <v>0</v>
      </c>
      <c r="T298" s="23">
        <f>COUNTIFS(Données!AM250:AM10248, "15-30", Données!Q250:Q10248, "AS", Données!R250:R10248, "vendredi")</f>
        <v>0</v>
      </c>
      <c r="U298" s="23">
        <f>COUNTIFS(Données!AM250:AM10248, "30-60", Données!Q250:Q10248, "AS", Données!R250:R10248, "vendredi")</f>
        <v>0</v>
      </c>
      <c r="V298" s="23">
        <f>COUNTIFS(Données!AM250:AM10248, "plus 60", Données!Q250:Q10248, "AS", Données!R250:R10248, "vendredi")</f>
        <v>0</v>
      </c>
      <c r="Z298" s="45"/>
      <c r="AA298" s="23">
        <f>COUNTIFS(Données!AU250:AU10248, "0-15", Données!Y250:Y10248, "VISAS", Données!Z250:Z10248, "vendredi")</f>
        <v>0</v>
      </c>
      <c r="AB298" s="23">
        <f>COUNTIFS(Données!AU250:AU10248, "15-30", Données!Y250:Y10248, "VISAS", Données!Z250:Z10248, "vendredi")</f>
        <v>0</v>
      </c>
      <c r="AC298" s="23">
        <f>COUNTIFS(Données!AU250:AU10248, "30-60", Données!Y250:Y10248, "VISAS", Données!Z250:Z10248, "vendredi")</f>
        <v>0</v>
      </c>
      <c r="AD298" s="23">
        <f>COUNTIFS(Données!AU250:AU10248, "plus 60", Données!Y250:Y10248, "VISAS", Données!Z250:Z10248, "vendredi")</f>
        <v>0</v>
      </c>
    </row>
    <row r="299" spans="2:30" ht="15" customHeight="1" x14ac:dyDescent="0.25">
      <c r="B299" s="41" t="s">
        <v>102</v>
      </c>
      <c r="C299" s="37" t="s">
        <v>40</v>
      </c>
      <c r="D299" s="38" t="s">
        <v>41</v>
      </c>
      <c r="E299" s="39" t="s">
        <v>42</v>
      </c>
      <c r="F299" s="40" t="s">
        <v>85</v>
      </c>
      <c r="J299" s="41" t="s">
        <v>102</v>
      </c>
      <c r="K299" s="37" t="s">
        <v>40</v>
      </c>
      <c r="L299" s="38" t="s">
        <v>41</v>
      </c>
      <c r="M299" s="39" t="s">
        <v>42</v>
      </c>
      <c r="N299" s="40" t="s">
        <v>85</v>
      </c>
      <c r="R299" s="41" t="s">
        <v>102</v>
      </c>
      <c r="S299" s="37" t="s">
        <v>40</v>
      </c>
      <c r="T299" s="38" t="s">
        <v>41</v>
      </c>
      <c r="U299" s="39" t="s">
        <v>42</v>
      </c>
      <c r="V299" s="40" t="s">
        <v>85</v>
      </c>
      <c r="Z299" s="41" t="s">
        <v>102</v>
      </c>
      <c r="AA299" s="37" t="s">
        <v>40</v>
      </c>
      <c r="AB299" s="38" t="s">
        <v>41</v>
      </c>
      <c r="AC299" s="39" t="s">
        <v>42</v>
      </c>
      <c r="AD299" s="40" t="s">
        <v>85</v>
      </c>
    </row>
    <row r="300" spans="2:30" ht="15" customHeight="1" x14ac:dyDescent="0.25">
      <c r="B300" s="41"/>
      <c r="C300" s="37"/>
      <c r="D300" s="38"/>
      <c r="E300" s="39"/>
      <c r="F300" s="40"/>
      <c r="J300" s="41"/>
      <c r="K300" s="37"/>
      <c r="L300" s="38"/>
      <c r="M300" s="39"/>
      <c r="N300" s="40"/>
      <c r="R300" s="41"/>
      <c r="S300" s="37"/>
      <c r="T300" s="38"/>
      <c r="U300" s="39"/>
      <c r="V300" s="40"/>
      <c r="Z300" s="41"/>
      <c r="AA300" s="37"/>
      <c r="AB300" s="38"/>
      <c r="AC300" s="39"/>
      <c r="AD300" s="40"/>
    </row>
    <row r="301" spans="2:30" ht="15" customHeight="1" x14ac:dyDescent="0.25">
      <c r="B301" s="42"/>
      <c r="C301" s="23">
        <f>COUNTIFS(Données!X250:X10248, "0-15", Données!A250:A10248, "EC", Données!B250:B10248, "vendredi")</f>
        <v>0</v>
      </c>
      <c r="D301" s="23">
        <f>COUNTIFS(Données!X250:X10248, "15-30", Données!A250:A10248, "EC", Données!B250:B10248, "vendredi")</f>
        <v>0</v>
      </c>
      <c r="E301" s="23">
        <f>COUNTIFS(Données!X250:X10248, "30-60", Données!A250:A10248, "EC", Données!B250:B10248, "vendredi")</f>
        <v>0</v>
      </c>
      <c r="F301" s="23">
        <f>COUNTIFS(Données!X250:X10248, "plus 60", Données!A250:A10248, "EC", Données!B250:B10248, "vendredi")</f>
        <v>0</v>
      </c>
      <c r="J301" s="42"/>
      <c r="K301" s="23">
        <f>COUNTIFS(Données!AF250:AF10248, "0-15", Données!I250:I10248, "AFE", Données!J250:J10248, "vendredi")</f>
        <v>0</v>
      </c>
      <c r="L301" s="23">
        <f>COUNTIFS(Données!AF250:AF10248, "15-30", Données!I250:I10248, "AFE", Données!J250:J10248, "vendredi")</f>
        <v>0</v>
      </c>
      <c r="M301" s="23">
        <f>COUNTIFS(Données!AF250:AF10248, "30-60", Données!I250:I10248, "AFE", Données!J250:J10248, "vendredi")</f>
        <v>0</v>
      </c>
      <c r="N301" s="23">
        <f>COUNTIFS(Données!AF250:AF10248, "plus 60", Données!I250:I10248, "AFE", Données!J250:J10248, "vendredi")</f>
        <v>0</v>
      </c>
      <c r="R301" s="42"/>
      <c r="S301" s="23">
        <f>COUNTIFS(Données!AN250:AN10248, "0-15", Données!Q250:Q10248, "AS", Données!R250:R10248, "vendredi")</f>
        <v>0</v>
      </c>
      <c r="T301" s="23">
        <f>COUNTIFS(Données!AN250:AN10248, "15-30", Données!Q250:Q10248, "AS", Données!R250:R10248, "vendredi")</f>
        <v>0</v>
      </c>
      <c r="U301" s="23">
        <f>COUNTIFS(Données!AN250:AN10248, "30-60", Données!Q250:Q10248, "AS", Données!R250:R10248, "vendredi")</f>
        <v>0</v>
      </c>
      <c r="V301" s="23">
        <f>COUNTIFS(Données!AN250:AN10248, "plus 60", Données!Q250:Q10248, "AS", Données!R250:R10248, "vendredi")</f>
        <v>0</v>
      </c>
      <c r="Z301" s="42"/>
      <c r="AA301" s="23">
        <f>COUNTIFS(Données!AV250:AV10248, "0-15", Données!Y250:Y10248, "VISAS", Données!Z250:Z10248, "vendredi")</f>
        <v>0</v>
      </c>
      <c r="AB301" s="23">
        <f>COUNTIFS(Données!AV250:AV10248, "15-30", Données!Y250:Y10248, "VISAS", Données!Z250:Z10248, "vendredi")</f>
        <v>0</v>
      </c>
      <c r="AC301" s="23">
        <f>COUNTIFS(Données!AV250:AV10248, "30-60", Données!Y250:Y10248, "VISAS", Données!Z250:Z10248, "vendredi")</f>
        <v>0</v>
      </c>
      <c r="AD301" s="23">
        <f>COUNTIFS(Données!AV250:AV10248, "plus 60", Données!Y250:Y10248, "VISAS", Données!Z250:Z10248, "vendredi")</f>
        <v>0</v>
      </c>
    </row>
    <row r="302" spans="2:30" ht="21" x14ac:dyDescent="0.25">
      <c r="B302" s="28" t="s">
        <v>86</v>
      </c>
      <c r="C302" s="22" t="s">
        <v>5</v>
      </c>
      <c r="D302" s="22" t="s">
        <v>6</v>
      </c>
      <c r="E302" s="23"/>
      <c r="F302" s="23"/>
      <c r="J302" s="28" t="s">
        <v>86</v>
      </c>
      <c r="K302" s="22" t="s">
        <v>5</v>
      </c>
      <c r="L302" s="22" t="s">
        <v>6</v>
      </c>
      <c r="M302" s="23"/>
      <c r="N302" s="23"/>
      <c r="R302" s="28" t="s">
        <v>86</v>
      </c>
      <c r="S302" s="22" t="s">
        <v>5</v>
      </c>
      <c r="T302" s="22" t="s">
        <v>6</v>
      </c>
      <c r="U302" s="23"/>
      <c r="V302" s="23"/>
      <c r="Z302" s="28" t="s">
        <v>86</v>
      </c>
      <c r="AA302" s="22" t="s">
        <v>5</v>
      </c>
      <c r="AB302" s="22" t="s">
        <v>6</v>
      </c>
      <c r="AC302" s="23"/>
      <c r="AD302" s="23"/>
    </row>
    <row r="303" spans="2:30" ht="15.75" x14ac:dyDescent="0.25">
      <c r="B303" s="35" t="s">
        <v>88</v>
      </c>
      <c r="C303" s="23">
        <f>COUNTIFS(Données!Z250:Z10248, "oui", Données!A250:A10248, "EC", Données!B250:B10248, "vendredi")</f>
        <v>0</v>
      </c>
      <c r="D303" s="23">
        <f>COUNTIFS(Données!Z250:Z10248, "non", Données!A250:A10248, "EC", Données!B250:B10248, "vendredi")</f>
        <v>0</v>
      </c>
      <c r="E303" s="23"/>
      <c r="F303" s="23"/>
      <c r="J303" s="35" t="s">
        <v>88</v>
      </c>
      <c r="K303" s="23">
        <f>COUNTIFS(Données!AH250:AH10248, "oui", Données!I250:I10248, "AFE", Données!J250:J10248, "vendredi")</f>
        <v>0</v>
      </c>
      <c r="L303" s="23">
        <f>COUNTIFS(Données!AH250:AH10248, "non", Données!I250:I10248, "AFE", Données!J250:J10248, "vendredi")</f>
        <v>0</v>
      </c>
      <c r="M303" s="23"/>
      <c r="N303" s="23"/>
      <c r="R303" s="35" t="s">
        <v>88</v>
      </c>
      <c r="S303" s="23">
        <f>COUNTIFS(Données!AP250:AP10248, "oui", Données!Q250:Q10248, "AS", Données!R250:R10248, "vendredi")</f>
        <v>0</v>
      </c>
      <c r="T303" s="23">
        <f>COUNTIFS(Données!AP250:AP10248, "non", Données!Q250:Q10248, "AS", Données!R250:R10248, "vendredi")</f>
        <v>0</v>
      </c>
      <c r="U303" s="23"/>
      <c r="V303" s="23"/>
      <c r="Z303" s="35" t="s">
        <v>88</v>
      </c>
      <c r="AA303" s="23">
        <f>COUNTIFS(Données!AX250:AX10248, "oui", Données!Y250:Y10248, "VISAS", Données!Z250:Z10248, "vendredi")</f>
        <v>0</v>
      </c>
      <c r="AB303" s="23">
        <f>COUNTIFS(Données!AX250:AX10248, "non", Données!Y250:Y10248, "VISAS", Données!Z250:Z10248, "vendredi")</f>
        <v>0</v>
      </c>
      <c r="AC303" s="23"/>
      <c r="AD303" s="23"/>
    </row>
    <row r="304" spans="2:30" ht="15.75" x14ac:dyDescent="0.25">
      <c r="B304" s="34" t="s">
        <v>89</v>
      </c>
      <c r="C304" s="23">
        <f>COUNTIFS(Données!AA250:AA10248, "oui", Données!A250:A10248, "EC", Données!B250:B10248, "vendredi")</f>
        <v>0</v>
      </c>
      <c r="D304" s="23">
        <f>COUNTIFS(Données!AA250:AA10248, "non", Données!A250:A10248, "EC", Données!B250:B10248, "vendredi")</f>
        <v>0</v>
      </c>
      <c r="E304" s="23"/>
      <c r="F304" s="23"/>
      <c r="J304" s="34" t="s">
        <v>89</v>
      </c>
      <c r="K304" s="23">
        <f>COUNTIFS(Données!AI250:AI10248, "oui", Données!I250:I10248, "AFE", Données!J250:J10248, "vendredi")</f>
        <v>0</v>
      </c>
      <c r="L304" s="23">
        <f>COUNTIFS(Données!AI250:AI10248, "non", Données!I250:I10248, "AFE", Données!J250:J10248, "lundi")</f>
        <v>0</v>
      </c>
      <c r="M304" s="23"/>
      <c r="N304" s="23"/>
      <c r="R304" s="34" t="s">
        <v>89</v>
      </c>
      <c r="S304" s="23">
        <f>COUNTIFS(Données!AQ250:AQ10248, "oui", Données!Q250:Q10248, "AS", Données!R250:R10248, "vendredi")</f>
        <v>0</v>
      </c>
      <c r="T304" s="23">
        <f>COUNTIFS(Données!AQ250:AQ10248, "non", Données!Q250:Q10248, "AS", Données!R250:R10248, "lundi")</f>
        <v>0</v>
      </c>
      <c r="U304" s="23"/>
      <c r="V304" s="23"/>
      <c r="Z304" s="34" t="s">
        <v>89</v>
      </c>
      <c r="AA304" s="23">
        <f>COUNTIFS(Données!AY250:AY10248, "oui", Données!Y250:Y10248, "VISAS", Données!Z250:Z10248, "vendredi")</f>
        <v>0</v>
      </c>
      <c r="AB304" s="23">
        <f>COUNTIFS(Données!AY250:AY10248, "non", Données!Y250:Y10248, "VISAS", Données!Z250:Z10248, "lundi")</f>
        <v>0</v>
      </c>
      <c r="AC304" s="23"/>
      <c r="AD304" s="23"/>
    </row>
    <row r="305" spans="2:30" ht="15.75" x14ac:dyDescent="0.25">
      <c r="B305" s="24" t="s">
        <v>90</v>
      </c>
      <c r="C305" s="23">
        <f>COUNTIFS(Données!AB250:AB10248, "oui", Données!A250:A10248, "EC", Données!B250:B10248, "vendredi")</f>
        <v>0</v>
      </c>
      <c r="D305" s="23">
        <f>COUNTIFS(Données!AB250:AB10248, "non", Données!A250:A10248, "EC", Données!B250:B10248, "vendredi")</f>
        <v>0</v>
      </c>
      <c r="E305" s="23"/>
      <c r="F305" s="23"/>
      <c r="J305" s="24" t="s">
        <v>90</v>
      </c>
      <c r="K305" s="23">
        <f>COUNTIFS(Données!AJ250:AJ10248, "oui", Données!I250:I10248, "AFE", Données!J250:J10248, "vendredi")</f>
        <v>0</v>
      </c>
      <c r="L305" s="23">
        <f>COUNTIFS(Données!AJ250:AJ10248, "non", Données!I250:I10248, "AFE", Données!J250:J10248, "vendredi")</f>
        <v>0</v>
      </c>
      <c r="M305" s="23"/>
      <c r="N305" s="23"/>
      <c r="R305" s="24" t="s">
        <v>90</v>
      </c>
      <c r="S305" s="23">
        <f>COUNTIFS(Données!AR250:AR10248, "oui", Données!Q250:Q10248, "AS", Données!R250:R10248, "vendredi")</f>
        <v>0</v>
      </c>
      <c r="T305" s="23">
        <f>COUNTIFS(Données!AR250:AR10248, "non", Données!Q250:Q10248, "AS", Données!R250:R10248, "vendredi")</f>
        <v>0</v>
      </c>
      <c r="U305" s="23"/>
      <c r="V305" s="23"/>
      <c r="Z305" s="24" t="s">
        <v>90</v>
      </c>
      <c r="AA305" s="23">
        <f>COUNTIFS(Données!AZ250:AZ10248, "oui", Données!Y250:Y10248, "VISAS", Données!Z250:Z10248, "vendredi")</f>
        <v>0</v>
      </c>
      <c r="AB305" s="23">
        <f>COUNTIFS(Données!AZ250:AZ10248, "non", Données!Y250:Y10248, "VISAS", Données!Z250:Z10248, "vendredi")</f>
        <v>0</v>
      </c>
      <c r="AC305" s="23"/>
      <c r="AD305" s="23"/>
    </row>
    <row r="306" spans="2:30" ht="15" customHeight="1" x14ac:dyDescent="0.25">
      <c r="B306" s="36" t="s">
        <v>91</v>
      </c>
      <c r="C306" s="37" t="s">
        <v>79</v>
      </c>
      <c r="D306" s="38" t="s">
        <v>34</v>
      </c>
      <c r="E306" s="39" t="s">
        <v>83</v>
      </c>
      <c r="F306" s="40" t="s">
        <v>35</v>
      </c>
      <c r="G306" s="26"/>
      <c r="H306" s="26"/>
      <c r="I306" s="26"/>
      <c r="J306" s="36" t="s">
        <v>91</v>
      </c>
      <c r="K306" s="37" t="s">
        <v>79</v>
      </c>
      <c r="L306" s="38" t="s">
        <v>34</v>
      </c>
      <c r="M306" s="39" t="s">
        <v>83</v>
      </c>
      <c r="N306" s="40" t="s">
        <v>35</v>
      </c>
      <c r="O306" s="26"/>
      <c r="P306" s="26"/>
      <c r="Q306" s="26"/>
      <c r="R306" s="36" t="s">
        <v>91</v>
      </c>
      <c r="S306" s="37" t="s">
        <v>79</v>
      </c>
      <c r="T306" s="38" t="s">
        <v>34</v>
      </c>
      <c r="U306" s="39" t="s">
        <v>83</v>
      </c>
      <c r="V306" s="40" t="s">
        <v>35</v>
      </c>
      <c r="Y306" s="26"/>
      <c r="Z306" s="36" t="s">
        <v>91</v>
      </c>
      <c r="AA306" s="37" t="s">
        <v>79</v>
      </c>
      <c r="AB306" s="38" t="s">
        <v>34</v>
      </c>
      <c r="AC306" s="39" t="s">
        <v>83</v>
      </c>
      <c r="AD306" s="40" t="s">
        <v>35</v>
      </c>
    </row>
    <row r="307" spans="2:30" ht="15" customHeight="1" x14ac:dyDescent="0.25">
      <c r="B307" s="36"/>
      <c r="C307" s="37"/>
      <c r="D307" s="38"/>
      <c r="E307" s="39"/>
      <c r="F307" s="40"/>
      <c r="G307" s="26"/>
      <c r="H307" s="26"/>
      <c r="I307" s="26"/>
      <c r="J307" s="36"/>
      <c r="K307" s="37"/>
      <c r="L307" s="38"/>
      <c r="M307" s="39"/>
      <c r="N307" s="40"/>
      <c r="O307" s="26"/>
      <c r="P307" s="26"/>
      <c r="Q307" s="26"/>
      <c r="R307" s="36"/>
      <c r="S307" s="37"/>
      <c r="T307" s="38"/>
      <c r="U307" s="39"/>
      <c r="V307" s="40"/>
      <c r="Y307" s="26"/>
      <c r="Z307" s="36"/>
      <c r="AA307" s="37"/>
      <c r="AB307" s="38"/>
      <c r="AC307" s="39"/>
      <c r="AD307" s="40"/>
    </row>
    <row r="308" spans="2:30" ht="15" customHeight="1" x14ac:dyDescent="0.25">
      <c r="B308" s="36"/>
      <c r="C308" s="26">
        <f>COUNTIFS(Données!AC250:AC10248, "très satisfaisant", Données!A250:A10248, "EC", Données!B250:B10248, "vendredi")</f>
        <v>0</v>
      </c>
      <c r="D308" s="26">
        <f>COUNTIFS(Données!AC250:AC10248, "satisfaisant", Données!A250:A10248, "EC", Données!B250:B10248, "vendredi")</f>
        <v>0</v>
      </c>
      <c r="E308" s="26">
        <f>COUNTIFS(Données!AC250:AC10248, "moy. satisfaisant", Données!A250:A10248, "EC", Données!B250:B10248, "vendredi")</f>
        <v>0</v>
      </c>
      <c r="F308" s="26">
        <f>COUNTIFS(Données!AC250:AC10248, "pas du tout satisfaisant", Données!A250:A10248, "EC", Données!B250:B10248, "vendredi")</f>
        <v>0</v>
      </c>
      <c r="G308" s="26"/>
      <c r="H308" s="26"/>
      <c r="I308" s="26"/>
      <c r="J308" s="36"/>
      <c r="K308" s="26">
        <f>COUNTIFS(Données!AK250:AK10248, "très satisfaisant", Données!I250:I10248, "AFE", Données!J250:J10248, "vendredi")</f>
        <v>0</v>
      </c>
      <c r="L308" s="26">
        <f>COUNTIFS(Données!AK250:AK10248, "satisfaisant", Données!I250:I10248, "AFE", Données!J250:J10248, "vendredi")</f>
        <v>0</v>
      </c>
      <c r="M308" s="26">
        <f>COUNTIFS(Données!AK250:AK10248, "moy. satisfaisant", Données!I250:I10248, "AFE", Données!J250:J10248, "vendredi")</f>
        <v>0</v>
      </c>
      <c r="N308" s="26">
        <f>COUNTIFS(Données!AK250:AK10248, "pas du tout satisfaisant", Données!I250:I10248, "AFE", Données!J250:J10248, "vendredi")</f>
        <v>0</v>
      </c>
      <c r="O308" s="26"/>
      <c r="P308" s="26"/>
      <c r="Q308" s="26"/>
      <c r="R308" s="36"/>
      <c r="S308" s="26">
        <f>COUNTIFS(Données!AS250:AS10248, "très satisfaisant", Données!Q250:Q10248, "AS", Données!R250:R10248, "vendredi")</f>
        <v>0</v>
      </c>
      <c r="T308" s="26">
        <f>COUNTIFS(Données!AS250:AS10248, "satisfaisant", Données!Q250:Q10248, "AS", Données!R250:R10248, "vendredi")</f>
        <v>0</v>
      </c>
      <c r="U308" s="26">
        <f>COUNTIFS(Données!AS250:AS10248, "moy. satisfaisant", Données!Q250:Q10248, "AS", Données!R250:R10248, "vendredi")</f>
        <v>0</v>
      </c>
      <c r="V308" s="26">
        <f>COUNTIFS(Données!AS250:AS10248, "pas du tout satisfaisant", Données!Q250:Q10248, "AS", Données!R250:R10248, "vendredi")</f>
        <v>0</v>
      </c>
      <c r="Y308" s="26"/>
      <c r="Z308" s="36"/>
      <c r="AA308" s="26">
        <f>COUNTIFS(Données!BA250:BA10248, "très satisfaisant", Données!Y250:Y10248, "VISAS", Données!Z250:Z10248, "vendredi")</f>
        <v>0</v>
      </c>
      <c r="AB308" s="26">
        <f>COUNTIFS(Données!BA250:BA10248, "satisfaisant", Données!Y250:Y10248, "VISAS", Données!Z250:Z10248, "vendredi")</f>
        <v>0</v>
      </c>
      <c r="AC308" s="26">
        <f>COUNTIFS(Données!BA250:BA10248, "moy. satisfaisant", Données!Y250:Y10248, "VISAS", Données!Z250:Z10248, "vendredi")</f>
        <v>0</v>
      </c>
      <c r="AD308" s="26">
        <f>COUNTIFS(Données!BA250:BA10248, "pas du tout satisfaisant", Données!Y250:Y10248, "VISAS", Données!Z250:Z10248, "vendredi")</f>
        <v>0</v>
      </c>
    </row>
    <row r="309" spans="2:30" x14ac:dyDescent="0.25">
      <c r="C309" s="26"/>
      <c r="D309" s="26"/>
      <c r="E309" s="26"/>
      <c r="F309" s="26"/>
      <c r="S309" s="26"/>
      <c r="T309" s="26"/>
      <c r="U309" s="26"/>
      <c r="V309" s="26"/>
      <c r="AA309" s="26"/>
      <c r="AB309" s="26"/>
      <c r="AC309" s="26"/>
      <c r="AD309" s="26"/>
    </row>
    <row r="310" spans="2:30" x14ac:dyDescent="0.25">
      <c r="C310" s="26"/>
      <c r="D310" s="26"/>
      <c r="E310" s="26"/>
      <c r="F310" s="26"/>
      <c r="AA310" s="26"/>
      <c r="AB310" s="26"/>
      <c r="AC310" s="26"/>
      <c r="AD310" s="26"/>
    </row>
    <row r="311" spans="2:30" x14ac:dyDescent="0.25">
      <c r="C311" s="26"/>
      <c r="D311" s="26"/>
      <c r="E311" s="26"/>
      <c r="F311" s="26"/>
      <c r="AA311" s="26"/>
      <c r="AB311" s="26"/>
      <c r="AC311" s="26"/>
      <c r="AD311" s="26"/>
    </row>
    <row r="312" spans="2:30" x14ac:dyDescent="0.25">
      <c r="C312" s="26"/>
      <c r="D312" s="26"/>
      <c r="E312" s="26"/>
      <c r="F312" s="26"/>
      <c r="AA312" s="26"/>
      <c r="AB312" s="26"/>
      <c r="AC312" s="26"/>
      <c r="AD312" s="26"/>
    </row>
    <row r="313" spans="2:30" x14ac:dyDescent="0.25">
      <c r="C313" s="26"/>
      <c r="D313" s="26"/>
      <c r="E313" s="26"/>
      <c r="F313" s="26"/>
      <c r="AA313" s="26"/>
      <c r="AB313" s="26"/>
      <c r="AC313" s="26"/>
      <c r="AD313" s="26"/>
    </row>
    <row r="314" spans="2:30" x14ac:dyDescent="0.25">
      <c r="C314" s="26"/>
      <c r="D314" s="26"/>
      <c r="E314" s="26"/>
      <c r="F314" s="26"/>
      <c r="AA314" s="26"/>
      <c r="AB314" s="26"/>
      <c r="AC314" s="26"/>
      <c r="AD314" s="26"/>
    </row>
    <row r="315" spans="2:30" x14ac:dyDescent="0.25">
      <c r="C315" s="26"/>
      <c r="D315" s="26"/>
      <c r="E315" s="26"/>
      <c r="F315" s="26"/>
      <c r="AA315" s="26"/>
      <c r="AB315" s="26"/>
      <c r="AC315" s="26"/>
      <c r="AD315" s="26"/>
    </row>
    <row r="316" spans="2:30" x14ac:dyDescent="0.25">
      <c r="C316" s="26"/>
      <c r="D316" s="26"/>
      <c r="E316" s="26"/>
      <c r="F316" s="26"/>
      <c r="AA316" s="26"/>
      <c r="AB316" s="26"/>
      <c r="AC316" s="26"/>
      <c r="AD316" s="26"/>
    </row>
    <row r="317" spans="2:30" x14ac:dyDescent="0.25">
      <c r="C317" s="26"/>
      <c r="D317" s="26"/>
      <c r="E317" s="26"/>
      <c r="F317" s="26"/>
      <c r="AA317" s="26"/>
      <c r="AB317" s="26"/>
      <c r="AC317" s="26"/>
      <c r="AD317" s="26"/>
    </row>
    <row r="318" spans="2:30" x14ac:dyDescent="0.25">
      <c r="C318" s="26"/>
      <c r="D318" s="26"/>
      <c r="E318" s="26"/>
      <c r="F318" s="26"/>
      <c r="AA318" s="26"/>
      <c r="AB318" s="26"/>
      <c r="AC318" s="26"/>
      <c r="AD318" s="26"/>
    </row>
    <row r="319" spans="2:30" x14ac:dyDescent="0.25">
      <c r="C319" s="26"/>
      <c r="D319" s="26"/>
      <c r="E319" s="26"/>
      <c r="F319" s="26"/>
      <c r="AA319" s="26"/>
      <c r="AB319" s="26"/>
      <c r="AC319" s="26"/>
      <c r="AD319" s="26"/>
    </row>
    <row r="320" spans="2:30" x14ac:dyDescent="0.25">
      <c r="C320" s="26"/>
      <c r="D320" s="26"/>
      <c r="E320" s="26"/>
      <c r="F320" s="26"/>
      <c r="AA320" s="26"/>
      <c r="AB320" s="26"/>
      <c r="AC320" s="26"/>
      <c r="AD320" s="26"/>
    </row>
    <row r="321" spans="3:30" x14ac:dyDescent="0.25">
      <c r="C321" s="26"/>
      <c r="D321" s="26"/>
      <c r="E321" s="26"/>
      <c r="F321" s="26"/>
      <c r="AA321" s="26"/>
      <c r="AB321" s="26"/>
      <c r="AC321" s="26"/>
      <c r="AD321" s="26"/>
    </row>
    <row r="322" spans="3:30" x14ac:dyDescent="0.25">
      <c r="C322" s="26"/>
      <c r="D322" s="26"/>
      <c r="E322" s="26"/>
      <c r="F322" s="26"/>
      <c r="AA322" s="26"/>
      <c r="AB322" s="26"/>
      <c r="AC322" s="26"/>
      <c r="AD322" s="26"/>
    </row>
    <row r="323" spans="3:30" x14ac:dyDescent="0.25">
      <c r="C323" s="26"/>
      <c r="D323" s="26"/>
      <c r="E323" s="26"/>
      <c r="F323" s="26"/>
      <c r="AA323" s="26"/>
      <c r="AB323" s="26"/>
      <c r="AC323" s="26"/>
      <c r="AD323" s="26"/>
    </row>
    <row r="324" spans="3:30" x14ac:dyDescent="0.25">
      <c r="C324" s="26"/>
      <c r="D324" s="26"/>
      <c r="E324" s="26"/>
      <c r="F324" s="26"/>
      <c r="AA324" s="26"/>
      <c r="AB324" s="26"/>
      <c r="AC324" s="26"/>
      <c r="AD324" s="26"/>
    </row>
    <row r="325" spans="3:30" x14ac:dyDescent="0.25">
      <c r="C325" s="26"/>
      <c r="D325" s="26"/>
      <c r="E325" s="26"/>
      <c r="F325" s="26"/>
      <c r="AA325" s="26"/>
      <c r="AB325" s="26"/>
      <c r="AC325" s="26"/>
      <c r="AD325" s="26"/>
    </row>
    <row r="326" spans="3:30" x14ac:dyDescent="0.25">
      <c r="C326" s="26"/>
      <c r="D326" s="26"/>
      <c r="E326" s="26"/>
      <c r="F326" s="26"/>
      <c r="AA326" s="26"/>
      <c r="AB326" s="26"/>
      <c r="AC326" s="26"/>
      <c r="AD326" s="26"/>
    </row>
    <row r="327" spans="3:30" x14ac:dyDescent="0.25">
      <c r="C327" s="26"/>
      <c r="D327" s="26"/>
      <c r="E327" s="26"/>
      <c r="F327" s="26"/>
      <c r="AA327" s="26"/>
      <c r="AB327" s="26"/>
      <c r="AC327" s="26"/>
      <c r="AD327" s="26"/>
    </row>
    <row r="328" spans="3:30" x14ac:dyDescent="0.25">
      <c r="C328" s="26"/>
      <c r="D328" s="26"/>
      <c r="E328" s="26"/>
      <c r="F328" s="26"/>
      <c r="AA328" s="26"/>
      <c r="AB328" s="26"/>
      <c r="AC328" s="26"/>
      <c r="AD328" s="26"/>
    </row>
    <row r="329" spans="3:30" x14ac:dyDescent="0.25">
      <c r="C329" s="26"/>
      <c r="D329" s="26"/>
      <c r="E329" s="26"/>
      <c r="F329" s="26"/>
      <c r="AA329" s="26"/>
      <c r="AB329" s="26"/>
      <c r="AC329" s="26"/>
      <c r="AD329" s="26"/>
    </row>
    <row r="330" spans="3:30" x14ac:dyDescent="0.25">
      <c r="C330" s="26"/>
      <c r="D330" s="26"/>
      <c r="E330" s="26"/>
      <c r="F330" s="26"/>
      <c r="AA330" s="26"/>
      <c r="AB330" s="26"/>
      <c r="AC330" s="26"/>
      <c r="AD330" s="26"/>
    </row>
    <row r="331" spans="3:30" x14ac:dyDescent="0.25">
      <c r="C331" s="26"/>
      <c r="D331" s="26"/>
      <c r="E331" s="26"/>
      <c r="F331" s="26"/>
      <c r="AA331" s="26"/>
      <c r="AB331" s="26"/>
      <c r="AC331" s="26"/>
      <c r="AD331" s="26"/>
    </row>
    <row r="332" spans="3:30" x14ac:dyDescent="0.25">
      <c r="C332" s="26"/>
      <c r="D332" s="26"/>
      <c r="E332" s="26"/>
      <c r="F332" s="26"/>
      <c r="AA332" s="26"/>
      <c r="AB332" s="26"/>
      <c r="AC332" s="26"/>
      <c r="AD332" s="26"/>
    </row>
    <row r="333" spans="3:30" x14ac:dyDescent="0.25">
      <c r="C333" s="26"/>
      <c r="D333" s="26"/>
      <c r="E333" s="26"/>
      <c r="F333" s="26"/>
      <c r="AA333" s="26"/>
      <c r="AB333" s="26"/>
      <c r="AC333" s="26"/>
      <c r="AD333" s="26"/>
    </row>
    <row r="334" spans="3:30" x14ac:dyDescent="0.25">
      <c r="C334" s="26"/>
      <c r="D334" s="26"/>
      <c r="E334" s="26"/>
      <c r="F334" s="26"/>
      <c r="AA334" s="26"/>
      <c r="AB334" s="26"/>
      <c r="AC334" s="26"/>
      <c r="AD334" s="26"/>
    </row>
    <row r="335" spans="3:30" x14ac:dyDescent="0.25">
      <c r="C335" s="26"/>
      <c r="D335" s="26"/>
      <c r="E335" s="26"/>
      <c r="F335" s="26"/>
      <c r="AA335" s="26"/>
      <c r="AB335" s="26"/>
      <c r="AC335" s="26"/>
      <c r="AD335" s="26"/>
    </row>
    <row r="336" spans="3:30" x14ac:dyDescent="0.25">
      <c r="AA336" s="26"/>
      <c r="AB336" s="26"/>
      <c r="AC336" s="26"/>
      <c r="AD336" s="26"/>
    </row>
    <row r="337" spans="27:30" x14ac:dyDescent="0.25">
      <c r="AA337" s="26"/>
      <c r="AB337" s="26"/>
      <c r="AC337" s="26"/>
      <c r="AD337" s="26"/>
    </row>
    <row r="338" spans="27:30" x14ac:dyDescent="0.25">
      <c r="AA338" s="26"/>
      <c r="AB338" s="26"/>
      <c r="AC338" s="26"/>
      <c r="AD338" s="26"/>
    </row>
    <row r="339" spans="27:30" x14ac:dyDescent="0.25">
      <c r="AA339" s="26"/>
      <c r="AB339" s="26"/>
      <c r="AC339" s="26"/>
      <c r="AD339" s="26"/>
    </row>
    <row r="340" spans="27:30" x14ac:dyDescent="0.25">
      <c r="AA340" s="26"/>
      <c r="AB340" s="26"/>
      <c r="AC340" s="26"/>
      <c r="AD340" s="26"/>
    </row>
    <row r="341" spans="27:30" x14ac:dyDescent="0.25">
      <c r="AA341" s="26"/>
      <c r="AB341" s="26"/>
      <c r="AC341" s="26"/>
      <c r="AD341" s="26"/>
    </row>
    <row r="342" spans="27:30" x14ac:dyDescent="0.25">
      <c r="AA342" s="26"/>
      <c r="AB342" s="26"/>
      <c r="AC342" s="26"/>
      <c r="AD342" s="26"/>
    </row>
    <row r="343" spans="27:30" x14ac:dyDescent="0.25">
      <c r="AA343" s="26"/>
      <c r="AB343" s="26"/>
      <c r="AC343" s="26"/>
      <c r="AD343" s="26"/>
    </row>
    <row r="344" spans="27:30" x14ac:dyDescent="0.25">
      <c r="AA344" s="26"/>
      <c r="AB344" s="26"/>
      <c r="AC344" s="26"/>
      <c r="AD344" s="26"/>
    </row>
    <row r="345" spans="27:30" x14ac:dyDescent="0.25">
      <c r="AA345" s="26"/>
      <c r="AB345" s="26"/>
      <c r="AC345" s="26"/>
      <c r="AD345" s="26"/>
    </row>
    <row r="346" spans="27:30" x14ac:dyDescent="0.25">
      <c r="AA346" s="26"/>
      <c r="AB346" s="26"/>
      <c r="AC346" s="26"/>
      <c r="AD346" s="26"/>
    </row>
    <row r="347" spans="27:30" x14ac:dyDescent="0.25">
      <c r="AA347" s="26"/>
      <c r="AB347" s="26"/>
      <c r="AC347" s="26"/>
      <c r="AD347" s="26"/>
    </row>
    <row r="348" spans="27:30" x14ac:dyDescent="0.25">
      <c r="AA348" s="26"/>
      <c r="AB348" s="26"/>
      <c r="AC348" s="26"/>
      <c r="AD348" s="26"/>
    </row>
    <row r="349" spans="27:30" x14ac:dyDescent="0.25">
      <c r="AA349" s="26"/>
      <c r="AB349" s="26"/>
      <c r="AC349" s="26"/>
      <c r="AD349" s="26"/>
    </row>
    <row r="350" spans="27:30" x14ac:dyDescent="0.25">
      <c r="AA350" s="26"/>
      <c r="AB350" s="26"/>
      <c r="AC350" s="26"/>
      <c r="AD350" s="26"/>
    </row>
    <row r="351" spans="27:30" x14ac:dyDescent="0.25">
      <c r="AA351" s="26"/>
      <c r="AB351" s="26"/>
      <c r="AC351" s="26"/>
      <c r="AD351" s="26"/>
    </row>
    <row r="352" spans="27:30" x14ac:dyDescent="0.25">
      <c r="AA352" s="26"/>
      <c r="AB352" s="26"/>
      <c r="AC352" s="26"/>
      <c r="AD352" s="26"/>
    </row>
    <row r="353" spans="27:30" x14ac:dyDescent="0.25">
      <c r="AA353" s="26"/>
      <c r="AB353" s="26"/>
      <c r="AC353" s="26"/>
      <c r="AD353" s="26"/>
    </row>
    <row r="354" spans="27:30" x14ac:dyDescent="0.25">
      <c r="AA354" s="26"/>
      <c r="AB354" s="26"/>
      <c r="AC354" s="26"/>
      <c r="AD354" s="26"/>
    </row>
    <row r="355" spans="27:30" x14ac:dyDescent="0.25">
      <c r="AA355" s="26"/>
      <c r="AB355" s="26"/>
      <c r="AC355" s="26"/>
      <c r="AD355" s="26"/>
    </row>
    <row r="356" spans="27:30" x14ac:dyDescent="0.25">
      <c r="AA356" s="26"/>
      <c r="AB356" s="26"/>
      <c r="AC356" s="26"/>
      <c r="AD356" s="26"/>
    </row>
    <row r="357" spans="27:30" x14ac:dyDescent="0.25">
      <c r="AA357" s="26"/>
      <c r="AB357" s="26"/>
      <c r="AC357" s="26"/>
      <c r="AD357" s="26"/>
    </row>
    <row r="358" spans="27:30" x14ac:dyDescent="0.25">
      <c r="AA358" s="26"/>
      <c r="AB358" s="26"/>
      <c r="AC358" s="26"/>
      <c r="AD358" s="26"/>
    </row>
    <row r="359" spans="27:30" x14ac:dyDescent="0.25">
      <c r="AA359" s="26"/>
      <c r="AB359" s="26"/>
      <c r="AC359" s="26"/>
      <c r="AD359" s="26"/>
    </row>
    <row r="360" spans="27:30" x14ac:dyDescent="0.25">
      <c r="AA360" s="26"/>
      <c r="AB360" s="26"/>
      <c r="AC360" s="26"/>
      <c r="AD360" s="26"/>
    </row>
    <row r="361" spans="27:30" x14ac:dyDescent="0.25">
      <c r="AA361" s="26"/>
      <c r="AB361" s="26"/>
      <c r="AC361" s="26"/>
      <c r="AD361" s="26"/>
    </row>
    <row r="362" spans="27:30" x14ac:dyDescent="0.25">
      <c r="AA362" s="26"/>
      <c r="AB362" s="26"/>
      <c r="AC362" s="26"/>
      <c r="AD362" s="26"/>
    </row>
    <row r="363" spans="27:30" x14ac:dyDescent="0.25">
      <c r="AA363" s="26"/>
      <c r="AB363" s="26"/>
      <c r="AC363" s="26"/>
      <c r="AD363" s="26"/>
    </row>
    <row r="364" spans="27:30" x14ac:dyDescent="0.25">
      <c r="AA364" s="26"/>
      <c r="AB364" s="26"/>
      <c r="AC364" s="26"/>
      <c r="AD364" s="26"/>
    </row>
    <row r="365" spans="27:30" x14ac:dyDescent="0.25">
      <c r="AA365" s="26"/>
      <c r="AB365" s="26"/>
      <c r="AC365" s="26"/>
      <c r="AD365" s="26"/>
    </row>
    <row r="366" spans="27:30" x14ac:dyDescent="0.25">
      <c r="AA366" s="26"/>
      <c r="AB366" s="26"/>
      <c r="AC366" s="26"/>
      <c r="AD366" s="26"/>
    </row>
    <row r="367" spans="27:30" x14ac:dyDescent="0.25">
      <c r="AA367" s="26"/>
      <c r="AB367" s="26"/>
      <c r="AC367" s="26"/>
      <c r="AD367" s="26"/>
    </row>
    <row r="368" spans="27:30" x14ac:dyDescent="0.25">
      <c r="AA368" s="26"/>
      <c r="AB368" s="26"/>
      <c r="AC368" s="26"/>
      <c r="AD368" s="26"/>
    </row>
    <row r="369" spans="27:30" x14ac:dyDescent="0.25">
      <c r="AA369" s="26"/>
      <c r="AB369" s="26"/>
      <c r="AC369" s="26"/>
      <c r="AD369" s="26"/>
    </row>
    <row r="370" spans="27:30" x14ac:dyDescent="0.25">
      <c r="AA370" s="26"/>
      <c r="AB370" s="26"/>
      <c r="AC370" s="26"/>
      <c r="AD370" s="26"/>
    </row>
    <row r="371" spans="27:30" x14ac:dyDescent="0.25">
      <c r="AA371" s="26"/>
      <c r="AB371" s="26"/>
      <c r="AC371" s="26"/>
      <c r="AD371" s="26"/>
    </row>
    <row r="372" spans="27:30" x14ac:dyDescent="0.25">
      <c r="AA372" s="26"/>
      <c r="AB372" s="26"/>
      <c r="AC372" s="26"/>
      <c r="AD372" s="26"/>
    </row>
    <row r="373" spans="27:30" x14ac:dyDescent="0.25">
      <c r="AA373" s="26"/>
      <c r="AB373" s="26"/>
      <c r="AC373" s="26"/>
      <c r="AD373" s="26"/>
    </row>
    <row r="374" spans="27:30" x14ac:dyDescent="0.25">
      <c r="AA374" s="26"/>
      <c r="AB374" s="26"/>
      <c r="AC374" s="26"/>
      <c r="AD374" s="26"/>
    </row>
    <row r="375" spans="27:30" x14ac:dyDescent="0.25">
      <c r="AA375" s="26"/>
      <c r="AB375" s="26"/>
      <c r="AC375" s="26"/>
      <c r="AD375" s="26"/>
    </row>
    <row r="376" spans="27:30" x14ac:dyDescent="0.25">
      <c r="AA376" s="26"/>
      <c r="AB376" s="26"/>
      <c r="AC376" s="26"/>
      <c r="AD376" s="26"/>
    </row>
    <row r="377" spans="27:30" x14ac:dyDescent="0.25">
      <c r="AA377" s="26"/>
      <c r="AB377" s="26"/>
      <c r="AC377" s="26"/>
      <c r="AD377" s="26"/>
    </row>
    <row r="378" spans="27:30" x14ac:dyDescent="0.25">
      <c r="AA378" s="26"/>
      <c r="AB378" s="26"/>
      <c r="AC378" s="26"/>
      <c r="AD378" s="26"/>
    </row>
    <row r="379" spans="27:30" x14ac:dyDescent="0.25">
      <c r="AA379" s="26"/>
      <c r="AB379" s="26"/>
      <c r="AC379" s="26"/>
      <c r="AD379" s="26"/>
    </row>
    <row r="380" spans="27:30" x14ac:dyDescent="0.25">
      <c r="AA380" s="26"/>
      <c r="AB380" s="26"/>
      <c r="AC380" s="26"/>
      <c r="AD380" s="26"/>
    </row>
    <row r="381" spans="27:30" x14ac:dyDescent="0.25">
      <c r="AA381" s="26"/>
      <c r="AB381" s="26"/>
      <c r="AC381" s="26"/>
      <c r="AD381" s="26"/>
    </row>
    <row r="382" spans="27:30" x14ac:dyDescent="0.25">
      <c r="AA382" s="26"/>
      <c r="AB382" s="26"/>
      <c r="AC382" s="26"/>
      <c r="AD382" s="26"/>
    </row>
    <row r="383" spans="27:30" x14ac:dyDescent="0.25">
      <c r="AA383" s="26"/>
      <c r="AB383" s="26"/>
      <c r="AC383" s="26"/>
      <c r="AD383" s="26"/>
    </row>
    <row r="384" spans="27:30" x14ac:dyDescent="0.25">
      <c r="AA384" s="26"/>
      <c r="AB384" s="26"/>
      <c r="AC384" s="26"/>
      <c r="AD384" s="26"/>
    </row>
    <row r="385" spans="27:30" x14ac:dyDescent="0.25">
      <c r="AA385" s="26"/>
      <c r="AB385" s="26"/>
      <c r="AC385" s="26"/>
      <c r="AD385" s="26"/>
    </row>
    <row r="386" spans="27:30" x14ac:dyDescent="0.25">
      <c r="AA386" s="26"/>
      <c r="AB386" s="26"/>
      <c r="AC386" s="26"/>
      <c r="AD386" s="26"/>
    </row>
    <row r="387" spans="27:30" x14ac:dyDescent="0.25">
      <c r="AA387" s="26"/>
      <c r="AB387" s="26"/>
      <c r="AC387" s="26"/>
      <c r="AD387" s="26"/>
    </row>
    <row r="388" spans="27:30" x14ac:dyDescent="0.25">
      <c r="AA388" s="26"/>
      <c r="AB388" s="26"/>
      <c r="AC388" s="26"/>
      <c r="AD388" s="26"/>
    </row>
    <row r="389" spans="27:30" x14ac:dyDescent="0.25">
      <c r="AA389" s="26"/>
      <c r="AB389" s="26"/>
      <c r="AC389" s="26"/>
      <c r="AD389" s="26"/>
    </row>
    <row r="390" spans="27:30" x14ac:dyDescent="0.25">
      <c r="AA390" s="26"/>
      <c r="AB390" s="26"/>
      <c r="AC390" s="26"/>
      <c r="AD390" s="26"/>
    </row>
    <row r="391" spans="27:30" x14ac:dyDescent="0.25">
      <c r="AA391" s="26"/>
      <c r="AB391" s="26"/>
      <c r="AC391" s="26"/>
      <c r="AD391" s="26"/>
    </row>
    <row r="392" spans="27:30" x14ac:dyDescent="0.25">
      <c r="AA392" s="26"/>
      <c r="AB392" s="26"/>
      <c r="AC392" s="26"/>
      <c r="AD392" s="26"/>
    </row>
    <row r="393" spans="27:30" x14ac:dyDescent="0.25">
      <c r="AA393" s="26"/>
      <c r="AB393" s="26"/>
      <c r="AC393" s="26"/>
      <c r="AD393" s="26"/>
    </row>
    <row r="394" spans="27:30" x14ac:dyDescent="0.25">
      <c r="AA394" s="26"/>
      <c r="AB394" s="26"/>
      <c r="AC394" s="26"/>
      <c r="AD394" s="26"/>
    </row>
    <row r="395" spans="27:30" x14ac:dyDescent="0.25">
      <c r="AA395" s="26"/>
      <c r="AB395" s="26"/>
      <c r="AC395" s="26"/>
      <c r="AD395" s="26"/>
    </row>
    <row r="396" spans="27:30" x14ac:dyDescent="0.25">
      <c r="AA396" s="26"/>
      <c r="AB396" s="26"/>
      <c r="AC396" s="26"/>
      <c r="AD396" s="26"/>
    </row>
    <row r="397" spans="27:30" x14ac:dyDescent="0.25">
      <c r="AA397" s="26"/>
      <c r="AB397" s="26"/>
      <c r="AC397" s="26"/>
      <c r="AD397" s="26"/>
    </row>
    <row r="398" spans="27:30" x14ac:dyDescent="0.25">
      <c r="AA398" s="26"/>
      <c r="AB398" s="26"/>
      <c r="AC398" s="26"/>
      <c r="AD398" s="26"/>
    </row>
    <row r="399" spans="27:30" x14ac:dyDescent="0.25">
      <c r="AA399" s="26"/>
      <c r="AB399" s="26"/>
      <c r="AC399" s="26"/>
      <c r="AD399" s="26"/>
    </row>
    <row r="400" spans="27:30" x14ac:dyDescent="0.25">
      <c r="AA400" s="26"/>
      <c r="AB400" s="26"/>
      <c r="AC400" s="26"/>
      <c r="AD400" s="26"/>
    </row>
    <row r="401" spans="27:30" x14ac:dyDescent="0.25">
      <c r="AA401" s="26"/>
      <c r="AB401" s="26"/>
      <c r="AC401" s="26"/>
      <c r="AD401" s="26"/>
    </row>
    <row r="402" spans="27:30" x14ac:dyDescent="0.25">
      <c r="AA402" s="26"/>
      <c r="AB402" s="26"/>
      <c r="AC402" s="26"/>
      <c r="AD402" s="26"/>
    </row>
    <row r="403" spans="27:30" x14ac:dyDescent="0.25">
      <c r="AA403" s="26"/>
      <c r="AB403" s="26"/>
      <c r="AC403" s="26"/>
      <c r="AD403" s="26"/>
    </row>
    <row r="404" spans="27:30" x14ac:dyDescent="0.25">
      <c r="AA404" s="26"/>
      <c r="AB404" s="26"/>
      <c r="AC404" s="26"/>
      <c r="AD404" s="26"/>
    </row>
    <row r="405" spans="27:30" x14ac:dyDescent="0.25">
      <c r="AA405" s="26"/>
      <c r="AB405" s="26"/>
      <c r="AC405" s="26"/>
      <c r="AD405" s="26"/>
    </row>
    <row r="406" spans="27:30" x14ac:dyDescent="0.25">
      <c r="AA406" s="26"/>
      <c r="AB406" s="26"/>
      <c r="AC406" s="26"/>
      <c r="AD406" s="26"/>
    </row>
    <row r="407" spans="27:30" x14ac:dyDescent="0.25">
      <c r="AA407" s="26"/>
      <c r="AB407" s="26"/>
      <c r="AC407" s="26"/>
      <c r="AD407" s="26"/>
    </row>
    <row r="408" spans="27:30" x14ac:dyDescent="0.25">
      <c r="AA408" s="26"/>
      <c r="AB408" s="26"/>
      <c r="AC408" s="26"/>
      <c r="AD408" s="26"/>
    </row>
    <row r="409" spans="27:30" x14ac:dyDescent="0.25">
      <c r="AA409" s="26"/>
      <c r="AB409" s="26"/>
      <c r="AC409" s="26"/>
      <c r="AD409" s="26"/>
    </row>
    <row r="410" spans="27:30" x14ac:dyDescent="0.25">
      <c r="AA410" s="26"/>
      <c r="AB410" s="26"/>
      <c r="AC410" s="26"/>
      <c r="AD410" s="26"/>
    </row>
    <row r="411" spans="27:30" x14ac:dyDescent="0.25">
      <c r="AA411" s="26"/>
      <c r="AB411" s="26"/>
      <c r="AC411" s="26"/>
      <c r="AD411" s="26"/>
    </row>
    <row r="412" spans="27:30" x14ac:dyDescent="0.25">
      <c r="AA412" s="26"/>
      <c r="AB412" s="26"/>
      <c r="AC412" s="26"/>
      <c r="AD412" s="26"/>
    </row>
    <row r="413" spans="27:30" x14ac:dyDescent="0.25">
      <c r="AA413" s="26"/>
      <c r="AB413" s="26"/>
      <c r="AC413" s="26"/>
      <c r="AD413" s="26"/>
    </row>
    <row r="414" spans="27:30" x14ac:dyDescent="0.25">
      <c r="AA414" s="26"/>
      <c r="AB414" s="26"/>
      <c r="AC414" s="26"/>
      <c r="AD414" s="26"/>
    </row>
    <row r="415" spans="27:30" x14ac:dyDescent="0.25">
      <c r="AA415" s="26"/>
      <c r="AB415" s="26"/>
      <c r="AC415" s="26"/>
      <c r="AD415" s="26"/>
    </row>
    <row r="416" spans="27:30" x14ac:dyDescent="0.25">
      <c r="AA416" s="26"/>
      <c r="AB416" s="26"/>
      <c r="AC416" s="26"/>
      <c r="AD416" s="26"/>
    </row>
    <row r="417" spans="27:30" x14ac:dyDescent="0.25">
      <c r="AA417" s="26"/>
      <c r="AB417" s="26"/>
      <c r="AC417" s="26"/>
      <c r="AD417" s="26"/>
    </row>
    <row r="418" spans="27:30" x14ac:dyDescent="0.25">
      <c r="AA418" s="26"/>
      <c r="AB418" s="26"/>
      <c r="AC418" s="26"/>
      <c r="AD418" s="26"/>
    </row>
    <row r="419" spans="27:30" x14ac:dyDescent="0.25">
      <c r="AA419" s="26"/>
      <c r="AB419" s="26"/>
      <c r="AC419" s="26"/>
      <c r="AD419" s="26"/>
    </row>
    <row r="420" spans="27:30" x14ac:dyDescent="0.25">
      <c r="AA420" s="26"/>
      <c r="AB420" s="26"/>
      <c r="AC420" s="26"/>
      <c r="AD420" s="26"/>
    </row>
    <row r="421" spans="27:30" x14ac:dyDescent="0.25">
      <c r="AA421" s="26"/>
      <c r="AB421" s="26"/>
      <c r="AC421" s="26"/>
      <c r="AD421" s="26"/>
    </row>
    <row r="422" spans="27:30" x14ac:dyDescent="0.25">
      <c r="AA422" s="26"/>
      <c r="AB422" s="26"/>
      <c r="AC422" s="26"/>
      <c r="AD422" s="26"/>
    </row>
    <row r="423" spans="27:30" x14ac:dyDescent="0.25">
      <c r="AA423" s="26"/>
      <c r="AB423" s="26"/>
      <c r="AC423" s="26"/>
      <c r="AD423" s="26"/>
    </row>
    <row r="424" spans="27:30" x14ac:dyDescent="0.25">
      <c r="AA424" s="26"/>
      <c r="AB424" s="26"/>
      <c r="AC424" s="26"/>
      <c r="AD424" s="26"/>
    </row>
    <row r="425" spans="27:30" x14ac:dyDescent="0.25">
      <c r="AA425" s="26"/>
      <c r="AB425" s="26"/>
      <c r="AC425" s="26"/>
      <c r="AD425" s="26"/>
    </row>
    <row r="426" spans="27:30" x14ac:dyDescent="0.25">
      <c r="AA426" s="26"/>
      <c r="AB426" s="26"/>
      <c r="AC426" s="26"/>
      <c r="AD426" s="26"/>
    </row>
    <row r="427" spans="27:30" x14ac:dyDescent="0.25">
      <c r="AA427" s="26"/>
      <c r="AB427" s="26"/>
      <c r="AC427" s="26"/>
      <c r="AD427" s="26"/>
    </row>
    <row r="428" spans="27:30" x14ac:dyDescent="0.25">
      <c r="AA428" s="26"/>
      <c r="AB428" s="26"/>
      <c r="AC428" s="26"/>
      <c r="AD428" s="26"/>
    </row>
    <row r="429" spans="27:30" x14ac:dyDescent="0.25">
      <c r="AA429" s="26"/>
      <c r="AB429" s="26"/>
      <c r="AC429" s="26"/>
      <c r="AD429" s="26"/>
    </row>
    <row r="430" spans="27:30" x14ac:dyDescent="0.25">
      <c r="AA430" s="26"/>
      <c r="AB430" s="26"/>
      <c r="AC430" s="26"/>
      <c r="AD430" s="26"/>
    </row>
    <row r="431" spans="27:30" x14ac:dyDescent="0.25">
      <c r="AA431" s="26"/>
      <c r="AB431" s="26"/>
      <c r="AC431" s="26"/>
      <c r="AD431" s="26"/>
    </row>
    <row r="432" spans="27:30" x14ac:dyDescent="0.25">
      <c r="AA432" s="26"/>
      <c r="AB432" s="26"/>
      <c r="AC432" s="26"/>
      <c r="AD432" s="26"/>
    </row>
    <row r="433" spans="27:30" x14ac:dyDescent="0.25">
      <c r="AA433" s="26"/>
      <c r="AB433" s="26"/>
      <c r="AC433" s="26"/>
      <c r="AD433" s="26"/>
    </row>
    <row r="434" spans="27:30" x14ac:dyDescent="0.25">
      <c r="AA434" s="26"/>
      <c r="AB434" s="26"/>
      <c r="AC434" s="26"/>
      <c r="AD434" s="26"/>
    </row>
    <row r="435" spans="27:30" x14ac:dyDescent="0.25">
      <c r="AA435" s="26"/>
      <c r="AB435" s="26"/>
      <c r="AC435" s="26"/>
      <c r="AD435" s="26"/>
    </row>
    <row r="436" spans="27:30" x14ac:dyDescent="0.25">
      <c r="AA436" s="26"/>
      <c r="AB436" s="26"/>
      <c r="AC436" s="26"/>
      <c r="AD436" s="26"/>
    </row>
    <row r="437" spans="27:30" x14ac:dyDescent="0.25">
      <c r="AA437" s="26"/>
      <c r="AB437" s="26"/>
      <c r="AC437" s="26"/>
      <c r="AD437" s="26"/>
    </row>
    <row r="438" spans="27:30" x14ac:dyDescent="0.25">
      <c r="AA438" s="26"/>
      <c r="AB438" s="26"/>
      <c r="AC438" s="26"/>
      <c r="AD438" s="26"/>
    </row>
    <row r="439" spans="27:30" x14ac:dyDescent="0.25">
      <c r="AA439" s="26"/>
      <c r="AB439" s="26"/>
      <c r="AC439" s="26"/>
      <c r="AD439" s="26"/>
    </row>
    <row r="440" spans="27:30" x14ac:dyDescent="0.25">
      <c r="AA440" s="26"/>
      <c r="AB440" s="26"/>
      <c r="AC440" s="26"/>
      <c r="AD440" s="26"/>
    </row>
    <row r="441" spans="27:30" x14ac:dyDescent="0.25">
      <c r="AA441" s="26"/>
      <c r="AB441" s="26"/>
      <c r="AC441" s="26"/>
      <c r="AD441" s="26"/>
    </row>
    <row r="442" spans="27:30" x14ac:dyDescent="0.25">
      <c r="AA442" s="26"/>
      <c r="AB442" s="26"/>
      <c r="AC442" s="26"/>
      <c r="AD442" s="26"/>
    </row>
    <row r="443" spans="27:30" x14ac:dyDescent="0.25">
      <c r="AA443" s="26"/>
      <c r="AB443" s="26"/>
      <c r="AC443" s="26"/>
      <c r="AD443" s="26"/>
    </row>
    <row r="444" spans="27:30" x14ac:dyDescent="0.25">
      <c r="AA444" s="26"/>
      <c r="AB444" s="26"/>
      <c r="AC444" s="26"/>
      <c r="AD444" s="26"/>
    </row>
    <row r="445" spans="27:30" x14ac:dyDescent="0.25">
      <c r="AA445" s="26"/>
      <c r="AB445" s="26"/>
      <c r="AC445" s="26"/>
      <c r="AD445" s="26"/>
    </row>
    <row r="446" spans="27:30" x14ac:dyDescent="0.25">
      <c r="AA446" s="26"/>
      <c r="AB446" s="26"/>
      <c r="AC446" s="26"/>
      <c r="AD446" s="26"/>
    </row>
    <row r="447" spans="27:30" x14ac:dyDescent="0.25">
      <c r="AA447" s="26"/>
      <c r="AB447" s="26"/>
      <c r="AC447" s="26"/>
      <c r="AD447" s="26"/>
    </row>
    <row r="448" spans="27:30" x14ac:dyDescent="0.25">
      <c r="AA448" s="26"/>
      <c r="AB448" s="26"/>
      <c r="AC448" s="26"/>
      <c r="AD448" s="26"/>
    </row>
    <row r="449" spans="27:30" x14ac:dyDescent="0.25">
      <c r="AA449" s="26"/>
      <c r="AB449" s="26"/>
      <c r="AC449" s="26"/>
      <c r="AD449" s="26"/>
    </row>
    <row r="450" spans="27:30" x14ac:dyDescent="0.25">
      <c r="AA450" s="26"/>
      <c r="AB450" s="26"/>
      <c r="AC450" s="26"/>
      <c r="AD450" s="26"/>
    </row>
    <row r="451" spans="27:30" x14ac:dyDescent="0.25">
      <c r="AA451" s="26"/>
      <c r="AB451" s="26"/>
      <c r="AC451" s="26"/>
      <c r="AD451" s="26"/>
    </row>
    <row r="452" spans="27:30" x14ac:dyDescent="0.25">
      <c r="AA452" s="26"/>
      <c r="AB452" s="26"/>
      <c r="AC452" s="26"/>
      <c r="AD452" s="26"/>
    </row>
    <row r="453" spans="27:30" x14ac:dyDescent="0.25">
      <c r="AA453" s="26"/>
      <c r="AB453" s="26"/>
      <c r="AC453" s="26"/>
      <c r="AD453" s="26"/>
    </row>
    <row r="454" spans="27:30" x14ac:dyDescent="0.25">
      <c r="AA454" s="26"/>
      <c r="AB454" s="26"/>
      <c r="AC454" s="26"/>
      <c r="AD454" s="26"/>
    </row>
    <row r="455" spans="27:30" x14ac:dyDescent="0.25">
      <c r="AA455" s="26"/>
      <c r="AB455" s="26"/>
      <c r="AC455" s="26"/>
      <c r="AD455" s="26"/>
    </row>
    <row r="456" spans="27:30" x14ac:dyDescent="0.25">
      <c r="AA456" s="26"/>
      <c r="AB456" s="26"/>
      <c r="AC456" s="26"/>
      <c r="AD456" s="26"/>
    </row>
    <row r="457" spans="27:30" x14ac:dyDescent="0.25">
      <c r="AA457" s="26"/>
      <c r="AB457" s="26"/>
      <c r="AC457" s="26"/>
      <c r="AD457" s="26"/>
    </row>
    <row r="458" spans="27:30" x14ac:dyDescent="0.25">
      <c r="AA458" s="26"/>
      <c r="AB458" s="26"/>
      <c r="AC458" s="26"/>
      <c r="AD458" s="26"/>
    </row>
    <row r="459" spans="27:30" x14ac:dyDescent="0.25">
      <c r="AA459" s="26"/>
      <c r="AB459" s="26"/>
      <c r="AC459" s="26"/>
      <c r="AD459" s="26"/>
    </row>
    <row r="460" spans="27:30" x14ac:dyDescent="0.25">
      <c r="AA460" s="26"/>
      <c r="AB460" s="26"/>
      <c r="AC460" s="26"/>
      <c r="AD460" s="26"/>
    </row>
    <row r="461" spans="27:30" x14ac:dyDescent="0.25">
      <c r="AA461" s="26"/>
      <c r="AB461" s="26"/>
      <c r="AC461" s="26"/>
      <c r="AD461" s="26"/>
    </row>
    <row r="462" spans="27:30" x14ac:dyDescent="0.25">
      <c r="AA462" s="26"/>
      <c r="AB462" s="26"/>
      <c r="AC462" s="26"/>
      <c r="AD462" s="26"/>
    </row>
    <row r="463" spans="27:30" x14ac:dyDescent="0.25">
      <c r="AA463" s="26"/>
      <c r="AB463" s="26"/>
      <c r="AC463" s="26"/>
      <c r="AD463" s="26"/>
    </row>
    <row r="464" spans="27:30" x14ac:dyDescent="0.25">
      <c r="AA464" s="26"/>
      <c r="AB464" s="26"/>
      <c r="AC464" s="26"/>
      <c r="AD464" s="26"/>
    </row>
    <row r="465" spans="27:30" x14ac:dyDescent="0.25">
      <c r="AA465" s="26"/>
      <c r="AB465" s="26"/>
      <c r="AC465" s="26"/>
      <c r="AD465" s="26"/>
    </row>
    <row r="466" spans="27:30" x14ac:dyDescent="0.25">
      <c r="AA466" s="26"/>
      <c r="AB466" s="26"/>
      <c r="AC466" s="26"/>
      <c r="AD466" s="26"/>
    </row>
    <row r="467" spans="27:30" x14ac:dyDescent="0.25">
      <c r="AA467" s="26"/>
      <c r="AB467" s="26"/>
      <c r="AC467" s="26"/>
      <c r="AD467" s="26"/>
    </row>
    <row r="468" spans="27:30" x14ac:dyDescent="0.25">
      <c r="AA468" s="26"/>
      <c r="AB468" s="26"/>
      <c r="AC468" s="26"/>
      <c r="AD468" s="26"/>
    </row>
    <row r="469" spans="27:30" x14ac:dyDescent="0.25">
      <c r="AA469" s="26"/>
      <c r="AB469" s="26"/>
      <c r="AC469" s="26"/>
      <c r="AD469" s="26"/>
    </row>
    <row r="470" spans="27:30" x14ac:dyDescent="0.25">
      <c r="AA470" s="26"/>
      <c r="AB470" s="26"/>
      <c r="AC470" s="26"/>
      <c r="AD470" s="26"/>
    </row>
    <row r="471" spans="27:30" x14ac:dyDescent="0.25">
      <c r="AA471" s="26"/>
      <c r="AB471" s="26"/>
      <c r="AC471" s="26"/>
      <c r="AD471" s="26"/>
    </row>
    <row r="472" spans="27:30" x14ac:dyDescent="0.25">
      <c r="AA472" s="26"/>
      <c r="AB472" s="26"/>
      <c r="AC472" s="26"/>
      <c r="AD472" s="26"/>
    </row>
    <row r="473" spans="27:30" x14ac:dyDescent="0.25">
      <c r="AA473" s="26"/>
      <c r="AB473" s="26"/>
      <c r="AC473" s="26"/>
      <c r="AD473" s="26"/>
    </row>
    <row r="474" spans="27:30" x14ac:dyDescent="0.25">
      <c r="AA474" s="26"/>
      <c r="AB474" s="26"/>
      <c r="AC474" s="26"/>
      <c r="AD474" s="26"/>
    </row>
    <row r="475" spans="27:30" x14ac:dyDescent="0.25">
      <c r="AA475" s="26"/>
      <c r="AB475" s="26"/>
      <c r="AC475" s="26"/>
      <c r="AD475" s="26"/>
    </row>
    <row r="476" spans="27:30" x14ac:dyDescent="0.25">
      <c r="AA476" s="26"/>
      <c r="AB476" s="26"/>
      <c r="AC476" s="26"/>
      <c r="AD476" s="26"/>
    </row>
    <row r="477" spans="27:30" x14ac:dyDescent="0.25">
      <c r="AA477" s="26"/>
      <c r="AB477" s="26"/>
      <c r="AC477" s="26"/>
      <c r="AD477" s="26"/>
    </row>
    <row r="478" spans="27:30" x14ac:dyDescent="0.25">
      <c r="AA478" s="26"/>
      <c r="AB478" s="26"/>
      <c r="AC478" s="26"/>
      <c r="AD478" s="26"/>
    </row>
    <row r="479" spans="27:30" x14ac:dyDescent="0.25">
      <c r="AA479" s="26"/>
      <c r="AB479" s="26"/>
      <c r="AC479" s="26"/>
      <c r="AD479" s="26"/>
    </row>
    <row r="480" spans="27:30" x14ac:dyDescent="0.25">
      <c r="AA480" s="26"/>
      <c r="AB480" s="26"/>
      <c r="AC480" s="26"/>
      <c r="AD480" s="26"/>
    </row>
    <row r="481" spans="27:30" x14ac:dyDescent="0.25">
      <c r="AA481" s="26"/>
      <c r="AB481" s="26"/>
      <c r="AC481" s="26"/>
      <c r="AD481" s="26"/>
    </row>
    <row r="482" spans="27:30" x14ac:dyDescent="0.25">
      <c r="AA482" s="26"/>
      <c r="AB482" s="26"/>
      <c r="AC482" s="26"/>
      <c r="AD482" s="26"/>
    </row>
    <row r="483" spans="27:30" x14ac:dyDescent="0.25">
      <c r="AA483" s="26"/>
      <c r="AB483" s="26"/>
      <c r="AC483" s="26"/>
      <c r="AD483" s="26"/>
    </row>
    <row r="484" spans="27:30" x14ac:dyDescent="0.25">
      <c r="AA484" s="26"/>
      <c r="AB484" s="26"/>
      <c r="AC484" s="26"/>
      <c r="AD484" s="26"/>
    </row>
    <row r="485" spans="27:30" x14ac:dyDescent="0.25">
      <c r="AA485" s="26"/>
      <c r="AB485" s="26"/>
      <c r="AC485" s="26"/>
      <c r="AD485" s="26"/>
    </row>
    <row r="486" spans="27:30" x14ac:dyDescent="0.25">
      <c r="AA486" s="26"/>
      <c r="AB486" s="26"/>
      <c r="AC486" s="26"/>
      <c r="AD486" s="26"/>
    </row>
    <row r="487" spans="27:30" x14ac:dyDescent="0.25">
      <c r="AA487" s="26"/>
      <c r="AB487" s="26"/>
      <c r="AC487" s="26"/>
      <c r="AD487" s="26"/>
    </row>
    <row r="488" spans="27:30" x14ac:dyDescent="0.25">
      <c r="AA488" s="26"/>
      <c r="AB488" s="26"/>
      <c r="AC488" s="26"/>
      <c r="AD488" s="26"/>
    </row>
    <row r="489" spans="27:30" x14ac:dyDescent="0.25">
      <c r="AA489" s="26"/>
      <c r="AB489" s="26"/>
      <c r="AC489" s="26"/>
      <c r="AD489" s="26"/>
    </row>
    <row r="490" spans="27:30" x14ac:dyDescent="0.25">
      <c r="AA490" s="26"/>
      <c r="AB490" s="26"/>
      <c r="AC490" s="26"/>
      <c r="AD490" s="26"/>
    </row>
    <row r="491" spans="27:30" x14ac:dyDescent="0.25">
      <c r="AA491" s="26"/>
      <c r="AB491" s="26"/>
      <c r="AC491" s="26"/>
      <c r="AD491" s="26"/>
    </row>
    <row r="492" spans="27:30" x14ac:dyDescent="0.25">
      <c r="AA492" s="26"/>
      <c r="AB492" s="26"/>
      <c r="AC492" s="26"/>
      <c r="AD492" s="26"/>
    </row>
    <row r="493" spans="27:30" x14ac:dyDescent="0.25">
      <c r="AA493" s="26"/>
      <c r="AB493" s="26"/>
      <c r="AC493" s="26"/>
      <c r="AD493" s="26"/>
    </row>
    <row r="494" spans="27:30" x14ac:dyDescent="0.25">
      <c r="AA494" s="26"/>
      <c r="AB494" s="26"/>
      <c r="AC494" s="26"/>
      <c r="AD494" s="26"/>
    </row>
    <row r="495" spans="27:30" x14ac:dyDescent="0.25">
      <c r="AA495" s="26"/>
      <c r="AB495" s="26"/>
      <c r="AC495" s="26"/>
      <c r="AD495" s="26"/>
    </row>
    <row r="496" spans="27:30" x14ac:dyDescent="0.25">
      <c r="AA496" s="26"/>
      <c r="AB496" s="26"/>
      <c r="AC496" s="26"/>
      <c r="AD496" s="26"/>
    </row>
    <row r="497" spans="27:30" x14ac:dyDescent="0.25">
      <c r="AA497" s="26"/>
      <c r="AB497" s="26"/>
      <c r="AC497" s="26"/>
      <c r="AD497" s="26"/>
    </row>
    <row r="498" spans="27:30" x14ac:dyDescent="0.25">
      <c r="AA498" s="26"/>
      <c r="AB498" s="26"/>
      <c r="AC498" s="26"/>
      <c r="AD498" s="26"/>
    </row>
    <row r="499" spans="27:30" x14ac:dyDescent="0.25">
      <c r="AA499" s="26"/>
      <c r="AB499" s="26"/>
      <c r="AC499" s="26"/>
      <c r="AD499" s="26"/>
    </row>
    <row r="500" spans="27:30" x14ac:dyDescent="0.25">
      <c r="AA500" s="26"/>
      <c r="AB500" s="26"/>
      <c r="AC500" s="26"/>
      <c r="AD500" s="26"/>
    </row>
    <row r="501" spans="27:30" x14ac:dyDescent="0.25">
      <c r="AA501" s="26"/>
      <c r="AB501" s="26"/>
      <c r="AC501" s="26"/>
      <c r="AD501" s="26"/>
    </row>
    <row r="502" spans="27:30" x14ac:dyDescent="0.25">
      <c r="AA502" s="26"/>
      <c r="AB502" s="26"/>
      <c r="AC502" s="26"/>
      <c r="AD502" s="26"/>
    </row>
    <row r="503" spans="27:30" x14ac:dyDescent="0.25">
      <c r="AA503" s="26"/>
      <c r="AB503" s="26"/>
      <c r="AC503" s="26"/>
      <c r="AD503" s="26"/>
    </row>
    <row r="504" spans="27:30" x14ac:dyDescent="0.25">
      <c r="AA504" s="26"/>
      <c r="AB504" s="26"/>
      <c r="AC504" s="26"/>
      <c r="AD504" s="26"/>
    </row>
    <row r="505" spans="27:30" x14ac:dyDescent="0.25">
      <c r="AA505" s="26"/>
      <c r="AB505" s="26"/>
      <c r="AC505" s="26"/>
      <c r="AD505" s="26"/>
    </row>
    <row r="506" spans="27:30" x14ac:dyDescent="0.25">
      <c r="AA506" s="26"/>
      <c r="AB506" s="26"/>
      <c r="AC506" s="26"/>
      <c r="AD506" s="26"/>
    </row>
    <row r="507" spans="27:30" x14ac:dyDescent="0.25">
      <c r="AA507" s="26"/>
      <c r="AB507" s="26"/>
      <c r="AC507" s="26"/>
      <c r="AD507" s="26"/>
    </row>
    <row r="508" spans="27:30" x14ac:dyDescent="0.25">
      <c r="AA508" s="26"/>
      <c r="AB508" s="26"/>
      <c r="AC508" s="26"/>
      <c r="AD508" s="26"/>
    </row>
    <row r="509" spans="27:30" x14ac:dyDescent="0.25">
      <c r="AA509" s="26"/>
      <c r="AB509" s="26"/>
      <c r="AC509" s="26"/>
      <c r="AD509" s="26"/>
    </row>
    <row r="510" spans="27:30" x14ac:dyDescent="0.25">
      <c r="AA510" s="26"/>
      <c r="AB510" s="26"/>
      <c r="AC510" s="26"/>
      <c r="AD510" s="26"/>
    </row>
    <row r="511" spans="27:30" x14ac:dyDescent="0.25">
      <c r="AA511" s="26"/>
      <c r="AB511" s="26"/>
      <c r="AC511" s="26"/>
      <c r="AD511" s="26"/>
    </row>
    <row r="512" spans="27:30" x14ac:dyDescent="0.25">
      <c r="AA512" s="26"/>
      <c r="AB512" s="26"/>
      <c r="AC512" s="26"/>
      <c r="AD512" s="26"/>
    </row>
    <row r="513" spans="27:30" x14ac:dyDescent="0.25">
      <c r="AA513" s="26"/>
      <c r="AB513" s="26"/>
      <c r="AC513" s="26"/>
      <c r="AD513" s="26"/>
    </row>
    <row r="514" spans="27:30" x14ac:dyDescent="0.25">
      <c r="AA514" s="26"/>
      <c r="AB514" s="26"/>
      <c r="AC514" s="26"/>
      <c r="AD514" s="26"/>
    </row>
    <row r="515" spans="27:30" x14ac:dyDescent="0.25">
      <c r="AA515" s="26"/>
      <c r="AB515" s="26"/>
      <c r="AC515" s="26"/>
      <c r="AD515" s="26"/>
    </row>
    <row r="516" spans="27:30" x14ac:dyDescent="0.25">
      <c r="AA516" s="26"/>
      <c r="AB516" s="26"/>
      <c r="AC516" s="26"/>
      <c r="AD516" s="26"/>
    </row>
    <row r="517" spans="27:30" x14ac:dyDescent="0.25">
      <c r="AA517" s="26"/>
      <c r="AB517" s="26"/>
      <c r="AC517" s="26"/>
      <c r="AD517" s="26"/>
    </row>
    <row r="518" spans="27:30" x14ac:dyDescent="0.25">
      <c r="AA518" s="26"/>
      <c r="AB518" s="26"/>
      <c r="AC518" s="26"/>
      <c r="AD518" s="26"/>
    </row>
    <row r="519" spans="27:30" x14ac:dyDescent="0.25">
      <c r="AA519" s="26"/>
      <c r="AB519" s="26"/>
      <c r="AC519" s="26"/>
      <c r="AD519" s="26"/>
    </row>
    <row r="520" spans="27:30" x14ac:dyDescent="0.25">
      <c r="AA520" s="26"/>
      <c r="AB520" s="26"/>
      <c r="AC520" s="26"/>
      <c r="AD520" s="26"/>
    </row>
    <row r="521" spans="27:30" x14ac:dyDescent="0.25">
      <c r="AA521" s="26"/>
      <c r="AB521" s="26"/>
      <c r="AC521" s="26"/>
      <c r="AD521" s="26"/>
    </row>
    <row r="522" spans="27:30" x14ac:dyDescent="0.25">
      <c r="AA522" s="26"/>
      <c r="AB522" s="26"/>
      <c r="AC522" s="26"/>
      <c r="AD522" s="26"/>
    </row>
    <row r="523" spans="27:30" x14ac:dyDescent="0.25">
      <c r="AA523" s="26"/>
      <c r="AB523" s="26"/>
      <c r="AC523" s="26"/>
      <c r="AD523" s="26"/>
    </row>
    <row r="524" spans="27:30" x14ac:dyDescent="0.25">
      <c r="AA524" s="26"/>
      <c r="AB524" s="26"/>
      <c r="AC524" s="26"/>
      <c r="AD524" s="26"/>
    </row>
    <row r="525" spans="27:30" x14ac:dyDescent="0.25">
      <c r="AA525" s="26"/>
      <c r="AB525" s="26"/>
      <c r="AC525" s="26"/>
      <c r="AD525" s="26"/>
    </row>
    <row r="526" spans="27:30" x14ac:dyDescent="0.25">
      <c r="AA526" s="26"/>
      <c r="AB526" s="26"/>
      <c r="AC526" s="26"/>
      <c r="AD526" s="26"/>
    </row>
    <row r="527" spans="27:30" x14ac:dyDescent="0.25">
      <c r="AA527" s="26"/>
      <c r="AB527" s="26"/>
      <c r="AC527" s="26"/>
      <c r="AD527" s="26"/>
    </row>
    <row r="528" spans="27:30" x14ac:dyDescent="0.25">
      <c r="AA528" s="26"/>
      <c r="AB528" s="26"/>
      <c r="AC528" s="26"/>
      <c r="AD528" s="26"/>
    </row>
    <row r="529" spans="27:30" x14ac:dyDescent="0.25">
      <c r="AA529" s="26"/>
      <c r="AB529" s="26"/>
      <c r="AC529" s="26"/>
      <c r="AD529" s="26"/>
    </row>
    <row r="530" spans="27:30" x14ac:dyDescent="0.25">
      <c r="AA530" s="26"/>
      <c r="AB530" s="26"/>
      <c r="AC530" s="26"/>
      <c r="AD530" s="26"/>
    </row>
    <row r="531" spans="27:30" x14ac:dyDescent="0.25">
      <c r="AA531" s="26"/>
      <c r="AB531" s="26"/>
      <c r="AC531" s="26"/>
      <c r="AD531" s="26"/>
    </row>
    <row r="532" spans="27:30" x14ac:dyDescent="0.25">
      <c r="AA532" s="26"/>
      <c r="AB532" s="26"/>
      <c r="AC532" s="26"/>
      <c r="AD532" s="26"/>
    </row>
    <row r="533" spans="27:30" x14ac:dyDescent="0.25">
      <c r="AA533" s="26"/>
      <c r="AB533" s="26"/>
      <c r="AC533" s="26"/>
      <c r="AD533" s="26"/>
    </row>
    <row r="534" spans="27:30" x14ac:dyDescent="0.25">
      <c r="AA534" s="26"/>
      <c r="AB534" s="26"/>
      <c r="AC534" s="26"/>
      <c r="AD534" s="26"/>
    </row>
    <row r="535" spans="27:30" x14ac:dyDescent="0.25">
      <c r="AA535" s="26"/>
      <c r="AB535" s="26"/>
      <c r="AC535" s="26"/>
      <c r="AD535" s="26"/>
    </row>
    <row r="536" spans="27:30" x14ac:dyDescent="0.25">
      <c r="AA536" s="26"/>
      <c r="AB536" s="26"/>
      <c r="AC536" s="26"/>
      <c r="AD536" s="26"/>
    </row>
    <row r="537" spans="27:30" x14ac:dyDescent="0.25">
      <c r="AA537" s="26"/>
      <c r="AB537" s="26"/>
      <c r="AC537" s="26"/>
      <c r="AD537" s="26"/>
    </row>
    <row r="538" spans="27:30" x14ac:dyDescent="0.25">
      <c r="AA538" s="26"/>
      <c r="AB538" s="26"/>
      <c r="AC538" s="26"/>
      <c r="AD538" s="26"/>
    </row>
    <row r="539" spans="27:30" x14ac:dyDescent="0.25">
      <c r="AA539" s="26"/>
      <c r="AB539" s="26"/>
      <c r="AC539" s="26"/>
      <c r="AD539" s="26"/>
    </row>
    <row r="540" spans="27:30" x14ac:dyDescent="0.25">
      <c r="AA540" s="26"/>
      <c r="AB540" s="26"/>
      <c r="AC540" s="26"/>
      <c r="AD540" s="26"/>
    </row>
    <row r="541" spans="27:30" x14ac:dyDescent="0.25">
      <c r="AA541" s="26"/>
      <c r="AB541" s="26"/>
      <c r="AC541" s="26"/>
      <c r="AD541" s="26"/>
    </row>
    <row r="542" spans="27:30" x14ac:dyDescent="0.25">
      <c r="AA542" s="26"/>
      <c r="AB542" s="26"/>
      <c r="AC542" s="26"/>
      <c r="AD542" s="26"/>
    </row>
    <row r="543" spans="27:30" x14ac:dyDescent="0.25">
      <c r="AA543" s="26"/>
      <c r="AB543" s="26"/>
      <c r="AC543" s="26"/>
      <c r="AD543" s="26"/>
    </row>
    <row r="544" spans="27:30" x14ac:dyDescent="0.25">
      <c r="AA544" s="26"/>
      <c r="AB544" s="26"/>
      <c r="AC544" s="26"/>
      <c r="AD544" s="26"/>
    </row>
    <row r="545" spans="27:30" x14ac:dyDescent="0.25">
      <c r="AA545" s="26"/>
      <c r="AB545" s="26"/>
      <c r="AC545" s="26"/>
      <c r="AD545" s="26"/>
    </row>
    <row r="546" spans="27:30" x14ac:dyDescent="0.25">
      <c r="AA546" s="26"/>
      <c r="AB546" s="26"/>
      <c r="AC546" s="26"/>
      <c r="AD546" s="26"/>
    </row>
    <row r="547" spans="27:30" x14ac:dyDescent="0.25">
      <c r="AA547" s="26"/>
      <c r="AB547" s="26"/>
      <c r="AC547" s="26"/>
      <c r="AD547" s="26"/>
    </row>
    <row r="548" spans="27:30" x14ac:dyDescent="0.25">
      <c r="AA548" s="26"/>
      <c r="AB548" s="26"/>
      <c r="AC548" s="26"/>
      <c r="AD548" s="26"/>
    </row>
    <row r="549" spans="27:30" x14ac:dyDescent="0.25">
      <c r="AA549" s="26"/>
      <c r="AB549" s="26"/>
      <c r="AC549" s="26"/>
      <c r="AD549" s="26"/>
    </row>
    <row r="550" spans="27:30" x14ac:dyDescent="0.25">
      <c r="AA550" s="26"/>
      <c r="AB550" s="26"/>
      <c r="AC550" s="26"/>
      <c r="AD550" s="26"/>
    </row>
    <row r="551" spans="27:30" x14ac:dyDescent="0.25">
      <c r="AA551" s="26"/>
      <c r="AB551" s="26"/>
      <c r="AC551" s="26"/>
      <c r="AD551" s="26"/>
    </row>
    <row r="552" spans="27:30" x14ac:dyDescent="0.25">
      <c r="AA552" s="26"/>
      <c r="AB552" s="26"/>
      <c r="AC552" s="26"/>
      <c r="AD552" s="26"/>
    </row>
  </sheetData>
  <mergeCells count="1460">
    <mergeCell ref="AD286:AD287"/>
    <mergeCell ref="Z293:Z295"/>
    <mergeCell ref="AA293:AA294"/>
    <mergeCell ref="AB293:AB294"/>
    <mergeCell ref="Z296:Z298"/>
    <mergeCell ref="AA296:AA297"/>
    <mergeCell ref="AB296:AB297"/>
    <mergeCell ref="AC296:AC297"/>
    <mergeCell ref="AD296:AD297"/>
    <mergeCell ref="Y251:Y252"/>
    <mergeCell ref="Z251:Z252"/>
    <mergeCell ref="AA251:AD252"/>
    <mergeCell ref="Z254:Z255"/>
    <mergeCell ref="AA254:AA255"/>
    <mergeCell ref="AB254:AB255"/>
    <mergeCell ref="Z261:Z262"/>
    <mergeCell ref="AA261:AA262"/>
    <mergeCell ref="AB261:AB262"/>
    <mergeCell ref="AD224:AD225"/>
    <mergeCell ref="Z231:Z233"/>
    <mergeCell ref="AA231:AA232"/>
    <mergeCell ref="AB231:AB232"/>
    <mergeCell ref="Z234:Z236"/>
    <mergeCell ref="AA234:AA235"/>
    <mergeCell ref="AB234:AB235"/>
    <mergeCell ref="AC234:AC235"/>
    <mergeCell ref="AD234:AD235"/>
    <mergeCell ref="Y189:Y190"/>
    <mergeCell ref="Z189:Z190"/>
    <mergeCell ref="AA189:AD190"/>
    <mergeCell ref="Z192:Z193"/>
    <mergeCell ref="AA192:AA193"/>
    <mergeCell ref="AB192:AB193"/>
    <mergeCell ref="Z199:Z200"/>
    <mergeCell ref="AA199:AA200"/>
    <mergeCell ref="AB199:AB200"/>
    <mergeCell ref="AD162:AD163"/>
    <mergeCell ref="Z169:Z171"/>
    <mergeCell ref="AA169:AA170"/>
    <mergeCell ref="AB169:AB170"/>
    <mergeCell ref="Z172:Z174"/>
    <mergeCell ref="AA172:AA173"/>
    <mergeCell ref="AB172:AB173"/>
    <mergeCell ref="AC172:AC173"/>
    <mergeCell ref="AD172:AD173"/>
    <mergeCell ref="Y127:Y128"/>
    <mergeCell ref="Z127:Z128"/>
    <mergeCell ref="AA127:AD128"/>
    <mergeCell ref="Z130:Z131"/>
    <mergeCell ref="AA130:AA131"/>
    <mergeCell ref="AB130:AB131"/>
    <mergeCell ref="Z137:Z138"/>
    <mergeCell ref="AA137:AA138"/>
    <mergeCell ref="AB137:AB138"/>
    <mergeCell ref="AD100:AD101"/>
    <mergeCell ref="Z107:Z109"/>
    <mergeCell ref="AA107:AA108"/>
    <mergeCell ref="AB107:AB108"/>
    <mergeCell ref="Z110:Z112"/>
    <mergeCell ref="AA110:AA111"/>
    <mergeCell ref="AB110:AB111"/>
    <mergeCell ref="AC110:AC111"/>
    <mergeCell ref="AD110:AD111"/>
    <mergeCell ref="Y65:Y66"/>
    <mergeCell ref="Z65:Z66"/>
    <mergeCell ref="AA65:AD66"/>
    <mergeCell ref="Z68:Z69"/>
    <mergeCell ref="AA68:AA69"/>
    <mergeCell ref="AB68:AB69"/>
    <mergeCell ref="Z75:Z76"/>
    <mergeCell ref="AA75:AA76"/>
    <mergeCell ref="AB75:AB76"/>
    <mergeCell ref="AD38:AD39"/>
    <mergeCell ref="Z45:Z47"/>
    <mergeCell ref="AA45:AA46"/>
    <mergeCell ref="AB45:AB46"/>
    <mergeCell ref="Z48:Z50"/>
    <mergeCell ref="AA48:AA49"/>
    <mergeCell ref="AB48:AB49"/>
    <mergeCell ref="AC48:AC49"/>
    <mergeCell ref="AD48:AD49"/>
    <mergeCell ref="Z15:Z17"/>
    <mergeCell ref="AC15:AC16"/>
    <mergeCell ref="Z18:Z20"/>
    <mergeCell ref="AA18:AA19"/>
    <mergeCell ref="AB18:AB19"/>
    <mergeCell ref="AC18:AC19"/>
    <mergeCell ref="AD18:AD19"/>
    <mergeCell ref="Z21:Z23"/>
    <mergeCell ref="AA21:AA22"/>
    <mergeCell ref="AB21:AB22"/>
    <mergeCell ref="Y3:Y4"/>
    <mergeCell ref="Z3:Z4"/>
    <mergeCell ref="AA3:AD4"/>
    <mergeCell ref="Z6:Z7"/>
    <mergeCell ref="AA6:AA7"/>
    <mergeCell ref="AB6:AB7"/>
    <mergeCell ref="Z13:Z14"/>
    <mergeCell ref="AA13:AA14"/>
    <mergeCell ref="AB13:AB14"/>
    <mergeCell ref="Z299:Z301"/>
    <mergeCell ref="AA299:AA300"/>
    <mergeCell ref="AB299:AB300"/>
    <mergeCell ref="AC299:AC300"/>
    <mergeCell ref="AD299:AD300"/>
    <mergeCell ref="Z306:Z308"/>
    <mergeCell ref="AA306:AA307"/>
    <mergeCell ref="AB306:AB307"/>
    <mergeCell ref="AC306:AC307"/>
    <mergeCell ref="AD306:AD307"/>
    <mergeCell ref="Z282:Z283"/>
    <mergeCell ref="AA282:AA283"/>
    <mergeCell ref="AB282:AB283"/>
    <mergeCell ref="AC282:AC283"/>
    <mergeCell ref="Z284:Z285"/>
    <mergeCell ref="AA284:AA285"/>
    <mergeCell ref="AB284:AB285"/>
    <mergeCell ref="AC284:AC285"/>
    <mergeCell ref="AA286:AA287"/>
    <mergeCell ref="AB286:AB287"/>
    <mergeCell ref="AC286:AC287"/>
    <mergeCell ref="Z278:Z279"/>
    <mergeCell ref="AA278:AA279"/>
    <mergeCell ref="AB278:AB279"/>
    <mergeCell ref="AC278:AC279"/>
    <mergeCell ref="Z280:Z281"/>
    <mergeCell ref="AA280:AA281"/>
    <mergeCell ref="AB280:AB281"/>
    <mergeCell ref="AC280:AC281"/>
    <mergeCell ref="Z272:Z274"/>
    <mergeCell ref="AA272:AA273"/>
    <mergeCell ref="AB272:AB273"/>
    <mergeCell ref="AC272:AC273"/>
    <mergeCell ref="Z276:Z277"/>
    <mergeCell ref="AA276:AA277"/>
    <mergeCell ref="AB276:AB277"/>
    <mergeCell ref="AC276:AC277"/>
    <mergeCell ref="Z263:Z265"/>
    <mergeCell ref="AC263:AC264"/>
    <mergeCell ref="Z266:Z268"/>
    <mergeCell ref="AA266:AA267"/>
    <mergeCell ref="AB266:AB267"/>
    <mergeCell ref="AC266:AC267"/>
    <mergeCell ref="AD266:AD267"/>
    <mergeCell ref="Z269:Z271"/>
    <mergeCell ref="AA269:AA270"/>
    <mergeCell ref="AB269:AB270"/>
    <mergeCell ref="AA263:AA264"/>
    <mergeCell ref="AB263:AB264"/>
    <mergeCell ref="Z256:Z257"/>
    <mergeCell ref="AA256:AA257"/>
    <mergeCell ref="AB256:AB257"/>
    <mergeCell ref="Z258:Z259"/>
    <mergeCell ref="AA258:AA259"/>
    <mergeCell ref="AB258:AB259"/>
    <mergeCell ref="Z237:Z239"/>
    <mergeCell ref="AA237:AA238"/>
    <mergeCell ref="AB237:AB238"/>
    <mergeCell ref="AC237:AC238"/>
    <mergeCell ref="AD237:AD238"/>
    <mergeCell ref="Z244:Z246"/>
    <mergeCell ref="AA244:AA245"/>
    <mergeCell ref="AB244:AB245"/>
    <mergeCell ref="AC244:AC245"/>
    <mergeCell ref="AD244:AD245"/>
    <mergeCell ref="Z220:Z221"/>
    <mergeCell ref="AA220:AA221"/>
    <mergeCell ref="AB220:AB221"/>
    <mergeCell ref="AC220:AC221"/>
    <mergeCell ref="Z222:Z223"/>
    <mergeCell ref="AA222:AA223"/>
    <mergeCell ref="AB222:AB223"/>
    <mergeCell ref="AC222:AC223"/>
    <mergeCell ref="AA224:AA225"/>
    <mergeCell ref="AB224:AB225"/>
    <mergeCell ref="AC224:AC225"/>
    <mergeCell ref="Z216:Z217"/>
    <mergeCell ref="AA216:AA217"/>
    <mergeCell ref="AB216:AB217"/>
    <mergeCell ref="AC216:AC217"/>
    <mergeCell ref="Z218:Z219"/>
    <mergeCell ref="AA218:AA219"/>
    <mergeCell ref="AB218:AB219"/>
    <mergeCell ref="AC218:AC219"/>
    <mergeCell ref="Z210:Z212"/>
    <mergeCell ref="AA210:AA211"/>
    <mergeCell ref="AB210:AB211"/>
    <mergeCell ref="AC210:AC211"/>
    <mergeCell ref="Z214:Z215"/>
    <mergeCell ref="AA214:AA215"/>
    <mergeCell ref="AB214:AB215"/>
    <mergeCell ref="AC214:AC215"/>
    <mergeCell ref="Z201:Z203"/>
    <mergeCell ref="AC201:AC202"/>
    <mergeCell ref="Z204:Z206"/>
    <mergeCell ref="AA204:AA205"/>
    <mergeCell ref="AB204:AB205"/>
    <mergeCell ref="AC204:AC205"/>
    <mergeCell ref="AD204:AD205"/>
    <mergeCell ref="Z207:Z209"/>
    <mergeCell ref="AA207:AA208"/>
    <mergeCell ref="AB207:AB208"/>
    <mergeCell ref="AA201:AA202"/>
    <mergeCell ref="AB201:AB202"/>
    <mergeCell ref="Z194:Z195"/>
    <mergeCell ref="AA194:AA195"/>
    <mergeCell ref="AB194:AB195"/>
    <mergeCell ref="Z196:Z197"/>
    <mergeCell ref="AA196:AA197"/>
    <mergeCell ref="AB196:AB197"/>
    <mergeCell ref="Z175:Z177"/>
    <mergeCell ref="AA175:AA176"/>
    <mergeCell ref="AB175:AB176"/>
    <mergeCell ref="AC175:AC176"/>
    <mergeCell ref="AD175:AD176"/>
    <mergeCell ref="Z182:Z184"/>
    <mergeCell ref="AA182:AA183"/>
    <mergeCell ref="AB182:AB183"/>
    <mergeCell ref="AC182:AC183"/>
    <mergeCell ref="AD182:AD183"/>
    <mergeCell ref="Z158:Z159"/>
    <mergeCell ref="AA158:AA159"/>
    <mergeCell ref="AB158:AB159"/>
    <mergeCell ref="AC158:AC159"/>
    <mergeCell ref="Z160:Z161"/>
    <mergeCell ref="AA160:AA161"/>
    <mergeCell ref="AB160:AB161"/>
    <mergeCell ref="AC160:AC161"/>
    <mergeCell ref="AA162:AA163"/>
    <mergeCell ref="AB162:AB163"/>
    <mergeCell ref="AC162:AC163"/>
    <mergeCell ref="Z154:Z155"/>
    <mergeCell ref="AA154:AA155"/>
    <mergeCell ref="AB154:AB155"/>
    <mergeCell ref="AC154:AC155"/>
    <mergeCell ref="Z156:Z157"/>
    <mergeCell ref="AA156:AA157"/>
    <mergeCell ref="AB156:AB157"/>
    <mergeCell ref="AC156:AC157"/>
    <mergeCell ref="Z148:Z150"/>
    <mergeCell ref="AA148:AA149"/>
    <mergeCell ref="AB148:AB149"/>
    <mergeCell ref="AC148:AC149"/>
    <mergeCell ref="Z152:Z153"/>
    <mergeCell ref="AA152:AA153"/>
    <mergeCell ref="AB152:AB153"/>
    <mergeCell ref="AC152:AC153"/>
    <mergeCell ref="Z139:Z141"/>
    <mergeCell ref="AC139:AC140"/>
    <mergeCell ref="Z142:Z144"/>
    <mergeCell ref="AA142:AA143"/>
    <mergeCell ref="AB142:AB143"/>
    <mergeCell ref="AC142:AC143"/>
    <mergeCell ref="AD142:AD143"/>
    <mergeCell ref="Z145:Z147"/>
    <mergeCell ref="AA145:AA146"/>
    <mergeCell ref="AB145:AB146"/>
    <mergeCell ref="AA139:AA140"/>
    <mergeCell ref="AB139:AB140"/>
    <mergeCell ref="Z132:Z133"/>
    <mergeCell ref="AA132:AA133"/>
    <mergeCell ref="AB132:AB133"/>
    <mergeCell ref="Z134:Z135"/>
    <mergeCell ref="AA134:AA135"/>
    <mergeCell ref="AB134:AB135"/>
    <mergeCell ref="Z113:Z115"/>
    <mergeCell ref="AA113:AA114"/>
    <mergeCell ref="AB113:AB114"/>
    <mergeCell ref="AC113:AC114"/>
    <mergeCell ref="AD113:AD114"/>
    <mergeCell ref="Z120:Z122"/>
    <mergeCell ref="AA120:AA121"/>
    <mergeCell ref="AB120:AB121"/>
    <mergeCell ref="AC120:AC121"/>
    <mergeCell ref="AD120:AD121"/>
    <mergeCell ref="Z96:Z97"/>
    <mergeCell ref="AA96:AA97"/>
    <mergeCell ref="AB96:AB97"/>
    <mergeCell ref="AC96:AC97"/>
    <mergeCell ref="Z98:Z99"/>
    <mergeCell ref="AA98:AA99"/>
    <mergeCell ref="AB98:AB99"/>
    <mergeCell ref="AC98:AC99"/>
    <mergeCell ref="AA100:AA101"/>
    <mergeCell ref="AB100:AB101"/>
    <mergeCell ref="AC100:AC101"/>
    <mergeCell ref="Z92:Z93"/>
    <mergeCell ref="AA92:AA93"/>
    <mergeCell ref="AB92:AB93"/>
    <mergeCell ref="AC92:AC93"/>
    <mergeCell ref="Z94:Z95"/>
    <mergeCell ref="AA94:AA95"/>
    <mergeCell ref="AB94:AB95"/>
    <mergeCell ref="AC94:AC95"/>
    <mergeCell ref="Z86:Z88"/>
    <mergeCell ref="AA86:AA87"/>
    <mergeCell ref="AB86:AB87"/>
    <mergeCell ref="AC86:AC87"/>
    <mergeCell ref="Z90:Z91"/>
    <mergeCell ref="AA90:AA91"/>
    <mergeCell ref="AB90:AB91"/>
    <mergeCell ref="AC90:AC91"/>
    <mergeCell ref="Z77:Z79"/>
    <mergeCell ref="AC77:AC78"/>
    <mergeCell ref="Z80:Z82"/>
    <mergeCell ref="AA80:AA81"/>
    <mergeCell ref="AB80:AB81"/>
    <mergeCell ref="AC80:AC81"/>
    <mergeCell ref="AD80:AD81"/>
    <mergeCell ref="Z83:Z85"/>
    <mergeCell ref="AA83:AA84"/>
    <mergeCell ref="AB83:AB84"/>
    <mergeCell ref="AA77:AA78"/>
    <mergeCell ref="AB77:AB78"/>
    <mergeCell ref="Z70:Z71"/>
    <mergeCell ref="AA70:AA71"/>
    <mergeCell ref="AB70:AB71"/>
    <mergeCell ref="Z72:Z73"/>
    <mergeCell ref="AA72:AA73"/>
    <mergeCell ref="AB72:AB73"/>
    <mergeCell ref="Z51:Z53"/>
    <mergeCell ref="AA51:AA52"/>
    <mergeCell ref="AB51:AB52"/>
    <mergeCell ref="AC51:AC52"/>
    <mergeCell ref="AD51:AD52"/>
    <mergeCell ref="Z58:Z60"/>
    <mergeCell ref="AA58:AA59"/>
    <mergeCell ref="AB58:AB59"/>
    <mergeCell ref="AC58:AC59"/>
    <mergeCell ref="AD58:AD59"/>
    <mergeCell ref="Z36:Z37"/>
    <mergeCell ref="AA36:AA37"/>
    <mergeCell ref="AB36:AB37"/>
    <mergeCell ref="AC36:AC37"/>
    <mergeCell ref="AA38:AA39"/>
    <mergeCell ref="AB38:AB39"/>
    <mergeCell ref="AC38:AC39"/>
    <mergeCell ref="Z30:Z31"/>
    <mergeCell ref="AA30:AA31"/>
    <mergeCell ref="AB30:AB31"/>
    <mergeCell ref="AC30:AC31"/>
    <mergeCell ref="Z32:Z33"/>
    <mergeCell ref="AA32:AA33"/>
    <mergeCell ref="AB32:AB33"/>
    <mergeCell ref="AC32:AC33"/>
    <mergeCell ref="Z34:Z35"/>
    <mergeCell ref="AA34:AA35"/>
    <mergeCell ref="AB34:AB35"/>
    <mergeCell ref="AC34:AC35"/>
    <mergeCell ref="Z24:Z26"/>
    <mergeCell ref="AA24:AA25"/>
    <mergeCell ref="AB24:AB25"/>
    <mergeCell ref="AC24:AC25"/>
    <mergeCell ref="Z28:Z29"/>
    <mergeCell ref="AA28:AA29"/>
    <mergeCell ref="AB28:AB29"/>
    <mergeCell ref="AC28:AC29"/>
    <mergeCell ref="R306:R308"/>
    <mergeCell ref="S306:S307"/>
    <mergeCell ref="T306:T307"/>
    <mergeCell ref="U306:U307"/>
    <mergeCell ref="V306:V307"/>
    <mergeCell ref="Z8:Z9"/>
    <mergeCell ref="AA8:AA9"/>
    <mergeCell ref="AB8:AB9"/>
    <mergeCell ref="Z10:Z11"/>
    <mergeCell ref="AA10:AA11"/>
    <mergeCell ref="AB10:AB11"/>
    <mergeCell ref="AA15:AA16"/>
    <mergeCell ref="AB15:AB16"/>
    <mergeCell ref="R296:R298"/>
    <mergeCell ref="S296:S297"/>
    <mergeCell ref="T296:T297"/>
    <mergeCell ref="U296:U297"/>
    <mergeCell ref="V296:V297"/>
    <mergeCell ref="R299:R301"/>
    <mergeCell ref="S299:S300"/>
    <mergeCell ref="T299:T300"/>
    <mergeCell ref="U299:U300"/>
    <mergeCell ref="V299:V300"/>
    <mergeCell ref="R284:R285"/>
    <mergeCell ref="S284:S285"/>
    <mergeCell ref="T284:T285"/>
    <mergeCell ref="U284:U285"/>
    <mergeCell ref="S286:S287"/>
    <mergeCell ref="T286:T287"/>
    <mergeCell ref="U286:U287"/>
    <mergeCell ref="V286:V287"/>
    <mergeCell ref="R293:R295"/>
    <mergeCell ref="S293:S294"/>
    <mergeCell ref="T293:T294"/>
    <mergeCell ref="R278:R279"/>
    <mergeCell ref="S278:S279"/>
    <mergeCell ref="T278:T279"/>
    <mergeCell ref="U278:U279"/>
    <mergeCell ref="R280:R281"/>
    <mergeCell ref="S280:S281"/>
    <mergeCell ref="T280:T281"/>
    <mergeCell ref="U280:U281"/>
    <mergeCell ref="R282:R283"/>
    <mergeCell ref="S282:S283"/>
    <mergeCell ref="T282:T283"/>
    <mergeCell ref="U282:U283"/>
    <mergeCell ref="R269:R271"/>
    <mergeCell ref="S269:S270"/>
    <mergeCell ref="T269:T270"/>
    <mergeCell ref="R272:R274"/>
    <mergeCell ref="S272:S273"/>
    <mergeCell ref="T272:T273"/>
    <mergeCell ref="U272:U273"/>
    <mergeCell ref="R276:R277"/>
    <mergeCell ref="S276:S277"/>
    <mergeCell ref="T276:T277"/>
    <mergeCell ref="U276:U277"/>
    <mergeCell ref="R263:R265"/>
    <mergeCell ref="S263:S264"/>
    <mergeCell ref="T263:T264"/>
    <mergeCell ref="U263:U264"/>
    <mergeCell ref="R266:R268"/>
    <mergeCell ref="S266:S267"/>
    <mergeCell ref="T266:T267"/>
    <mergeCell ref="U266:U267"/>
    <mergeCell ref="V266:V267"/>
    <mergeCell ref="R256:R257"/>
    <mergeCell ref="S256:S257"/>
    <mergeCell ref="T256:T257"/>
    <mergeCell ref="R258:R259"/>
    <mergeCell ref="S258:S259"/>
    <mergeCell ref="T258:T259"/>
    <mergeCell ref="R261:R262"/>
    <mergeCell ref="S261:S262"/>
    <mergeCell ref="T261:T262"/>
    <mergeCell ref="R244:R246"/>
    <mergeCell ref="S244:S245"/>
    <mergeCell ref="T244:T245"/>
    <mergeCell ref="U244:U245"/>
    <mergeCell ref="V244:V245"/>
    <mergeCell ref="Q251:Q252"/>
    <mergeCell ref="R251:R252"/>
    <mergeCell ref="S251:V252"/>
    <mergeCell ref="R254:R255"/>
    <mergeCell ref="S254:S255"/>
    <mergeCell ref="T254:T255"/>
    <mergeCell ref="R234:R236"/>
    <mergeCell ref="S234:S235"/>
    <mergeCell ref="T234:T235"/>
    <mergeCell ref="U234:U235"/>
    <mergeCell ref="V234:V235"/>
    <mergeCell ref="R237:R239"/>
    <mergeCell ref="S237:S238"/>
    <mergeCell ref="T237:T238"/>
    <mergeCell ref="U237:U238"/>
    <mergeCell ref="V237:V238"/>
    <mergeCell ref="R222:R223"/>
    <mergeCell ref="S222:S223"/>
    <mergeCell ref="T222:T223"/>
    <mergeCell ref="U222:U223"/>
    <mergeCell ref="S224:S225"/>
    <mergeCell ref="T224:T225"/>
    <mergeCell ref="U224:U225"/>
    <mergeCell ref="V224:V225"/>
    <mergeCell ref="R231:R233"/>
    <mergeCell ref="S231:S232"/>
    <mergeCell ref="T231:T232"/>
    <mergeCell ref="R216:R217"/>
    <mergeCell ref="S216:S217"/>
    <mergeCell ref="T216:T217"/>
    <mergeCell ref="U216:U217"/>
    <mergeCell ref="R218:R219"/>
    <mergeCell ref="S218:S219"/>
    <mergeCell ref="T218:T219"/>
    <mergeCell ref="U218:U219"/>
    <mergeCell ref="R220:R221"/>
    <mergeCell ref="S220:S221"/>
    <mergeCell ref="T220:T221"/>
    <mergeCell ref="U220:U221"/>
    <mergeCell ref="R207:R209"/>
    <mergeCell ref="S207:S208"/>
    <mergeCell ref="T207:T208"/>
    <mergeCell ref="R210:R212"/>
    <mergeCell ref="S210:S211"/>
    <mergeCell ref="T210:T211"/>
    <mergeCell ref="U210:U211"/>
    <mergeCell ref="R214:R215"/>
    <mergeCell ref="S214:S215"/>
    <mergeCell ref="T214:T215"/>
    <mergeCell ref="U214:U215"/>
    <mergeCell ref="R201:R203"/>
    <mergeCell ref="S201:S202"/>
    <mergeCell ref="T201:T202"/>
    <mergeCell ref="U201:U202"/>
    <mergeCell ref="R204:R206"/>
    <mergeCell ref="S204:S205"/>
    <mergeCell ref="T204:T205"/>
    <mergeCell ref="U204:U205"/>
    <mergeCell ref="V204:V205"/>
    <mergeCell ref="R194:R195"/>
    <mergeCell ref="S194:S195"/>
    <mergeCell ref="T194:T195"/>
    <mergeCell ref="R196:R197"/>
    <mergeCell ref="S196:S197"/>
    <mergeCell ref="T196:T197"/>
    <mergeCell ref="R199:R200"/>
    <mergeCell ref="S199:S200"/>
    <mergeCell ref="T199:T200"/>
    <mergeCell ref="R182:R184"/>
    <mergeCell ref="S182:S183"/>
    <mergeCell ref="T182:T183"/>
    <mergeCell ref="U182:U183"/>
    <mergeCell ref="V182:V183"/>
    <mergeCell ref="Q189:Q190"/>
    <mergeCell ref="R189:R190"/>
    <mergeCell ref="S189:V190"/>
    <mergeCell ref="R192:R193"/>
    <mergeCell ref="S192:S193"/>
    <mergeCell ref="T192:T193"/>
    <mergeCell ref="R172:R174"/>
    <mergeCell ref="S172:S173"/>
    <mergeCell ref="T172:T173"/>
    <mergeCell ref="U172:U173"/>
    <mergeCell ref="V172:V173"/>
    <mergeCell ref="R175:R177"/>
    <mergeCell ref="S175:S176"/>
    <mergeCell ref="T175:T176"/>
    <mergeCell ref="U175:U176"/>
    <mergeCell ref="V175:V176"/>
    <mergeCell ref="R160:R161"/>
    <mergeCell ref="S160:S161"/>
    <mergeCell ref="T160:T161"/>
    <mergeCell ref="U160:U161"/>
    <mergeCell ref="S162:S163"/>
    <mergeCell ref="T162:T163"/>
    <mergeCell ref="U162:U163"/>
    <mergeCell ref="V162:V163"/>
    <mergeCell ref="R169:R171"/>
    <mergeCell ref="S169:S170"/>
    <mergeCell ref="T169:T170"/>
    <mergeCell ref="R154:R155"/>
    <mergeCell ref="S154:S155"/>
    <mergeCell ref="T154:T155"/>
    <mergeCell ref="U154:U155"/>
    <mergeCell ref="R156:R157"/>
    <mergeCell ref="S156:S157"/>
    <mergeCell ref="T156:T157"/>
    <mergeCell ref="U156:U157"/>
    <mergeCell ref="R158:R159"/>
    <mergeCell ref="S158:S159"/>
    <mergeCell ref="T158:T159"/>
    <mergeCell ref="U158:U159"/>
    <mergeCell ref="R145:R147"/>
    <mergeCell ref="S145:S146"/>
    <mergeCell ref="T145:T146"/>
    <mergeCell ref="R148:R150"/>
    <mergeCell ref="S148:S149"/>
    <mergeCell ref="T148:T149"/>
    <mergeCell ref="U148:U149"/>
    <mergeCell ref="R152:R153"/>
    <mergeCell ref="S152:S153"/>
    <mergeCell ref="T152:T153"/>
    <mergeCell ref="U152:U153"/>
    <mergeCell ref="R139:R141"/>
    <mergeCell ref="S139:S140"/>
    <mergeCell ref="T139:T140"/>
    <mergeCell ref="U139:U140"/>
    <mergeCell ref="R142:R144"/>
    <mergeCell ref="S142:S143"/>
    <mergeCell ref="T142:T143"/>
    <mergeCell ref="U142:U143"/>
    <mergeCell ref="V142:V143"/>
    <mergeCell ref="R132:R133"/>
    <mergeCell ref="S132:S133"/>
    <mergeCell ref="T132:T133"/>
    <mergeCell ref="R134:R135"/>
    <mergeCell ref="S134:S135"/>
    <mergeCell ref="T134:T135"/>
    <mergeCell ref="R137:R138"/>
    <mergeCell ref="S137:S138"/>
    <mergeCell ref="T137:T138"/>
    <mergeCell ref="R120:R122"/>
    <mergeCell ref="S120:S121"/>
    <mergeCell ref="T120:T121"/>
    <mergeCell ref="U120:U121"/>
    <mergeCell ref="V120:V121"/>
    <mergeCell ref="Q127:Q128"/>
    <mergeCell ref="R127:R128"/>
    <mergeCell ref="S127:V128"/>
    <mergeCell ref="R130:R131"/>
    <mergeCell ref="S130:S131"/>
    <mergeCell ref="T130:T131"/>
    <mergeCell ref="R110:R112"/>
    <mergeCell ref="S110:S111"/>
    <mergeCell ref="T110:T111"/>
    <mergeCell ref="U110:U111"/>
    <mergeCell ref="V110:V111"/>
    <mergeCell ref="R113:R115"/>
    <mergeCell ref="S113:S114"/>
    <mergeCell ref="T113:T114"/>
    <mergeCell ref="U113:U114"/>
    <mergeCell ref="V113:V114"/>
    <mergeCell ref="R98:R99"/>
    <mergeCell ref="S98:S99"/>
    <mergeCell ref="T98:T99"/>
    <mergeCell ref="U98:U99"/>
    <mergeCell ref="S100:S101"/>
    <mergeCell ref="T100:T101"/>
    <mergeCell ref="U100:U101"/>
    <mergeCell ref="V100:V101"/>
    <mergeCell ref="R107:R109"/>
    <mergeCell ref="S107:S108"/>
    <mergeCell ref="T107:T108"/>
    <mergeCell ref="R92:R93"/>
    <mergeCell ref="S92:S93"/>
    <mergeCell ref="T92:T93"/>
    <mergeCell ref="U92:U93"/>
    <mergeCell ref="R94:R95"/>
    <mergeCell ref="S94:S95"/>
    <mergeCell ref="T94:T95"/>
    <mergeCell ref="U94:U95"/>
    <mergeCell ref="R96:R97"/>
    <mergeCell ref="S96:S97"/>
    <mergeCell ref="T96:T97"/>
    <mergeCell ref="U96:U97"/>
    <mergeCell ref="R83:R85"/>
    <mergeCell ref="S83:S84"/>
    <mergeCell ref="T83:T84"/>
    <mergeCell ref="R86:R88"/>
    <mergeCell ref="S86:S87"/>
    <mergeCell ref="T86:T87"/>
    <mergeCell ref="U86:U87"/>
    <mergeCell ref="R90:R91"/>
    <mergeCell ref="S90:S91"/>
    <mergeCell ref="T90:T91"/>
    <mergeCell ref="U90:U91"/>
    <mergeCell ref="R77:R79"/>
    <mergeCell ref="S77:S78"/>
    <mergeCell ref="T77:T78"/>
    <mergeCell ref="U77:U78"/>
    <mergeCell ref="R80:R82"/>
    <mergeCell ref="S80:S81"/>
    <mergeCell ref="T80:T81"/>
    <mergeCell ref="U80:U81"/>
    <mergeCell ref="V80:V81"/>
    <mergeCell ref="R70:R71"/>
    <mergeCell ref="S70:S71"/>
    <mergeCell ref="T70:T71"/>
    <mergeCell ref="R72:R73"/>
    <mergeCell ref="S72:S73"/>
    <mergeCell ref="T72:T73"/>
    <mergeCell ref="R75:R76"/>
    <mergeCell ref="S75:S76"/>
    <mergeCell ref="T75:T76"/>
    <mergeCell ref="R58:R60"/>
    <mergeCell ref="S58:S59"/>
    <mergeCell ref="T58:T59"/>
    <mergeCell ref="U58:U59"/>
    <mergeCell ref="V58:V59"/>
    <mergeCell ref="Q65:Q66"/>
    <mergeCell ref="R65:R66"/>
    <mergeCell ref="S65:V66"/>
    <mergeCell ref="R68:R69"/>
    <mergeCell ref="S68:S69"/>
    <mergeCell ref="T68:T69"/>
    <mergeCell ref="R48:R50"/>
    <mergeCell ref="S48:S49"/>
    <mergeCell ref="T48:T49"/>
    <mergeCell ref="U48:U49"/>
    <mergeCell ref="V48:V49"/>
    <mergeCell ref="R51:R53"/>
    <mergeCell ref="S51:S52"/>
    <mergeCell ref="T51:T52"/>
    <mergeCell ref="U51:U52"/>
    <mergeCell ref="V51:V52"/>
    <mergeCell ref="R36:R37"/>
    <mergeCell ref="S36:S37"/>
    <mergeCell ref="T36:T37"/>
    <mergeCell ref="U36:U37"/>
    <mergeCell ref="S38:S39"/>
    <mergeCell ref="T38:T39"/>
    <mergeCell ref="U38:U39"/>
    <mergeCell ref="V38:V39"/>
    <mergeCell ref="R45:R47"/>
    <mergeCell ref="S45:S46"/>
    <mergeCell ref="T45:T46"/>
    <mergeCell ref="R30:R31"/>
    <mergeCell ref="S30:S31"/>
    <mergeCell ref="T30:T31"/>
    <mergeCell ref="U30:U31"/>
    <mergeCell ref="R32:R33"/>
    <mergeCell ref="S32:S33"/>
    <mergeCell ref="T32:T33"/>
    <mergeCell ref="U32:U33"/>
    <mergeCell ref="R34:R35"/>
    <mergeCell ref="S34:S35"/>
    <mergeCell ref="T34:T35"/>
    <mergeCell ref="U34:U35"/>
    <mergeCell ref="V18:V19"/>
    <mergeCell ref="R21:R23"/>
    <mergeCell ref="S21:S22"/>
    <mergeCell ref="T21:T22"/>
    <mergeCell ref="R24:R26"/>
    <mergeCell ref="S24:S25"/>
    <mergeCell ref="T24:T25"/>
    <mergeCell ref="U24:U25"/>
    <mergeCell ref="R28:R29"/>
    <mergeCell ref="S28:S29"/>
    <mergeCell ref="T28:T29"/>
    <mergeCell ref="U28:U29"/>
    <mergeCell ref="S13:S14"/>
    <mergeCell ref="T13:T14"/>
    <mergeCell ref="R15:R17"/>
    <mergeCell ref="S15:S16"/>
    <mergeCell ref="T15:T16"/>
    <mergeCell ref="U15:U16"/>
    <mergeCell ref="R18:R20"/>
    <mergeCell ref="S18:S19"/>
    <mergeCell ref="T18:T19"/>
    <mergeCell ref="U18:U19"/>
    <mergeCell ref="S3:V4"/>
    <mergeCell ref="R6:R7"/>
    <mergeCell ref="S6:S7"/>
    <mergeCell ref="T6:T7"/>
    <mergeCell ref="R8:R9"/>
    <mergeCell ref="S8:S9"/>
    <mergeCell ref="T8:T9"/>
    <mergeCell ref="R10:R11"/>
    <mergeCell ref="S10:S11"/>
    <mergeCell ref="T10:T11"/>
    <mergeCell ref="A3:A4"/>
    <mergeCell ref="B6:B7"/>
    <mergeCell ref="B8:B9"/>
    <mergeCell ref="B24:B26"/>
    <mergeCell ref="B3:B4"/>
    <mergeCell ref="B10:B11"/>
    <mergeCell ref="B13:B14"/>
    <mergeCell ref="Q3:Q4"/>
    <mergeCell ref="R3:R4"/>
    <mergeCell ref="R13:R14"/>
    <mergeCell ref="D30:D31"/>
    <mergeCell ref="C32:C33"/>
    <mergeCell ref="D32:D33"/>
    <mergeCell ref="B30:B31"/>
    <mergeCell ref="B28:B29"/>
    <mergeCell ref="B32:B33"/>
    <mergeCell ref="B34:B35"/>
    <mergeCell ref="B36:B37"/>
    <mergeCell ref="C6:C7"/>
    <mergeCell ref="D6:D7"/>
    <mergeCell ref="C8:C9"/>
    <mergeCell ref="D8:D9"/>
    <mergeCell ref="C10:C11"/>
    <mergeCell ref="D10:D11"/>
    <mergeCell ref="D15:D16"/>
    <mergeCell ref="C15:C16"/>
    <mergeCell ref="D13:D14"/>
    <mergeCell ref="C13:C14"/>
    <mergeCell ref="B15:B17"/>
    <mergeCell ref="B18:B20"/>
    <mergeCell ref="B21:B23"/>
    <mergeCell ref="C48:C49"/>
    <mergeCell ref="D48:D49"/>
    <mergeCell ref="B45:B47"/>
    <mergeCell ref="B48:B50"/>
    <mergeCell ref="B51:B53"/>
    <mergeCell ref="F18:F19"/>
    <mergeCell ref="C21:C22"/>
    <mergeCell ref="D21:D22"/>
    <mergeCell ref="C24:C25"/>
    <mergeCell ref="D24:D25"/>
    <mergeCell ref="E24:E25"/>
    <mergeCell ref="E32:E33"/>
    <mergeCell ref="C18:C19"/>
    <mergeCell ref="D18:D19"/>
    <mergeCell ref="E18:E19"/>
    <mergeCell ref="E30:E31"/>
    <mergeCell ref="E28:E29"/>
    <mergeCell ref="D36:D37"/>
    <mergeCell ref="C34:C35"/>
    <mergeCell ref="D34:D35"/>
    <mergeCell ref="C36:C37"/>
    <mergeCell ref="C28:C29"/>
    <mergeCell ref="D28:D29"/>
    <mergeCell ref="C30:C31"/>
    <mergeCell ref="B68:B69"/>
    <mergeCell ref="C68:C69"/>
    <mergeCell ref="D68:D69"/>
    <mergeCell ref="B65:B66"/>
    <mergeCell ref="C65:F66"/>
    <mergeCell ref="B58:B60"/>
    <mergeCell ref="B70:B71"/>
    <mergeCell ref="C3:F4"/>
    <mergeCell ref="C58:C59"/>
    <mergeCell ref="D58:D59"/>
    <mergeCell ref="E58:E59"/>
    <mergeCell ref="F58:F59"/>
    <mergeCell ref="C38:C39"/>
    <mergeCell ref="D38:D39"/>
    <mergeCell ref="E38:E39"/>
    <mergeCell ref="F38:F39"/>
    <mergeCell ref="E48:E49"/>
    <mergeCell ref="F48:F49"/>
    <mergeCell ref="C51:C52"/>
    <mergeCell ref="D51:D52"/>
    <mergeCell ref="E51:E52"/>
    <mergeCell ref="F51:F52"/>
    <mergeCell ref="C45:C46"/>
    <mergeCell ref="D45:D46"/>
    <mergeCell ref="C80:C81"/>
    <mergeCell ref="D80:D81"/>
    <mergeCell ref="E80:E81"/>
    <mergeCell ref="F80:F81"/>
    <mergeCell ref="C75:C76"/>
    <mergeCell ref="D75:D76"/>
    <mergeCell ref="B75:B76"/>
    <mergeCell ref="C70:C71"/>
    <mergeCell ref="D70:D71"/>
    <mergeCell ref="B72:B73"/>
    <mergeCell ref="C72:C73"/>
    <mergeCell ref="D72:D73"/>
    <mergeCell ref="F100:F101"/>
    <mergeCell ref="E92:E93"/>
    <mergeCell ref="B94:B95"/>
    <mergeCell ref="C94:C95"/>
    <mergeCell ref="D94:D95"/>
    <mergeCell ref="B96:B97"/>
    <mergeCell ref="C96:C97"/>
    <mergeCell ref="D96:D97"/>
    <mergeCell ref="B90:B91"/>
    <mergeCell ref="C90:C91"/>
    <mergeCell ref="D90:D91"/>
    <mergeCell ref="B92:B93"/>
    <mergeCell ref="C92:C93"/>
    <mergeCell ref="D92:D93"/>
    <mergeCell ref="B132:B133"/>
    <mergeCell ref="C132:C133"/>
    <mergeCell ref="D132:D133"/>
    <mergeCell ref="B130:B131"/>
    <mergeCell ref="C130:C131"/>
    <mergeCell ref="D130:D131"/>
    <mergeCell ref="B127:B128"/>
    <mergeCell ref="C127:F128"/>
    <mergeCell ref="B107:B109"/>
    <mergeCell ref="C107:C108"/>
    <mergeCell ref="D107:D108"/>
    <mergeCell ref="B110:B112"/>
    <mergeCell ref="C110:C111"/>
    <mergeCell ref="D110:D111"/>
    <mergeCell ref="E110:E111"/>
    <mergeCell ref="F110:F111"/>
    <mergeCell ref="B113:B115"/>
    <mergeCell ref="B137:B138"/>
    <mergeCell ref="C137:C138"/>
    <mergeCell ref="D137:D138"/>
    <mergeCell ref="B139:B141"/>
    <mergeCell ref="C139:C140"/>
    <mergeCell ref="D139:D140"/>
    <mergeCell ref="E139:E140"/>
    <mergeCell ref="F142:F143"/>
    <mergeCell ref="B134:B135"/>
    <mergeCell ref="C134:C135"/>
    <mergeCell ref="D134:D135"/>
    <mergeCell ref="E154:E155"/>
    <mergeCell ref="E156:E157"/>
    <mergeCell ref="B152:B153"/>
    <mergeCell ref="C152:C153"/>
    <mergeCell ref="D152:D153"/>
    <mergeCell ref="B148:B150"/>
    <mergeCell ref="C148:C149"/>
    <mergeCell ref="D148:D149"/>
    <mergeCell ref="B142:B144"/>
    <mergeCell ref="C142:C143"/>
    <mergeCell ref="D142:D143"/>
    <mergeCell ref="E142:E143"/>
    <mergeCell ref="B145:B147"/>
    <mergeCell ref="C145:C146"/>
    <mergeCell ref="D145:D146"/>
    <mergeCell ref="E148:E149"/>
    <mergeCell ref="E15:E16"/>
    <mergeCell ref="B172:B174"/>
    <mergeCell ref="C172:C173"/>
    <mergeCell ref="D172:D173"/>
    <mergeCell ref="E172:E173"/>
    <mergeCell ref="F172:F173"/>
    <mergeCell ref="B169:B171"/>
    <mergeCell ref="C169:C170"/>
    <mergeCell ref="D169:D170"/>
    <mergeCell ref="C158:C159"/>
    <mergeCell ref="D158:D159"/>
    <mergeCell ref="E158:E159"/>
    <mergeCell ref="B158:B159"/>
    <mergeCell ref="B160:B161"/>
    <mergeCell ref="C160:C161"/>
    <mergeCell ref="D160:D161"/>
    <mergeCell ref="E160:E161"/>
    <mergeCell ref="E152:E153"/>
    <mergeCell ref="B154:B155"/>
    <mergeCell ref="C154:C155"/>
    <mergeCell ref="D154:D155"/>
    <mergeCell ref="B156:B157"/>
    <mergeCell ref="C156:C157"/>
    <mergeCell ref="D156:D157"/>
    <mergeCell ref="E90:E91"/>
    <mergeCell ref="E94:E95"/>
    <mergeCell ref="E96:E97"/>
    <mergeCell ref="B98:B99"/>
    <mergeCell ref="C100:C101"/>
    <mergeCell ref="D100:D101"/>
    <mergeCell ref="E100:E101"/>
    <mergeCell ref="E34:E35"/>
    <mergeCell ref="E36:E37"/>
    <mergeCell ref="C98:C99"/>
    <mergeCell ref="D98:D99"/>
    <mergeCell ref="E98:E99"/>
    <mergeCell ref="B83:B85"/>
    <mergeCell ref="C83:C84"/>
    <mergeCell ref="D83:D84"/>
    <mergeCell ref="B86:B88"/>
    <mergeCell ref="C86:C87"/>
    <mergeCell ref="D86:D87"/>
    <mergeCell ref="E86:E87"/>
    <mergeCell ref="B77:B79"/>
    <mergeCell ref="C77:C78"/>
    <mergeCell ref="D77:D78"/>
    <mergeCell ref="E77:E78"/>
    <mergeCell ref="B80:B82"/>
    <mergeCell ref="C113:C114"/>
    <mergeCell ref="D113:D114"/>
    <mergeCell ref="E113:E114"/>
    <mergeCell ref="F113:F114"/>
    <mergeCell ref="B120:B122"/>
    <mergeCell ref="C120:C121"/>
    <mergeCell ref="D120:D121"/>
    <mergeCell ref="E120:E121"/>
    <mergeCell ref="F120:F121"/>
    <mergeCell ref="C162:C163"/>
    <mergeCell ref="D162:D163"/>
    <mergeCell ref="E162:E163"/>
    <mergeCell ref="F162:F163"/>
    <mergeCell ref="B175:B177"/>
    <mergeCell ref="C175:C176"/>
    <mergeCell ref="D175:D176"/>
    <mergeCell ref="E175:E176"/>
    <mergeCell ref="F175:F176"/>
    <mergeCell ref="B189:B190"/>
    <mergeCell ref="C189:F190"/>
    <mergeCell ref="B192:B193"/>
    <mergeCell ref="C192:C193"/>
    <mergeCell ref="D192:D193"/>
    <mergeCell ref="B182:B184"/>
    <mergeCell ref="C182:C183"/>
    <mergeCell ref="D182:D183"/>
    <mergeCell ref="E182:E183"/>
    <mergeCell ref="F182:F183"/>
    <mergeCell ref="B199:B200"/>
    <mergeCell ref="C199:C200"/>
    <mergeCell ref="D199:D200"/>
    <mergeCell ref="B201:B203"/>
    <mergeCell ref="C201:C202"/>
    <mergeCell ref="D201:D202"/>
    <mergeCell ref="B194:B195"/>
    <mergeCell ref="C194:C195"/>
    <mergeCell ref="D194:D195"/>
    <mergeCell ref="B196:B197"/>
    <mergeCell ref="C196:C197"/>
    <mergeCell ref="D196:D197"/>
    <mergeCell ref="F204:F205"/>
    <mergeCell ref="B207:B209"/>
    <mergeCell ref="C207:C208"/>
    <mergeCell ref="D207:D208"/>
    <mergeCell ref="B210:B212"/>
    <mergeCell ref="C210:C211"/>
    <mergeCell ref="D210:D211"/>
    <mergeCell ref="E210:E211"/>
    <mergeCell ref="E201:E202"/>
    <mergeCell ref="B204:B206"/>
    <mergeCell ref="C204:C205"/>
    <mergeCell ref="D204:D205"/>
    <mergeCell ref="E204:E205"/>
    <mergeCell ref="B218:B219"/>
    <mergeCell ref="C218:C219"/>
    <mergeCell ref="D218:D219"/>
    <mergeCell ref="E218:E219"/>
    <mergeCell ref="B220:B221"/>
    <mergeCell ref="C220:C221"/>
    <mergeCell ref="D220:D221"/>
    <mergeCell ref="E220:E221"/>
    <mergeCell ref="B214:B215"/>
    <mergeCell ref="C214:C215"/>
    <mergeCell ref="D214:D215"/>
    <mergeCell ref="E214:E215"/>
    <mergeCell ref="B216:B217"/>
    <mergeCell ref="C216:C217"/>
    <mergeCell ref="D216:D217"/>
    <mergeCell ref="E216:E217"/>
    <mergeCell ref="C234:C235"/>
    <mergeCell ref="D234:D235"/>
    <mergeCell ref="E234:E235"/>
    <mergeCell ref="F234:F235"/>
    <mergeCell ref="B222:B223"/>
    <mergeCell ref="C222:C223"/>
    <mergeCell ref="D222:D223"/>
    <mergeCell ref="E222:E223"/>
    <mergeCell ref="C224:C225"/>
    <mergeCell ref="D224:D225"/>
    <mergeCell ref="E224:E225"/>
    <mergeCell ref="B256:B257"/>
    <mergeCell ref="C256:C257"/>
    <mergeCell ref="D256:D257"/>
    <mergeCell ref="B258:B259"/>
    <mergeCell ref="C258:C259"/>
    <mergeCell ref="D258:D259"/>
    <mergeCell ref="B251:B252"/>
    <mergeCell ref="C251:F252"/>
    <mergeCell ref="B254:B255"/>
    <mergeCell ref="C254:C255"/>
    <mergeCell ref="D254:D255"/>
    <mergeCell ref="E263:E264"/>
    <mergeCell ref="B266:B268"/>
    <mergeCell ref="C266:C267"/>
    <mergeCell ref="D266:D267"/>
    <mergeCell ref="E266:E267"/>
    <mergeCell ref="B261:B262"/>
    <mergeCell ref="C261:C262"/>
    <mergeCell ref="D261:D262"/>
    <mergeCell ref="B263:B265"/>
    <mergeCell ref="C263:C264"/>
    <mergeCell ref="D263:D264"/>
    <mergeCell ref="B276:B277"/>
    <mergeCell ref="C276:C277"/>
    <mergeCell ref="D276:D277"/>
    <mergeCell ref="E276:E277"/>
    <mergeCell ref="B278:B279"/>
    <mergeCell ref="C278:C279"/>
    <mergeCell ref="D278:D279"/>
    <mergeCell ref="E278:E279"/>
    <mergeCell ref="F266:F267"/>
    <mergeCell ref="B269:B271"/>
    <mergeCell ref="C269:C270"/>
    <mergeCell ref="D269:D270"/>
    <mergeCell ref="B272:B274"/>
    <mergeCell ref="C272:C273"/>
    <mergeCell ref="D272:D273"/>
    <mergeCell ref="E272:E273"/>
    <mergeCell ref="B284:B285"/>
    <mergeCell ref="C284:C285"/>
    <mergeCell ref="D284:D285"/>
    <mergeCell ref="E284:E285"/>
    <mergeCell ref="C286:C287"/>
    <mergeCell ref="D286:D287"/>
    <mergeCell ref="E286:E287"/>
    <mergeCell ref="B280:B281"/>
    <mergeCell ref="C280:C281"/>
    <mergeCell ref="D280:D281"/>
    <mergeCell ref="E280:E281"/>
    <mergeCell ref="B282:B283"/>
    <mergeCell ref="C282:C283"/>
    <mergeCell ref="D282:D283"/>
    <mergeCell ref="E282:E283"/>
    <mergeCell ref="F286:F287"/>
    <mergeCell ref="B293:B295"/>
    <mergeCell ref="C293:C294"/>
    <mergeCell ref="D293:D294"/>
    <mergeCell ref="B296:B298"/>
    <mergeCell ref="C296:C297"/>
    <mergeCell ref="D296:D297"/>
    <mergeCell ref="E296:E297"/>
    <mergeCell ref="F296:F297"/>
    <mergeCell ref="B306:B308"/>
    <mergeCell ref="C306:C307"/>
    <mergeCell ref="D306:D307"/>
    <mergeCell ref="E306:E307"/>
    <mergeCell ref="F306:F307"/>
    <mergeCell ref="B299:B301"/>
    <mergeCell ref="C299:C300"/>
    <mergeCell ref="D299:D300"/>
    <mergeCell ref="E299:E300"/>
    <mergeCell ref="F299:F300"/>
    <mergeCell ref="A65:A66"/>
    <mergeCell ref="A127:A128"/>
    <mergeCell ref="A189:A190"/>
    <mergeCell ref="A251:A252"/>
    <mergeCell ref="I3:I4"/>
    <mergeCell ref="I65:I66"/>
    <mergeCell ref="I127:I128"/>
    <mergeCell ref="I189:I190"/>
    <mergeCell ref="I251:I252"/>
    <mergeCell ref="B244:B246"/>
    <mergeCell ref="C244:C245"/>
    <mergeCell ref="D244:D245"/>
    <mergeCell ref="E244:E245"/>
    <mergeCell ref="F244:F245"/>
    <mergeCell ref="B237:B239"/>
    <mergeCell ref="C237:C238"/>
    <mergeCell ref="D237:D238"/>
    <mergeCell ref="E237:E238"/>
    <mergeCell ref="F237:F238"/>
    <mergeCell ref="F224:F225"/>
    <mergeCell ref="B231:B233"/>
    <mergeCell ref="C231:C232"/>
    <mergeCell ref="D231:D232"/>
    <mergeCell ref="B234:B236"/>
    <mergeCell ref="J8:J9"/>
    <mergeCell ref="K8:K9"/>
    <mergeCell ref="L8:L9"/>
    <mergeCell ref="J10:J11"/>
    <mergeCell ref="K10:K11"/>
    <mergeCell ref="L10:L11"/>
    <mergeCell ref="J3:J4"/>
    <mergeCell ref="K3:N4"/>
    <mergeCell ref="J6:J7"/>
    <mergeCell ref="K6:K7"/>
    <mergeCell ref="L6:L7"/>
    <mergeCell ref="M15:M16"/>
    <mergeCell ref="J18:J20"/>
    <mergeCell ref="K18:K19"/>
    <mergeCell ref="L18:L19"/>
    <mergeCell ref="M18:M19"/>
    <mergeCell ref="J13:J14"/>
    <mergeCell ref="K13:K14"/>
    <mergeCell ref="L13:L14"/>
    <mergeCell ref="J15:J17"/>
    <mergeCell ref="K15:K16"/>
    <mergeCell ref="L15:L16"/>
    <mergeCell ref="J28:J29"/>
    <mergeCell ref="K28:K29"/>
    <mergeCell ref="L28:L29"/>
    <mergeCell ref="M28:M29"/>
    <mergeCell ref="J30:J31"/>
    <mergeCell ref="K30:K31"/>
    <mergeCell ref="L30:L31"/>
    <mergeCell ref="M30:M31"/>
    <mergeCell ref="N18:N19"/>
    <mergeCell ref="J21:J23"/>
    <mergeCell ref="K21:K22"/>
    <mergeCell ref="L21:L22"/>
    <mergeCell ref="J24:J26"/>
    <mergeCell ref="K24:K25"/>
    <mergeCell ref="L24:L25"/>
    <mergeCell ref="M24:M25"/>
    <mergeCell ref="J36:J37"/>
    <mergeCell ref="K36:K37"/>
    <mergeCell ref="L36:L37"/>
    <mergeCell ref="M36:M37"/>
    <mergeCell ref="K38:K39"/>
    <mergeCell ref="L38:L39"/>
    <mergeCell ref="M38:M39"/>
    <mergeCell ref="J32:J33"/>
    <mergeCell ref="K32:K33"/>
    <mergeCell ref="L32:L33"/>
    <mergeCell ref="M32:M33"/>
    <mergeCell ref="J34:J35"/>
    <mergeCell ref="K34:K35"/>
    <mergeCell ref="L34:L35"/>
    <mergeCell ref="M34:M35"/>
    <mergeCell ref="N38:N39"/>
    <mergeCell ref="J45:J47"/>
    <mergeCell ref="K45:K46"/>
    <mergeCell ref="L45:L46"/>
    <mergeCell ref="J48:J50"/>
    <mergeCell ref="K48:K49"/>
    <mergeCell ref="L48:L49"/>
    <mergeCell ref="M48:M49"/>
    <mergeCell ref="N48:N49"/>
    <mergeCell ref="J58:J60"/>
    <mergeCell ref="K58:K59"/>
    <mergeCell ref="L58:L59"/>
    <mergeCell ref="M58:M59"/>
    <mergeCell ref="N58:N59"/>
    <mergeCell ref="J51:J53"/>
    <mergeCell ref="K51:K52"/>
    <mergeCell ref="L51:L52"/>
    <mergeCell ref="M51:M52"/>
    <mergeCell ref="N51:N52"/>
    <mergeCell ref="J70:J71"/>
    <mergeCell ref="K70:K71"/>
    <mergeCell ref="L70:L71"/>
    <mergeCell ref="J72:J73"/>
    <mergeCell ref="K72:K73"/>
    <mergeCell ref="L72:L73"/>
    <mergeCell ref="J65:J66"/>
    <mergeCell ref="K65:N66"/>
    <mergeCell ref="J68:J69"/>
    <mergeCell ref="K68:K69"/>
    <mergeCell ref="L68:L69"/>
    <mergeCell ref="M77:M78"/>
    <mergeCell ref="J80:J82"/>
    <mergeCell ref="K80:K81"/>
    <mergeCell ref="L80:L81"/>
    <mergeCell ref="M80:M81"/>
    <mergeCell ref="J75:J76"/>
    <mergeCell ref="K75:K76"/>
    <mergeCell ref="L75:L76"/>
    <mergeCell ref="J77:J79"/>
    <mergeCell ref="K77:K78"/>
    <mergeCell ref="L77:L78"/>
    <mergeCell ref="J90:J91"/>
    <mergeCell ref="K90:K91"/>
    <mergeCell ref="L90:L91"/>
    <mergeCell ref="M90:M91"/>
    <mergeCell ref="J92:J93"/>
    <mergeCell ref="K92:K93"/>
    <mergeCell ref="L92:L93"/>
    <mergeCell ref="M92:M93"/>
    <mergeCell ref="N80:N81"/>
    <mergeCell ref="J83:J85"/>
    <mergeCell ref="K83:K84"/>
    <mergeCell ref="L83:L84"/>
    <mergeCell ref="J86:J88"/>
    <mergeCell ref="K86:K87"/>
    <mergeCell ref="L86:L87"/>
    <mergeCell ref="M86:M87"/>
    <mergeCell ref="J98:J99"/>
    <mergeCell ref="K98:K99"/>
    <mergeCell ref="L98:L99"/>
    <mergeCell ref="M98:M99"/>
    <mergeCell ref="K100:K101"/>
    <mergeCell ref="L100:L101"/>
    <mergeCell ref="M100:M101"/>
    <mergeCell ref="J94:J95"/>
    <mergeCell ref="K94:K95"/>
    <mergeCell ref="L94:L95"/>
    <mergeCell ref="M94:M95"/>
    <mergeCell ref="J96:J97"/>
    <mergeCell ref="K96:K97"/>
    <mergeCell ref="L96:L97"/>
    <mergeCell ref="M96:M97"/>
    <mergeCell ref="N100:N101"/>
    <mergeCell ref="J107:J109"/>
    <mergeCell ref="K107:K108"/>
    <mergeCell ref="L107:L108"/>
    <mergeCell ref="J110:J112"/>
    <mergeCell ref="K110:K111"/>
    <mergeCell ref="L110:L111"/>
    <mergeCell ref="M110:M111"/>
    <mergeCell ref="N110:N111"/>
    <mergeCell ref="J120:J122"/>
    <mergeCell ref="K120:K121"/>
    <mergeCell ref="L120:L121"/>
    <mergeCell ref="M120:M121"/>
    <mergeCell ref="N120:N121"/>
    <mergeCell ref="J113:J115"/>
    <mergeCell ref="K113:K114"/>
    <mergeCell ref="L113:L114"/>
    <mergeCell ref="M113:M114"/>
    <mergeCell ref="N113:N114"/>
    <mergeCell ref="J132:J133"/>
    <mergeCell ref="K132:K133"/>
    <mergeCell ref="L132:L133"/>
    <mergeCell ref="J134:J135"/>
    <mergeCell ref="K134:K135"/>
    <mergeCell ref="L134:L135"/>
    <mergeCell ref="J127:J128"/>
    <mergeCell ref="K127:N128"/>
    <mergeCell ref="J130:J131"/>
    <mergeCell ref="K130:K131"/>
    <mergeCell ref="L130:L131"/>
    <mergeCell ref="M139:M140"/>
    <mergeCell ref="J142:J144"/>
    <mergeCell ref="K142:K143"/>
    <mergeCell ref="L142:L143"/>
    <mergeCell ref="M142:M143"/>
    <mergeCell ref="J137:J138"/>
    <mergeCell ref="K137:K138"/>
    <mergeCell ref="L137:L138"/>
    <mergeCell ref="J139:J141"/>
    <mergeCell ref="K139:K140"/>
    <mergeCell ref="L139:L140"/>
    <mergeCell ref="J152:J153"/>
    <mergeCell ref="K152:K153"/>
    <mergeCell ref="L152:L153"/>
    <mergeCell ref="M152:M153"/>
    <mergeCell ref="J154:J155"/>
    <mergeCell ref="K154:K155"/>
    <mergeCell ref="L154:L155"/>
    <mergeCell ref="M154:M155"/>
    <mergeCell ref="N142:N143"/>
    <mergeCell ref="J145:J147"/>
    <mergeCell ref="K145:K146"/>
    <mergeCell ref="L145:L146"/>
    <mergeCell ref="J148:J150"/>
    <mergeCell ref="K148:K149"/>
    <mergeCell ref="L148:L149"/>
    <mergeCell ref="M148:M149"/>
    <mergeCell ref="J160:J161"/>
    <mergeCell ref="K160:K161"/>
    <mergeCell ref="L160:L161"/>
    <mergeCell ref="M160:M161"/>
    <mergeCell ref="K162:K163"/>
    <mergeCell ref="L162:L163"/>
    <mergeCell ref="M162:M163"/>
    <mergeCell ref="J156:J157"/>
    <mergeCell ref="K156:K157"/>
    <mergeCell ref="L156:L157"/>
    <mergeCell ref="M156:M157"/>
    <mergeCell ref="J158:J159"/>
    <mergeCell ref="K158:K159"/>
    <mergeCell ref="L158:L159"/>
    <mergeCell ref="M158:M159"/>
    <mergeCell ref="N162:N163"/>
    <mergeCell ref="J169:J171"/>
    <mergeCell ref="K169:K170"/>
    <mergeCell ref="L169:L170"/>
    <mergeCell ref="J172:J174"/>
    <mergeCell ref="K172:K173"/>
    <mergeCell ref="L172:L173"/>
    <mergeCell ref="M172:M173"/>
    <mergeCell ref="N172:N173"/>
    <mergeCell ref="J182:J184"/>
    <mergeCell ref="K182:K183"/>
    <mergeCell ref="L182:L183"/>
    <mergeCell ref="M182:M183"/>
    <mergeCell ref="N182:N183"/>
    <mergeCell ref="J175:J177"/>
    <mergeCell ref="K175:K176"/>
    <mergeCell ref="L175:L176"/>
    <mergeCell ref="M175:M176"/>
    <mergeCell ref="N175:N176"/>
    <mergeCell ref="J194:J195"/>
    <mergeCell ref="K194:K195"/>
    <mergeCell ref="L194:L195"/>
    <mergeCell ref="J196:J197"/>
    <mergeCell ref="K196:K197"/>
    <mergeCell ref="L196:L197"/>
    <mergeCell ref="J189:J190"/>
    <mergeCell ref="K189:N190"/>
    <mergeCell ref="J192:J193"/>
    <mergeCell ref="K192:K193"/>
    <mergeCell ref="L192:L193"/>
    <mergeCell ref="M201:M202"/>
    <mergeCell ref="J204:J206"/>
    <mergeCell ref="K204:K205"/>
    <mergeCell ref="L204:L205"/>
    <mergeCell ref="M204:M205"/>
    <mergeCell ref="J199:J200"/>
    <mergeCell ref="K199:K200"/>
    <mergeCell ref="L199:L200"/>
    <mergeCell ref="J201:J203"/>
    <mergeCell ref="K201:K202"/>
    <mergeCell ref="L201:L202"/>
    <mergeCell ref="J214:J215"/>
    <mergeCell ref="K214:K215"/>
    <mergeCell ref="L214:L215"/>
    <mergeCell ref="M214:M215"/>
    <mergeCell ref="J216:J217"/>
    <mergeCell ref="K216:K217"/>
    <mergeCell ref="L216:L217"/>
    <mergeCell ref="M216:M217"/>
    <mergeCell ref="N204:N205"/>
    <mergeCell ref="J207:J209"/>
    <mergeCell ref="K207:K208"/>
    <mergeCell ref="L207:L208"/>
    <mergeCell ref="J210:J212"/>
    <mergeCell ref="K210:K211"/>
    <mergeCell ref="L210:L211"/>
    <mergeCell ref="M210:M211"/>
    <mergeCell ref="J222:J223"/>
    <mergeCell ref="K222:K223"/>
    <mergeCell ref="L222:L223"/>
    <mergeCell ref="M222:M223"/>
    <mergeCell ref="K224:K225"/>
    <mergeCell ref="L224:L225"/>
    <mergeCell ref="M224:M225"/>
    <mergeCell ref="J218:J219"/>
    <mergeCell ref="K218:K219"/>
    <mergeCell ref="L218:L219"/>
    <mergeCell ref="M218:M219"/>
    <mergeCell ref="J220:J221"/>
    <mergeCell ref="K220:K221"/>
    <mergeCell ref="L220:L221"/>
    <mergeCell ref="M220:M221"/>
    <mergeCell ref="N224:N225"/>
    <mergeCell ref="J231:J233"/>
    <mergeCell ref="K231:K232"/>
    <mergeCell ref="L231:L232"/>
    <mergeCell ref="J234:J236"/>
    <mergeCell ref="K234:K235"/>
    <mergeCell ref="L234:L235"/>
    <mergeCell ref="M234:M235"/>
    <mergeCell ref="N234:N235"/>
    <mergeCell ref="J244:J246"/>
    <mergeCell ref="K244:K245"/>
    <mergeCell ref="L244:L245"/>
    <mergeCell ref="M244:M245"/>
    <mergeCell ref="N244:N245"/>
    <mergeCell ref="J237:J239"/>
    <mergeCell ref="K237:K238"/>
    <mergeCell ref="L237:L238"/>
    <mergeCell ref="M237:M238"/>
    <mergeCell ref="N237:N238"/>
    <mergeCell ref="J256:J257"/>
    <mergeCell ref="K256:K257"/>
    <mergeCell ref="L256:L257"/>
    <mergeCell ref="J258:J259"/>
    <mergeCell ref="K258:K259"/>
    <mergeCell ref="L258:L259"/>
    <mergeCell ref="J251:J252"/>
    <mergeCell ref="K251:N252"/>
    <mergeCell ref="J254:J255"/>
    <mergeCell ref="K254:K255"/>
    <mergeCell ref="L254:L255"/>
    <mergeCell ref="M263:M264"/>
    <mergeCell ref="J266:J268"/>
    <mergeCell ref="K266:K267"/>
    <mergeCell ref="L266:L267"/>
    <mergeCell ref="M266:M267"/>
    <mergeCell ref="J261:J262"/>
    <mergeCell ref="K261:K262"/>
    <mergeCell ref="L261:L262"/>
    <mergeCell ref="J263:J265"/>
    <mergeCell ref="K263:K264"/>
    <mergeCell ref="L263:L264"/>
    <mergeCell ref="J276:J277"/>
    <mergeCell ref="K276:K277"/>
    <mergeCell ref="L276:L277"/>
    <mergeCell ref="M276:M277"/>
    <mergeCell ref="J278:J279"/>
    <mergeCell ref="K278:K279"/>
    <mergeCell ref="L278:L279"/>
    <mergeCell ref="M278:M279"/>
    <mergeCell ref="N266:N267"/>
    <mergeCell ref="J269:J271"/>
    <mergeCell ref="K269:K270"/>
    <mergeCell ref="L269:L270"/>
    <mergeCell ref="J272:J274"/>
    <mergeCell ref="K272:K273"/>
    <mergeCell ref="L272:L273"/>
    <mergeCell ref="M272:M273"/>
    <mergeCell ref="J284:J285"/>
    <mergeCell ref="K284:K285"/>
    <mergeCell ref="L284:L285"/>
    <mergeCell ref="M284:M285"/>
    <mergeCell ref="K286:K287"/>
    <mergeCell ref="L286:L287"/>
    <mergeCell ref="M286:M287"/>
    <mergeCell ref="J280:J281"/>
    <mergeCell ref="K280:K281"/>
    <mergeCell ref="L280:L281"/>
    <mergeCell ref="M280:M281"/>
    <mergeCell ref="J282:J283"/>
    <mergeCell ref="K282:K283"/>
    <mergeCell ref="L282:L283"/>
    <mergeCell ref="M282:M283"/>
    <mergeCell ref="N286:N287"/>
    <mergeCell ref="J293:J295"/>
    <mergeCell ref="K293:K294"/>
    <mergeCell ref="L293:L294"/>
    <mergeCell ref="J296:J298"/>
    <mergeCell ref="K296:K297"/>
    <mergeCell ref="L296:L297"/>
    <mergeCell ref="M296:M297"/>
    <mergeCell ref="N296:N297"/>
    <mergeCell ref="J306:J308"/>
    <mergeCell ref="K306:K307"/>
    <mergeCell ref="L306:L307"/>
    <mergeCell ref="M306:M307"/>
    <mergeCell ref="N306:N307"/>
    <mergeCell ref="J299:J301"/>
    <mergeCell ref="K299:K300"/>
    <mergeCell ref="L299:L300"/>
    <mergeCell ref="M299:M300"/>
    <mergeCell ref="N299:N30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"/>
  <sheetViews>
    <sheetView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O18"/>
  <sheetViews>
    <sheetView workbookViewId="0">
      <selection activeCell="B15" sqref="B15:C18"/>
    </sheetView>
  </sheetViews>
  <sheetFormatPr baseColWidth="10" defaultRowHeight="15" x14ac:dyDescent="0.25"/>
  <cols>
    <col min="4" max="4" width="15" customWidth="1"/>
  </cols>
  <sheetData>
    <row r="1" spans="1:15" x14ac:dyDescent="0.25">
      <c r="A1" t="s">
        <v>5</v>
      </c>
      <c r="B1" t="s">
        <v>5</v>
      </c>
      <c r="D1" t="s">
        <v>37</v>
      </c>
      <c r="F1" t="s">
        <v>0</v>
      </c>
      <c r="G1" t="s">
        <v>40</v>
      </c>
      <c r="H1" t="s">
        <v>41</v>
      </c>
      <c r="I1" t="s">
        <v>42</v>
      </c>
      <c r="J1" t="s">
        <v>43</v>
      </c>
      <c r="K1" t="s">
        <v>68</v>
      </c>
    </row>
    <row r="2" spans="1:15" x14ac:dyDescent="0.25">
      <c r="A2" t="s">
        <v>6</v>
      </c>
      <c r="B2" t="s">
        <v>6</v>
      </c>
      <c r="D2" t="s">
        <v>38</v>
      </c>
      <c r="F2" t="s">
        <v>1</v>
      </c>
      <c r="K2" t="s">
        <v>69</v>
      </c>
    </row>
    <row r="3" spans="1:15" x14ac:dyDescent="0.25">
      <c r="B3" t="s">
        <v>28</v>
      </c>
      <c r="F3" t="s">
        <v>2</v>
      </c>
      <c r="K3" t="s">
        <v>70</v>
      </c>
    </row>
    <row r="4" spans="1:15" x14ac:dyDescent="0.25">
      <c r="A4" t="s">
        <v>10</v>
      </c>
      <c r="F4" t="s">
        <v>3</v>
      </c>
      <c r="K4" t="s">
        <v>71</v>
      </c>
    </row>
    <row r="5" spans="1:15" x14ac:dyDescent="0.25">
      <c r="A5" t="s">
        <v>11</v>
      </c>
      <c r="K5" t="s">
        <v>72</v>
      </c>
    </row>
    <row r="6" spans="1:15" x14ac:dyDescent="0.25">
      <c r="A6" t="s">
        <v>12</v>
      </c>
    </row>
    <row r="8" spans="1:15" x14ac:dyDescent="0.25">
      <c r="A8" t="s">
        <v>14</v>
      </c>
      <c r="B8" t="s">
        <v>15</v>
      </c>
      <c r="C8" t="s">
        <v>16</v>
      </c>
      <c r="D8" t="s">
        <v>17</v>
      </c>
    </row>
    <row r="10" spans="1:15" x14ac:dyDescent="0.25">
      <c r="A10" t="s">
        <v>22</v>
      </c>
      <c r="B10" t="s">
        <v>23</v>
      </c>
      <c r="C10" t="s">
        <v>24</v>
      </c>
    </row>
    <row r="12" spans="1:15" x14ac:dyDescent="0.25">
      <c r="A12">
        <v>1</v>
      </c>
      <c r="B12">
        <v>2</v>
      </c>
      <c r="C12">
        <v>3</v>
      </c>
      <c r="D12">
        <v>4</v>
      </c>
      <c r="E12">
        <v>5</v>
      </c>
      <c r="F12">
        <v>6</v>
      </c>
      <c r="G12">
        <v>7</v>
      </c>
      <c r="H12">
        <v>8</v>
      </c>
      <c r="I12">
        <v>9</v>
      </c>
      <c r="J12">
        <v>10</v>
      </c>
      <c r="K12">
        <v>11</v>
      </c>
      <c r="L12">
        <v>12</v>
      </c>
      <c r="M12">
        <v>13</v>
      </c>
      <c r="N12">
        <v>14</v>
      </c>
      <c r="O12">
        <v>15</v>
      </c>
    </row>
    <row r="15" spans="1:15" x14ac:dyDescent="0.25">
      <c r="B15" t="s">
        <v>79</v>
      </c>
    </row>
    <row r="16" spans="1:15" x14ac:dyDescent="0.25">
      <c r="B16" t="s">
        <v>34</v>
      </c>
    </row>
    <row r="17" spans="2:2" x14ac:dyDescent="0.25">
      <c r="B17" t="s">
        <v>83</v>
      </c>
    </row>
    <row r="18" spans="2:2" x14ac:dyDescent="0.25">
      <c r="B18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Données</vt:lpstr>
      <vt:lpstr>Analyse</vt:lpstr>
      <vt:lpstr>Synthèse</vt:lpstr>
      <vt:lpstr>DANGER</vt:lpstr>
      <vt:lpstr>att</vt:lpstr>
      <vt:lpstr>attente</vt:lpstr>
      <vt:lpstr>choix</vt:lpstr>
      <vt:lpstr>delai</vt:lpstr>
      <vt:lpstr>deux</vt:lpstr>
      <vt:lpstr>heure</vt:lpstr>
      <vt:lpstr>inter</vt:lpstr>
      <vt:lpstr>kjl</vt:lpstr>
      <vt:lpstr>liste</vt:lpstr>
      <vt:lpstr>moyen</vt:lpstr>
      <vt:lpstr>moyens</vt:lpstr>
      <vt:lpstr>ok</vt:lpstr>
      <vt:lpstr>okay</vt:lpstr>
      <vt:lpstr>question</vt:lpstr>
      <vt:lpstr>questions</vt:lpstr>
      <vt:lpstr>satisfaction</vt:lpstr>
      <vt:lpstr>semaine</vt:lpstr>
      <vt:lpstr>service</vt:lpstr>
    </vt:vector>
  </TitlesOfParts>
  <Company>M.A.E.E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FAUVEL Simon</dc:creator>
  <cp:lastModifiedBy>FAUVEL Simon</cp:lastModifiedBy>
  <dcterms:created xsi:type="dcterms:W3CDTF">2017-11-21T14:19:09Z</dcterms:created>
  <dcterms:modified xsi:type="dcterms:W3CDTF">2017-11-23T10:53:45Z</dcterms:modified>
</cp:coreProperties>
</file>