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990" yWindow="555" windowWidth="6210" windowHeight="5790" tabRatio="501"/>
  </bookViews>
  <sheets>
    <sheet name="facturation" sheetId="4" r:id="rId1"/>
    <sheet name="LISTE DE PRIX" sheetId="5" r:id="rId2"/>
    <sheet name="RESUMÉ" sheetId="6" r:id="rId3"/>
    <sheet name="tickets" sheetId="9" r:id="rId4"/>
    <sheet name="743" sheetId="11" r:id="rId5"/>
  </sheets>
  <calcPr calcId="145621" iterate="1" iterateDelta="1"/>
</workbook>
</file>

<file path=xl/calcChain.xml><?xml version="1.0" encoding="utf-8"?>
<calcChain xmlns="http://schemas.openxmlformats.org/spreadsheetml/2006/main">
  <c r="D28" i="6" l="1"/>
  <c r="D29" i="6"/>
  <c r="D30" i="6"/>
  <c r="D31" i="6"/>
  <c r="B1" i="11"/>
  <c r="B2" i="11" s="1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G45" i="11" l="1"/>
  <c r="G46" i="11"/>
  <c r="G47" i="11"/>
  <c r="G48" i="11"/>
  <c r="G49" i="11"/>
  <c r="G44" i="11"/>
  <c r="G29" i="11"/>
  <c r="G30" i="11"/>
  <c r="G28" i="11"/>
  <c r="G40" i="11"/>
  <c r="G41" i="11"/>
  <c r="G42" i="11"/>
  <c r="G43" i="11"/>
  <c r="G39" i="11"/>
  <c r="G38" i="11"/>
  <c r="G36" i="11"/>
  <c r="G37" i="11"/>
  <c r="G35" i="11"/>
  <c r="G32" i="11"/>
  <c r="G33" i="11"/>
  <c r="G34" i="11"/>
  <c r="G31" i="11"/>
  <c r="G27" i="11"/>
  <c r="G26" i="11"/>
  <c r="F51" i="11" l="1"/>
  <c r="F50" i="11"/>
  <c r="H50" i="11" s="1"/>
  <c r="F49" i="11"/>
  <c r="H49" i="11" s="1"/>
  <c r="F48" i="11"/>
  <c r="H48" i="11" s="1"/>
  <c r="F47" i="11"/>
  <c r="H47" i="11" s="1"/>
  <c r="F46" i="11"/>
  <c r="H46" i="11" s="1"/>
  <c r="F45" i="11"/>
  <c r="H45" i="11" s="1"/>
  <c r="F44" i="11"/>
  <c r="H44" i="11" s="1"/>
  <c r="F42" i="11"/>
  <c r="H42" i="11" s="1"/>
  <c r="F43" i="11"/>
  <c r="H43" i="11" s="1"/>
  <c r="F41" i="11"/>
  <c r="H41" i="11" s="1"/>
  <c r="F40" i="11"/>
  <c r="H40" i="11" s="1"/>
  <c r="F39" i="11"/>
  <c r="H39" i="11" s="1"/>
  <c r="F38" i="11"/>
  <c r="H38" i="11" s="1"/>
  <c r="F37" i="11"/>
  <c r="H37" i="11" s="1"/>
  <c r="F36" i="11"/>
  <c r="H36" i="11" s="1"/>
  <c r="F35" i="11"/>
  <c r="H35" i="11" s="1"/>
  <c r="F34" i="11"/>
  <c r="H34" i="11" s="1"/>
  <c r="F33" i="11"/>
  <c r="H33" i="11" s="1"/>
  <c r="F32" i="11"/>
  <c r="H32" i="11" s="1"/>
  <c r="F31" i="11"/>
  <c r="H31" i="11" s="1"/>
  <c r="F30" i="11"/>
  <c r="H30" i="11" s="1"/>
  <c r="F29" i="11"/>
  <c r="H29" i="11" s="1"/>
  <c r="F28" i="11"/>
  <c r="H28" i="11" s="1"/>
  <c r="F27" i="11"/>
  <c r="H27" i="11" s="1"/>
  <c r="F26" i="11"/>
  <c r="H26" i="11" s="1"/>
  <c r="F25" i="11"/>
  <c r="F24" i="11"/>
  <c r="F23" i="11"/>
  <c r="F22" i="11"/>
  <c r="F21" i="11"/>
  <c r="F20" i="11"/>
  <c r="F19" i="11"/>
  <c r="F18" i="11"/>
  <c r="F17" i="11"/>
  <c r="F16" i="11"/>
  <c r="F15" i="11"/>
  <c r="F14" i="11"/>
  <c r="F13" i="11"/>
  <c r="F12" i="11"/>
  <c r="F11" i="11"/>
  <c r="F10" i="11"/>
  <c r="F9" i="11"/>
  <c r="F8" i="11"/>
  <c r="B4" i="11"/>
  <c r="B3" i="11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B1" i="9" l="1"/>
  <c r="F50" i="9" s="1"/>
  <c r="F9" i="9" l="1"/>
  <c r="F13" i="9"/>
  <c r="F17" i="9"/>
  <c r="F21" i="9"/>
  <c r="F25" i="9"/>
  <c r="F29" i="9"/>
  <c r="F33" i="9"/>
  <c r="F37" i="9"/>
  <c r="F41" i="9"/>
  <c r="F45" i="9"/>
  <c r="F49" i="9"/>
  <c r="F12" i="9"/>
  <c r="F16" i="9"/>
  <c r="F20" i="9"/>
  <c r="F24" i="9"/>
  <c r="F28" i="9"/>
  <c r="F32" i="9"/>
  <c r="F36" i="9"/>
  <c r="F40" i="9"/>
  <c r="F44" i="9"/>
  <c r="F48" i="9"/>
  <c r="F10" i="9"/>
  <c r="F14" i="9"/>
  <c r="F18" i="9"/>
  <c r="F22" i="9"/>
  <c r="F26" i="9"/>
  <c r="F30" i="9"/>
  <c r="F34" i="9"/>
  <c r="F38" i="9"/>
  <c r="F42" i="9"/>
  <c r="F46" i="9"/>
  <c r="F11" i="9"/>
  <c r="F15" i="9"/>
  <c r="F19" i="9"/>
  <c r="F23" i="9"/>
  <c r="F27" i="9"/>
  <c r="F31" i="9"/>
  <c r="F35" i="9"/>
  <c r="F39" i="9"/>
  <c r="F43" i="9"/>
  <c r="F47" i="9"/>
  <c r="F8" i="9"/>
  <c r="B4" i="9"/>
  <c r="B3" i="9"/>
  <c r="B2" i="9"/>
  <c r="E31" i="6" l="1"/>
  <c r="E30" i="6"/>
  <c r="E29" i="6"/>
  <c r="E28" i="6"/>
  <c r="BD14" i="4" l="1"/>
  <c r="BD12" i="4"/>
  <c r="G8" i="11"/>
  <c r="H8" i="11" s="1"/>
  <c r="BD9" i="4"/>
  <c r="BD10" i="4"/>
  <c r="BD8" i="4"/>
  <c r="BD13" i="4"/>
  <c r="BD11" i="4"/>
  <c r="G15" i="9"/>
  <c r="G15" i="11"/>
  <c r="H15" i="11" s="1"/>
  <c r="G17" i="9"/>
  <c r="G17" i="11"/>
  <c r="H17" i="11" s="1"/>
  <c r="G19" i="9"/>
  <c r="G19" i="11"/>
  <c r="H19" i="11" s="1"/>
  <c r="G21" i="9"/>
  <c r="G21" i="11"/>
  <c r="H21" i="11" s="1"/>
  <c r="G23" i="9"/>
  <c r="G23" i="11"/>
  <c r="H23" i="11" s="1"/>
  <c r="G25" i="9"/>
  <c r="G25" i="11"/>
  <c r="H25" i="11" s="1"/>
  <c r="G9" i="9"/>
  <c r="G9" i="11"/>
  <c r="H9" i="11" s="1"/>
  <c r="G11" i="9"/>
  <c r="G11" i="11"/>
  <c r="H11" i="11" s="1"/>
  <c r="G13" i="9"/>
  <c r="G13" i="11"/>
  <c r="H13" i="11" s="1"/>
  <c r="G14" i="9"/>
  <c r="G14" i="11"/>
  <c r="H14" i="11" s="1"/>
  <c r="G16" i="9"/>
  <c r="G16" i="11"/>
  <c r="H16" i="11" s="1"/>
  <c r="G18" i="9"/>
  <c r="G18" i="11"/>
  <c r="H18" i="11" s="1"/>
  <c r="G20" i="9"/>
  <c r="G20" i="11"/>
  <c r="H20" i="11" s="1"/>
  <c r="G22" i="9"/>
  <c r="G22" i="11"/>
  <c r="H22" i="11" s="1"/>
  <c r="G24" i="9"/>
  <c r="G24" i="11"/>
  <c r="H24" i="11" s="1"/>
  <c r="G8" i="9"/>
  <c r="G10" i="9"/>
  <c r="G10" i="11"/>
  <c r="H10" i="11" s="1"/>
  <c r="G12" i="9"/>
  <c r="G12" i="11"/>
  <c r="H12" i="11" s="1"/>
  <c r="BD7" i="4"/>
  <c r="H51" i="11" s="1"/>
  <c r="F51" i="9" l="1"/>
  <c r="BD15" i="4" l="1"/>
</calcChain>
</file>

<file path=xl/sharedStrings.xml><?xml version="1.0" encoding="utf-8"?>
<sst xmlns="http://schemas.openxmlformats.org/spreadsheetml/2006/main" count="431" uniqueCount="189">
  <si>
    <t>A FACTURER</t>
  </si>
  <si>
    <t>6 à 10</t>
  </si>
  <si>
    <t>2 à 5</t>
  </si>
  <si>
    <t>1er</t>
  </si>
  <si>
    <t>DATE FIN</t>
  </si>
  <si>
    <t>DATE DEBUT</t>
  </si>
  <si>
    <t>Ferier</t>
  </si>
  <si>
    <t>Overtime</t>
  </si>
  <si>
    <t>REG</t>
  </si>
  <si>
    <t>15'</t>
  </si>
  <si>
    <t>10'</t>
  </si>
  <si>
    <t>7'</t>
  </si>
  <si>
    <t>4'</t>
  </si>
  <si>
    <t>2'</t>
  </si>
  <si>
    <t>48 port</t>
  </si>
  <si>
    <t>4 port</t>
  </si>
  <si>
    <t>2 port</t>
  </si>
  <si>
    <t>1 port</t>
  </si>
  <si>
    <t>6 port</t>
  </si>
  <si>
    <t>Vert</t>
  </si>
  <si>
    <t>Noir</t>
  </si>
  <si>
    <t>Blanc</t>
  </si>
  <si>
    <t>Vert ($/M)</t>
  </si>
  <si>
    <t>Blanc ($/M)</t>
  </si>
  <si>
    <t>EPA</t>
  </si>
  <si>
    <t>Non-EPA</t>
  </si>
  <si>
    <t>Temps technicien Electrique</t>
  </si>
  <si>
    <t>Temps technicien cableur</t>
  </si>
  <si>
    <t>Patch Cord cat6</t>
  </si>
  <si>
    <t>Patch P.</t>
  </si>
  <si>
    <t>Boite a raccordement latéral</t>
  </si>
  <si>
    <t>Plaque mural KS</t>
  </si>
  <si>
    <t>Connecteur Cat6</t>
  </si>
  <si>
    <t>Cable cat6 2412</t>
  </si>
  <si>
    <t>commentaire</t>
  </si>
  <si>
    <t>total ($)</t>
  </si>
  <si>
    <t>Temps/Materiels</t>
  </si>
  <si>
    <t>câblage Dégret</t>
  </si>
  <si>
    <t>Non Dégret</t>
  </si>
  <si>
    <t>Soumission</t>
  </si>
  <si>
    <t>PRIX Soumis</t>
  </si>
  <si>
    <t xml:space="preserve"> </t>
  </si>
  <si>
    <t>Prix Sales</t>
  </si>
  <si>
    <t>Margin</t>
  </si>
  <si>
    <t>Prix Cost</t>
  </si>
  <si>
    <t>Nbres</t>
  </si>
  <si>
    <t>Liste de prix unitaire</t>
  </si>
  <si>
    <t>PRIX AVEC Matériel et Main-œuvre</t>
  </si>
  <si>
    <t xml:space="preserve">1 CABLES </t>
  </si>
  <si>
    <t>2 À 5 CABLES</t>
  </si>
  <si>
    <t>6 À 10</t>
  </si>
  <si>
    <t>TYPE DE CABLES</t>
  </si>
  <si>
    <t>COSTS</t>
  </si>
  <si>
    <t>SALES</t>
  </si>
  <si>
    <t xml:space="preserve">   COSTS  </t>
  </si>
  <si>
    <t xml:space="preserve">   SALES  </t>
  </si>
  <si>
    <t xml:space="preserve">   COST   </t>
  </si>
  <si>
    <t xml:space="preserve"> SALES </t>
  </si>
  <si>
    <t>CHUM NON-CCQ</t>
  </si>
  <si>
    <t>CHUM HEPA NON-CCQ</t>
  </si>
  <si>
    <t>PROJECTCO  NON-CCQ</t>
  </si>
  <si>
    <t>PROJECTCO HEPA NON-CCQ</t>
  </si>
  <si>
    <t>PROJECTCO CCQ</t>
  </si>
  <si>
    <t>PROJECTCO HEPA CCQ</t>
  </si>
  <si>
    <t>TYPE DE CABLE</t>
  </si>
  <si>
    <t>NOMBRE DE CABLE</t>
  </si>
  <si>
    <t>PRIX COST</t>
  </si>
  <si>
    <t>PRIX SALES</t>
  </si>
  <si>
    <t>2 A 5</t>
  </si>
  <si>
    <t>6 A 10</t>
  </si>
  <si>
    <t>PROJECTCO NON-CCQ</t>
  </si>
  <si>
    <t>PROJECTCO CCQ HEPA</t>
  </si>
  <si>
    <t>NOM CONTACT</t>
  </si>
  <si>
    <t>EMAIL CONTACT</t>
  </si>
  <si>
    <t>SEPTEMBRE/OCTOBRE</t>
  </si>
  <si>
    <t>NOVEMBRE</t>
  </si>
  <si>
    <t>FACTURATION A FAIRE</t>
  </si>
  <si>
    <t>DECEMBRE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</si>
  <si>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</si>
  <si>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</si>
  <si>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</si>
  <si>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</si>
  <si>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</si>
  <si>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</si>
  <si>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</si>
  <si>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</si>
  <si>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</si>
  <si>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</si>
  <si>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</si>
  <si>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Pro</t>
  </si>
  <si>
    <t xml:space="preserve">1er </t>
  </si>
  <si>
    <t xml:space="preserve">2 à 5 </t>
  </si>
  <si>
    <t xml:space="preserve">6 à 10 </t>
  </si>
  <si>
    <t xml:space="preserve">1er  </t>
  </si>
  <si>
    <t xml:space="preserve">2 à 5  </t>
  </si>
  <si>
    <t xml:space="preserve">6 à 10  </t>
  </si>
  <si>
    <t xml:space="preserve">1er   </t>
  </si>
  <si>
    <t xml:space="preserve">2 à 5   </t>
  </si>
  <si>
    <t xml:space="preserve">6 à 10   </t>
  </si>
  <si>
    <t xml:space="preserve">1er    </t>
  </si>
  <si>
    <t xml:space="preserve">2 à 5    </t>
  </si>
  <si>
    <t xml:space="preserve">6 à 10    </t>
  </si>
  <si>
    <t xml:space="preserve">1er     </t>
  </si>
  <si>
    <t xml:space="preserve">2 à 5     </t>
  </si>
  <si>
    <t xml:space="preserve">6 à 10     </t>
  </si>
  <si>
    <t xml:space="preserve">1 port </t>
  </si>
  <si>
    <t xml:space="preserve">2 port </t>
  </si>
  <si>
    <t xml:space="preserve">4 port </t>
  </si>
  <si>
    <t xml:space="preserve">REG </t>
  </si>
  <si>
    <t xml:space="preserve">Overtime </t>
  </si>
  <si>
    <t xml:space="preserve">Ferier </t>
  </si>
  <si>
    <t>VARIA:</t>
  </si>
  <si>
    <t>Bon commande:</t>
  </si>
  <si>
    <t>BON TRAVAIL:</t>
  </si>
  <si>
    <t>Contact:</t>
  </si>
  <si>
    <t xml:space="preserve">6 à 10      </t>
  </si>
  <si>
    <t xml:space="preserve">BELDEN CABLE CAT6 2412 BLANC </t>
  </si>
  <si>
    <t>Blanc (M)</t>
  </si>
  <si>
    <t>BELDEN CABLE CAT6 2412 VERT</t>
  </si>
  <si>
    <t>Vert (M)</t>
  </si>
  <si>
    <t>CONNECTEUR KS CAT6 BLANC</t>
  </si>
  <si>
    <t>CONNECTEUR KS CAT6 NOIR</t>
  </si>
  <si>
    <t>CONNECTEUR KS CAT6 VERT</t>
  </si>
  <si>
    <t>Plaque Mural 1 port KS Blanc</t>
  </si>
  <si>
    <t>Plaque Mural 2 port KS Blanc</t>
  </si>
  <si>
    <t>Plaque Mural 4 port KS Blanc</t>
  </si>
  <si>
    <t>Plaque Mural 6 port KS Blanc</t>
  </si>
  <si>
    <t>Boite sortie latéral KS Blanc 1port</t>
  </si>
  <si>
    <t>Boite sortie latéral KS Blanc 2port</t>
  </si>
  <si>
    <t>Boite sortie latéral KS Blanc 4port</t>
  </si>
  <si>
    <t>PatchPanel 48 port KS 1U</t>
  </si>
  <si>
    <t>Cordon de Raccordement blanc 2'</t>
  </si>
  <si>
    <t>Cordon de Raccordement blanc 4'</t>
  </si>
  <si>
    <t>Cordon de Raccordement blanc 7'</t>
  </si>
  <si>
    <t>Cordon de Raccordement blanc 10'</t>
  </si>
  <si>
    <t>Cordon de Raccordement blanc 15'</t>
  </si>
  <si>
    <t>Travaux heures Reg. Non-CCQ</t>
  </si>
  <si>
    <t>Travaux heures Suppl. Non-CCQ</t>
  </si>
  <si>
    <t>Travaux heures Ferier. Non-CCQ</t>
  </si>
  <si>
    <t>Travaux heures Reg. CCQ</t>
  </si>
  <si>
    <t>Travaux heures Suppl. CCQ</t>
  </si>
  <si>
    <t>Travaux heures Ferier. CCQ</t>
  </si>
  <si>
    <t>DEMO</t>
  </si>
  <si>
    <t>Misc.</t>
  </si>
  <si>
    <t>Produit Diver</t>
  </si>
  <si>
    <t>Divers</t>
  </si>
  <si>
    <t>Item Descrition</t>
  </si>
  <si>
    <t>Numero Produit</t>
  </si>
  <si>
    <t>Ref.</t>
  </si>
  <si>
    <t>Quantité</t>
  </si>
  <si>
    <t>Câblage DÉGRET ProjectCo</t>
  </si>
  <si>
    <t>Câblage Non Dégret CHUM</t>
  </si>
  <si>
    <t>Câblage Non Dégret ProjectCo</t>
  </si>
  <si>
    <t>Prix ($/U)</t>
  </si>
  <si>
    <t>Total ($)</t>
  </si>
  <si>
    <t>Column1</t>
  </si>
  <si>
    <t>Ticket</t>
  </si>
  <si>
    <t>Fermé</t>
  </si>
  <si>
    <t>instruction:</t>
  </si>
  <si>
    <t>ins</t>
  </si>
  <si>
    <t>contact</t>
  </si>
  <si>
    <t>email</t>
  </si>
  <si>
    <t>soum</t>
  </si>
  <si>
    <t>prix Soumis</t>
  </si>
  <si>
    <t>fermé</t>
  </si>
  <si>
    <t>debut</t>
  </si>
  <si>
    <t>fin</t>
  </si>
  <si>
    <t>single ft4</t>
  </si>
  <si>
    <t>single ft6</t>
  </si>
  <si>
    <t>base on</t>
  </si>
  <si>
    <t>66m</t>
  </si>
  <si>
    <t>:Total</t>
  </si>
  <si>
    <t>Column2</t>
  </si>
  <si>
    <t>1</t>
  </si>
  <si>
    <t>2973/2974/2977</t>
  </si>
  <si>
    <t>T/M</t>
  </si>
  <si>
    <t>OUI</t>
  </si>
  <si>
    <t>2985/2986</t>
  </si>
  <si>
    <t>2983/2984</t>
  </si>
  <si>
    <r>
      <t xml:space="preserve">FACTURATION A: </t>
    </r>
    <r>
      <rPr>
        <sz val="11"/>
        <color rgb="FFFF0000"/>
        <rFont val="Calibri"/>
        <family val="2"/>
        <scheme val="minor"/>
      </rPr>
      <t xml:space="preserve"> </t>
    </r>
  </si>
  <si>
    <t>BT</t>
  </si>
  <si>
    <t>Ins</t>
  </si>
  <si>
    <t>tickets</t>
  </si>
  <si>
    <t>jonh 1</t>
  </si>
  <si>
    <t>jonh 2</t>
  </si>
  <si>
    <t>jonh 3</t>
  </si>
  <si>
    <t>jonh 4</t>
  </si>
  <si>
    <t>jonh 5</t>
  </si>
  <si>
    <t>jonh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</si>
</sst>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#,##0.00\ &quot;$&quot;"/>
    <numFmt numFmtId="167" formatCode="_ * #,##0.00_)\ [$$-C0C]_ ;_ * \(#,##0.00\)\ [$$-C0C]_ ;_ * &quot;-&quot;??_)\ [$$-C0C]_ ;_ @_ "/>
    <numFmt numFmtId="168" formatCode="0.0000%"/>
    <numFmt numFmtId="169" formatCode="0.0000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color indexed="8"/>
      <name val="MS Sans Serif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6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rgb="FF7030A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</fills>
  <borders count="1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 style="dashed">
        <color indexed="64"/>
      </top>
      <bottom style="dashed">
        <color auto="1"/>
      </bottom>
      <diagonal/>
    </border>
    <border>
      <left/>
      <right/>
      <top style="dashed">
        <color indexed="64"/>
      </top>
      <bottom style="dashed">
        <color auto="1"/>
      </bottom>
      <diagonal/>
    </border>
    <border>
      <left/>
      <right style="medium">
        <color auto="1"/>
      </right>
      <top style="dashed">
        <color indexed="64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indexed="64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/>
      <diagonal/>
    </border>
    <border>
      <left style="hair">
        <color indexed="64"/>
      </left>
      <right style="hair">
        <color indexed="64"/>
      </right>
      <top style="dashed">
        <color indexed="64"/>
      </top>
      <bottom/>
      <diagonal/>
    </border>
    <border>
      <left style="hair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medium">
        <color auto="1"/>
      </top>
      <bottom style="dashed">
        <color indexed="64"/>
      </bottom>
      <diagonal/>
    </border>
    <border>
      <left/>
      <right style="medium">
        <color indexed="64"/>
      </right>
      <top style="medium">
        <color auto="1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auto="1"/>
      </right>
      <top style="dashed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hair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 style="mediumDashed">
        <color indexed="64"/>
      </left>
      <right style="mediumDashed">
        <color indexed="64"/>
      </right>
      <top style="medium">
        <color auto="1"/>
      </top>
      <bottom/>
      <diagonal/>
    </border>
    <border>
      <left style="dashDot">
        <color auto="1"/>
      </left>
      <right style="thin">
        <color indexed="64"/>
      </right>
      <top style="medium">
        <color auto="1"/>
      </top>
      <bottom/>
      <diagonal/>
    </border>
    <border>
      <left style="dashDot">
        <color auto="1"/>
      </left>
      <right style="thin">
        <color indexed="64"/>
      </right>
      <top/>
      <bottom/>
      <diagonal/>
    </border>
    <border>
      <left style="dashDot">
        <color auto="1"/>
      </left>
      <right style="thin">
        <color indexed="64"/>
      </right>
      <top/>
      <bottom style="dashed">
        <color auto="1"/>
      </bottom>
      <diagonal/>
    </border>
    <border>
      <left style="dashDot">
        <color auto="1"/>
      </left>
      <right style="thin">
        <color indexed="64"/>
      </right>
      <top style="dashed">
        <color auto="1"/>
      </top>
      <bottom style="dashed">
        <color auto="1"/>
      </bottom>
      <diagonal/>
    </border>
    <border>
      <left style="dashDot">
        <color auto="1"/>
      </left>
      <right style="thin">
        <color indexed="64"/>
      </right>
      <top style="dashed">
        <color auto="1"/>
      </top>
      <bottom/>
      <diagonal/>
    </border>
    <border>
      <left style="hair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auto="1"/>
      </right>
      <top/>
      <bottom style="dashed">
        <color indexed="64"/>
      </bottom>
      <diagonal/>
    </border>
    <border>
      <left style="dashDot">
        <color auto="1"/>
      </left>
      <right style="thin">
        <color indexed="64"/>
      </right>
      <top style="dashed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dashDot">
        <color auto="1"/>
      </left>
      <right style="thin">
        <color indexed="64"/>
      </right>
      <top style="thin">
        <color auto="1"/>
      </top>
      <bottom/>
      <diagonal/>
    </border>
    <border>
      <left style="dashDot">
        <color auto="1"/>
      </left>
      <right style="thin">
        <color indexed="64"/>
      </right>
      <top style="dashed">
        <color auto="1"/>
      </top>
      <bottom style="thin">
        <color auto="1"/>
      </bottom>
      <diagonal/>
    </border>
    <border>
      <left/>
      <right style="dashDot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hair">
        <color indexed="64"/>
      </right>
      <top/>
      <bottom style="dashed">
        <color indexed="64"/>
      </bottom>
      <diagonal/>
    </border>
    <border>
      <left style="hair">
        <color indexed="64"/>
      </left>
      <right style="hair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ouble">
        <color indexed="64"/>
      </bottom>
      <diagonal/>
    </border>
    <border>
      <left/>
      <right/>
      <top style="dashed">
        <color indexed="64"/>
      </top>
      <bottom style="double">
        <color indexed="64"/>
      </bottom>
      <diagonal/>
    </border>
    <border>
      <left/>
      <right style="dashDot">
        <color auto="1"/>
      </right>
      <top style="dashed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ashed">
        <color auto="1"/>
      </bottom>
      <diagonal/>
    </border>
    <border>
      <left/>
      <right/>
      <top style="double">
        <color indexed="64"/>
      </top>
      <bottom style="dashed">
        <color auto="1"/>
      </bottom>
      <diagonal/>
    </border>
    <border>
      <left/>
      <right style="dashDot">
        <color auto="1"/>
      </right>
      <top style="double">
        <color indexed="64"/>
      </top>
      <bottom style="dashed">
        <color auto="1"/>
      </bottom>
      <diagonal/>
    </border>
    <border>
      <left/>
      <right style="dashDot">
        <color auto="1"/>
      </right>
      <top style="dashed">
        <color auto="1"/>
      </top>
      <bottom/>
      <diagonal/>
    </border>
    <border>
      <left style="medium">
        <color indexed="64"/>
      </left>
      <right/>
      <top style="thin">
        <color indexed="64"/>
      </top>
      <bottom style="dashed">
        <color auto="1"/>
      </bottom>
      <diagonal/>
    </border>
    <border>
      <left/>
      <right/>
      <top style="thin">
        <color indexed="64"/>
      </top>
      <bottom style="dashed">
        <color auto="1"/>
      </bottom>
      <diagonal/>
    </border>
    <border>
      <left/>
      <right style="dashDot">
        <color auto="1"/>
      </right>
      <top style="thin">
        <color indexed="64"/>
      </top>
      <bottom style="dashed">
        <color auto="1"/>
      </bottom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 style="thin">
        <color indexed="64"/>
      </right>
      <top style="double">
        <color indexed="64"/>
      </top>
      <bottom/>
      <diagonal/>
    </border>
    <border>
      <left style="thin">
        <color auto="1"/>
      </left>
      <right/>
      <top style="medium">
        <color auto="1"/>
      </top>
      <bottom style="dashed">
        <color auto="1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ouble">
        <color auto="1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ouble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ashDot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uble">
        <color indexed="64"/>
      </top>
      <bottom style="dotted">
        <color indexed="64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auto="1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</borders>
  <cellStyleXfs count="121">
    <xf numFmtId="0" fontId="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8" fillId="33" borderId="0" applyNumberFormat="0" applyBorder="0" applyAlignment="0" applyProtection="0"/>
    <xf numFmtId="0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39" borderId="0" applyNumberFormat="0" applyBorder="0" applyAlignment="0" applyProtection="0"/>
    <xf numFmtId="0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36" borderId="0" applyNumberFormat="0" applyBorder="0" applyAlignment="0" applyProtection="0"/>
    <xf numFmtId="0" fontId="18" fillId="39" borderId="0" applyNumberFormat="0" applyBorder="0" applyAlignment="0" applyProtection="0"/>
    <xf numFmtId="0" fontId="18" fillId="42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9" fillId="43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6" borderId="0" applyNumberFormat="0" applyBorder="0" applyAlignment="0" applyProtection="0"/>
    <xf numFmtId="0" fontId="17" fillId="9" borderId="0" applyNumberFormat="0" applyBorder="0" applyAlignment="0" applyProtection="0"/>
    <xf numFmtId="0" fontId="19" fillId="47" borderId="0" applyNumberFormat="0" applyBorder="0" applyAlignment="0" applyProtection="0"/>
    <xf numFmtId="0" fontId="17" fillId="13" borderId="0" applyNumberFormat="0" applyBorder="0" applyAlignment="0" applyProtection="0"/>
    <xf numFmtId="0" fontId="19" fillId="48" borderId="0" applyNumberFormat="0" applyBorder="0" applyAlignment="0" applyProtection="0"/>
    <xf numFmtId="0" fontId="17" fillId="17" borderId="0" applyNumberFormat="0" applyBorder="0" applyAlignment="0" applyProtection="0"/>
    <xf numFmtId="0" fontId="19" fillId="49" borderId="0" applyNumberFormat="0" applyBorder="0" applyAlignment="0" applyProtection="0"/>
    <xf numFmtId="0" fontId="17" fillId="21" borderId="0" applyNumberFormat="0" applyBorder="0" applyAlignment="0" applyProtection="0"/>
    <xf numFmtId="0" fontId="19" fillId="44" borderId="0" applyNumberFormat="0" applyBorder="0" applyAlignment="0" applyProtection="0"/>
    <xf numFmtId="0" fontId="17" fillId="25" borderId="0" applyNumberFormat="0" applyBorder="0" applyAlignment="0" applyProtection="0"/>
    <xf numFmtId="0" fontId="19" fillId="45" borderId="0" applyNumberFormat="0" applyBorder="0" applyAlignment="0" applyProtection="0"/>
    <xf numFmtId="0" fontId="17" fillId="29" borderId="0" applyNumberFormat="0" applyBorder="0" applyAlignment="0" applyProtection="0"/>
    <xf numFmtId="0" fontId="19" fillId="50" borderId="0" applyNumberFormat="0" applyBorder="0" applyAlignment="0" applyProtection="0"/>
    <xf numFmtId="0" fontId="14" fillId="0" borderId="0" applyNumberFormat="0" applyFill="0" applyBorder="0" applyAlignment="0" applyProtection="0"/>
    <xf numFmtId="0" fontId="20" fillId="34" borderId="0" applyNumberFormat="0" applyBorder="0" applyAlignment="0" applyProtection="0"/>
    <xf numFmtId="0" fontId="11" fillId="6" borderId="4" applyNumberFormat="0" applyAlignment="0" applyProtection="0"/>
    <xf numFmtId="0" fontId="21" fillId="51" borderId="34" applyNumberFormat="0" applyAlignment="0" applyProtection="0"/>
    <xf numFmtId="0" fontId="12" fillId="0" borderId="6" applyNumberFormat="0" applyFill="0" applyAlignment="0" applyProtection="0"/>
    <xf numFmtId="0" fontId="22" fillId="52" borderId="35" applyNumberFormat="0" applyAlignment="0" applyProtection="0"/>
    <xf numFmtId="164" fontId="23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3" borderId="36" applyNumberFormat="0" applyFont="0" applyAlignment="0" applyProtection="0"/>
    <xf numFmtId="0" fontId="9" fillId="5" borderId="4" applyNumberFormat="0" applyAlignment="0" applyProtection="0"/>
    <xf numFmtId="0" fontId="25" fillId="0" borderId="0" applyNumberFormat="0" applyFill="0" applyBorder="0" applyAlignment="0" applyProtection="0"/>
    <xf numFmtId="0" fontId="26" fillId="35" borderId="0" applyNumberFormat="0" applyBorder="0" applyAlignment="0" applyProtection="0"/>
    <xf numFmtId="0" fontId="27" fillId="0" borderId="37" applyNumberFormat="0" applyFill="0" applyAlignment="0" applyProtection="0"/>
    <xf numFmtId="0" fontId="28" fillId="0" borderId="38" applyNumberFormat="0" applyFill="0" applyAlignment="0" applyProtection="0"/>
    <xf numFmtId="0" fontId="29" fillId="0" borderId="39" applyNumberFormat="0" applyFill="0" applyAlignment="0" applyProtection="0"/>
    <xf numFmtId="0" fontId="29" fillId="0" borderId="0" applyNumberFormat="0" applyFill="0" applyBorder="0" applyAlignment="0" applyProtection="0"/>
    <xf numFmtId="0" fontId="30" fillId="38" borderId="34" applyNumberFormat="0" applyAlignment="0" applyProtection="0"/>
    <xf numFmtId="0" fontId="7" fillId="3" borderId="0" applyNumberFormat="0" applyBorder="0" applyAlignment="0" applyProtection="0"/>
    <xf numFmtId="0" fontId="31" fillId="0" borderId="40" applyNumberFormat="0" applyFill="0" applyAlignment="0" applyProtection="0"/>
    <xf numFmtId="165" fontId="1" fillId="0" borderId="0" applyFont="0" applyFill="0" applyBorder="0" applyAlignment="0" applyProtection="0"/>
    <xf numFmtId="0" fontId="32" fillId="54" borderId="0" applyNumberFormat="0" applyBorder="0" applyAlignment="0" applyProtection="0"/>
    <xf numFmtId="0" fontId="8" fillId="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4" fillId="53" borderId="36" applyNumberFormat="0" applyFont="0" applyAlignment="0" applyProtection="0"/>
    <xf numFmtId="0" fontId="33" fillId="51" borderId="41" applyNumberFormat="0" applyAlignment="0" applyProtection="0"/>
    <xf numFmtId="9" fontId="34" fillId="0" borderId="0" applyFont="0" applyFill="0" applyBorder="0" applyAlignment="0" applyProtection="0"/>
    <xf numFmtId="9" fontId="34" fillId="0" borderId="0" applyFont="0" applyFill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36" fillId="0" borderId="42" applyNumberFormat="0" applyFill="0" applyAlignment="0" applyProtection="0"/>
    <xf numFmtId="0" fontId="13" fillId="7" borderId="7" applyNumberFormat="0" applyAlignment="0" applyProtection="0"/>
    <xf numFmtId="0" fontId="37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9" fillId="0" borderId="137" applyNumberFormat="0" applyFill="0" applyAlignment="0" applyProtection="0"/>
  </cellStyleXfs>
  <cellXfs count="264">
    <xf numFmtId="0" fontId="0" fillId="0" borderId="0" xfId="0"/>
    <xf numFmtId="44" fontId="0" fillId="0" borderId="0" xfId="0" applyNumberFormat="1"/>
    <xf numFmtId="0" fontId="0" fillId="0" borderId="10" xfId="0" applyBorder="1"/>
    <xf numFmtId="44" fontId="0" fillId="0" borderId="10" xfId="0" applyNumberForma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/>
    <xf numFmtId="0" fontId="0" fillId="0" borderId="10" xfId="0" applyFill="1" applyBorder="1"/>
    <xf numFmtId="0" fontId="0" fillId="55" borderId="0" xfId="0" applyFill="1"/>
    <xf numFmtId="0" fontId="0" fillId="58" borderId="10" xfId="0" applyFill="1" applyBorder="1"/>
    <xf numFmtId="0" fontId="38" fillId="59" borderId="0" xfId="0" applyFont="1" applyFill="1" applyAlignment="1">
      <alignment horizontal="center"/>
    </xf>
    <xf numFmtId="44" fontId="38" fillId="59" borderId="0" xfId="0" applyNumberFormat="1" applyFont="1" applyFill="1"/>
    <xf numFmtId="0" fontId="38" fillId="59" borderId="0" xfId="0" applyFont="1" applyFill="1"/>
    <xf numFmtId="0" fontId="39" fillId="0" borderId="0" xfId="0" applyFont="1"/>
    <xf numFmtId="0" fontId="39" fillId="0" borderId="0" xfId="0" applyFont="1" applyAlignment="1">
      <alignment horizontal="center"/>
    </xf>
    <xf numFmtId="0" fontId="40" fillId="0" borderId="0" xfId="0" applyFont="1"/>
    <xf numFmtId="0" fontId="40" fillId="0" borderId="0" xfId="0" applyFont="1" applyAlignment="1">
      <alignment horizontal="center"/>
    </xf>
    <xf numFmtId="0" fontId="41" fillId="0" borderId="0" xfId="0" applyFont="1"/>
    <xf numFmtId="0" fontId="41" fillId="0" borderId="0" xfId="0" applyFont="1" applyAlignment="1">
      <alignment horizontal="center"/>
    </xf>
    <xf numFmtId="0" fontId="14" fillId="0" borderId="0" xfId="0" applyFont="1"/>
    <xf numFmtId="0" fontId="14" fillId="0" borderId="0" xfId="0" applyFont="1" applyAlignment="1">
      <alignment horizontal="center"/>
    </xf>
    <xf numFmtId="0" fontId="42" fillId="0" borderId="0" xfId="0" applyFont="1"/>
    <xf numFmtId="0" fontId="42" fillId="0" borderId="0" xfId="0" applyFont="1" applyAlignment="1">
      <alignment horizontal="center"/>
    </xf>
    <xf numFmtId="44" fontId="42" fillId="0" borderId="0" xfId="0" applyNumberFormat="1" applyFont="1"/>
    <xf numFmtId="0" fontId="43" fillId="0" borderId="0" xfId="0" applyFont="1"/>
    <xf numFmtId="0" fontId="43" fillId="0" borderId="0" xfId="0" applyFont="1" applyAlignment="1">
      <alignment horizontal="center"/>
    </xf>
    <xf numFmtId="44" fontId="43" fillId="0" borderId="0" xfId="0" applyNumberFormat="1" applyFont="1"/>
    <xf numFmtId="0" fontId="0" fillId="61" borderId="10" xfId="0" applyFill="1" applyBorder="1"/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vertical="center"/>
    </xf>
    <xf numFmtId="0" fontId="0" fillId="0" borderId="62" xfId="0" applyBorder="1"/>
    <xf numFmtId="0" fontId="0" fillId="0" borderId="67" xfId="0" applyBorder="1" applyAlignment="1">
      <alignment horizontal="right"/>
    </xf>
    <xf numFmtId="0" fontId="13" fillId="62" borderId="70" xfId="0" applyFont="1" applyFill="1" applyBorder="1" applyAlignment="1">
      <alignment horizontal="center"/>
    </xf>
    <xf numFmtId="0" fontId="13" fillId="62" borderId="10" xfId="0" applyFont="1" applyFill="1" applyBorder="1" applyAlignment="1">
      <alignment horizontal="center"/>
    </xf>
    <xf numFmtId="0" fontId="0" fillId="0" borderId="73" xfId="0" applyBorder="1"/>
    <xf numFmtId="0" fontId="13" fillId="62" borderId="74" xfId="0" applyFont="1" applyFill="1" applyBorder="1" applyAlignment="1">
      <alignment horizontal="center" vertical="center"/>
    </xf>
    <xf numFmtId="0" fontId="13" fillId="62" borderId="74" xfId="0" applyFont="1" applyFill="1" applyBorder="1" applyAlignment="1">
      <alignment horizontal="center"/>
    </xf>
    <xf numFmtId="0" fontId="0" fillId="0" borderId="78" xfId="0" applyBorder="1"/>
    <xf numFmtId="0" fontId="13" fillId="62" borderId="82" xfId="0" applyFont="1" applyFill="1" applyBorder="1" applyAlignment="1">
      <alignment horizontal="center" vertical="center"/>
    </xf>
    <xf numFmtId="0" fontId="0" fillId="0" borderId="0" xfId="0" applyBorder="1" applyAlignment="1">
      <alignment vertical="top"/>
    </xf>
    <xf numFmtId="0" fontId="0" fillId="0" borderId="85" xfId="0" applyBorder="1" applyAlignment="1">
      <alignment horizontal="right"/>
    </xf>
    <xf numFmtId="0" fontId="0" fillId="0" borderId="62" xfId="0" applyBorder="1" applyAlignment="1">
      <alignment horizontal="right"/>
    </xf>
    <xf numFmtId="0" fontId="0" fillId="0" borderId="3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3" fillId="62" borderId="88" xfId="0" applyFont="1" applyFill="1" applyBorder="1" applyAlignment="1">
      <alignment horizontal="center"/>
    </xf>
    <xf numFmtId="0" fontId="17" fillId="63" borderId="92" xfId="0" applyFont="1" applyFill="1" applyBorder="1"/>
    <xf numFmtId="0" fontId="17" fillId="63" borderId="87" xfId="0" applyFont="1" applyFill="1" applyBorder="1"/>
    <xf numFmtId="0" fontId="46" fillId="63" borderId="61" xfId="0" applyFont="1" applyFill="1" applyBorder="1" applyAlignment="1">
      <alignment horizontal="center"/>
    </xf>
    <xf numFmtId="0" fontId="46" fillId="63" borderId="94" xfId="0" applyFont="1" applyFill="1" applyBorder="1" applyAlignment="1"/>
    <xf numFmtId="0" fontId="46" fillId="63" borderId="93" xfId="0" applyFont="1" applyFill="1" applyBorder="1" applyAlignment="1">
      <alignment horizontal="center"/>
    </xf>
    <xf numFmtId="0" fontId="0" fillId="0" borderId="95" xfId="0" applyBorder="1" applyAlignment="1">
      <alignment vertical="center"/>
    </xf>
    <xf numFmtId="0" fontId="0" fillId="0" borderId="96" xfId="0" applyBorder="1" applyAlignment="1">
      <alignment vertical="center"/>
    </xf>
    <xf numFmtId="0" fontId="0" fillId="0" borderId="97" xfId="0" applyBorder="1" applyAlignment="1">
      <alignment vertical="center"/>
    </xf>
    <xf numFmtId="0" fontId="0" fillId="0" borderId="98" xfId="0" applyBorder="1" applyAlignment="1">
      <alignment vertical="center"/>
    </xf>
    <xf numFmtId="0" fontId="0" fillId="0" borderId="99" xfId="0" applyBorder="1" applyAlignment="1">
      <alignment vertical="center"/>
    </xf>
    <xf numFmtId="0" fontId="0" fillId="0" borderId="99" xfId="0" applyBorder="1" applyAlignment="1">
      <alignment vertical="top"/>
    </xf>
    <xf numFmtId="0" fontId="13" fillId="62" borderId="17" xfId="0" applyFont="1" applyFill="1" applyBorder="1" applyAlignment="1">
      <alignment horizontal="center"/>
    </xf>
    <xf numFmtId="0" fontId="13" fillId="62" borderId="32" xfId="0" applyFont="1" applyFill="1" applyBorder="1" applyAlignment="1">
      <alignment horizontal="center"/>
    </xf>
    <xf numFmtId="0" fontId="0" fillId="0" borderId="100" xfId="0" applyBorder="1" applyAlignment="1"/>
    <xf numFmtId="0" fontId="13" fillId="62" borderId="101" xfId="0" applyFont="1" applyFill="1" applyBorder="1" applyAlignment="1">
      <alignment horizontal="center" vertical="center"/>
    </xf>
    <xf numFmtId="0" fontId="0" fillId="0" borderId="103" xfId="0" applyBorder="1" applyAlignment="1">
      <alignment vertical="center"/>
    </xf>
    <xf numFmtId="0" fontId="13" fillId="62" borderId="104" xfId="0" applyFont="1" applyFill="1" applyBorder="1" applyAlignment="1">
      <alignment horizontal="center"/>
    </xf>
    <xf numFmtId="0" fontId="13" fillId="62" borderId="43" xfId="0" applyFont="1" applyFill="1" applyBorder="1" applyAlignment="1">
      <alignment horizontal="center"/>
    </xf>
    <xf numFmtId="0" fontId="0" fillId="0" borderId="105" xfId="0" applyBorder="1" applyAlignment="1">
      <alignment vertical="center"/>
    </xf>
    <xf numFmtId="0" fontId="0" fillId="0" borderId="106" xfId="0" applyBorder="1" applyAlignment="1">
      <alignment vertical="center"/>
    </xf>
    <xf numFmtId="0" fontId="0" fillId="0" borderId="121" xfId="0" applyBorder="1" applyAlignment="1">
      <alignment vertical="top"/>
    </xf>
    <xf numFmtId="0" fontId="46" fillId="63" borderId="61" xfId="0" applyFont="1" applyFill="1" applyBorder="1" applyAlignment="1">
      <alignment horizontal="center"/>
    </xf>
    <xf numFmtId="0" fontId="46" fillId="63" borderId="93" xfId="0" applyFont="1" applyFill="1" applyBorder="1" applyAlignment="1">
      <alignment horizontal="center"/>
    </xf>
    <xf numFmtId="0" fontId="0" fillId="0" borderId="122" xfId="0" applyBorder="1"/>
    <xf numFmtId="0" fontId="0" fillId="0" borderId="123" xfId="0" applyBorder="1"/>
    <xf numFmtId="0" fontId="0" fillId="0" borderId="124" xfId="0" applyBorder="1"/>
    <xf numFmtId="0" fontId="0" fillId="0" borderId="125" xfId="0" applyBorder="1"/>
    <xf numFmtId="0" fontId="0" fillId="0" borderId="126" xfId="0" applyBorder="1"/>
    <xf numFmtId="0" fontId="0" fillId="0" borderId="127" xfId="0" applyBorder="1"/>
    <xf numFmtId="0" fontId="0" fillId="0" borderId="128" xfId="0" applyBorder="1"/>
    <xf numFmtId="0" fontId="0" fillId="0" borderId="129" xfId="0" applyBorder="1"/>
    <xf numFmtId="166" fontId="0" fillId="0" borderId="124" xfId="0" applyNumberFormat="1" applyBorder="1"/>
    <xf numFmtId="0" fontId="0" fillId="0" borderId="130" xfId="0" applyBorder="1"/>
    <xf numFmtId="0" fontId="0" fillId="0" borderId="131" xfId="0" applyBorder="1"/>
    <xf numFmtId="0" fontId="46" fillId="0" borderId="132" xfId="0" applyFont="1" applyBorder="1" applyAlignment="1">
      <alignment horizontal="center" vertical="center" wrapText="1"/>
    </xf>
    <xf numFmtId="0" fontId="46" fillId="0" borderId="46" xfId="0" applyFont="1" applyBorder="1" applyAlignment="1">
      <alignment horizontal="center" vertical="center"/>
    </xf>
    <xf numFmtId="0" fontId="0" fillId="0" borderId="133" xfId="0" applyBorder="1"/>
    <xf numFmtId="0" fontId="0" fillId="0" borderId="134" xfId="0" applyBorder="1"/>
    <xf numFmtId="0" fontId="0" fillId="0" borderId="135" xfId="0" applyBorder="1"/>
    <xf numFmtId="0" fontId="0" fillId="0" borderId="136" xfId="0" applyBorder="1"/>
    <xf numFmtId="44" fontId="0" fillId="0" borderId="75" xfId="0" applyNumberFormat="1" applyBorder="1"/>
    <xf numFmtId="44" fontId="0" fillId="0" borderId="102" xfId="0" applyNumberFormat="1" applyBorder="1"/>
    <xf numFmtId="44" fontId="0" fillId="0" borderId="86" xfId="0" applyNumberFormat="1" applyBorder="1"/>
    <xf numFmtId="0" fontId="0" fillId="0" borderId="10" xfId="0" applyFill="1" applyBorder="1" applyAlignment="1">
      <alignment horizontal="center"/>
    </xf>
    <xf numFmtId="0" fontId="44" fillId="0" borderId="10" xfId="119" applyFill="1" applyBorder="1"/>
    <xf numFmtId="167" fontId="0" fillId="0" borderId="10" xfId="0" applyNumberFormat="1" applyFill="1" applyBorder="1"/>
    <xf numFmtId="15" fontId="0" fillId="0" borderId="10" xfId="0" applyNumberFormat="1" applyFill="1" applyBorder="1"/>
    <xf numFmtId="0" fontId="0" fillId="0" borderId="0" xfId="0" applyFill="1" applyBorder="1"/>
    <xf numFmtId="0" fontId="17" fillId="0" borderId="10" xfId="0" applyFont="1" applyFill="1" applyBorder="1" applyAlignment="1">
      <alignment horizontal="center"/>
    </xf>
    <xf numFmtId="0" fontId="0" fillId="0" borderId="0" xfId="0"/>
    <xf numFmtId="44" fontId="0" fillId="0" borderId="122" xfId="0" applyNumberFormat="1" applyBorder="1"/>
    <xf numFmtId="0" fontId="0" fillId="0" borderId="49" xfId="0" applyBorder="1"/>
    <xf numFmtId="0" fontId="0" fillId="0" borderId="74" xfId="0" applyBorder="1"/>
    <xf numFmtId="0" fontId="0" fillId="0" borderId="88" xfId="0" applyBorder="1"/>
    <xf numFmtId="0" fontId="0" fillId="0" borderId="139" xfId="0" applyBorder="1"/>
    <xf numFmtId="44" fontId="0" fillId="0" borderId="138" xfId="0" applyNumberFormat="1" applyBorder="1"/>
    <xf numFmtId="0" fontId="0" fillId="0" borderId="140" xfId="0" applyBorder="1"/>
    <xf numFmtId="44" fontId="0" fillId="0" borderId="141" xfId="0" applyNumberFormat="1" applyBorder="1"/>
    <xf numFmtId="44" fontId="0" fillId="0" borderId="128" xfId="0" applyNumberFormat="1" applyBorder="1"/>
    <xf numFmtId="44" fontId="0" fillId="0" borderId="131" xfId="0" applyNumberFormat="1" applyBorder="1"/>
    <xf numFmtId="44" fontId="0" fillId="0" borderId="136" xfId="0" applyNumberFormat="1" applyBorder="1"/>
    <xf numFmtId="44" fontId="0" fillId="0" borderId="134" xfId="0" applyNumberFormat="1" applyBorder="1"/>
    <xf numFmtId="44" fontId="0" fillId="0" borderId="135" xfId="0" applyNumberFormat="1" applyBorder="1"/>
    <xf numFmtId="44" fontId="0" fillId="0" borderId="130" xfId="0" applyNumberFormat="1" applyBorder="1"/>
    <xf numFmtId="44" fontId="0" fillId="0" borderId="142" xfId="0" applyNumberFormat="1" applyBorder="1"/>
    <xf numFmtId="0" fontId="0" fillId="0" borderId="0" xfId="0"/>
    <xf numFmtId="0" fontId="0" fillId="0" borderId="10" xfId="0" applyBorder="1"/>
    <xf numFmtId="44" fontId="0" fillId="0" borderId="10" xfId="0" applyNumberFormat="1" applyBorder="1"/>
    <xf numFmtId="0" fontId="0" fillId="0" borderId="10" xfId="0" applyBorder="1" applyAlignment="1">
      <alignment horizontal="right"/>
    </xf>
    <xf numFmtId="1" fontId="0" fillId="0" borderId="0" xfId="0" applyNumberFormat="1"/>
    <xf numFmtId="44" fontId="0" fillId="0" borderId="10" xfId="0" applyNumberFormat="1" applyFill="1" applyBorder="1"/>
    <xf numFmtId="168" fontId="0" fillId="56" borderId="10" xfId="0" applyNumberFormat="1" applyFont="1" applyFill="1" applyBorder="1" applyAlignment="1">
      <alignment horizontal="center"/>
    </xf>
    <xf numFmtId="169" fontId="38" fillId="0" borderId="10" xfId="0" applyNumberFormat="1" applyFont="1" applyFill="1" applyBorder="1" applyAlignment="1">
      <alignment horizontal="right"/>
    </xf>
    <xf numFmtId="0" fontId="0" fillId="0" borderId="10" xfId="0" applyFill="1" applyBorder="1" applyAlignment="1">
      <alignment horizontal="right"/>
    </xf>
    <xf numFmtId="0" fontId="0" fillId="0" borderId="10" xfId="0" applyFill="1" applyBorder="1"/>
    <xf numFmtId="168" fontId="0" fillId="0" borderId="10" xfId="0" applyNumberFormat="1" applyFont="1" applyBorder="1" applyAlignment="1">
      <alignment horizontal="center"/>
    </xf>
    <xf numFmtId="169" fontId="38" fillId="0" borderId="10" xfId="0" applyNumberFormat="1" applyFont="1" applyBorder="1" applyAlignment="1">
      <alignment horizontal="right"/>
    </xf>
    <xf numFmtId="0" fontId="0" fillId="0" borderId="13" xfId="0" applyFill="1" applyBorder="1"/>
    <xf numFmtId="44" fontId="0" fillId="57" borderId="10" xfId="0" applyNumberFormat="1" applyFill="1" applyBorder="1"/>
    <xf numFmtId="10" fontId="0" fillId="57" borderId="10" xfId="0" applyNumberFormat="1" applyFill="1" applyBorder="1"/>
    <xf numFmtId="169" fontId="0" fillId="57" borderId="10" xfId="0" applyNumberFormat="1" applyFill="1" applyBorder="1" applyAlignment="1">
      <alignment horizontal="right"/>
    </xf>
    <xf numFmtId="0" fontId="0" fillId="57" borderId="10" xfId="0" applyFill="1" applyBorder="1" applyAlignment="1">
      <alignment horizontal="right"/>
    </xf>
    <xf numFmtId="0" fontId="0" fillId="57" borderId="10" xfId="0" applyFill="1" applyBorder="1"/>
    <xf numFmtId="10" fontId="0" fillId="0" borderId="10" xfId="0" applyNumberFormat="1" applyBorder="1"/>
    <xf numFmtId="166" fontId="0" fillId="0" borderId="10" xfId="0" applyNumberFormat="1" applyBorder="1"/>
    <xf numFmtId="169" fontId="38" fillId="0" borderId="10" xfId="0" applyNumberFormat="1" applyFont="1" applyBorder="1"/>
    <xf numFmtId="0" fontId="0" fillId="0" borderId="26" xfId="0" applyBorder="1"/>
    <xf numFmtId="0" fontId="0" fillId="55" borderId="0" xfId="0" applyFill="1"/>
    <xf numFmtId="0" fontId="0" fillId="0" borderId="13" xfId="0" applyBorder="1" applyAlignment="1"/>
    <xf numFmtId="0" fontId="0" fillId="0" borderId="17" xfId="0" applyBorder="1" applyAlignment="1"/>
    <xf numFmtId="0" fontId="0" fillId="0" borderId="43" xfId="0" applyBorder="1" applyAlignment="1"/>
    <xf numFmtId="166" fontId="0" fillId="0" borderId="10" xfId="0" applyNumberFormat="1" applyBorder="1" applyAlignment="1">
      <alignment horizontal="right"/>
    </xf>
    <xf numFmtId="0" fontId="0" fillId="0" borderId="17" xfId="0" applyBorder="1" applyAlignment="1">
      <alignment horizontal="left"/>
    </xf>
    <xf numFmtId="49" fontId="0" fillId="0" borderId="75" xfId="0" applyNumberFormat="1" applyBorder="1" applyAlignment="1">
      <alignment horizontal="right"/>
    </xf>
    <xf numFmtId="15" fontId="0" fillId="0" borderId="10" xfId="0" applyNumberFormat="1" applyFill="1" applyBorder="1" applyAlignment="1">
      <alignment horizontal="right"/>
    </xf>
    <xf numFmtId="0" fontId="17" fillId="64" borderId="10" xfId="0" applyFont="1" applyFill="1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44" fontId="0" fillId="0" borderId="10" xfId="0" applyNumberFormat="1" applyBorder="1"/>
    <xf numFmtId="0" fontId="0" fillId="0" borderId="10" xfId="0" applyBorder="1" applyAlignment="1">
      <alignment horizontal="center"/>
    </xf>
    <xf numFmtId="0" fontId="0" fillId="0" borderId="0" xfId="0"/>
    <xf numFmtId="0" fontId="0" fillId="0" borderId="1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61" borderId="26" xfId="0" applyFill="1" applyBorder="1" applyAlignment="1">
      <alignment horizontal="center"/>
    </xf>
    <xf numFmtId="0" fontId="0" fillId="61" borderId="50" xfId="0" applyFill="1" applyBorder="1" applyAlignment="1">
      <alignment horizontal="center"/>
    </xf>
    <xf numFmtId="0" fontId="45" fillId="0" borderId="45" xfId="0" applyFont="1" applyBorder="1" applyAlignment="1">
      <alignment horizontal="center" textRotation="255"/>
    </xf>
    <xf numFmtId="0" fontId="45" fillId="0" borderId="47" xfId="0" applyFont="1" applyBorder="1" applyAlignment="1">
      <alignment horizontal="center" textRotation="255"/>
    </xf>
    <xf numFmtId="0" fontId="45" fillId="0" borderId="48" xfId="0" applyFont="1" applyBorder="1" applyAlignment="1">
      <alignment horizontal="center" textRotation="255"/>
    </xf>
    <xf numFmtId="0" fontId="0" fillId="60" borderId="49" xfId="0" applyFill="1" applyBorder="1" applyAlignment="1">
      <alignment horizontal="center"/>
    </xf>
    <xf numFmtId="0" fontId="0" fillId="60" borderId="46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43" xfId="0" applyBorder="1" applyAlignment="1">
      <alignment horizontal="center" vertical="center"/>
    </xf>
    <xf numFmtId="0" fontId="0" fillId="58" borderId="26" xfId="0" applyFill="1" applyBorder="1" applyAlignment="1">
      <alignment horizontal="center"/>
    </xf>
    <xf numFmtId="0" fontId="0" fillId="58" borderId="20" xfId="0" applyFill="1" applyBorder="1" applyAlignment="1">
      <alignment horizontal="center"/>
    </xf>
    <xf numFmtId="0" fontId="0" fillId="58" borderId="1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71" xfId="0" applyBorder="1" applyAlignment="1">
      <alignment horizontal="left"/>
    </xf>
    <xf numFmtId="0" fontId="0" fillId="0" borderId="72" xfId="0" applyBorder="1" applyAlignment="1">
      <alignment horizontal="left"/>
    </xf>
    <xf numFmtId="0" fontId="0" fillId="0" borderId="62" xfId="0" applyBorder="1" applyAlignment="1">
      <alignment horizontal="left" vertical="center"/>
    </xf>
    <xf numFmtId="0" fontId="0" fillId="0" borderId="63" xfId="0" applyBorder="1" applyAlignment="1">
      <alignment horizontal="left" vertical="center"/>
    </xf>
    <xf numFmtId="0" fontId="0" fillId="0" borderId="107" xfId="0" applyBorder="1" applyAlignment="1">
      <alignment horizontal="left" vertical="center"/>
    </xf>
    <xf numFmtId="0" fontId="0" fillId="0" borderId="4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20" xfId="0" applyBorder="1" applyAlignment="1">
      <alignment horizontal="left" vertical="center"/>
    </xf>
    <xf numFmtId="0" fontId="0" fillId="0" borderId="65" xfId="0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16" xfId="0" applyBorder="1" applyAlignment="1">
      <alignment horizontal="left" vertical="center"/>
    </xf>
    <xf numFmtId="0" fontId="0" fillId="0" borderId="108" xfId="0" applyBorder="1" applyAlignment="1">
      <alignment horizontal="left"/>
    </xf>
    <xf numFmtId="0" fontId="0" fillId="0" borderId="109" xfId="0" applyBorder="1" applyAlignment="1">
      <alignment horizontal="left"/>
    </xf>
    <xf numFmtId="0" fontId="0" fillId="0" borderId="110" xfId="0" applyFont="1" applyBorder="1" applyAlignment="1">
      <alignment horizontal="left" vertical="center"/>
    </xf>
    <xf numFmtId="0" fontId="0" fillId="0" borderId="111" xfId="0" applyFont="1" applyBorder="1" applyAlignment="1">
      <alignment horizontal="left" vertical="center"/>
    </xf>
    <xf numFmtId="0" fontId="0" fillId="0" borderId="112" xfId="0" applyFont="1" applyBorder="1" applyAlignment="1">
      <alignment horizontal="left" vertical="center"/>
    </xf>
    <xf numFmtId="0" fontId="0" fillId="0" borderId="62" xfId="0" applyFont="1" applyBorder="1" applyAlignment="1">
      <alignment horizontal="left" vertical="center"/>
    </xf>
    <xf numFmtId="0" fontId="0" fillId="0" borderId="63" xfId="0" applyFont="1" applyBorder="1" applyAlignment="1">
      <alignment horizontal="left" vertical="center"/>
    </xf>
    <xf numFmtId="0" fontId="0" fillId="0" borderId="107" xfId="0" applyFont="1" applyBorder="1" applyAlignment="1">
      <alignment horizontal="left" vertical="center"/>
    </xf>
    <xf numFmtId="0" fontId="0" fillId="0" borderId="65" xfId="0" applyFont="1" applyBorder="1" applyAlignment="1">
      <alignment horizontal="left" vertical="center"/>
    </xf>
    <xf numFmtId="0" fontId="0" fillId="0" borderId="66" xfId="0" applyFont="1" applyBorder="1" applyAlignment="1">
      <alignment horizontal="left" vertical="center"/>
    </xf>
    <xf numFmtId="0" fontId="0" fillId="0" borderId="116" xfId="0" applyFont="1" applyBorder="1" applyAlignment="1">
      <alignment horizontal="left" vertical="center"/>
    </xf>
    <xf numFmtId="0" fontId="0" fillId="0" borderId="117" xfId="0" applyFont="1" applyBorder="1" applyAlignment="1">
      <alignment horizontal="left" vertical="center"/>
    </xf>
    <xf numFmtId="0" fontId="0" fillId="0" borderId="118" xfId="0" applyFont="1" applyBorder="1" applyAlignment="1">
      <alignment horizontal="left" vertical="center"/>
    </xf>
    <xf numFmtId="0" fontId="0" fillId="0" borderId="119" xfId="0" applyFont="1" applyBorder="1" applyAlignment="1">
      <alignment horizontal="left" vertical="center"/>
    </xf>
    <xf numFmtId="0" fontId="0" fillId="0" borderId="117" xfId="0" applyBorder="1" applyAlignment="1">
      <alignment horizontal="left" vertical="center"/>
    </xf>
    <xf numFmtId="0" fontId="0" fillId="0" borderId="118" xfId="0" applyBorder="1" applyAlignment="1">
      <alignment horizontal="left" vertical="center"/>
    </xf>
    <xf numFmtId="0" fontId="0" fillId="0" borderId="119" xfId="0" applyBorder="1" applyAlignment="1">
      <alignment horizontal="left" vertical="center"/>
    </xf>
    <xf numFmtId="0" fontId="0" fillId="0" borderId="79" xfId="0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83" xfId="0" applyBorder="1" applyAlignment="1">
      <alignment horizontal="left"/>
    </xf>
    <xf numFmtId="0" fontId="0" fillId="0" borderId="84" xfId="0" applyBorder="1" applyAlignment="1">
      <alignment horizontal="left"/>
    </xf>
    <xf numFmtId="0" fontId="0" fillId="0" borderId="63" xfId="0" applyBorder="1" applyAlignment="1">
      <alignment horizontal="left"/>
    </xf>
    <xf numFmtId="0" fontId="0" fillId="0" borderId="64" xfId="0" applyBorder="1" applyAlignment="1">
      <alignment horizontal="left"/>
    </xf>
    <xf numFmtId="0" fontId="0" fillId="0" borderId="63" xfId="0" applyBorder="1" applyAlignment="1">
      <alignment horizontal="left" vertical="top"/>
    </xf>
    <xf numFmtId="0" fontId="0" fillId="0" borderId="64" xfId="0" applyBorder="1" applyAlignment="1">
      <alignment horizontal="left" vertical="top"/>
    </xf>
    <xf numFmtId="0" fontId="0" fillId="0" borderId="68" xfId="0" applyBorder="1" applyAlignment="1">
      <alignment horizontal="left" vertical="top"/>
    </xf>
    <xf numFmtId="0" fontId="0" fillId="0" borderId="69" xfId="0" applyBorder="1" applyAlignment="1">
      <alignment horizontal="left" vertical="top"/>
    </xf>
    <xf numFmtId="0" fontId="0" fillId="0" borderId="89" xfId="0" applyBorder="1" applyAlignment="1">
      <alignment horizontal="left"/>
    </xf>
    <xf numFmtId="0" fontId="0" fillId="0" borderId="90" xfId="0" applyBorder="1" applyAlignment="1">
      <alignment horizontal="left"/>
    </xf>
    <xf numFmtId="0" fontId="0" fillId="0" borderId="91" xfId="0" applyBorder="1" applyAlignment="1">
      <alignment horizontal="left"/>
    </xf>
    <xf numFmtId="0" fontId="46" fillId="63" borderId="45" xfId="0" applyFont="1" applyFill="1" applyBorder="1" applyAlignment="1">
      <alignment horizontal="center"/>
    </xf>
    <xf numFmtId="0" fontId="46" fillId="63" borderId="61" xfId="0" applyFont="1" applyFill="1" applyBorder="1" applyAlignment="1">
      <alignment horizontal="center"/>
    </xf>
    <xf numFmtId="0" fontId="46" fillId="63" borderId="93" xfId="0" applyFont="1" applyFill="1" applyBorder="1" applyAlignment="1">
      <alignment horizontal="center"/>
    </xf>
    <xf numFmtId="0" fontId="0" fillId="0" borderId="76" xfId="0" applyBorder="1" applyAlignment="1">
      <alignment horizontal="left"/>
    </xf>
    <xf numFmtId="0" fontId="0" fillId="0" borderId="77" xfId="0" applyBorder="1" applyAlignment="1">
      <alignment horizontal="left"/>
    </xf>
    <xf numFmtId="0" fontId="0" fillId="0" borderId="113" xfId="0" applyFont="1" applyBorder="1" applyAlignment="1">
      <alignment horizontal="left" vertical="center"/>
    </xf>
    <xf numFmtId="0" fontId="0" fillId="0" borderId="114" xfId="0" applyFont="1" applyBorder="1" applyAlignment="1">
      <alignment horizontal="left" vertical="center"/>
    </xf>
    <xf numFmtId="0" fontId="0" fillId="0" borderId="115" xfId="0" applyFont="1" applyBorder="1" applyAlignment="1">
      <alignment horizontal="left" vertical="center"/>
    </xf>
    <xf numFmtId="0" fontId="0" fillId="0" borderId="113" xfId="0" applyBorder="1" applyAlignment="1">
      <alignment horizontal="left" vertical="center"/>
    </xf>
    <xf numFmtId="0" fontId="0" fillId="0" borderId="114" xfId="0" applyBorder="1" applyAlignment="1">
      <alignment horizontal="left" vertical="center"/>
    </xf>
    <xf numFmtId="0" fontId="0" fillId="0" borderId="115" xfId="0" applyBorder="1" applyAlignment="1">
      <alignment horizontal="left" vertical="center"/>
    </xf>
    <xf numFmtId="2" fontId="0" fillId="0" borderId="63" xfId="0" applyNumberFormat="1" applyBorder="1" applyAlignment="1">
      <alignment horizontal="left"/>
    </xf>
    <xf numFmtId="2" fontId="0" fillId="0" borderId="64" xfId="0" applyNumberFormat="1" applyBorder="1" applyAlignment="1">
      <alignment horizontal="left"/>
    </xf>
  </cellXfs>
  <cellStyles count="121">
    <cellStyle name="20 % - Accent1 2" xfId="1"/>
    <cellStyle name="20 % - Accent1 2 2" xfId="2"/>
    <cellStyle name="20 % - Accent1 3" xfId="3"/>
    <cellStyle name="20 % - Accent2 2" xfId="4"/>
    <cellStyle name="20 % - Accent2 2 2" xfId="5"/>
    <cellStyle name="20 % - Accent2 3" xfId="6"/>
    <cellStyle name="20 % - Accent3 2" xfId="7"/>
    <cellStyle name="20 % - Accent3 2 2" xfId="8"/>
    <cellStyle name="20 % - Accent3 3" xfId="9"/>
    <cellStyle name="20 % - Accent4 2" xfId="10"/>
    <cellStyle name="20 % - Accent4 2 2" xfId="11"/>
    <cellStyle name="20 % - Accent4 3" xfId="12"/>
    <cellStyle name="20 % - Accent5 2" xfId="13"/>
    <cellStyle name="20 % - Accent5 2 2" xfId="14"/>
    <cellStyle name="20 % - Accent5 3" xfId="15"/>
    <cellStyle name="20 % - Accent6 2" xfId="16"/>
    <cellStyle name="20 % - Accent6 2 2" xfId="17"/>
    <cellStyle name="20 % - Accent6 3" xfId="18"/>
    <cellStyle name="20% - Accent1 2" xfId="19"/>
    <cellStyle name="20% - Accent2 2" xfId="20"/>
    <cellStyle name="20% - Accent3 2" xfId="21"/>
    <cellStyle name="20% - Accent4 2" xfId="22"/>
    <cellStyle name="20% - Accent5 2" xfId="23"/>
    <cellStyle name="20% - Accent6 2" xfId="24"/>
    <cellStyle name="40 % - Accent1 2" xfId="25"/>
    <cellStyle name="40 % - Accent1 2 2" xfId="26"/>
    <cellStyle name="40 % - Accent1 3" xfId="27"/>
    <cellStyle name="40 % - Accent2 2" xfId="28"/>
    <cellStyle name="40 % - Accent2 2 2" xfId="29"/>
    <cellStyle name="40 % - Accent2 3" xfId="30"/>
    <cellStyle name="40 % - Accent3 2" xfId="31"/>
    <cellStyle name="40 % - Accent3 2 2" xfId="32"/>
    <cellStyle name="40 % - Accent3 3" xfId="33"/>
    <cellStyle name="40 % - Accent4 2" xfId="34"/>
    <cellStyle name="40 % - Accent4 2 2" xfId="35"/>
    <cellStyle name="40 % - Accent4 3" xfId="36"/>
    <cellStyle name="40 % - Accent5 2" xfId="37"/>
    <cellStyle name="40 % - Accent5 2 2" xfId="38"/>
    <cellStyle name="40 % - Accent5 3" xfId="39"/>
    <cellStyle name="40 % - Accent6 2" xfId="40"/>
    <cellStyle name="40 % - Accent6 2 2" xfId="41"/>
    <cellStyle name="40 % - Accent6 3" xfId="42"/>
    <cellStyle name="40% - Accent1 2" xfId="43"/>
    <cellStyle name="40% - Accent2 2" xfId="44"/>
    <cellStyle name="40% - Accent3 2" xfId="45"/>
    <cellStyle name="40% - Accent4 2" xfId="46"/>
    <cellStyle name="40% - Accent5 2" xfId="47"/>
    <cellStyle name="40% - Accent6 2" xfId="48"/>
    <cellStyle name="60 % - Accent1 2" xfId="49"/>
    <cellStyle name="60 % - Accent2 2" xfId="50"/>
    <cellStyle name="60 % - Accent3 2" xfId="51"/>
    <cellStyle name="60 % - Accent4 2" xfId="52"/>
    <cellStyle name="60 % - Accent5 2" xfId="53"/>
    <cellStyle name="60 % - Accent6 2" xfId="54"/>
    <cellStyle name="60% - Accent1 2" xfId="55"/>
    <cellStyle name="60% - Accent2 2" xfId="56"/>
    <cellStyle name="60% - Accent3 2" xfId="57"/>
    <cellStyle name="60% - Accent4 2" xfId="58"/>
    <cellStyle name="60% - Accent5 2" xfId="59"/>
    <cellStyle name="60% - Accent6 2" xfId="60"/>
    <cellStyle name="Accent1 2" xfId="61"/>
    <cellStyle name="Accent1 3" xfId="62"/>
    <cellStyle name="Accent2 2" xfId="63"/>
    <cellStyle name="Accent2 3" xfId="64"/>
    <cellStyle name="Accent3 2" xfId="65"/>
    <cellStyle name="Accent3 3" xfId="66"/>
    <cellStyle name="Accent4 2" xfId="67"/>
    <cellStyle name="Accent4 3" xfId="68"/>
    <cellStyle name="Accent5 2" xfId="69"/>
    <cellStyle name="Accent5 3" xfId="70"/>
    <cellStyle name="Accent6 2" xfId="71"/>
    <cellStyle name="Accent6 3" xfId="72"/>
    <cellStyle name="Avertissement 2" xfId="73"/>
    <cellStyle name="Bad 2" xfId="74"/>
    <cellStyle name="Calcul 2" xfId="75"/>
    <cellStyle name="Calculation 2" xfId="76"/>
    <cellStyle name="Cellule liée 2" xfId="77"/>
    <cellStyle name="Check Cell 2" xfId="78"/>
    <cellStyle name="Comma 2" xfId="79"/>
    <cellStyle name="Commentaire 2" xfId="80"/>
    <cellStyle name="Commentaire 2 2" xfId="81"/>
    <cellStyle name="Commentaire 3" xfId="82"/>
    <cellStyle name="Commentaire 4" xfId="83"/>
    <cellStyle name="Entrée 2" xfId="84"/>
    <cellStyle name="Explanatory Text 2" xfId="85"/>
    <cellStyle name="Good 2" xfId="86"/>
    <cellStyle name="Heading 1 2" xfId="87"/>
    <cellStyle name="Heading 2 2" xfId="88"/>
    <cellStyle name="Heading 3 2" xfId="89"/>
    <cellStyle name="Heading 3 2 2" xfId="120"/>
    <cellStyle name="Heading 4 2" xfId="90"/>
    <cellStyle name="Hyperlink" xfId="119" builtinId="8"/>
    <cellStyle name="Input 2" xfId="91"/>
    <cellStyle name="Insatisfaisant 2" xfId="92"/>
    <cellStyle name="Linked Cell 2" xfId="93"/>
    <cellStyle name="Monétaire 2" xfId="94"/>
    <cellStyle name="Neutral 2" xfId="95"/>
    <cellStyle name="Neutre 2" xfId="96"/>
    <cellStyle name="Normal" xfId="0" builtinId="0"/>
    <cellStyle name="Normal 2" xfId="97"/>
    <cellStyle name="Normal 2 2" xfId="98"/>
    <cellStyle name="Normal 3" xfId="99"/>
    <cellStyle name="Normal 4" xfId="100"/>
    <cellStyle name="Normal 5" xfId="101"/>
    <cellStyle name="Note 2" xfId="102"/>
    <cellStyle name="Output 2" xfId="103"/>
    <cellStyle name="Percent 2" xfId="104"/>
    <cellStyle name="Pourcentage 2" xfId="105"/>
    <cellStyle name="Satisfaisant 2" xfId="106"/>
    <cellStyle name="Sortie 2" xfId="107"/>
    <cellStyle name="Texte explicatif 2" xfId="108"/>
    <cellStyle name="Title 2" xfId="109"/>
    <cellStyle name="Titre 2" xfId="110"/>
    <cellStyle name="Titre 1 2" xfId="111"/>
    <cellStyle name="Titre 2 2" xfId="112"/>
    <cellStyle name="Titre 3 2" xfId="113"/>
    <cellStyle name="Titre 4 2" xfId="114"/>
    <cellStyle name="Total 2" xfId="115"/>
    <cellStyle name="Total 3" xfId="116"/>
    <cellStyle name="Vérification 2" xfId="117"/>
    <cellStyle name="Warning Text 2" xfId="118"/>
  </cellStyles>
  <dxfs count="75">
    <dxf>
      <numFmt numFmtId="0" formatCode="General"/>
      <border diagonalUp="0" diagonalDown="0">
        <left/>
        <right style="medium">
          <color indexed="64"/>
        </right>
        <top style="dotted">
          <color indexed="64"/>
        </top>
        <bottom style="medium">
          <color indexed="64"/>
        </bottom>
        <vertical/>
        <horizontal/>
      </border>
    </dxf>
    <dxf>
      <numFmt numFmtId="34" formatCode="_ * #,##0.00_)\ &quot;$&quot;_ ;_ * \(#,##0.00\)\ &quot;$&quot;_ ;_ * &quot;-&quot;??_)\ &quot;$&quot;_ ;_ @_ "/>
      <border diagonalUp="0" diagonalDown="0">
        <left style="thin">
          <color indexed="64"/>
        </left>
        <right style="medium">
          <color auto="1"/>
        </right>
        <top style="dashed">
          <color indexed="64"/>
        </top>
        <bottom style="dashed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auto="1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bottom style="medium">
          <color rgb="FF000000"/>
        </bottom>
      </border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/>
        <bottom/>
      </border>
    </dxf>
    <dxf>
      <numFmt numFmtId="34" formatCode="_ * #,##0.00_)\ &quot;$&quot;_ ;_ * \(#,##0.00\)\ &quot;$&quot;_ ;_ * &quot;-&quot;??_)\ &quot;$&quot;_ ;_ @_ "/>
      <border diagonalUp="0" diagonalDown="0">
        <left style="thin">
          <color indexed="64"/>
        </left>
        <right style="medium">
          <color auto="1"/>
        </right>
        <top style="dashed">
          <color indexed="64"/>
        </top>
        <bottom style="dashed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auto="1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7030A0"/>
        <name val="Calibri"/>
        <scheme val="min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rgb="FF7030A0"/>
        <name val="Calibri"/>
        <scheme val="min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rgb="FF7030A0"/>
        <name val="Calibri"/>
        <scheme val="minor"/>
      </font>
      <numFmt numFmtId="3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$&quot;_ ;_ * \(#,##0.00\)\ &quot;$&quot;_ ;_ * &quot;-&quot;??_)\ &quot;$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0" formatCode="dd/mmm/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0" formatCode="dd/mmm/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_ * #,##0.00_)\ [$$-C0C]_ ;_ * \(#,##0.00\)\ [$$-C0C]_ ;_ * &quot;-&quot;??_)\ [$$-C0C]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MasterTable" displayName="MasterTable" ref="B6:BE15" totalsRowShown="0" headerRowDxfId="74" dataDxfId="73" tableBorderDxfId="72">
  <autoFilter ref="B6:BE15"/>
  <tableColumns count="56">
    <tableColumn id="1" name="Pro" dataDxfId="71"/>
    <tableColumn id="2" name="BT" dataDxfId="70"/>
    <tableColumn id="3" name="Ticket" dataDxfId="69"/>
    <tableColumn id="4" name="Ins" dataDxfId="68"/>
    <tableColumn id="5" name="NOM CONTACT" dataDxfId="67"/>
    <tableColumn id="6" name="EMAIL CONTACT" dataDxfId="66"/>
    <tableColumn id="7" name="Soumission" dataDxfId="65"/>
    <tableColumn id="8" name="PRIX Soumis" dataDxfId="64"/>
    <tableColumn id="9" name="Fermé" dataDxfId="63"/>
    <tableColumn id="10" name="DATE DEBUT" dataDxfId="62"/>
    <tableColumn id="11" name="DATE FIN" dataDxfId="61"/>
    <tableColumn id="12" name="1er" dataDxfId="60">
      <calculatedColumnFormula>SUM(0)</calculatedColumnFormula>
    </tableColumn>
    <tableColumn id="13" name="2 à 5" dataDxfId="59">
      <calculatedColumnFormula>SUM(0)</calculatedColumnFormula>
    </tableColumn>
    <tableColumn id="14" name="6 à 10" dataDxfId="58">
      <calculatedColumnFormula>SUM(0)</calculatedColumnFormula>
    </tableColumn>
    <tableColumn id="15" name="1er " dataDxfId="57">
      <calculatedColumnFormula>SUM(0)</calculatedColumnFormula>
    </tableColumn>
    <tableColumn id="16" name="2 à 5 " dataDxfId="56">
      <calculatedColumnFormula>SUM(0)</calculatedColumnFormula>
    </tableColumn>
    <tableColumn id="17" name="6 à 10 " dataDxfId="55">
      <calculatedColumnFormula>SUM(0)</calculatedColumnFormula>
    </tableColumn>
    <tableColumn id="18" name="1er  " dataDxfId="54">
      <calculatedColumnFormula>SUM(0)</calculatedColumnFormula>
    </tableColumn>
    <tableColumn id="19" name="2 à 5  " dataDxfId="53">
      <calculatedColumnFormula>SUM(0)</calculatedColumnFormula>
    </tableColumn>
    <tableColumn id="20" name="6 à 10  " dataDxfId="52">
      <calculatedColumnFormula>SUM(0)</calculatedColumnFormula>
    </tableColumn>
    <tableColumn id="21" name="1er   " dataDxfId="51">
      <calculatedColumnFormula>SUM(0)</calculatedColumnFormula>
    </tableColumn>
    <tableColumn id="22" name="2 à 5   " dataDxfId="50">
      <calculatedColumnFormula>SUM(0)</calculatedColumnFormula>
    </tableColumn>
    <tableColumn id="23" name="6 à 10   " dataDxfId="49">
      <calculatedColumnFormula>SUM(0)</calculatedColumnFormula>
    </tableColumn>
    <tableColumn id="24" name="1er    " dataDxfId="48">
      <calculatedColumnFormula>SUM(0)</calculatedColumnFormula>
    </tableColumn>
    <tableColumn id="25" name="2 à 5    " dataDxfId="47">
      <calculatedColumnFormula>SUM(0)</calculatedColumnFormula>
    </tableColumn>
    <tableColumn id="26" name="6 à 10    " dataDxfId="46">
      <calculatedColumnFormula>SUM(0)</calculatedColumnFormula>
    </tableColumn>
    <tableColumn id="27" name="1er     " dataDxfId="45">
      <calculatedColumnFormula>SUM(0)</calculatedColumnFormula>
    </tableColumn>
    <tableColumn id="28" name="2 à 5     " dataDxfId="44">
      <calculatedColumnFormula>SUM(0)</calculatedColumnFormula>
    </tableColumn>
    <tableColumn id="29" name="6 à 10     " dataDxfId="43">
      <calculatedColumnFormula>SUM(0)</calculatedColumnFormula>
    </tableColumn>
    <tableColumn id="30" name="Blanc ($/M)" dataDxfId="42">
      <calculatedColumnFormula>SUM(0)</calculatedColumnFormula>
    </tableColumn>
    <tableColumn id="31" name="Vert ($/M)" dataDxfId="41">
      <calculatedColumnFormula>SUM(0)</calculatedColumnFormula>
    </tableColumn>
    <tableColumn id="32" name="Blanc" dataDxfId="40">
      <calculatedColumnFormula>SUM(0)</calculatedColumnFormula>
    </tableColumn>
    <tableColumn id="33" name="Noir" dataDxfId="39">
      <calculatedColumnFormula>SUM(0)</calculatedColumnFormula>
    </tableColumn>
    <tableColumn id="34" name="Vert" dataDxfId="38">
      <calculatedColumnFormula>SUM(0)</calculatedColumnFormula>
    </tableColumn>
    <tableColumn id="35" name="1 port" dataDxfId="37">
      <calculatedColumnFormula>SUM(0)</calculatedColumnFormula>
    </tableColumn>
    <tableColumn id="36" name="2 port" dataDxfId="36">
      <calculatedColumnFormula>SUM(0)</calculatedColumnFormula>
    </tableColumn>
    <tableColumn id="37" name="4 port" dataDxfId="35">
      <calculatedColumnFormula>SUM(0)</calculatedColumnFormula>
    </tableColumn>
    <tableColumn id="38" name="6 port" dataDxfId="34">
      <calculatedColumnFormula>SUM(0)</calculatedColumnFormula>
    </tableColumn>
    <tableColumn id="39" name="1 port " dataDxfId="33">
      <calculatedColumnFormula>SUM(0)</calculatedColumnFormula>
    </tableColumn>
    <tableColumn id="40" name="2 port " dataDxfId="32">
      <calculatedColumnFormula>SUM(0)</calculatedColumnFormula>
    </tableColumn>
    <tableColumn id="41" name="4 port " dataDxfId="31">
      <calculatedColumnFormula>SUM(0)</calculatedColumnFormula>
    </tableColumn>
    <tableColumn id="42" name="48 port" dataDxfId="30">
      <calculatedColumnFormula>SUM(0)</calculatedColumnFormula>
    </tableColumn>
    <tableColumn id="43" name="2'" dataDxfId="29">
      <calculatedColumnFormula>SUM(0)</calculatedColumnFormula>
    </tableColumn>
    <tableColumn id="44" name="4'" dataDxfId="28">
      <calculatedColumnFormula>SUM(0)</calculatedColumnFormula>
    </tableColumn>
    <tableColumn id="45" name="7'" dataDxfId="27">
      <calculatedColumnFormula>SUM(0)</calculatedColumnFormula>
    </tableColumn>
    <tableColumn id="46" name="10'" dataDxfId="26">
      <calculatedColumnFormula>SUM(0)</calculatedColumnFormula>
    </tableColumn>
    <tableColumn id="47" name="15'" dataDxfId="25">
      <calculatedColumnFormula>SUM(0)</calculatedColumnFormula>
    </tableColumn>
    <tableColumn id="48" name="REG" dataDxfId="24">
      <calculatedColumnFormula>SUM(0)</calculatedColumnFormula>
    </tableColumn>
    <tableColumn id="49" name="Overtime" dataDxfId="23">
      <calculatedColumnFormula>SUM(0)</calculatedColumnFormula>
    </tableColumn>
    <tableColumn id="50" name="Ferier" dataDxfId="22">
      <calculatedColumnFormula>SUM(0)</calculatedColumnFormula>
    </tableColumn>
    <tableColumn id="51" name="REG " dataDxfId="21">
      <calculatedColumnFormula>SUM(0)</calculatedColumnFormula>
    </tableColumn>
    <tableColumn id="52" name="Overtime " dataDxfId="20">
      <calculatedColumnFormula>SUM(0)</calculatedColumnFormula>
    </tableColumn>
    <tableColumn id="53" name="Ferier " dataDxfId="19">
      <calculatedColumnFormula>SUM(0)</calculatedColumnFormula>
    </tableColumn>
    <tableColumn id="56" name="Misc." dataDxfId="18"/>
    <tableColumn id="54" name="total ($)" dataDxfId="17">
      <calculatedColumnFormula>SUM(M7*RESUMÉ!$E$14,N7*RESUMÉ!$E$15,O7*RESUMÉ!$E$16,P7*RESUMÉ!$E$17,Q7*RESUMÉ!$E$18,R7*RESUMÉ!$E$19,S7*RESUMÉ!$E$20,T7*RESUMÉ!$E$21,U7*RESUMÉ!$E$22,V7*RESUMÉ!$E$23,W7*RESUMÉ!$E$24,X7*RESUMÉ!$E$25,Y7*RESUMÉ!$E$26,Z7*RESUMÉ!$E$27,AA7*RESUMÉ!$E$28,AB7*RESUMÉ!$E$29,AC7*RESUMÉ!$E$30,AD7*RESUMÉ!$E$31,AE7*'LISTE DE PRIX'!$F$6,AF7*'LISTE DE PRIX'!$F$7,AG7*'LISTE DE PRIX'!$F$12,AH7*'LISTE DE PRIX'!$F$13,AI7*'LISTE DE PRIX'!$F$14,AJ7*'LISTE DE PRIX'!$F$8,AK7*'LISTE DE PRIX'!$F$9,AL7*'LISTE DE PRIX'!$F$10,AM7*'LISTE DE PRIX'!$F$11,AN7*'LISTE DE PRIX'!$F$16,AO7*'LISTE DE PRIX'!$F$17,AP7*'LISTE DE PRIX'!$F$18,AQ7*'LISTE DE PRIX'!$F$15,AR7*'LISTE DE PRIX'!$F$19,AS7*'LISTE DE PRIX'!$F$20,AT7*'LISTE DE PRIX'!$F$21,AU7*'LISTE DE PRIX'!$F$22,AV7*'LISTE DE PRIX'!$F$23,AW7*'LISTE DE PRIX'!$F$25,AX7*'LISTE DE PRIX'!$F$26,AY7*'LISTE DE PRIX'!$F$27,AZ7*'LISTE DE PRIX'!$F$28,BA7*'LISTE DE PRIX'!$F$29,BB7*'LISTE DE PRIX'!$F$30)+MasterTable[[#This Row],[Misc.]]</calculatedColumnFormula>
    </tableColumn>
    <tableColumn id="55" name="commentaire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OTAL" displayName="TOTAL" ref="B4:H10">
  <autoFilter ref="B4:H10"/>
  <tableColumns count="7">
    <tableColumn id="1" name="TYPE DE CABLES" totalsRowLabel="Total"/>
    <tableColumn id="2" name="COSTS" dataDxfId="15"/>
    <tableColumn id="3" name="SALES"/>
    <tableColumn id="4" name="   COSTS  " totalsRowFunction="count" dataDxfId="14"/>
    <tableColumn id="11" name="   SALES  "/>
    <tableColumn id="12" name="   COST   " dataDxfId="13"/>
    <tableColumn id="13" name=" SALES "/>
  </tableColumns>
  <tableStyleInfo name="TableStyleMedium2" showFirstColumn="1" showLastColumn="0" showRowStripes="1" showColumnStripes="0"/>
</table>
</file>

<file path=xl/tables/table3.xml><?xml version="1.0" encoding="utf-8"?>
<table xmlns="http://schemas.openxmlformats.org/spreadsheetml/2006/main" id="2" name="Table11" displayName="Table11" ref="B13:E31" totalsRowShown="0">
  <autoFilter ref="B13:E31"/>
  <tableColumns count="4">
    <tableColumn id="1" name="TYPE DE CABLE"/>
    <tableColumn id="2" name="NOMBRE DE CABLE" dataDxfId="12"/>
    <tableColumn id="3" name="PRIX COST" dataDxfId="11"/>
    <tableColumn id="4" name="PRIX SAL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7:G51" totalsRowShown="0" headerRowDxfId="10" headerRowBorderDxfId="9" tableBorderDxfId="8">
  <autoFilter ref="F7:G51"/>
  <tableColumns count="2">
    <tableColumn id="1" name=" " dataDxfId="7"/>
    <tableColumn id="2" name="Column1" dataDxfId="6">
      <calculatedColumnFormula>RESUMÉ!E14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656" displayName="Table656" ref="F7:H51" totalsRowShown="0" headerRowDxfId="5" headerRowBorderDxfId="4" tableBorderDxfId="3">
  <autoFilter ref="F7:H51"/>
  <tableColumns count="3">
    <tableColumn id="1" name=" " dataDxfId="2"/>
    <tableColumn id="2" name="Column1" dataDxfId="1">
      <calculatedColumnFormula>RESUMÉ!E14</calculatedColumnFormula>
    </tableColumn>
    <tableColumn id="3" name="Column2" dataDxfId="0">
      <calculatedColumnFormula>Table656[[#This Row],[Column1]]*Table656[[#This Row],[ 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E34"/>
  <sheetViews>
    <sheetView tabSelected="1" zoomScale="90" zoomScaleNormal="90" workbookViewId="0">
      <pane xSplit="12" topLeftCell="BL1" activePane="topRight" state="frozen"/>
      <selection activeCell="H6" sqref="H6"/>
      <selection pane="topRight" activeCell="Y3" sqref="Y3:AD3"/>
    </sheetView>
  </sheetViews>
  <sheetFormatPr defaultRowHeight="15" x14ac:dyDescent="0.25"/>
  <cols>
    <col min="2" max="2" width="11" customWidth="1"/>
    <col min="3" max="3" width="21" customWidth="1"/>
    <col min="4" max="4" width="10.5703125" customWidth="1"/>
    <col min="5" max="5" width="7.85546875" customWidth="1"/>
    <col min="6" max="6" width="22.42578125" customWidth="1"/>
    <col min="7" max="7" width="39" customWidth="1"/>
    <col min="8" max="8" width="14.140625" style="5" customWidth="1"/>
    <col min="9" max="9" width="13.85546875" customWidth="1"/>
    <col min="10" max="10" width="9.85546875" customWidth="1"/>
    <col min="11" max="11" width="14.140625" customWidth="1"/>
    <col min="12" max="12" width="11" customWidth="1"/>
    <col min="13" max="30" width="12" customWidth="1"/>
    <col min="31" max="31" width="17.85546875" customWidth="1"/>
    <col min="32" max="32" width="15.7109375" customWidth="1"/>
    <col min="33" max="33" width="16.7109375" customWidth="1"/>
    <col min="34" max="34" width="17.140625" customWidth="1"/>
    <col min="35" max="55" width="12" customWidth="1"/>
    <col min="56" max="56" width="14.42578125" customWidth="1"/>
    <col min="57" max="57" width="43.28515625" customWidth="1"/>
  </cols>
  <sheetData>
    <row r="1" spans="1:57" ht="15.75" thickBot="1" x14ac:dyDescent="0.3"/>
    <row r="2" spans="1:57" ht="15.75" thickTop="1" x14ac:dyDescent="0.25">
      <c r="B2" s="166" t="s">
        <v>179</v>
      </c>
      <c r="C2" s="167"/>
      <c r="D2" s="168"/>
      <c r="E2" s="168"/>
      <c r="F2" s="168"/>
      <c r="G2" s="168"/>
      <c r="H2" s="168"/>
      <c r="I2" s="168"/>
      <c r="J2" s="168"/>
      <c r="K2" s="168"/>
      <c r="L2" s="168"/>
      <c r="M2" s="168" t="s">
        <v>38</v>
      </c>
      <c r="N2" s="168"/>
      <c r="O2" s="168"/>
      <c r="P2" s="168"/>
      <c r="Q2" s="168"/>
      <c r="R2" s="168"/>
      <c r="S2" s="168"/>
      <c r="T2" s="168"/>
      <c r="U2" s="168"/>
      <c r="V2" s="168"/>
      <c r="W2" s="168"/>
      <c r="X2" s="168"/>
      <c r="Y2" s="168" t="s">
        <v>37</v>
      </c>
      <c r="Z2" s="168"/>
      <c r="AA2" s="168"/>
      <c r="AB2" s="168"/>
      <c r="AC2" s="168"/>
      <c r="AD2" s="173"/>
      <c r="AE2" s="166" t="s">
        <v>36</v>
      </c>
      <c r="AF2" s="168"/>
      <c r="AG2" s="168"/>
      <c r="AH2" s="168"/>
      <c r="AI2" s="168"/>
      <c r="AJ2" s="168"/>
      <c r="AK2" s="168"/>
      <c r="AL2" s="168"/>
      <c r="AM2" s="168"/>
      <c r="AN2" s="168"/>
      <c r="AO2" s="168"/>
      <c r="AP2" s="168"/>
      <c r="AQ2" s="168"/>
      <c r="AR2" s="168"/>
      <c r="AS2" s="168"/>
      <c r="AT2" s="168"/>
      <c r="AU2" s="168"/>
      <c r="AV2" s="168"/>
      <c r="AW2" s="168"/>
      <c r="AX2" s="168"/>
      <c r="AY2" s="168"/>
      <c r="AZ2" s="168"/>
      <c r="BA2" s="168"/>
      <c r="BB2" s="173"/>
      <c r="BC2" s="48"/>
      <c r="BD2" s="190"/>
      <c r="BE2" s="191"/>
    </row>
    <row r="3" spans="1:57" x14ac:dyDescent="0.25">
      <c r="B3" s="169"/>
      <c r="C3" s="170"/>
      <c r="D3" s="171"/>
      <c r="E3" s="171"/>
      <c r="F3" s="171"/>
      <c r="G3" s="171"/>
      <c r="H3" s="171"/>
      <c r="I3" s="171"/>
      <c r="J3" s="171"/>
      <c r="K3" s="171"/>
      <c r="L3" s="171"/>
      <c r="M3" s="174"/>
      <c r="N3" s="175"/>
      <c r="O3" s="175"/>
      <c r="P3" s="175"/>
      <c r="Q3" s="175"/>
      <c r="R3" s="176"/>
      <c r="S3" s="174"/>
      <c r="T3" s="175"/>
      <c r="U3" s="175"/>
      <c r="V3" s="175"/>
      <c r="W3" s="175"/>
      <c r="X3" s="176"/>
      <c r="Y3" s="157"/>
      <c r="Z3" s="172"/>
      <c r="AA3" s="172"/>
      <c r="AB3" s="172"/>
      <c r="AC3" s="172"/>
      <c r="AD3" s="172"/>
      <c r="AE3" s="183" t="s">
        <v>33</v>
      </c>
      <c r="AF3" s="179"/>
      <c r="AG3" s="177" t="s">
        <v>32</v>
      </c>
      <c r="AH3" s="178"/>
      <c r="AI3" s="179"/>
      <c r="AJ3" s="177" t="s">
        <v>31</v>
      </c>
      <c r="AK3" s="178"/>
      <c r="AL3" s="178"/>
      <c r="AM3" s="179"/>
      <c r="AN3" s="177" t="s">
        <v>30</v>
      </c>
      <c r="AO3" s="178"/>
      <c r="AP3" s="179"/>
      <c r="AQ3" s="199" t="s">
        <v>29</v>
      </c>
      <c r="AR3" s="177" t="s">
        <v>28</v>
      </c>
      <c r="AS3" s="178"/>
      <c r="AT3" s="178"/>
      <c r="AU3" s="178"/>
      <c r="AV3" s="179"/>
      <c r="AW3" s="177" t="s">
        <v>27</v>
      </c>
      <c r="AX3" s="178"/>
      <c r="AY3" s="179"/>
      <c r="AZ3" s="177" t="s">
        <v>26</v>
      </c>
      <c r="BA3" s="178"/>
      <c r="BB3" s="179"/>
      <c r="BC3" s="49"/>
      <c r="BD3" s="192"/>
      <c r="BE3" s="193"/>
    </row>
    <row r="4" spans="1:57" x14ac:dyDescent="0.25">
      <c r="B4" s="183"/>
      <c r="C4" s="179"/>
      <c r="D4" s="177"/>
      <c r="E4" s="178"/>
      <c r="F4" s="178"/>
      <c r="G4" s="178"/>
      <c r="H4" s="178"/>
      <c r="I4" s="178"/>
      <c r="J4" s="178"/>
      <c r="K4" s="178"/>
      <c r="L4" s="179"/>
      <c r="M4" s="187" t="s">
        <v>25</v>
      </c>
      <c r="N4" s="188"/>
      <c r="O4" s="189"/>
      <c r="P4" s="187" t="s">
        <v>24</v>
      </c>
      <c r="Q4" s="188"/>
      <c r="R4" s="189"/>
      <c r="S4" s="187" t="s">
        <v>25</v>
      </c>
      <c r="T4" s="188"/>
      <c r="U4" s="189"/>
      <c r="V4" s="187" t="s">
        <v>24</v>
      </c>
      <c r="W4" s="188"/>
      <c r="X4" s="189"/>
      <c r="Y4" s="177" t="s">
        <v>25</v>
      </c>
      <c r="Z4" s="178"/>
      <c r="AA4" s="179"/>
      <c r="AB4" s="177" t="s">
        <v>24</v>
      </c>
      <c r="AC4" s="178"/>
      <c r="AD4" s="185"/>
      <c r="AE4" s="202"/>
      <c r="AF4" s="195"/>
      <c r="AG4" s="192"/>
      <c r="AH4" s="194"/>
      <c r="AI4" s="195"/>
      <c r="AJ4" s="192"/>
      <c r="AK4" s="194"/>
      <c r="AL4" s="194"/>
      <c r="AM4" s="195"/>
      <c r="AN4" s="192"/>
      <c r="AO4" s="194"/>
      <c r="AP4" s="195"/>
      <c r="AQ4" s="200"/>
      <c r="AR4" s="192"/>
      <c r="AS4" s="194"/>
      <c r="AT4" s="194"/>
      <c r="AU4" s="194"/>
      <c r="AV4" s="195"/>
      <c r="AW4" s="192"/>
      <c r="AX4" s="194"/>
      <c r="AY4" s="195"/>
      <c r="AZ4" s="192"/>
      <c r="BA4" s="194"/>
      <c r="BB4" s="195"/>
      <c r="BC4" s="49"/>
      <c r="BD4" s="192"/>
      <c r="BE4" s="193"/>
    </row>
    <row r="5" spans="1:57" x14ac:dyDescent="0.25">
      <c r="B5" s="184"/>
      <c r="C5" s="182"/>
      <c r="D5" s="180"/>
      <c r="E5" s="181"/>
      <c r="F5" s="181"/>
      <c r="G5" s="181"/>
      <c r="H5" s="181"/>
      <c r="I5" s="181"/>
      <c r="J5" s="181"/>
      <c r="K5" s="181"/>
      <c r="L5" s="182"/>
      <c r="M5" s="180"/>
      <c r="N5" s="181"/>
      <c r="O5" s="182"/>
      <c r="P5" s="180"/>
      <c r="Q5" s="181"/>
      <c r="R5" s="182"/>
      <c r="S5" s="180"/>
      <c r="T5" s="181"/>
      <c r="U5" s="182"/>
      <c r="V5" s="180"/>
      <c r="W5" s="181"/>
      <c r="X5" s="182"/>
      <c r="Y5" s="180"/>
      <c r="Z5" s="181"/>
      <c r="AA5" s="182"/>
      <c r="AB5" s="180"/>
      <c r="AC5" s="181"/>
      <c r="AD5" s="186"/>
      <c r="AE5" s="202"/>
      <c r="AF5" s="195"/>
      <c r="AG5" s="196"/>
      <c r="AH5" s="197"/>
      <c r="AI5" s="198"/>
      <c r="AJ5" s="196"/>
      <c r="AK5" s="197"/>
      <c r="AL5" s="197"/>
      <c r="AM5" s="198"/>
      <c r="AN5" s="196"/>
      <c r="AO5" s="197"/>
      <c r="AP5" s="198"/>
      <c r="AQ5" s="201"/>
      <c r="AR5" s="196"/>
      <c r="AS5" s="197"/>
      <c r="AT5" s="197"/>
      <c r="AU5" s="197"/>
      <c r="AV5" s="198"/>
      <c r="AW5" s="196"/>
      <c r="AX5" s="197"/>
      <c r="AY5" s="198"/>
      <c r="AZ5" s="196"/>
      <c r="BA5" s="197"/>
      <c r="BB5" s="198"/>
      <c r="BC5" s="49"/>
      <c r="BD5" s="192"/>
      <c r="BE5" s="193"/>
    </row>
    <row r="6" spans="1:57" x14ac:dyDescent="0.25">
      <c r="B6" s="30" t="s">
        <v>89</v>
      </c>
      <c r="C6" s="30" t="s">
        <v>180</v>
      </c>
      <c r="D6" s="144" t="s">
        <v>156</v>
      </c>
      <c r="E6" s="144" t="s">
        <v>181</v>
      </c>
      <c r="F6" s="34" t="s">
        <v>72</v>
      </c>
      <c r="G6" s="34" t="s">
        <v>73</v>
      </c>
      <c r="H6" s="144" t="s">
        <v>39</v>
      </c>
      <c r="I6" s="144" t="s">
        <v>40</v>
      </c>
      <c r="J6" s="144" t="s">
        <v>157</v>
      </c>
      <c r="K6" s="144" t="s">
        <v>5</v>
      </c>
      <c r="L6" s="144" t="s">
        <v>4</v>
      </c>
      <c r="M6" s="34" t="s">
        <v>3</v>
      </c>
      <c r="N6" s="34" t="s">
        <v>2</v>
      </c>
      <c r="O6" s="34" t="s">
        <v>1</v>
      </c>
      <c r="P6" s="34" t="s">
        <v>90</v>
      </c>
      <c r="Q6" s="34" t="s">
        <v>91</v>
      </c>
      <c r="R6" s="34" t="s">
        <v>92</v>
      </c>
      <c r="S6" s="34" t="s">
        <v>93</v>
      </c>
      <c r="T6" s="34" t="s">
        <v>94</v>
      </c>
      <c r="U6" s="34" t="s">
        <v>95</v>
      </c>
      <c r="V6" s="34" t="s">
        <v>96</v>
      </c>
      <c r="W6" s="34" t="s">
        <v>97</v>
      </c>
      <c r="X6" s="34" t="s">
        <v>98</v>
      </c>
      <c r="Y6" s="34" t="s">
        <v>99</v>
      </c>
      <c r="Z6" s="34" t="s">
        <v>100</v>
      </c>
      <c r="AA6" s="34" t="s">
        <v>101</v>
      </c>
      <c r="AB6" s="34" t="s">
        <v>102</v>
      </c>
      <c r="AC6" s="34" t="s">
        <v>103</v>
      </c>
      <c r="AD6" s="29" t="s">
        <v>104</v>
      </c>
      <c r="AE6" s="31" t="s">
        <v>23</v>
      </c>
      <c r="AF6" s="31" t="s">
        <v>22</v>
      </c>
      <c r="AG6" s="35" t="s">
        <v>21</v>
      </c>
      <c r="AH6" s="35" t="s">
        <v>20</v>
      </c>
      <c r="AI6" s="35" t="s">
        <v>19</v>
      </c>
      <c r="AJ6" s="35" t="s">
        <v>17</v>
      </c>
      <c r="AK6" s="35" t="s">
        <v>16</v>
      </c>
      <c r="AL6" s="35" t="s">
        <v>15</v>
      </c>
      <c r="AM6" s="35" t="s">
        <v>18</v>
      </c>
      <c r="AN6" s="35" t="s">
        <v>105</v>
      </c>
      <c r="AO6" s="35" t="s">
        <v>106</v>
      </c>
      <c r="AP6" s="35" t="s">
        <v>107</v>
      </c>
      <c r="AQ6" s="35" t="s">
        <v>14</v>
      </c>
      <c r="AR6" s="35" t="s">
        <v>13</v>
      </c>
      <c r="AS6" s="35" t="s">
        <v>12</v>
      </c>
      <c r="AT6" s="35" t="s">
        <v>11</v>
      </c>
      <c r="AU6" s="35" t="s">
        <v>10</v>
      </c>
      <c r="AV6" s="35" t="s">
        <v>9</v>
      </c>
      <c r="AW6" s="35" t="s">
        <v>8</v>
      </c>
      <c r="AX6" s="35" t="s">
        <v>7</v>
      </c>
      <c r="AY6" s="35" t="s">
        <v>6</v>
      </c>
      <c r="AZ6" s="35" t="s">
        <v>108</v>
      </c>
      <c r="BA6" s="35" t="s">
        <v>109</v>
      </c>
      <c r="BB6" s="35" t="s">
        <v>110</v>
      </c>
      <c r="BC6" s="50" t="s">
        <v>143</v>
      </c>
      <c r="BD6" s="33" t="s">
        <v>35</v>
      </c>
      <c r="BE6" s="32" t="s">
        <v>34</v>
      </c>
    </row>
    <row r="7" spans="1:57" x14ac:dyDescent="0.25">
      <c r="B7" s="28" t="s">
        <v>142</v>
      </c>
      <c r="C7" s="28">
        <v>254</v>
      </c>
      <c r="D7" s="156" t="s">
        <v>182</v>
      </c>
      <c r="E7" s="28" t="s">
        <v>159</v>
      </c>
      <c r="F7" s="28" t="s">
        <v>160</v>
      </c>
      <c r="G7" s="28" t="s">
        <v>161</v>
      </c>
      <c r="H7" s="28" t="s">
        <v>162</v>
      </c>
      <c r="I7" s="28" t="s">
        <v>163</v>
      </c>
      <c r="J7" s="28" t="s">
        <v>164</v>
      </c>
      <c r="K7" s="28" t="s">
        <v>165</v>
      </c>
      <c r="L7" s="28" t="s">
        <v>166</v>
      </c>
      <c r="M7" s="28">
        <v>0.1</v>
      </c>
      <c r="N7" s="28">
        <v>1.1000000000000001</v>
      </c>
      <c r="O7" s="28">
        <v>2.1</v>
      </c>
      <c r="P7" s="28">
        <v>3.1</v>
      </c>
      <c r="Q7" s="28">
        <v>4.0999999999999996</v>
      </c>
      <c r="R7" s="28">
        <v>5.0999999999999996</v>
      </c>
      <c r="S7" s="28">
        <v>6.1</v>
      </c>
      <c r="T7" s="28">
        <v>7.1</v>
      </c>
      <c r="U7" s="28">
        <v>8.1</v>
      </c>
      <c r="V7" s="28">
        <v>9.1</v>
      </c>
      <c r="W7" s="28">
        <v>10.1</v>
      </c>
      <c r="X7" s="28">
        <v>11.1</v>
      </c>
      <c r="Y7" s="28">
        <v>12.1</v>
      </c>
      <c r="Z7" s="28">
        <v>13.1</v>
      </c>
      <c r="AA7" s="28">
        <v>14.1</v>
      </c>
      <c r="AB7" s="28">
        <v>15.1</v>
      </c>
      <c r="AC7" s="28">
        <v>16.100000000000001</v>
      </c>
      <c r="AD7" s="28">
        <v>17.100000000000001</v>
      </c>
      <c r="AE7" s="28">
        <v>18.100000000000001</v>
      </c>
      <c r="AF7" s="28">
        <v>19.100000000000001</v>
      </c>
      <c r="AG7" s="28">
        <v>20.100000000000001</v>
      </c>
      <c r="AH7" s="28">
        <v>21.1</v>
      </c>
      <c r="AI7" s="28">
        <v>22.1</v>
      </c>
      <c r="AJ7" s="28">
        <v>23.1</v>
      </c>
      <c r="AK7" s="28">
        <v>24.1</v>
      </c>
      <c r="AL7" s="28">
        <v>25.1</v>
      </c>
      <c r="AM7" s="28">
        <v>26.1</v>
      </c>
      <c r="AN7" s="28">
        <v>27.1</v>
      </c>
      <c r="AO7" s="28">
        <v>28.1</v>
      </c>
      <c r="AP7" s="28">
        <v>29.1</v>
      </c>
      <c r="AQ7" s="28">
        <v>30.1</v>
      </c>
      <c r="AR7" s="28">
        <v>31.1</v>
      </c>
      <c r="AS7" s="28">
        <v>32.1</v>
      </c>
      <c r="AT7" s="28">
        <v>33.1</v>
      </c>
      <c r="AU7" s="28">
        <v>34.1</v>
      </c>
      <c r="AV7" s="28">
        <v>35.1</v>
      </c>
      <c r="AW7" s="28">
        <v>36.1</v>
      </c>
      <c r="AX7" s="28">
        <v>37.1</v>
      </c>
      <c r="AY7" s="28">
        <v>38.1</v>
      </c>
      <c r="AZ7" s="28">
        <v>39.1</v>
      </c>
      <c r="BA7" s="28">
        <v>40.1</v>
      </c>
      <c r="BB7" s="28">
        <v>0</v>
      </c>
      <c r="BC7" s="28"/>
      <c r="BD7" s="3">
        <f>SUM(M7*RESUMÉ!$E$14,N7*RESUMÉ!$E$15,O7*RESUMÉ!$E$16,P7*RESUMÉ!$E$17,Q7*RESUMÉ!$E$18,R7*RESUMÉ!$E$19,S7*RESUMÉ!$E$20,T7*RESUMÉ!$E$21,U7*RESUMÉ!$E$22,V7*RESUMÉ!$E$23,W7*RESUMÉ!$E$24,X7*RESUMÉ!$E$25,Y7*RESUMÉ!$E$26,Z7*RESUMÉ!$E$27,AA7*RESUMÉ!$E$28,AB7*RESUMÉ!$E$29,AC7*RESUMÉ!$E$30,AD7*RESUMÉ!$E$31,AE7*'LISTE DE PRIX'!$F$6,AF7*'LISTE DE PRIX'!$F$7,AG7*'LISTE DE PRIX'!$F$12,AH7*'LISTE DE PRIX'!$F$13,AI7*'LISTE DE PRIX'!$F$14,AJ7*'LISTE DE PRIX'!$F$8,AK7*'LISTE DE PRIX'!$F$9,AL7*'LISTE DE PRIX'!$F$10,AM7*'LISTE DE PRIX'!$F$11,AN7*'LISTE DE PRIX'!$F$16,AO7*'LISTE DE PRIX'!$F$17,AP7*'LISTE DE PRIX'!$F$18,AQ7*'LISTE DE PRIX'!$F$15,AR7*'LISTE DE PRIX'!$F$19,AS7*'LISTE DE PRIX'!$F$20,AT7*'LISTE DE PRIX'!$F$21,AU7*'LISTE DE PRIX'!$F$22,AV7*'LISTE DE PRIX'!$F$23,AW7*'LISTE DE PRIX'!$F$25,AX7*'LISTE DE PRIX'!$F$26,AY7*'LISTE DE PRIX'!$F$27,AZ7*'LISTE DE PRIX'!$F$28,BA7*'LISTE DE PRIX'!$F$29,BB7*'LISTE DE PRIX'!$F$30)+MasterTable[[#This Row],[Misc.]]</f>
        <v>29423.497975486767</v>
      </c>
      <c r="BE7" s="2"/>
    </row>
    <row r="8" spans="1:57" x14ac:dyDescent="0.25">
      <c r="A8" s="151"/>
      <c r="B8" s="152">
        <v>2500</v>
      </c>
      <c r="C8" s="152" t="s">
        <v>174</v>
      </c>
      <c r="D8" s="155">
        <v>743</v>
      </c>
      <c r="E8" s="148">
        <v>65</v>
      </c>
      <c r="F8" s="99" t="s">
        <v>183</v>
      </c>
      <c r="G8" s="96"/>
      <c r="H8" s="152" t="s">
        <v>175</v>
      </c>
      <c r="I8" s="97" t="s">
        <v>175</v>
      </c>
      <c r="J8" s="147" t="s">
        <v>176</v>
      </c>
      <c r="K8" s="98">
        <v>43047</v>
      </c>
      <c r="L8" s="98">
        <v>43048</v>
      </c>
      <c r="M8" s="153"/>
      <c r="N8" s="153"/>
      <c r="O8" s="153"/>
      <c r="P8" s="153"/>
      <c r="Q8" s="153"/>
      <c r="R8" s="153"/>
      <c r="S8" s="153"/>
      <c r="T8" s="153"/>
      <c r="U8" s="153"/>
      <c r="V8" s="153"/>
      <c r="W8" s="153"/>
      <c r="X8" s="153"/>
      <c r="Y8" s="153"/>
      <c r="Z8" s="153"/>
      <c r="AA8" s="153"/>
      <c r="AB8" s="153"/>
      <c r="AC8" s="153"/>
      <c r="AD8" s="153"/>
      <c r="AE8" s="153"/>
      <c r="AF8" s="153"/>
      <c r="AG8" s="153"/>
      <c r="AH8" s="153"/>
      <c r="AI8" s="153"/>
      <c r="AJ8" s="153"/>
      <c r="AK8" s="153"/>
      <c r="AL8" s="153"/>
      <c r="AM8" s="150"/>
      <c r="AN8" s="150"/>
      <c r="AO8" s="150"/>
      <c r="AP8" s="150"/>
      <c r="AQ8" s="150"/>
      <c r="AR8" s="150"/>
      <c r="AS8" s="150"/>
      <c r="AT8" s="150"/>
      <c r="AU8" s="150"/>
      <c r="AV8" s="150"/>
      <c r="AW8" s="150"/>
      <c r="AX8" s="150"/>
      <c r="AY8" s="150"/>
      <c r="AZ8" s="150"/>
      <c r="BA8" s="150"/>
      <c r="BB8" s="150"/>
      <c r="BC8" s="150"/>
      <c r="BD8" s="149">
        <f>SUM(M8*RESUMÉ!$E$14,N8*RESUMÉ!$E$15,O8*RESUMÉ!$E$16,P8*RESUMÉ!$E$17,Q8*RESUMÉ!$E$18,R8*RESUMÉ!$E$19,S8*RESUMÉ!$E$20,T8*RESUMÉ!$E$21,U8*RESUMÉ!$E$22,V8*RESUMÉ!$E$23,W8*RESUMÉ!$E$24,X8*RESUMÉ!$E$25,Y8*RESUMÉ!$E$26,Z8*RESUMÉ!$E$27,AA8*RESUMÉ!$E$28,AB8*RESUMÉ!$E$29,AC8*RESUMÉ!$E$30,AD8*RESUMÉ!$E$31,AE8*'LISTE DE PRIX'!$F$6,AF8*'LISTE DE PRIX'!$F$7,AG8*'LISTE DE PRIX'!$F$12,AH8*'LISTE DE PRIX'!$F$13,AI8*'LISTE DE PRIX'!$F$14,AJ8*'LISTE DE PRIX'!$F$8,AK8*'LISTE DE PRIX'!$F$9,AL8*'LISTE DE PRIX'!$F$10,AM8*'LISTE DE PRIX'!$F$11,AN8*'LISTE DE PRIX'!$F$16,AO8*'LISTE DE PRIX'!$F$17,AP8*'LISTE DE PRIX'!$F$18,AQ8*'LISTE DE PRIX'!$F$15,AR8*'LISTE DE PRIX'!$F$19,AS8*'LISTE DE PRIX'!$F$20,AT8*'LISTE DE PRIX'!$F$21,AU8*'LISTE DE PRIX'!$F$22,AV8*'LISTE DE PRIX'!$F$23,AW8*'LISTE DE PRIX'!$F$25,AX8*'LISTE DE PRIX'!$F$26,AY8*'LISTE DE PRIX'!$F$27,AZ8*'LISTE DE PRIX'!$F$28,BA8*'LISTE DE PRIX'!$F$29,BB8*'LISTE DE PRIX'!$F$30)+MasterTable[[#This Row],[Misc.]]</f>
        <v>0</v>
      </c>
      <c r="BE8" s="2"/>
    </row>
    <row r="9" spans="1:57" x14ac:dyDescent="0.25">
      <c r="A9" s="151"/>
      <c r="B9" s="152">
        <v>2500</v>
      </c>
      <c r="C9" s="152">
        <v>2982</v>
      </c>
      <c r="D9" s="155">
        <v>748</v>
      </c>
      <c r="E9" s="148">
        <v>65</v>
      </c>
      <c r="F9" s="99" t="s">
        <v>184</v>
      </c>
      <c r="G9" s="96"/>
      <c r="H9" s="152" t="s">
        <v>175</v>
      </c>
      <c r="I9" s="97" t="s">
        <v>175</v>
      </c>
      <c r="J9" s="147" t="s">
        <v>176</v>
      </c>
      <c r="K9" s="98">
        <v>43053</v>
      </c>
      <c r="L9" s="98">
        <v>43053</v>
      </c>
      <c r="M9" s="153"/>
      <c r="N9" s="153"/>
      <c r="O9" s="153"/>
      <c r="P9" s="153"/>
      <c r="Q9" s="153"/>
      <c r="R9" s="153"/>
      <c r="S9" s="153"/>
      <c r="T9" s="153"/>
      <c r="U9" s="153"/>
      <c r="V9" s="153"/>
      <c r="W9" s="153"/>
      <c r="X9" s="153"/>
      <c r="Y9" s="153"/>
      <c r="Z9" s="153"/>
      <c r="AA9" s="153"/>
      <c r="AB9" s="153"/>
      <c r="AC9" s="153"/>
      <c r="AD9" s="153"/>
      <c r="AE9" s="153"/>
      <c r="AF9" s="153"/>
      <c r="AG9" s="153"/>
      <c r="AH9" s="153"/>
      <c r="AI9" s="153"/>
      <c r="AJ9" s="153"/>
      <c r="AK9" s="153"/>
      <c r="AL9" s="153"/>
      <c r="AM9" s="150"/>
      <c r="AN9" s="150"/>
      <c r="AO9" s="150"/>
      <c r="AP9" s="150"/>
      <c r="AQ9" s="150"/>
      <c r="AR9" s="150"/>
      <c r="AS9" s="150"/>
      <c r="AT9" s="150"/>
      <c r="AU9" s="150"/>
      <c r="AV9" s="150"/>
      <c r="AW9" s="150"/>
      <c r="AX9" s="150"/>
      <c r="AY9" s="150"/>
      <c r="AZ9" s="150"/>
      <c r="BA9" s="150"/>
      <c r="BB9" s="150"/>
      <c r="BC9" s="150"/>
      <c r="BD9" s="149">
        <f>SUM(M9*RESUMÉ!$E$14,N9*RESUMÉ!$E$15,O9*RESUMÉ!$E$16,P9*RESUMÉ!$E$17,Q9*RESUMÉ!$E$18,R9*RESUMÉ!$E$19,S9*RESUMÉ!$E$20,T9*RESUMÉ!$E$21,U9*RESUMÉ!$E$22,V9*RESUMÉ!$E$23,W9*RESUMÉ!$E$24,X9*RESUMÉ!$E$25,Y9*RESUMÉ!$E$26,Z9*RESUMÉ!$E$27,AA9*RESUMÉ!$E$28,AB9*RESUMÉ!$E$29,AC9*RESUMÉ!$E$30,AD9*RESUMÉ!$E$31,AE9*'LISTE DE PRIX'!$F$6,AF9*'LISTE DE PRIX'!$F$7,AG9*'LISTE DE PRIX'!$F$12,AH9*'LISTE DE PRIX'!$F$13,AI9*'LISTE DE PRIX'!$F$14,AJ9*'LISTE DE PRIX'!$F$8,AK9*'LISTE DE PRIX'!$F$9,AL9*'LISTE DE PRIX'!$F$10,AM9*'LISTE DE PRIX'!$F$11,AN9*'LISTE DE PRIX'!$F$16,AO9*'LISTE DE PRIX'!$F$17,AP9*'LISTE DE PRIX'!$F$18,AQ9*'LISTE DE PRIX'!$F$15,AR9*'LISTE DE PRIX'!$F$19,AS9*'LISTE DE PRIX'!$F$20,AT9*'LISTE DE PRIX'!$F$21,AU9*'LISTE DE PRIX'!$F$22,AV9*'LISTE DE PRIX'!$F$23,AW9*'LISTE DE PRIX'!$F$25,AX9*'LISTE DE PRIX'!$F$26,AY9*'LISTE DE PRIX'!$F$27,AZ9*'LISTE DE PRIX'!$F$28,BA9*'LISTE DE PRIX'!$F$29,BB9*'LISTE DE PRIX'!$F$30)+MasterTable[[#This Row],[Misc.]]</f>
        <v>0</v>
      </c>
      <c r="BE9" s="2"/>
    </row>
    <row r="10" spans="1:57" x14ac:dyDescent="0.25">
      <c r="A10" s="151"/>
      <c r="B10" s="155">
        <v>2500</v>
      </c>
      <c r="C10" s="152" t="s">
        <v>177</v>
      </c>
      <c r="D10" s="155">
        <v>749</v>
      </c>
      <c r="E10" s="148">
        <v>65</v>
      </c>
      <c r="F10" s="99" t="s">
        <v>185</v>
      </c>
      <c r="G10" s="96"/>
      <c r="H10" s="155" t="s">
        <v>175</v>
      </c>
      <c r="I10" s="97" t="s">
        <v>175</v>
      </c>
      <c r="J10" s="147" t="s">
        <v>176</v>
      </c>
      <c r="K10" s="98">
        <v>43054</v>
      </c>
      <c r="L10" s="98">
        <v>43054</v>
      </c>
      <c r="M10" s="153"/>
      <c r="N10" s="153"/>
      <c r="O10" s="153"/>
      <c r="P10" s="153"/>
      <c r="Q10" s="153"/>
      <c r="R10" s="153"/>
      <c r="S10" s="153"/>
      <c r="T10" s="153"/>
      <c r="U10" s="153"/>
      <c r="V10" s="153"/>
      <c r="W10" s="153"/>
      <c r="X10" s="153"/>
      <c r="Y10" s="153"/>
      <c r="Z10" s="153"/>
      <c r="AA10" s="153"/>
      <c r="AB10" s="153"/>
      <c r="AC10" s="153"/>
      <c r="AD10" s="153"/>
      <c r="AE10" s="153"/>
      <c r="AF10" s="153"/>
      <c r="AG10" s="153"/>
      <c r="AH10" s="153"/>
      <c r="AI10" s="153"/>
      <c r="AJ10" s="153"/>
      <c r="AK10" s="153"/>
      <c r="AL10" s="153"/>
      <c r="AM10" s="150"/>
      <c r="AN10" s="150"/>
      <c r="AO10" s="150"/>
      <c r="AP10" s="150"/>
      <c r="AQ10" s="150"/>
      <c r="AR10" s="150"/>
      <c r="AS10" s="150"/>
      <c r="AT10" s="150"/>
      <c r="AU10" s="150"/>
      <c r="AV10" s="150"/>
      <c r="AW10" s="150"/>
      <c r="AX10" s="150"/>
      <c r="AY10" s="150"/>
      <c r="AZ10" s="150"/>
      <c r="BA10" s="150"/>
      <c r="BB10" s="150"/>
      <c r="BC10" s="150"/>
      <c r="BD10" s="149">
        <f>SUM(M10*RESUMÉ!$E$14,N10*RESUMÉ!$E$15,O10*RESUMÉ!$E$16,P10*RESUMÉ!$E$17,Q10*RESUMÉ!$E$18,R10*RESUMÉ!$E$19,S10*RESUMÉ!$E$20,T10*RESUMÉ!$E$21,U10*RESUMÉ!$E$22,V10*RESUMÉ!$E$23,W10*RESUMÉ!$E$24,X10*RESUMÉ!$E$25,Y10*RESUMÉ!$E$26,Z10*RESUMÉ!$E$27,AA10*RESUMÉ!$E$28,AB10*RESUMÉ!$E$29,AC10*RESUMÉ!$E$30,AD10*RESUMÉ!$E$31,AE10*'LISTE DE PRIX'!$F$6,AF10*'LISTE DE PRIX'!$F$7,AG10*'LISTE DE PRIX'!$F$12,AH10*'LISTE DE PRIX'!$F$13,AI10*'LISTE DE PRIX'!$F$14,AJ10*'LISTE DE PRIX'!$F$8,AK10*'LISTE DE PRIX'!$F$9,AL10*'LISTE DE PRIX'!$F$10,AM10*'LISTE DE PRIX'!$F$11,AN10*'LISTE DE PRIX'!$F$16,AO10*'LISTE DE PRIX'!$F$17,AP10*'LISTE DE PRIX'!$F$18,AQ10*'LISTE DE PRIX'!$F$15,AR10*'LISTE DE PRIX'!$F$19,AS10*'LISTE DE PRIX'!$F$20,AT10*'LISTE DE PRIX'!$F$21,AU10*'LISTE DE PRIX'!$F$22,AV10*'LISTE DE PRIX'!$F$23,AW10*'LISTE DE PRIX'!$F$25,AX10*'LISTE DE PRIX'!$F$26,AY10*'LISTE DE PRIX'!$F$27,AZ10*'LISTE DE PRIX'!$F$28,BA10*'LISTE DE PRIX'!$F$29,BB10*'LISTE DE PRIX'!$F$30)+MasterTable[[#This Row],[Misc.]]</f>
        <v>0</v>
      </c>
      <c r="BE10" s="2"/>
    </row>
    <row r="11" spans="1:57" x14ac:dyDescent="0.25">
      <c r="A11" s="151"/>
      <c r="B11" s="155">
        <v>2500</v>
      </c>
      <c r="C11" s="152" t="s">
        <v>178</v>
      </c>
      <c r="D11" s="155">
        <v>750</v>
      </c>
      <c r="E11" s="148">
        <v>65</v>
      </c>
      <c r="F11" s="99" t="s">
        <v>186</v>
      </c>
      <c r="G11" s="96"/>
      <c r="H11" s="155" t="s">
        <v>175</v>
      </c>
      <c r="I11" s="97" t="s">
        <v>175</v>
      </c>
      <c r="J11" s="147" t="s">
        <v>176</v>
      </c>
      <c r="K11" s="146">
        <v>43053</v>
      </c>
      <c r="L11" s="98">
        <v>43053</v>
      </c>
      <c r="M11" s="153"/>
      <c r="N11" s="153"/>
      <c r="O11" s="153"/>
      <c r="P11" s="153"/>
      <c r="Q11" s="153"/>
      <c r="R11" s="153"/>
      <c r="S11" s="153"/>
      <c r="T11" s="153"/>
      <c r="U11" s="153"/>
      <c r="V11" s="153"/>
      <c r="W11" s="153"/>
      <c r="X11" s="153"/>
      <c r="Y11" s="153"/>
      <c r="Z11" s="153"/>
      <c r="AA11" s="153"/>
      <c r="AB11" s="153"/>
      <c r="AC11" s="153"/>
      <c r="AD11" s="153"/>
      <c r="AE11" s="153"/>
      <c r="AF11" s="153"/>
      <c r="AG11" s="153"/>
      <c r="AH11" s="153"/>
      <c r="AI11" s="153"/>
      <c r="AJ11" s="153"/>
      <c r="AK11" s="153"/>
      <c r="AL11" s="153"/>
      <c r="AM11" s="150"/>
      <c r="AN11" s="150"/>
      <c r="AO11" s="150"/>
      <c r="AP11" s="150"/>
      <c r="AQ11" s="150"/>
      <c r="AR11" s="150"/>
      <c r="AS11" s="150"/>
      <c r="AT11" s="150"/>
      <c r="AU11" s="150"/>
      <c r="AV11" s="150"/>
      <c r="AW11" s="150"/>
      <c r="AX11" s="150"/>
      <c r="AY11" s="150"/>
      <c r="AZ11" s="150"/>
      <c r="BA11" s="150"/>
      <c r="BB11" s="150"/>
      <c r="BC11" s="150"/>
      <c r="BD11" s="149">
        <f>SUM(M11*RESUMÉ!$E$14,N11*RESUMÉ!$E$15,O11*RESUMÉ!$E$16,P11*RESUMÉ!$E$17,Q11*RESUMÉ!$E$18,R11*RESUMÉ!$E$19,S11*RESUMÉ!$E$20,T11*RESUMÉ!$E$21,U11*RESUMÉ!$E$22,V11*RESUMÉ!$E$23,W11*RESUMÉ!$E$24,X11*RESUMÉ!$E$25,Y11*RESUMÉ!$E$26,Z11*RESUMÉ!$E$27,AA11*RESUMÉ!$E$28,AB11*RESUMÉ!$E$29,AC11*RESUMÉ!$E$30,AD11*RESUMÉ!$E$31,AE11*'LISTE DE PRIX'!$F$6,AF11*'LISTE DE PRIX'!$F$7,AG11*'LISTE DE PRIX'!$F$12,AH11*'LISTE DE PRIX'!$F$13,AI11*'LISTE DE PRIX'!$F$14,AJ11*'LISTE DE PRIX'!$F$8,AK11*'LISTE DE PRIX'!$F$9,AL11*'LISTE DE PRIX'!$F$10,AM11*'LISTE DE PRIX'!$F$11,AN11*'LISTE DE PRIX'!$F$16,AO11*'LISTE DE PRIX'!$F$17,AP11*'LISTE DE PRIX'!$F$18,AQ11*'LISTE DE PRIX'!$F$15,AR11*'LISTE DE PRIX'!$F$19,AS11*'LISTE DE PRIX'!$F$20,AT11*'LISTE DE PRIX'!$F$21,AU11*'LISTE DE PRIX'!$F$22,AV11*'LISTE DE PRIX'!$F$23,AW11*'LISTE DE PRIX'!$F$25,AX11*'LISTE DE PRIX'!$F$26,AY11*'LISTE DE PRIX'!$F$27,AZ11*'LISTE DE PRIX'!$F$28,BA11*'LISTE DE PRIX'!$F$29,BB11*'LISTE DE PRIX'!$F$30)+MasterTable[[#This Row],[Misc.]]</f>
        <v>0</v>
      </c>
      <c r="BE11" s="2"/>
    </row>
    <row r="12" spans="1:57" x14ac:dyDescent="0.25">
      <c r="A12" s="151"/>
      <c r="B12" s="155">
        <v>2500</v>
      </c>
      <c r="C12" s="152">
        <v>2987</v>
      </c>
      <c r="D12" s="155">
        <v>753</v>
      </c>
      <c r="E12" s="148">
        <v>65</v>
      </c>
      <c r="F12" s="99" t="s">
        <v>187</v>
      </c>
      <c r="G12" s="96"/>
      <c r="H12" s="155" t="s">
        <v>175</v>
      </c>
      <c r="I12" s="97" t="s">
        <v>175</v>
      </c>
      <c r="J12" s="147" t="s">
        <v>176</v>
      </c>
      <c r="K12" s="98">
        <v>43055</v>
      </c>
      <c r="L12" s="98">
        <v>43055</v>
      </c>
      <c r="M12" s="153"/>
      <c r="N12" s="153"/>
      <c r="O12" s="153"/>
      <c r="P12" s="153"/>
      <c r="Q12" s="153"/>
      <c r="R12" s="153"/>
      <c r="S12" s="153"/>
      <c r="T12" s="153"/>
      <c r="U12" s="153"/>
      <c r="V12" s="153"/>
      <c r="W12" s="153"/>
      <c r="X12" s="153"/>
      <c r="Y12" s="153"/>
      <c r="Z12" s="153"/>
      <c r="AA12" s="153"/>
      <c r="AB12" s="153"/>
      <c r="AC12" s="153"/>
      <c r="AD12" s="153"/>
      <c r="AE12" s="153"/>
      <c r="AF12" s="153"/>
      <c r="AG12" s="153"/>
      <c r="AH12" s="153"/>
      <c r="AI12" s="153"/>
      <c r="AJ12" s="153"/>
      <c r="AK12" s="153"/>
      <c r="AL12" s="153"/>
      <c r="AM12" s="150"/>
      <c r="AN12" s="150"/>
      <c r="AO12" s="150"/>
      <c r="AP12" s="150"/>
      <c r="AQ12" s="150"/>
      <c r="AR12" s="150"/>
      <c r="AS12" s="150"/>
      <c r="AT12" s="150"/>
      <c r="AU12" s="150"/>
      <c r="AV12" s="150"/>
      <c r="AW12" s="150"/>
      <c r="AX12" s="150"/>
      <c r="AY12" s="150"/>
      <c r="AZ12" s="150"/>
      <c r="BA12" s="150"/>
      <c r="BB12" s="150"/>
      <c r="BC12" s="150"/>
      <c r="BD12" s="149">
        <f>SUM(M12*RESUMÉ!$E$14,N12*RESUMÉ!$E$15,O12*RESUMÉ!$E$16,P12*RESUMÉ!$E$17,Q12*RESUMÉ!$E$18,R12*RESUMÉ!$E$19,S12*RESUMÉ!$E$20,T12*RESUMÉ!$E$21,U12*RESUMÉ!$E$22,V12*RESUMÉ!$E$23,W12*RESUMÉ!$E$24,X12*RESUMÉ!$E$25,Y12*RESUMÉ!$E$26,Z12*RESUMÉ!$E$27,AA12*RESUMÉ!$E$28,AB12*RESUMÉ!$E$29,AC12*RESUMÉ!$E$30,AD12*RESUMÉ!$E$31,AE12*'LISTE DE PRIX'!$F$6,AF12*'LISTE DE PRIX'!$F$7,AG12*'LISTE DE PRIX'!$F$12,AH12*'LISTE DE PRIX'!$F$13,AI12*'LISTE DE PRIX'!$F$14,AJ12*'LISTE DE PRIX'!$F$8,AK12*'LISTE DE PRIX'!$F$9,AL12*'LISTE DE PRIX'!$F$10,AM12*'LISTE DE PRIX'!$F$11,AN12*'LISTE DE PRIX'!$F$16,AO12*'LISTE DE PRIX'!$F$17,AP12*'LISTE DE PRIX'!$F$18,AQ12*'LISTE DE PRIX'!$F$15,AR12*'LISTE DE PRIX'!$F$19,AS12*'LISTE DE PRIX'!$F$20,AT12*'LISTE DE PRIX'!$F$21,AU12*'LISTE DE PRIX'!$F$22,AV12*'LISTE DE PRIX'!$F$23,AW12*'LISTE DE PRIX'!$F$25,AX12*'LISTE DE PRIX'!$F$26,AY12*'LISTE DE PRIX'!$F$27,AZ12*'LISTE DE PRIX'!$F$28,BA12*'LISTE DE PRIX'!$F$29,BB12*'LISTE DE PRIX'!$F$30)+MasterTable[[#This Row],[Misc.]]</f>
        <v>0</v>
      </c>
      <c r="BE12" s="27" t="s">
        <v>0</v>
      </c>
    </row>
    <row r="13" spans="1:57" x14ac:dyDescent="0.25">
      <c r="A13" s="151"/>
      <c r="B13" s="155">
        <v>2500</v>
      </c>
      <c r="C13" s="152">
        <v>2988</v>
      </c>
      <c r="D13" s="155">
        <v>755</v>
      </c>
      <c r="E13" s="148">
        <v>65</v>
      </c>
      <c r="F13" s="99" t="s">
        <v>188</v>
      </c>
      <c r="G13" s="96"/>
      <c r="H13" s="155" t="s">
        <v>175</v>
      </c>
      <c r="I13" s="97" t="s">
        <v>175</v>
      </c>
      <c r="J13" s="147" t="s">
        <v>176</v>
      </c>
      <c r="K13" s="98">
        <v>43055</v>
      </c>
      <c r="L13" s="98">
        <v>43055</v>
      </c>
      <c r="M13" s="153"/>
      <c r="N13" s="153"/>
      <c r="O13" s="153"/>
      <c r="P13" s="153"/>
      <c r="Q13" s="153"/>
      <c r="R13" s="153"/>
      <c r="S13" s="153"/>
      <c r="T13" s="153"/>
      <c r="U13" s="153"/>
      <c r="V13" s="153"/>
      <c r="W13" s="153"/>
      <c r="X13" s="153"/>
      <c r="Y13" s="153"/>
      <c r="Z13" s="153"/>
      <c r="AA13" s="153"/>
      <c r="AB13" s="153"/>
      <c r="AC13" s="153"/>
      <c r="AD13" s="153"/>
      <c r="AE13" s="153"/>
      <c r="AF13" s="153"/>
      <c r="AG13" s="153"/>
      <c r="AH13" s="153"/>
      <c r="AI13" s="153"/>
      <c r="AJ13" s="153"/>
      <c r="AK13" s="153"/>
      <c r="AL13" s="153"/>
      <c r="AM13" s="150"/>
      <c r="AN13" s="150"/>
      <c r="AO13" s="150"/>
      <c r="AP13" s="150"/>
      <c r="AQ13" s="150"/>
      <c r="AR13" s="150"/>
      <c r="AS13" s="150"/>
      <c r="AT13" s="150"/>
      <c r="AU13" s="150"/>
      <c r="AV13" s="150"/>
      <c r="AW13" s="150"/>
      <c r="AX13" s="150"/>
      <c r="AY13" s="150"/>
      <c r="AZ13" s="150"/>
      <c r="BA13" s="150"/>
      <c r="BB13" s="150"/>
      <c r="BC13" s="150"/>
      <c r="BD13" s="149">
        <f>SUM(M13*RESUMÉ!$E$14,N13*RESUMÉ!$E$15,O13*RESUMÉ!$E$16,P13*RESUMÉ!$E$17,Q13*RESUMÉ!$E$18,R13*RESUMÉ!$E$19,S13*RESUMÉ!$E$20,T13*RESUMÉ!$E$21,U13*RESUMÉ!$E$22,V13*RESUMÉ!$E$23,W13*RESUMÉ!$E$24,X13*RESUMÉ!$E$25,Y13*RESUMÉ!$E$26,Z13*RESUMÉ!$E$27,AA13*RESUMÉ!$E$28,AB13*RESUMÉ!$E$29,AC13*RESUMÉ!$E$30,AD13*RESUMÉ!$E$31,AE13*'LISTE DE PRIX'!$F$6,AF13*'LISTE DE PRIX'!$F$7,AG13*'LISTE DE PRIX'!$F$12,AH13*'LISTE DE PRIX'!$F$13,AI13*'LISTE DE PRIX'!$F$14,AJ13*'LISTE DE PRIX'!$F$8,AK13*'LISTE DE PRIX'!$F$9,AL13*'LISTE DE PRIX'!$F$10,AM13*'LISTE DE PRIX'!$F$11,AN13*'LISTE DE PRIX'!$F$16,AO13*'LISTE DE PRIX'!$F$17,AP13*'LISTE DE PRIX'!$F$18,AQ13*'LISTE DE PRIX'!$F$15,AR13*'LISTE DE PRIX'!$F$19,AS13*'LISTE DE PRIX'!$F$20,AT13*'LISTE DE PRIX'!$F$21,AU13*'LISTE DE PRIX'!$F$22,AV13*'LISTE DE PRIX'!$F$23,AW13*'LISTE DE PRIX'!$F$25,AX13*'LISTE DE PRIX'!$F$26,AY13*'LISTE DE PRIX'!$F$27,AZ13*'LISTE DE PRIX'!$F$28,BA13*'LISTE DE PRIX'!$F$29,BB13*'LISTE DE PRIX'!$F$30)+MasterTable[[#This Row],[Misc.]]</f>
        <v>0</v>
      </c>
      <c r="BE13" s="2"/>
    </row>
    <row r="14" spans="1:57" s="151" customFormat="1" x14ac:dyDescent="0.25">
      <c r="B14" s="155"/>
      <c r="C14" s="155"/>
      <c r="D14" s="155"/>
      <c r="E14" s="148"/>
      <c r="F14" s="154"/>
      <c r="G14" s="96"/>
      <c r="H14" s="155"/>
      <c r="I14" s="97"/>
      <c r="J14" s="147"/>
      <c r="K14" s="98"/>
      <c r="L14" s="98"/>
      <c r="M14" s="156">
        <f>SUM(0)</f>
        <v>0</v>
      </c>
      <c r="N14" s="156">
        <f>SUM(0)</f>
        <v>0</v>
      </c>
      <c r="O14" s="156">
        <f>SUM(0)</f>
        <v>0</v>
      </c>
      <c r="P14" s="156">
        <f>SUM(0)</f>
        <v>0</v>
      </c>
      <c r="Q14" s="156">
        <f>SUM(0)</f>
        <v>0</v>
      </c>
      <c r="R14" s="156">
        <f>SUM(0)</f>
        <v>0</v>
      </c>
      <c r="S14" s="156">
        <f>SUM(0)</f>
        <v>0</v>
      </c>
      <c r="T14" s="156">
        <f>SUM(0)</f>
        <v>0</v>
      </c>
      <c r="U14" s="156">
        <f>SUM(0)</f>
        <v>0</v>
      </c>
      <c r="V14" s="156">
        <f>SUM(0)</f>
        <v>0</v>
      </c>
      <c r="W14" s="156">
        <f>SUM(0)</f>
        <v>0</v>
      </c>
      <c r="X14" s="156">
        <f>SUM(0)</f>
        <v>0</v>
      </c>
      <c r="Y14" s="156">
        <f>SUM(0)</f>
        <v>0</v>
      </c>
      <c r="Z14" s="156">
        <f>SUM(0)</f>
        <v>0</v>
      </c>
      <c r="AA14" s="156">
        <f>SUM(0)</f>
        <v>0</v>
      </c>
      <c r="AB14" s="156">
        <f>SUM(0)</f>
        <v>0</v>
      </c>
      <c r="AC14" s="156">
        <f>SUM(0)</f>
        <v>0</v>
      </c>
      <c r="AD14" s="156">
        <f>SUM(0)</f>
        <v>0</v>
      </c>
      <c r="AE14" s="156">
        <f>SUM(0)</f>
        <v>0</v>
      </c>
      <c r="AF14" s="156">
        <f>SUM(0)</f>
        <v>0</v>
      </c>
      <c r="AG14" s="156">
        <f>SUM(0)</f>
        <v>0</v>
      </c>
      <c r="AH14" s="156">
        <f>SUM(0)</f>
        <v>0</v>
      </c>
      <c r="AI14" s="156">
        <f>SUM(0)</f>
        <v>0</v>
      </c>
      <c r="AJ14" s="156">
        <f>SUM(0)</f>
        <v>0</v>
      </c>
      <c r="AK14" s="156">
        <f>SUM(0)</f>
        <v>0</v>
      </c>
      <c r="AL14" s="156">
        <f>SUM(0)</f>
        <v>0</v>
      </c>
      <c r="AM14" s="156">
        <f>SUM(0)</f>
        <v>0</v>
      </c>
      <c r="AN14" s="156">
        <f>SUM(0)</f>
        <v>0</v>
      </c>
      <c r="AO14" s="156">
        <f>SUM(0)</f>
        <v>0</v>
      </c>
      <c r="AP14" s="156">
        <f>SUM(0)</f>
        <v>0</v>
      </c>
      <c r="AQ14" s="156">
        <f>SUM(0)</f>
        <v>0</v>
      </c>
      <c r="AR14" s="156">
        <f>SUM(0)</f>
        <v>0</v>
      </c>
      <c r="AS14" s="156">
        <f>SUM(0)</f>
        <v>0</v>
      </c>
      <c r="AT14" s="156">
        <f>SUM(0)</f>
        <v>0</v>
      </c>
      <c r="AU14" s="156">
        <f>SUM(0)</f>
        <v>0</v>
      </c>
      <c r="AV14" s="156">
        <f>SUM(0)</f>
        <v>0</v>
      </c>
      <c r="AW14" s="156">
        <f>SUM(0)</f>
        <v>0</v>
      </c>
      <c r="AX14" s="156">
        <f>SUM(0)</f>
        <v>0</v>
      </c>
      <c r="AY14" s="156">
        <f>SUM(0)</f>
        <v>0</v>
      </c>
      <c r="AZ14" s="156">
        <f>SUM(0)</f>
        <v>0</v>
      </c>
      <c r="BA14" s="156">
        <f>SUM(0)</f>
        <v>0</v>
      </c>
      <c r="BB14" s="156">
        <f>SUM(0)</f>
        <v>0</v>
      </c>
      <c r="BC14" s="156"/>
      <c r="BD14" s="149">
        <f>SUM(M14*RESUMÉ!$E$14,N14*RESUMÉ!$E$15,O14*RESUMÉ!$E$16,P14*RESUMÉ!$E$17,Q14*RESUMÉ!$E$18,R14*RESUMÉ!$E$19,S14*RESUMÉ!$E$20,T14*RESUMÉ!$E$21,U14*RESUMÉ!$E$22,V14*RESUMÉ!$E$23,W14*RESUMÉ!$E$24,X14*RESUMÉ!$E$25,Y14*RESUMÉ!$E$26,Z14*RESUMÉ!$E$27,AA14*RESUMÉ!$E$28,AB14*RESUMÉ!$E$29,AC14*RESUMÉ!$E$30,AD14*RESUMÉ!$E$31,AE14*'LISTE DE PRIX'!$F$6,AF14*'LISTE DE PRIX'!$F$7,AG14*'LISTE DE PRIX'!$F$12,AH14*'LISTE DE PRIX'!$F$13,AI14*'LISTE DE PRIX'!$F$14,AJ14*'LISTE DE PRIX'!$F$8,AK14*'LISTE DE PRIX'!$F$9,AL14*'LISTE DE PRIX'!$F$10,AM14*'LISTE DE PRIX'!$F$11,AN14*'LISTE DE PRIX'!$F$16,AO14*'LISTE DE PRIX'!$F$17,AP14*'LISTE DE PRIX'!$F$18,AQ14*'LISTE DE PRIX'!$F$15,AR14*'LISTE DE PRIX'!$F$19,AS14*'LISTE DE PRIX'!$F$20,AT14*'LISTE DE PRIX'!$F$21,AU14*'LISTE DE PRIX'!$F$22,AV14*'LISTE DE PRIX'!$F$23,AW14*'LISTE DE PRIX'!$F$25,AX14*'LISTE DE PRIX'!$F$26,AY14*'LISTE DE PRIX'!$F$27,AZ14*'LISTE DE PRIX'!$F$28,BA14*'LISTE DE PRIX'!$F$29,BB14*'LISTE DE PRIX'!$F$30)+MasterTable[[#This Row],[Misc.]]</f>
        <v>0</v>
      </c>
      <c r="BE14" s="118"/>
    </row>
    <row r="15" spans="1:57" x14ac:dyDescent="0.25">
      <c r="B15" s="155"/>
      <c r="C15" s="95"/>
      <c r="D15" s="155"/>
      <c r="E15" s="148"/>
      <c r="F15" s="7"/>
      <c r="G15" s="96"/>
      <c r="H15" s="95"/>
      <c r="I15" s="97"/>
      <c r="J15" s="100"/>
      <c r="K15" s="98"/>
      <c r="L15" s="98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28"/>
      <c r="BD15" s="3">
        <f>SUM(M15*RESUMÉ!$E$14,N15*RESUMÉ!$E$15,O15*RESUMÉ!$E$16,P15*RESUMÉ!$E$17,Q15*RESUMÉ!$E$18,R15*RESUMÉ!$E$19,S15*RESUMÉ!$E$20,T15*RESUMÉ!$E$21,U15*RESUMÉ!$E$22,V15*RESUMÉ!$E$23,W15*RESUMÉ!$E$24,X15*RESUMÉ!$E$25,Y15*RESUMÉ!$E$26,Z15*RESUMÉ!$E$27,AA15*RESUMÉ!$E$28,AB15*RESUMÉ!$E$29,AC15*RESUMÉ!$E$30,AD15*RESUMÉ!$E$31,AE15*'LISTE DE PRIX'!$F$6,AF15*'LISTE DE PRIX'!$F$7,AG15*'LISTE DE PRIX'!$F$12,AH15*'LISTE DE PRIX'!$F$13,AI15*'LISTE DE PRIX'!$F$14,AJ15*'LISTE DE PRIX'!$F$8,AK15*'LISTE DE PRIX'!$F$9,AL15*'LISTE DE PRIX'!$F$10,AM15*'LISTE DE PRIX'!$F$11,AN15*'LISTE DE PRIX'!$F$16,AO15*'LISTE DE PRIX'!$F$17,AP15*'LISTE DE PRIX'!$F$18,AQ15*'LISTE DE PRIX'!$F$15,AR15*'LISTE DE PRIX'!$F$19,AS15*'LISTE DE PRIX'!$F$20,AT15*'LISTE DE PRIX'!$F$21,AU15*'LISTE DE PRIX'!$F$22,AV15*'LISTE DE PRIX'!$F$23,AW15*'LISTE DE PRIX'!$F$25,AX15*'LISTE DE PRIX'!$F$26,AY15*'LISTE DE PRIX'!$F$27,AZ15*'LISTE DE PRIX'!$F$28,BA15*'LISTE DE PRIX'!$F$29,BB15*'LISTE DE PRIX'!$F$30)+MasterTable[[#This Row],[Misc.]]</f>
        <v>0</v>
      </c>
      <c r="BE15" s="27" t="s">
        <v>0</v>
      </c>
    </row>
    <row r="16" spans="1:57" x14ac:dyDescent="0.25">
      <c r="I16" s="6"/>
    </row>
    <row r="17" spans="1:56" ht="15.75" thickBot="1" x14ac:dyDescent="0.3"/>
    <row r="18" spans="1:56" ht="15" customHeight="1" thickBot="1" x14ac:dyDescent="0.3">
      <c r="A18" s="161" t="s">
        <v>76</v>
      </c>
      <c r="BD18" s="1"/>
    </row>
    <row r="19" spans="1:56" x14ac:dyDescent="0.25">
      <c r="A19" s="162"/>
      <c r="B19" s="164" t="s">
        <v>74</v>
      </c>
      <c r="C19" s="165"/>
    </row>
    <row r="20" spans="1:56" x14ac:dyDescent="0.25">
      <c r="A20" s="162"/>
      <c r="B20" s="159" t="s">
        <v>75</v>
      </c>
      <c r="C20" s="160"/>
    </row>
    <row r="21" spans="1:56" x14ac:dyDescent="0.25">
      <c r="A21" s="162"/>
      <c r="B21" s="157" t="s">
        <v>77</v>
      </c>
      <c r="C21" s="158"/>
    </row>
    <row r="22" spans="1:56" x14ac:dyDescent="0.25">
      <c r="A22" s="162"/>
      <c r="B22" s="157" t="s">
        <v>78</v>
      </c>
      <c r="C22" s="158"/>
    </row>
    <row r="23" spans="1:56" x14ac:dyDescent="0.25">
      <c r="A23" s="162"/>
      <c r="B23" s="157" t="s">
        <v>79</v>
      </c>
      <c r="C23" s="158"/>
    </row>
    <row r="24" spans="1:56" x14ac:dyDescent="0.25">
      <c r="A24" s="162"/>
      <c r="B24" s="157" t="s">
        <v>80</v>
      </c>
      <c r="C24" s="158"/>
    </row>
    <row r="25" spans="1:56" x14ac:dyDescent="0.25">
      <c r="A25" s="162"/>
      <c r="B25" s="157" t="s">
        <v>81</v>
      </c>
      <c r="C25" s="158"/>
    </row>
    <row r="26" spans="1:56" x14ac:dyDescent="0.25">
      <c r="A26" s="162"/>
      <c r="B26" s="157" t="s">
        <v>82</v>
      </c>
      <c r="C26" s="158"/>
    </row>
    <row r="27" spans="1:56" x14ac:dyDescent="0.25">
      <c r="A27" s="162"/>
      <c r="B27" s="157" t="s">
        <v>83</v>
      </c>
      <c r="C27" s="158"/>
    </row>
    <row r="28" spans="1:56" x14ac:dyDescent="0.25">
      <c r="A28" s="162"/>
      <c r="B28" s="157" t="s">
        <v>84</v>
      </c>
      <c r="C28" s="158"/>
    </row>
    <row r="29" spans="1:56" x14ac:dyDescent="0.25">
      <c r="A29" s="162"/>
      <c r="B29" s="157" t="s">
        <v>85</v>
      </c>
      <c r="C29" s="158"/>
    </row>
    <row r="30" spans="1:56" x14ac:dyDescent="0.25">
      <c r="A30" s="162"/>
      <c r="B30" s="157" t="s">
        <v>86</v>
      </c>
      <c r="C30" s="158"/>
    </row>
    <row r="31" spans="1:56" x14ac:dyDescent="0.25">
      <c r="A31" s="162"/>
      <c r="B31" s="157" t="s">
        <v>87</v>
      </c>
      <c r="C31" s="158"/>
    </row>
    <row r="32" spans="1:56" x14ac:dyDescent="0.25">
      <c r="A32" s="162"/>
      <c r="B32" s="157" t="s">
        <v>75</v>
      </c>
      <c r="C32" s="158"/>
    </row>
    <row r="33" spans="1:3" ht="15.75" thickBot="1" x14ac:dyDescent="0.3">
      <c r="A33" s="163"/>
      <c r="B33" s="157" t="s">
        <v>88</v>
      </c>
      <c r="C33" s="158"/>
    </row>
    <row r="34" spans="1:3" x14ac:dyDescent="0.25">
      <c r="B34" s="157" t="s">
        <v>78</v>
      </c>
      <c r="C34" s="158"/>
    </row>
  </sheetData>
  <mergeCells count="41">
    <mergeCell ref="BD2:BE5"/>
    <mergeCell ref="AR3:AV5"/>
    <mergeCell ref="AQ3:AQ5"/>
    <mergeCell ref="AE2:BB2"/>
    <mergeCell ref="AG3:AI5"/>
    <mergeCell ref="AE3:AF5"/>
    <mergeCell ref="AJ3:AM5"/>
    <mergeCell ref="AN3:AP5"/>
    <mergeCell ref="AW3:AY5"/>
    <mergeCell ref="AZ3:BB5"/>
    <mergeCell ref="B19:C19"/>
    <mergeCell ref="B2:L3"/>
    <mergeCell ref="Y3:AD3"/>
    <mergeCell ref="Y2:AD2"/>
    <mergeCell ref="M3:R3"/>
    <mergeCell ref="S3:X3"/>
    <mergeCell ref="M2:X2"/>
    <mergeCell ref="D4:L5"/>
    <mergeCell ref="B4:C5"/>
    <mergeCell ref="AB4:AD5"/>
    <mergeCell ref="V4:X5"/>
    <mergeCell ref="S4:U5"/>
    <mergeCell ref="P4:R5"/>
    <mergeCell ref="M4:O5"/>
    <mergeCell ref="Y4:AA5"/>
    <mergeCell ref="B34:C34"/>
    <mergeCell ref="B20:C20"/>
    <mergeCell ref="A18:A33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</mergeCells>
  <pageMargins left="0.25" right="0.25" top="0.75" bottom="0.75" header="0.3" footer="0.3"/>
  <pageSetup paperSize="17" scale="36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L39"/>
  <sheetViews>
    <sheetView zoomScale="110" zoomScaleNormal="110" workbookViewId="0">
      <selection activeCell="B21" sqref="B21"/>
    </sheetView>
  </sheetViews>
  <sheetFormatPr defaultRowHeight="15" x14ac:dyDescent="0.25"/>
  <cols>
    <col min="2" max="2" width="42.28515625" customWidth="1"/>
    <col min="3" max="3" width="6.140625" customWidth="1"/>
    <col min="4" max="4" width="13.7109375" customWidth="1"/>
    <col min="5" max="5" width="9.140625" customWidth="1"/>
    <col min="6" max="6" width="12.28515625" customWidth="1"/>
  </cols>
  <sheetData>
    <row r="1" spans="1:12" x14ac:dyDescent="0.25">
      <c r="A1" s="101"/>
      <c r="B1" s="139" t="s">
        <v>46</v>
      </c>
      <c r="C1" s="117"/>
      <c r="D1" s="117"/>
      <c r="E1" s="117"/>
      <c r="F1" s="117"/>
      <c r="G1" s="117"/>
      <c r="H1" s="117"/>
      <c r="I1" s="117"/>
      <c r="J1" s="117"/>
      <c r="K1" s="117"/>
      <c r="L1" s="117"/>
    </row>
    <row r="2" spans="1:12" x14ac:dyDescent="0.25">
      <c r="A2" s="101"/>
      <c r="B2" s="199"/>
      <c r="C2" s="171"/>
      <c r="D2" s="171"/>
      <c r="E2" s="171"/>
      <c r="F2" s="171"/>
      <c r="G2" s="141" t="s">
        <v>167</v>
      </c>
      <c r="H2" s="141" t="s">
        <v>168</v>
      </c>
      <c r="I2" s="117"/>
      <c r="J2" s="117"/>
      <c r="K2" s="117"/>
      <c r="L2" s="117"/>
    </row>
    <row r="3" spans="1:12" x14ac:dyDescent="0.25">
      <c r="A3" s="101"/>
      <c r="B3" s="200"/>
      <c r="C3" s="171"/>
      <c r="D3" s="171"/>
      <c r="E3" s="171"/>
      <c r="F3" s="171"/>
      <c r="G3" s="140" t="s">
        <v>169</v>
      </c>
      <c r="H3" s="140" t="s">
        <v>169</v>
      </c>
      <c r="I3" s="117"/>
      <c r="J3" s="117"/>
      <c r="K3" s="117"/>
      <c r="L3" s="117"/>
    </row>
    <row r="4" spans="1:12" x14ac:dyDescent="0.25">
      <c r="A4" s="101"/>
      <c r="B4" s="204"/>
      <c r="C4" s="118" t="s">
        <v>45</v>
      </c>
      <c r="D4" s="118" t="s">
        <v>44</v>
      </c>
      <c r="E4" s="118" t="s">
        <v>43</v>
      </c>
      <c r="F4" s="118" t="s">
        <v>42</v>
      </c>
      <c r="G4" s="142" t="s">
        <v>170</v>
      </c>
      <c r="H4" s="142" t="s">
        <v>170</v>
      </c>
      <c r="I4" s="117"/>
      <c r="J4" s="117"/>
      <c r="K4" s="117"/>
      <c r="L4" s="117"/>
    </row>
    <row r="5" spans="1:12" x14ac:dyDescent="0.25">
      <c r="A5" s="101"/>
      <c r="B5" s="138"/>
      <c r="C5" s="118">
        <v>1</v>
      </c>
      <c r="D5" s="137">
        <v>1.1499999999999999</v>
      </c>
      <c r="E5" s="135">
        <v>0.2</v>
      </c>
      <c r="F5" s="136">
        <v>1.38</v>
      </c>
      <c r="G5" s="136"/>
      <c r="H5" s="136">
        <v>91.08</v>
      </c>
      <c r="I5" s="117"/>
      <c r="J5" s="117"/>
      <c r="K5" s="117"/>
      <c r="L5" s="117"/>
    </row>
    <row r="6" spans="1:12" x14ac:dyDescent="0.25">
      <c r="A6" s="101"/>
      <c r="B6" s="138"/>
      <c r="C6" s="118">
        <v>1</v>
      </c>
      <c r="D6" s="137">
        <v>0.80259999999999998</v>
      </c>
      <c r="E6" s="135">
        <v>0.2</v>
      </c>
      <c r="F6" s="136">
        <v>0.96311999999999998</v>
      </c>
      <c r="G6" s="143">
        <v>63.565919999999998</v>
      </c>
      <c r="H6" s="136"/>
      <c r="I6" s="117"/>
      <c r="J6" s="117"/>
      <c r="K6" s="117"/>
      <c r="L6" s="117"/>
    </row>
    <row r="7" spans="1:12" x14ac:dyDescent="0.25">
      <c r="A7" s="101"/>
      <c r="B7" s="138"/>
      <c r="C7" s="118">
        <v>1</v>
      </c>
      <c r="D7" s="137">
        <v>0.80259999999999998</v>
      </c>
      <c r="E7" s="135">
        <v>0.2</v>
      </c>
      <c r="F7" s="136">
        <v>0.96311999999999998</v>
      </c>
      <c r="G7" s="143"/>
      <c r="H7" s="136"/>
      <c r="I7" s="117"/>
      <c r="J7" s="203"/>
      <c r="K7" s="203"/>
      <c r="L7" s="203"/>
    </row>
    <row r="8" spans="1:12" x14ac:dyDescent="0.25">
      <c r="A8" s="101"/>
      <c r="B8" s="138"/>
      <c r="C8" s="118">
        <v>1</v>
      </c>
      <c r="D8" s="137">
        <v>2.4216000000000002</v>
      </c>
      <c r="E8" s="135">
        <v>0.2</v>
      </c>
      <c r="F8" s="136">
        <v>2.9059200000000001</v>
      </c>
      <c r="G8" s="143"/>
      <c r="H8" s="118"/>
      <c r="I8" s="117"/>
      <c r="J8" s="203"/>
      <c r="K8" s="203"/>
      <c r="L8" s="203"/>
    </row>
    <row r="9" spans="1:12" x14ac:dyDescent="0.25">
      <c r="A9" s="101"/>
      <c r="B9" s="138"/>
      <c r="C9" s="118">
        <v>1</v>
      </c>
      <c r="D9" s="137">
        <v>2.4216000000000002</v>
      </c>
      <c r="E9" s="135">
        <v>0.2</v>
      </c>
      <c r="F9" s="136">
        <v>2.9059200000000001</v>
      </c>
      <c r="G9" s="143"/>
      <c r="H9" s="118"/>
      <c r="I9" s="117"/>
      <c r="J9" s="117"/>
      <c r="K9" s="117"/>
      <c r="L9" s="117"/>
    </row>
    <row r="10" spans="1:12" x14ac:dyDescent="0.25">
      <c r="A10" s="101"/>
      <c r="B10" s="138"/>
      <c r="C10" s="118">
        <v>1</v>
      </c>
      <c r="D10" s="137">
        <v>2.4216000000000002</v>
      </c>
      <c r="E10" s="135">
        <v>0.2</v>
      </c>
      <c r="F10" s="136">
        <v>2.9059200000000001</v>
      </c>
      <c r="G10" s="143">
        <v>5.8118400000000001</v>
      </c>
      <c r="H10" s="143">
        <v>5.8118400000000001</v>
      </c>
      <c r="I10" s="117"/>
      <c r="J10" s="117"/>
      <c r="K10" s="117"/>
      <c r="L10" s="117"/>
    </row>
    <row r="11" spans="1:12" x14ac:dyDescent="0.25">
      <c r="A11" s="101"/>
      <c r="B11" s="138"/>
      <c r="C11" s="118">
        <v>1</v>
      </c>
      <c r="D11" s="137">
        <v>2.4216000000000002</v>
      </c>
      <c r="E11" s="135">
        <v>0.2</v>
      </c>
      <c r="F11" s="136">
        <v>2.9059200000000001</v>
      </c>
      <c r="G11" s="143"/>
      <c r="H11" s="118"/>
      <c r="I11" s="117"/>
      <c r="J11" s="117"/>
      <c r="K11" s="117"/>
      <c r="L11" s="117"/>
    </row>
    <row r="12" spans="1:12" x14ac:dyDescent="0.25">
      <c r="A12" s="101"/>
      <c r="B12" s="138"/>
      <c r="C12" s="118">
        <v>1</v>
      </c>
      <c r="D12" s="137">
        <v>9.3506</v>
      </c>
      <c r="E12" s="135">
        <v>0.2</v>
      </c>
      <c r="F12" s="136">
        <v>11.22072</v>
      </c>
      <c r="G12" s="143">
        <v>11.22072</v>
      </c>
      <c r="H12" s="143">
        <v>11.22072</v>
      </c>
      <c r="I12" s="117"/>
      <c r="J12" s="117"/>
      <c r="K12" s="117"/>
      <c r="L12" s="117"/>
    </row>
    <row r="13" spans="1:12" x14ac:dyDescent="0.25">
      <c r="A13" s="101"/>
      <c r="B13" s="138"/>
      <c r="C13" s="118">
        <v>1</v>
      </c>
      <c r="D13" s="137">
        <v>9.3506</v>
      </c>
      <c r="E13" s="135">
        <v>0.2</v>
      </c>
      <c r="F13" s="136">
        <v>11.22072</v>
      </c>
      <c r="G13" s="143">
        <v>11.22072</v>
      </c>
      <c r="H13" s="143">
        <v>11.22072</v>
      </c>
      <c r="I13" s="117"/>
      <c r="J13" s="117"/>
      <c r="K13" s="117"/>
      <c r="L13" s="117"/>
    </row>
    <row r="14" spans="1:12" x14ac:dyDescent="0.25">
      <c r="A14" s="101"/>
      <c r="B14" s="138"/>
      <c r="C14" s="118">
        <v>1</v>
      </c>
      <c r="D14" s="137">
        <v>9.3506</v>
      </c>
      <c r="E14" s="135">
        <v>0.2</v>
      </c>
      <c r="F14" s="136">
        <v>11.22072</v>
      </c>
      <c r="G14" s="143"/>
      <c r="H14" s="143"/>
      <c r="I14" s="117"/>
      <c r="J14" s="117"/>
      <c r="K14" s="117"/>
      <c r="L14" s="117"/>
    </row>
    <row r="15" spans="1:12" x14ac:dyDescent="0.25">
      <c r="A15" s="101"/>
      <c r="B15" s="126"/>
      <c r="C15" s="120">
        <v>1</v>
      </c>
      <c r="D15" s="128">
        <v>550.58000000000004</v>
      </c>
      <c r="E15" s="135">
        <v>0.2</v>
      </c>
      <c r="F15" s="119">
        <v>12.269192200557104</v>
      </c>
      <c r="G15" s="143">
        <v>12.269192200557104</v>
      </c>
      <c r="H15" s="143">
        <v>12.269192200557104</v>
      </c>
      <c r="I15" s="117"/>
      <c r="J15" s="117"/>
      <c r="K15" s="117"/>
      <c r="L15" s="117"/>
    </row>
    <row r="16" spans="1:12" x14ac:dyDescent="0.25">
      <c r="A16" s="101"/>
      <c r="B16" s="126"/>
      <c r="C16" s="120">
        <v>1</v>
      </c>
      <c r="D16" s="128">
        <v>2.8618999999999999</v>
      </c>
      <c r="E16" s="135">
        <v>0.2</v>
      </c>
      <c r="F16" s="119">
        <v>3.4342799999999998</v>
      </c>
      <c r="G16" s="143"/>
      <c r="H16" s="118"/>
      <c r="I16" s="117"/>
      <c r="J16" s="117"/>
      <c r="K16" s="117"/>
      <c r="L16" s="117"/>
    </row>
    <row r="17" spans="1:12" x14ac:dyDescent="0.25">
      <c r="A17" s="101"/>
      <c r="B17" s="126"/>
      <c r="C17" s="120">
        <v>1</v>
      </c>
      <c r="D17" s="128">
        <v>4.3295000000000003</v>
      </c>
      <c r="E17" s="135">
        <v>0.2</v>
      </c>
      <c r="F17" s="119">
        <v>5.1954000000000002</v>
      </c>
      <c r="G17" s="143"/>
      <c r="H17" s="118"/>
      <c r="I17" s="117"/>
      <c r="J17" s="101"/>
      <c r="K17" s="101"/>
      <c r="L17" s="101"/>
    </row>
    <row r="18" spans="1:12" x14ac:dyDescent="0.25">
      <c r="A18" s="101"/>
      <c r="B18" s="126"/>
      <c r="C18" s="120">
        <v>1</v>
      </c>
      <c r="D18" s="128">
        <v>7.49</v>
      </c>
      <c r="E18" s="135">
        <v>0.2</v>
      </c>
      <c r="F18" s="119">
        <v>8.9879999999999995</v>
      </c>
      <c r="G18" s="143"/>
      <c r="H18" s="118"/>
      <c r="I18" s="117"/>
      <c r="J18" s="101"/>
      <c r="K18" s="101"/>
      <c r="L18" s="101"/>
    </row>
    <row r="19" spans="1:12" x14ac:dyDescent="0.25">
      <c r="A19" s="101"/>
      <c r="B19" s="126"/>
      <c r="C19" s="120">
        <v>1</v>
      </c>
      <c r="D19" s="128">
        <v>9.15</v>
      </c>
      <c r="E19" s="135">
        <v>0.2</v>
      </c>
      <c r="F19" s="119">
        <v>10.98</v>
      </c>
      <c r="G19" s="143"/>
      <c r="H19" s="118"/>
      <c r="I19" s="117"/>
      <c r="J19" s="101"/>
      <c r="K19" s="101"/>
      <c r="L19" s="101"/>
    </row>
    <row r="20" spans="1:12" x14ac:dyDescent="0.25">
      <c r="A20" s="101"/>
      <c r="B20" s="126"/>
      <c r="C20" s="120">
        <v>1</v>
      </c>
      <c r="D20" s="128">
        <v>10.130000000000001</v>
      </c>
      <c r="E20" s="135">
        <v>0.2</v>
      </c>
      <c r="F20" s="119">
        <v>12.156000000000001</v>
      </c>
      <c r="G20" s="143"/>
      <c r="H20" s="118"/>
      <c r="I20" s="117"/>
      <c r="J20" s="101"/>
      <c r="K20" s="101"/>
      <c r="L20" s="101"/>
    </row>
    <row r="21" spans="1:12" x14ac:dyDescent="0.25">
      <c r="A21" s="101"/>
      <c r="B21" s="126"/>
      <c r="C21" s="120">
        <v>1</v>
      </c>
      <c r="D21" s="128">
        <v>11.58</v>
      </c>
      <c r="E21" s="135">
        <v>0.2</v>
      </c>
      <c r="F21" s="119">
        <v>13.896000000000001</v>
      </c>
      <c r="G21" s="143">
        <v>13.896000000000001</v>
      </c>
      <c r="H21" s="143">
        <v>13.896000000000001</v>
      </c>
      <c r="I21" s="117"/>
      <c r="J21" s="101"/>
      <c r="K21" s="101"/>
      <c r="L21" s="101"/>
    </row>
    <row r="22" spans="1:12" x14ac:dyDescent="0.25">
      <c r="A22" s="101"/>
      <c r="B22" s="126"/>
      <c r="C22" s="120">
        <v>1</v>
      </c>
      <c r="D22" s="128">
        <v>13.05</v>
      </c>
      <c r="E22" s="135">
        <v>0.2</v>
      </c>
      <c r="F22" s="119">
        <v>15.66</v>
      </c>
      <c r="G22" s="143">
        <v>15.66</v>
      </c>
      <c r="H22" s="143">
        <v>15.66</v>
      </c>
      <c r="I22" s="117"/>
      <c r="J22" s="101"/>
      <c r="K22" s="101"/>
      <c r="L22" s="101"/>
    </row>
    <row r="23" spans="1:12" x14ac:dyDescent="0.25">
      <c r="A23" s="101"/>
      <c r="B23" s="126"/>
      <c r="C23" s="120">
        <v>1</v>
      </c>
      <c r="D23" s="128">
        <v>15.47</v>
      </c>
      <c r="E23" s="135">
        <v>0.2</v>
      </c>
      <c r="F23" s="119">
        <v>18.564</v>
      </c>
      <c r="G23" s="143"/>
      <c r="H23" s="118"/>
      <c r="I23" s="117"/>
      <c r="J23" s="101"/>
      <c r="K23" s="101"/>
      <c r="L23" s="101"/>
    </row>
    <row r="24" spans="1:12" x14ac:dyDescent="0.25">
      <c r="A24" s="101"/>
      <c r="B24" s="134"/>
      <c r="C24" s="133"/>
      <c r="D24" s="132"/>
      <c r="E24" s="131"/>
      <c r="F24" s="130"/>
      <c r="G24" s="136">
        <v>133.64439220055709</v>
      </c>
      <c r="H24" s="136">
        <v>161.1584722005571</v>
      </c>
      <c r="I24" s="117" t="s">
        <v>171</v>
      </c>
      <c r="J24" s="101"/>
      <c r="K24" s="101"/>
      <c r="L24" s="101"/>
    </row>
    <row r="25" spans="1:12" x14ac:dyDescent="0.25">
      <c r="A25" s="101"/>
      <c r="B25" s="129"/>
      <c r="C25" s="125">
        <v>1</v>
      </c>
      <c r="D25" s="128">
        <v>35</v>
      </c>
      <c r="E25" s="127">
        <v>0.71428499999999995</v>
      </c>
      <c r="F25" s="119">
        <v>59.999974999999999</v>
      </c>
      <c r="G25" s="117"/>
      <c r="H25" s="117"/>
      <c r="I25" s="117"/>
      <c r="J25" s="101"/>
      <c r="K25" s="101"/>
      <c r="L25" s="101"/>
    </row>
    <row r="26" spans="1:12" x14ac:dyDescent="0.25">
      <c r="A26" s="101"/>
      <c r="B26" s="126"/>
      <c r="C26" s="125">
        <v>1</v>
      </c>
      <c r="D26" s="128">
        <v>52.5</v>
      </c>
      <c r="E26" s="127">
        <v>0.71428499999999995</v>
      </c>
      <c r="F26" s="119">
        <v>89.999962499999995</v>
      </c>
      <c r="G26" s="117"/>
      <c r="H26" s="117"/>
      <c r="I26" s="117"/>
      <c r="J26" s="101"/>
      <c r="K26" s="101"/>
      <c r="L26" s="101"/>
    </row>
    <row r="27" spans="1:12" x14ac:dyDescent="0.25">
      <c r="A27" s="101"/>
      <c r="B27" s="126"/>
      <c r="C27" s="125">
        <v>1</v>
      </c>
      <c r="D27" s="128">
        <v>70</v>
      </c>
      <c r="E27" s="127">
        <v>0.71428499999999995</v>
      </c>
      <c r="F27" s="119">
        <v>119.99995</v>
      </c>
      <c r="G27" s="117"/>
      <c r="H27" s="117"/>
      <c r="I27" s="117"/>
      <c r="J27" s="101"/>
      <c r="K27" s="101"/>
      <c r="L27" s="101"/>
    </row>
    <row r="28" spans="1:12" x14ac:dyDescent="0.25">
      <c r="A28" s="101"/>
      <c r="B28" s="126"/>
      <c r="C28" s="125">
        <v>1</v>
      </c>
      <c r="D28" s="124">
        <v>90</v>
      </c>
      <c r="E28" s="123">
        <v>0.38888899999999998</v>
      </c>
      <c r="F28" s="122">
        <v>125.00001</v>
      </c>
      <c r="G28" s="117"/>
      <c r="H28" s="117"/>
      <c r="I28" s="117"/>
      <c r="J28" s="101"/>
      <c r="K28" s="101"/>
      <c r="L28" s="101"/>
    </row>
    <row r="29" spans="1:12" x14ac:dyDescent="0.25">
      <c r="A29" s="101"/>
      <c r="B29" s="126"/>
      <c r="C29" s="125">
        <v>1</v>
      </c>
      <c r="D29" s="124">
        <v>180</v>
      </c>
      <c r="E29" s="123">
        <v>0.38888899999999998</v>
      </c>
      <c r="F29" s="122">
        <v>250.00002000000001</v>
      </c>
      <c r="G29" s="117"/>
      <c r="H29" s="117"/>
      <c r="I29" s="117"/>
      <c r="J29" s="101"/>
      <c r="K29" s="101"/>
      <c r="L29" s="101"/>
    </row>
    <row r="30" spans="1:12" x14ac:dyDescent="0.25">
      <c r="A30" s="101"/>
      <c r="B30" s="126"/>
      <c r="C30" s="125">
        <v>1</v>
      </c>
      <c r="D30" s="124">
        <v>270</v>
      </c>
      <c r="E30" s="123">
        <v>0.38888899999999998</v>
      </c>
      <c r="F30" s="122">
        <v>375.00002999999998</v>
      </c>
      <c r="G30" s="117"/>
      <c r="H30" s="117"/>
      <c r="I30" s="117"/>
      <c r="J30" s="101"/>
      <c r="K30" s="101"/>
      <c r="L30" s="101"/>
    </row>
    <row r="31" spans="1:12" x14ac:dyDescent="0.25">
      <c r="A31" s="101"/>
      <c r="B31" s="101"/>
      <c r="C31" s="101"/>
      <c r="D31" s="101"/>
      <c r="E31" s="101"/>
      <c r="F31" s="101"/>
      <c r="G31" s="101"/>
      <c r="H31" s="101"/>
      <c r="I31" s="101"/>
      <c r="J31" s="101"/>
      <c r="K31" s="101"/>
      <c r="L31" s="101"/>
    </row>
    <row r="32" spans="1:12" x14ac:dyDescent="0.25">
      <c r="A32" s="101"/>
      <c r="B32" s="101"/>
      <c r="C32" s="101"/>
      <c r="D32" s="101"/>
      <c r="E32" s="101"/>
      <c r="F32" s="101"/>
      <c r="G32" s="101"/>
      <c r="H32" s="101"/>
      <c r="I32" s="101"/>
      <c r="J32" s="101"/>
      <c r="K32" s="101"/>
      <c r="L32" s="101"/>
    </row>
    <row r="33" spans="1:12" x14ac:dyDescent="0.25">
      <c r="A33" s="101"/>
      <c r="B33" s="101"/>
      <c r="C33" s="121"/>
      <c r="D33" s="121"/>
      <c r="E33" s="101"/>
      <c r="F33" s="101"/>
      <c r="G33" s="101"/>
      <c r="H33" s="101"/>
      <c r="I33" s="101"/>
      <c r="J33" s="101"/>
      <c r="K33" s="101"/>
      <c r="L33" s="101"/>
    </row>
    <row r="34" spans="1:12" x14ac:dyDescent="0.25">
      <c r="A34" s="101"/>
      <c r="B34" s="101"/>
      <c r="C34" s="121"/>
      <c r="D34" s="121"/>
      <c r="E34" s="101"/>
      <c r="F34" s="101"/>
      <c r="G34" s="101"/>
      <c r="H34" s="101"/>
      <c r="I34" s="101"/>
      <c r="J34" s="101"/>
      <c r="K34" s="101"/>
      <c r="L34" s="101"/>
    </row>
    <row r="35" spans="1:12" x14ac:dyDescent="0.25">
      <c r="A35" s="101"/>
      <c r="B35" s="101"/>
      <c r="C35" s="121"/>
      <c r="D35" s="121"/>
      <c r="E35" s="101"/>
      <c r="F35" s="101"/>
      <c r="G35" s="101"/>
      <c r="H35" s="101"/>
      <c r="I35" s="101"/>
      <c r="J35" s="101"/>
      <c r="K35" s="101"/>
      <c r="L35" s="101"/>
    </row>
    <row r="36" spans="1:12" x14ac:dyDescent="0.25">
      <c r="A36" s="101"/>
      <c r="B36" s="101"/>
      <c r="C36" s="121"/>
      <c r="D36" s="121"/>
      <c r="E36" s="101"/>
      <c r="F36" s="101"/>
      <c r="G36" s="101"/>
      <c r="H36" s="101"/>
      <c r="I36" s="101"/>
      <c r="J36" s="101"/>
      <c r="K36" s="101"/>
      <c r="L36" s="101"/>
    </row>
    <row r="37" spans="1:12" x14ac:dyDescent="0.25">
      <c r="A37" s="101"/>
      <c r="B37" s="101"/>
      <c r="C37" s="121"/>
      <c r="D37" s="121"/>
      <c r="E37" s="101"/>
      <c r="F37" s="101"/>
      <c r="G37" s="101"/>
      <c r="H37" s="101"/>
      <c r="I37" s="101"/>
      <c r="J37" s="101"/>
      <c r="K37" s="101"/>
      <c r="L37" s="101"/>
    </row>
    <row r="38" spans="1:12" x14ac:dyDescent="0.25">
      <c r="A38" s="101"/>
      <c r="B38" s="101"/>
      <c r="C38" s="121"/>
      <c r="D38" s="121"/>
      <c r="E38" s="101"/>
      <c r="F38" s="101"/>
      <c r="G38" s="101"/>
      <c r="H38" s="101"/>
      <c r="I38" s="101"/>
      <c r="J38" s="101"/>
      <c r="K38" s="101"/>
      <c r="L38" s="101"/>
    </row>
    <row r="39" spans="1:12" x14ac:dyDescent="0.25">
      <c r="A39" s="101"/>
      <c r="B39" s="101"/>
      <c r="C39" s="121"/>
      <c r="D39" s="121"/>
      <c r="E39" s="101"/>
      <c r="F39" s="101"/>
      <c r="G39" s="101"/>
      <c r="H39" s="101"/>
      <c r="I39" s="101"/>
      <c r="J39" s="101"/>
      <c r="K39" s="101"/>
      <c r="L39" s="101"/>
    </row>
  </sheetData>
  <mergeCells count="5">
    <mergeCell ref="J7:L7"/>
    <mergeCell ref="J8:L8"/>
    <mergeCell ref="B2:B4"/>
    <mergeCell ref="C2:F2"/>
    <mergeCell ref="C3:F3"/>
  </mergeCells>
  <pageMargins left="0.7" right="0.7" top="0.75" bottom="0.75" header="0.3" footer="0.3"/>
  <pageSetup paperSize="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B1:H31"/>
  <sheetViews>
    <sheetView workbookViewId="0">
      <selection activeCell="B14" sqref="B14"/>
    </sheetView>
  </sheetViews>
  <sheetFormatPr defaultRowHeight="15" x14ac:dyDescent="0.25"/>
  <cols>
    <col min="2" max="2" width="36.42578125" customWidth="1"/>
    <col min="3" max="8" width="20.7109375" customWidth="1"/>
  </cols>
  <sheetData>
    <row r="1" spans="2:8" x14ac:dyDescent="0.25">
      <c r="B1" s="8" t="s">
        <v>47</v>
      </c>
    </row>
    <row r="3" spans="2:8" x14ac:dyDescent="0.25">
      <c r="B3" s="9"/>
      <c r="C3" s="205" t="s">
        <v>48</v>
      </c>
      <c r="D3" s="206"/>
      <c r="E3" s="207" t="s">
        <v>49</v>
      </c>
      <c r="F3" s="207"/>
      <c r="G3" s="207" t="s">
        <v>50</v>
      </c>
      <c r="H3" s="207"/>
    </row>
    <row r="4" spans="2:8" x14ac:dyDescent="0.25">
      <c r="B4" t="s">
        <v>51</v>
      </c>
      <c r="C4" s="10" t="s">
        <v>52</v>
      </c>
      <c r="D4" s="5" t="s">
        <v>53</v>
      </c>
      <c r="E4" s="10" t="s">
        <v>54</v>
      </c>
      <c r="F4" s="5" t="s">
        <v>55</v>
      </c>
      <c r="G4" s="10" t="s">
        <v>56</v>
      </c>
      <c r="H4" s="5" t="s">
        <v>57</v>
      </c>
    </row>
    <row r="5" spans="2:8" x14ac:dyDescent="0.25">
      <c r="B5" t="s">
        <v>58</v>
      </c>
      <c r="C5" s="11">
        <v>1</v>
      </c>
      <c r="D5" s="11">
        <v>1</v>
      </c>
      <c r="E5" s="11">
        <v>1</v>
      </c>
      <c r="F5" s="11">
        <v>1</v>
      </c>
      <c r="G5" s="11">
        <v>1</v>
      </c>
      <c r="H5" s="11">
        <v>1</v>
      </c>
    </row>
    <row r="6" spans="2:8" x14ac:dyDescent="0.25">
      <c r="B6" t="s">
        <v>59</v>
      </c>
      <c r="C6" s="11">
        <v>1</v>
      </c>
      <c r="D6" s="11">
        <v>1</v>
      </c>
      <c r="E6" s="11">
        <v>1</v>
      </c>
      <c r="F6" s="11">
        <v>1</v>
      </c>
      <c r="G6" s="11">
        <v>1</v>
      </c>
      <c r="H6" s="11">
        <v>1</v>
      </c>
    </row>
    <row r="7" spans="2:8" x14ac:dyDescent="0.25">
      <c r="B7" t="s">
        <v>60</v>
      </c>
      <c r="C7" s="11">
        <v>1</v>
      </c>
      <c r="D7" s="11">
        <v>1</v>
      </c>
      <c r="E7" s="11">
        <v>1</v>
      </c>
      <c r="F7" s="11">
        <v>1</v>
      </c>
      <c r="G7" s="11">
        <v>1</v>
      </c>
      <c r="H7" s="11">
        <v>1</v>
      </c>
    </row>
    <row r="8" spans="2:8" x14ac:dyDescent="0.25">
      <c r="B8" t="s">
        <v>61</v>
      </c>
      <c r="C8" s="11">
        <v>1</v>
      </c>
      <c r="D8" s="11">
        <v>1</v>
      </c>
      <c r="E8" s="11">
        <v>1</v>
      </c>
      <c r="F8" s="11">
        <v>1</v>
      </c>
      <c r="G8" s="11">
        <v>1</v>
      </c>
      <c r="H8" s="11">
        <v>1</v>
      </c>
    </row>
    <row r="9" spans="2:8" x14ac:dyDescent="0.25">
      <c r="B9" t="s">
        <v>62</v>
      </c>
      <c r="C9" s="11">
        <v>1</v>
      </c>
      <c r="D9" s="11">
        <v>1</v>
      </c>
      <c r="E9" s="11">
        <v>1</v>
      </c>
      <c r="F9" s="11">
        <v>1</v>
      </c>
      <c r="G9" s="11">
        <v>1</v>
      </c>
      <c r="H9" s="11">
        <v>1</v>
      </c>
    </row>
    <row r="10" spans="2:8" x14ac:dyDescent="0.25">
      <c r="B10" t="s">
        <v>63</v>
      </c>
      <c r="C10" s="11">
        <v>1</v>
      </c>
      <c r="D10" s="11">
        <v>1</v>
      </c>
      <c r="E10" s="11">
        <v>1</v>
      </c>
      <c r="F10" s="11">
        <v>1</v>
      </c>
      <c r="G10" s="11">
        <v>1</v>
      </c>
      <c r="H10" s="11">
        <v>1</v>
      </c>
    </row>
    <row r="12" spans="2:8" x14ac:dyDescent="0.25">
      <c r="C12" s="208"/>
      <c r="D12" s="208"/>
      <c r="E12" s="208"/>
    </row>
    <row r="13" spans="2:8" x14ac:dyDescent="0.25">
      <c r="B13" t="s">
        <v>64</v>
      </c>
      <c r="C13" t="s">
        <v>65</v>
      </c>
      <c r="D13" s="12" t="s">
        <v>66</v>
      </c>
      <c r="E13" t="s">
        <v>67</v>
      </c>
    </row>
    <row r="14" spans="2:8" x14ac:dyDescent="0.25">
      <c r="B14" s="13" t="s">
        <v>58</v>
      </c>
      <c r="C14" s="14">
        <v>1</v>
      </c>
      <c r="D14" s="11">
        <v>1</v>
      </c>
      <c r="E14" s="11">
        <v>1</v>
      </c>
    </row>
    <row r="15" spans="2:8" x14ac:dyDescent="0.25">
      <c r="B15" s="13" t="s">
        <v>58</v>
      </c>
      <c r="C15" s="14" t="s">
        <v>68</v>
      </c>
      <c r="D15" s="11">
        <v>1</v>
      </c>
      <c r="E15" s="11">
        <v>1</v>
      </c>
    </row>
    <row r="16" spans="2:8" x14ac:dyDescent="0.25">
      <c r="B16" s="13" t="s">
        <v>58</v>
      </c>
      <c r="C16" s="14" t="s">
        <v>69</v>
      </c>
      <c r="D16" s="11">
        <v>1</v>
      </c>
      <c r="E16" s="11">
        <v>1</v>
      </c>
    </row>
    <row r="17" spans="2:5" x14ac:dyDescent="0.25">
      <c r="B17" s="15" t="s">
        <v>59</v>
      </c>
      <c r="C17" s="16">
        <v>1</v>
      </c>
      <c r="D17" s="11">
        <v>1</v>
      </c>
      <c r="E17" s="11">
        <v>1</v>
      </c>
    </row>
    <row r="18" spans="2:5" x14ac:dyDescent="0.25">
      <c r="B18" s="15" t="s">
        <v>59</v>
      </c>
      <c r="C18" s="16" t="s">
        <v>68</v>
      </c>
      <c r="D18" s="11">
        <v>1</v>
      </c>
      <c r="E18" s="11">
        <v>1</v>
      </c>
    </row>
    <row r="19" spans="2:5" x14ac:dyDescent="0.25">
      <c r="B19" s="15" t="s">
        <v>59</v>
      </c>
      <c r="C19" s="16" t="s">
        <v>69</v>
      </c>
      <c r="D19" s="11">
        <v>1</v>
      </c>
      <c r="E19" s="11">
        <v>1</v>
      </c>
    </row>
    <row r="20" spans="2:5" x14ac:dyDescent="0.25">
      <c r="B20" s="17" t="s">
        <v>70</v>
      </c>
      <c r="C20" s="18">
        <v>1</v>
      </c>
      <c r="D20" s="11">
        <v>1</v>
      </c>
      <c r="E20" s="11">
        <v>1</v>
      </c>
    </row>
    <row r="21" spans="2:5" x14ac:dyDescent="0.25">
      <c r="B21" s="17" t="s">
        <v>70</v>
      </c>
      <c r="C21" s="18" t="s">
        <v>68</v>
      </c>
      <c r="D21" s="11">
        <v>1</v>
      </c>
      <c r="E21" s="11">
        <v>1</v>
      </c>
    </row>
    <row r="22" spans="2:5" x14ac:dyDescent="0.25">
      <c r="B22" s="17" t="s">
        <v>70</v>
      </c>
      <c r="C22" s="18" t="s">
        <v>69</v>
      </c>
      <c r="D22" s="11">
        <v>1</v>
      </c>
      <c r="E22" s="11">
        <v>1</v>
      </c>
    </row>
    <row r="23" spans="2:5" x14ac:dyDescent="0.25">
      <c r="B23" s="19" t="s">
        <v>61</v>
      </c>
      <c r="C23" s="20">
        <v>1</v>
      </c>
      <c r="D23" s="11">
        <v>1</v>
      </c>
      <c r="E23" s="11">
        <v>1</v>
      </c>
    </row>
    <row r="24" spans="2:5" x14ac:dyDescent="0.25">
      <c r="B24" s="19" t="s">
        <v>61</v>
      </c>
      <c r="C24" s="20" t="s">
        <v>68</v>
      </c>
      <c r="D24" s="11">
        <v>1</v>
      </c>
      <c r="E24" s="11">
        <v>1</v>
      </c>
    </row>
    <row r="25" spans="2:5" x14ac:dyDescent="0.25">
      <c r="B25" s="19" t="s">
        <v>61</v>
      </c>
      <c r="C25" s="20" t="s">
        <v>69</v>
      </c>
      <c r="D25" s="11">
        <v>1</v>
      </c>
      <c r="E25" s="11">
        <v>1</v>
      </c>
    </row>
    <row r="26" spans="2:5" x14ac:dyDescent="0.25">
      <c r="B26" s="21" t="s">
        <v>62</v>
      </c>
      <c r="C26" s="22">
        <v>1</v>
      </c>
      <c r="D26" s="11">
        <v>1</v>
      </c>
      <c r="E26" s="11">
        <v>1</v>
      </c>
    </row>
    <row r="27" spans="2:5" x14ac:dyDescent="0.25">
      <c r="B27" s="21" t="s">
        <v>62</v>
      </c>
      <c r="C27" s="22" t="s">
        <v>68</v>
      </c>
      <c r="D27" s="11">
        <v>1</v>
      </c>
      <c r="E27" s="11">
        <v>1</v>
      </c>
    </row>
    <row r="28" spans="2:5" x14ac:dyDescent="0.25">
      <c r="B28" s="21" t="s">
        <v>62</v>
      </c>
      <c r="C28" s="22" t="s">
        <v>69</v>
      </c>
      <c r="D28" s="11">
        <f>G9</f>
        <v>1</v>
      </c>
      <c r="E28" s="23">
        <f>H9</f>
        <v>1</v>
      </c>
    </row>
    <row r="29" spans="2:5" x14ac:dyDescent="0.25">
      <c r="B29" s="24" t="s">
        <v>71</v>
      </c>
      <c r="C29" s="25">
        <v>1</v>
      </c>
      <c r="D29" s="11">
        <f>C10</f>
        <v>1</v>
      </c>
      <c r="E29" s="26">
        <f>D10</f>
        <v>1</v>
      </c>
    </row>
    <row r="30" spans="2:5" x14ac:dyDescent="0.25">
      <c r="B30" s="24" t="s">
        <v>71</v>
      </c>
      <c r="C30" s="25" t="s">
        <v>68</v>
      </c>
      <c r="D30" s="11">
        <f>E10</f>
        <v>1</v>
      </c>
      <c r="E30" s="26">
        <f>F10</f>
        <v>1</v>
      </c>
    </row>
    <row r="31" spans="2:5" x14ac:dyDescent="0.25">
      <c r="B31" s="24" t="s">
        <v>71</v>
      </c>
      <c r="C31" s="25" t="s">
        <v>69</v>
      </c>
      <c r="D31" s="11">
        <f>G10</f>
        <v>1</v>
      </c>
      <c r="E31" s="26">
        <f>H10</f>
        <v>1</v>
      </c>
    </row>
  </sheetData>
  <mergeCells count="4">
    <mergeCell ref="C3:D3"/>
    <mergeCell ref="E3:F3"/>
    <mergeCell ref="G3:H3"/>
    <mergeCell ref="C12:E12"/>
  </mergeCells>
  <pageMargins left="0.7" right="0.7" top="0.75" bottom="0.75" header="0.3" footer="0.3"/>
  <pageSetup paperSize="5" scale="94" fitToHeight="0" orientation="landscape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C00000"/>
  </sheetPr>
  <dimension ref="A1:H51"/>
  <sheetViews>
    <sheetView view="pageLayout" zoomScaleNormal="100" workbookViewId="0">
      <selection activeCell="B2" sqref="B2:D2"/>
    </sheetView>
  </sheetViews>
  <sheetFormatPr defaultRowHeight="15" x14ac:dyDescent="0.25"/>
  <cols>
    <col min="1" max="1" width="14.140625" customWidth="1"/>
    <col min="2" max="2" width="8.85546875" customWidth="1"/>
    <col min="3" max="3" width="6.42578125" customWidth="1"/>
    <col min="4" max="4" width="15.28515625" customWidth="1"/>
    <col min="5" max="5" width="11" customWidth="1"/>
    <col min="6" max="6" width="11.42578125" customWidth="1"/>
    <col min="7" max="7" width="11.28515625" customWidth="1"/>
  </cols>
  <sheetData>
    <row r="1" spans="1:8" x14ac:dyDescent="0.25">
      <c r="A1" s="46" t="s">
        <v>111</v>
      </c>
      <c r="B1" s="240" t="str">
        <f ca="1">REPLACE(CELL("FILENAME",B1),1,SEARCH("]",CELL("FILENAME",B1)),"")</f>
        <v>tickets</v>
      </c>
      <c r="C1" s="240"/>
      <c r="D1" s="241"/>
    </row>
    <row r="2" spans="1:8" x14ac:dyDescent="0.25">
      <c r="A2" s="36" t="s">
        <v>112</v>
      </c>
      <c r="B2" s="242" t="str">
        <f ca="1">INDEX(MasterTable[Ins],(_xlfn.AGGREGATE(15,6,(ROW(MasterTable[Ins])-ROW(MasterTable[#Headers]))/(MasterTable[[Ticket]:[Ticket]]=$B$1),ROWS($B$2:B2))))</f>
        <v>ins</v>
      </c>
      <c r="C2" s="242"/>
      <c r="D2" s="243"/>
    </row>
    <row r="3" spans="1:8" x14ac:dyDescent="0.25">
      <c r="A3" s="47" t="s">
        <v>113</v>
      </c>
      <c r="B3" s="244">
        <f ca="1">INDEX(MasterTable[BT],(_xlfn.AGGREGATE(15,6,(ROW(MasterTable[BT])-ROW(MasterTable[#Headers]))/(MasterTable[[Ticket]:[Ticket]]=$B$1),ROWS($B$3:B3))))</f>
        <v>254</v>
      </c>
      <c r="C3" s="244"/>
      <c r="D3" s="245"/>
      <c r="E3" s="45"/>
      <c r="F3" s="45"/>
    </row>
    <row r="4" spans="1:8" ht="15.75" thickBot="1" x14ac:dyDescent="0.3">
      <c r="A4" s="37" t="s">
        <v>114</v>
      </c>
      <c r="B4" s="246" t="str">
        <f ca="1">INDEX(MasterTable[NOM CONTACT],(_xlfn.AGGREGATE(15,6,(ROW(MasterTable[NOM CONTACT])-ROW(MasterTable[#Headers]))/(MasterTable[[Ticket]:[Ticket]]=$B$1),ROWS($B$4:B4))))</f>
        <v>contact</v>
      </c>
      <c r="C4" s="246"/>
      <c r="D4" s="247"/>
    </row>
    <row r="5" spans="1:8" ht="11.25" customHeight="1" thickBot="1" x14ac:dyDescent="0.3"/>
    <row r="6" spans="1:8" ht="27.75" customHeight="1" x14ac:dyDescent="0.25">
      <c r="A6" s="251" t="s">
        <v>146</v>
      </c>
      <c r="B6" s="252"/>
      <c r="C6" s="253"/>
      <c r="D6" s="55" t="s">
        <v>147</v>
      </c>
      <c r="E6" s="56" t="s">
        <v>148</v>
      </c>
      <c r="F6" s="54" t="s">
        <v>149</v>
      </c>
      <c r="G6" s="86" t="s">
        <v>153</v>
      </c>
      <c r="H6" s="87" t="s">
        <v>154</v>
      </c>
    </row>
    <row r="7" spans="1:8" ht="11.25" customHeight="1" thickBot="1" x14ac:dyDescent="0.3">
      <c r="A7" s="52"/>
      <c r="B7" s="53"/>
      <c r="C7" s="53"/>
      <c r="D7" s="53"/>
      <c r="E7" s="53"/>
      <c r="F7" s="53" t="s">
        <v>41</v>
      </c>
      <c r="G7" s="53" t="s">
        <v>155</v>
      </c>
      <c r="H7" s="88"/>
    </row>
    <row r="8" spans="1:8" ht="17.25" customHeight="1" x14ac:dyDescent="0.25">
      <c r="A8" s="214" t="s">
        <v>151</v>
      </c>
      <c r="B8" s="215"/>
      <c r="C8" s="216"/>
      <c r="D8" s="57" t="s">
        <v>25</v>
      </c>
      <c r="E8" s="38" t="s">
        <v>3</v>
      </c>
      <c r="F8" s="75">
        <f ca="1">INDEX(MasterTable[1er],(_xlfn.AGGREGATE(15,6,(ROW(MasterTable[1er])-ROW(MasterTable[#Headers]))/(MasterTable[[Ticket]:[Ticket]]=$B$1),ROWS(F8:F8))))</f>
        <v>0.1</v>
      </c>
      <c r="G8" s="93">
        <f>RESUMÉ!E14</f>
        <v>1</v>
      </c>
      <c r="H8" s="89"/>
    </row>
    <row r="9" spans="1:8" x14ac:dyDescent="0.25">
      <c r="A9" s="217" t="s">
        <v>151</v>
      </c>
      <c r="B9" s="218"/>
      <c r="C9" s="219"/>
      <c r="D9" s="60" t="s">
        <v>25</v>
      </c>
      <c r="E9" s="39" t="s">
        <v>2</v>
      </c>
      <c r="F9" s="76">
        <f ca="1">INDEX(MasterTable[2 à 5],(_xlfn.AGGREGATE(15,6,(ROW(MasterTable[2 à 5])-ROW(MasterTable[#Headers]))/(MasterTable[[Ticket]:[Ticket]]=$B$1),ROWS(F9:F9))))</f>
        <v>1.1000000000000001</v>
      </c>
      <c r="G9" s="92">
        <f>RESUMÉ!E15</f>
        <v>1</v>
      </c>
      <c r="H9" s="84"/>
    </row>
    <row r="10" spans="1:8" ht="16.5" customHeight="1" x14ac:dyDescent="0.25">
      <c r="A10" s="217" t="s">
        <v>151</v>
      </c>
      <c r="B10" s="218"/>
      <c r="C10" s="219"/>
      <c r="D10" s="58" t="s">
        <v>25</v>
      </c>
      <c r="E10" s="63" t="s">
        <v>1</v>
      </c>
      <c r="F10" s="77">
        <f ca="1">INDEX(MasterTable[6 à 10],(_xlfn.AGGREGATE(15,6,(ROW(MasterTable[6 à 10])-ROW(MasterTable[#Headers]))/(MasterTable[[Ticket]:[Ticket]]=$B$1),ROWS(F10:F10))))</f>
        <v>2.1</v>
      </c>
      <c r="G10" s="92">
        <f>RESUMÉ!E16</f>
        <v>1</v>
      </c>
      <c r="H10" s="84"/>
    </row>
    <row r="11" spans="1:8" ht="12.75" customHeight="1" x14ac:dyDescent="0.25">
      <c r="A11" s="234" t="s">
        <v>151</v>
      </c>
      <c r="B11" s="235"/>
      <c r="C11" s="236"/>
      <c r="D11" s="70" t="s">
        <v>24</v>
      </c>
      <c r="E11" s="39" t="s">
        <v>90</v>
      </c>
      <c r="F11" s="78">
        <f ca="1">INDEX(MasterTable[[1er ]],(_xlfn.AGGREGATE(15,6,(ROW(MasterTable[[1er ]])-ROW(MasterTable[#Headers]))/(MasterTable[[Ticket]:[Ticket]]=$B$1),ROWS(F11:F11))))</f>
        <v>3.1</v>
      </c>
      <c r="G11" s="92">
        <f>RESUMÉ!E17</f>
        <v>1</v>
      </c>
      <c r="H11" s="84"/>
    </row>
    <row r="12" spans="1:8" x14ac:dyDescent="0.25">
      <c r="A12" s="211" t="s">
        <v>151</v>
      </c>
      <c r="B12" s="212"/>
      <c r="C12" s="213"/>
      <c r="D12" s="61" t="s">
        <v>24</v>
      </c>
      <c r="E12" s="39" t="s">
        <v>91</v>
      </c>
      <c r="F12" s="76">
        <f ca="1">INDEX(MasterTable[[2 à 5 ]],(_xlfn.AGGREGATE(15,6,(ROW(MasterTable[[2 à 5 ]])-ROW(MasterTable[#Headers]))/(MasterTable[[Ticket]:[Ticket]]=$B$1),ROWS(F12:F12))))</f>
        <v>4.0999999999999996</v>
      </c>
      <c r="G12" s="92">
        <f>RESUMÉ!E18</f>
        <v>1</v>
      </c>
      <c r="H12" s="84"/>
    </row>
    <row r="13" spans="1:8" ht="15.75" thickBot="1" x14ac:dyDescent="0.3">
      <c r="A13" s="214" t="s">
        <v>151</v>
      </c>
      <c r="B13" s="215"/>
      <c r="C13" s="216"/>
      <c r="D13" s="61" t="s">
        <v>24</v>
      </c>
      <c r="E13" s="63" t="s">
        <v>92</v>
      </c>
      <c r="F13" s="77">
        <f ca="1">INDEX(MasterTable[[6 à 10 ]],(_xlfn.AGGREGATE(15,6,(ROW(MasterTable[[6 à 10 ]])-ROW(MasterTable[#Headers]))/(MasterTable[[Ticket]:[Ticket]]=$B$1),ROWS(F13:F13))))</f>
        <v>5.0999999999999996</v>
      </c>
      <c r="G13" s="92">
        <f>RESUMÉ!E19</f>
        <v>1</v>
      </c>
      <c r="H13" s="90"/>
    </row>
    <row r="14" spans="1:8" ht="15" customHeight="1" thickTop="1" x14ac:dyDescent="0.25">
      <c r="A14" s="259" t="s">
        <v>152</v>
      </c>
      <c r="B14" s="260"/>
      <c r="C14" s="261"/>
      <c r="D14" s="72" t="s">
        <v>25</v>
      </c>
      <c r="E14" s="64" t="s">
        <v>93</v>
      </c>
      <c r="F14" s="79">
        <f ca="1">INDEX(MasterTable[[1er  ]],(_xlfn.AGGREGATE(15,6,(ROW(MasterTable[[1er  ]])-ROW(MasterTable[#Headers]))/(MasterTable[[Ticket]:[Ticket]]=$B$1),ROWS(F14:F14))))</f>
        <v>6.1</v>
      </c>
      <c r="G14" s="92">
        <f>RESUMÉ!E20</f>
        <v>1</v>
      </c>
      <c r="H14" s="91"/>
    </row>
    <row r="15" spans="1:8" x14ac:dyDescent="0.25">
      <c r="A15" s="211" t="s">
        <v>152</v>
      </c>
      <c r="B15" s="212"/>
      <c r="C15" s="213"/>
      <c r="D15" s="62" t="s">
        <v>25</v>
      </c>
      <c r="E15" s="39" t="s">
        <v>94</v>
      </c>
      <c r="F15" s="76">
        <f ca="1">INDEX(MasterTable[[2 à 5  ]],(_xlfn.AGGREGATE(15,6,(ROW(MasterTable[[2 à 5  ]])-ROW(MasterTable[#Headers]))/(MasterTable[[Ticket]:[Ticket]]=$B$1),ROWS(F15:F15))))</f>
        <v>7.1</v>
      </c>
      <c r="G15" s="92">
        <f>RESUMÉ!E21</f>
        <v>1</v>
      </c>
      <c r="H15" s="84"/>
    </row>
    <row r="16" spans="1:8" x14ac:dyDescent="0.25">
      <c r="A16" s="217" t="s">
        <v>152</v>
      </c>
      <c r="B16" s="218"/>
      <c r="C16" s="219"/>
      <c r="D16" s="62" t="s">
        <v>25</v>
      </c>
      <c r="E16" s="63" t="s">
        <v>95</v>
      </c>
      <c r="F16" s="77">
        <f ca="1">INDEX(MasterTable[[6 à 10  ]],(_xlfn.AGGREGATE(15,6,(ROW(MasterTable[[6 à 10  ]])-ROW(MasterTable[#Headers]))/(MasterTable[[Ticket]:[Ticket]]=$B$1),ROWS(F16:F16))))</f>
        <v>8.1</v>
      </c>
      <c r="G16" s="92">
        <f>RESUMÉ!E22</f>
        <v>1</v>
      </c>
      <c r="H16" s="84"/>
    </row>
    <row r="17" spans="1:8" ht="15" customHeight="1" x14ac:dyDescent="0.25">
      <c r="A17" s="234" t="s">
        <v>152</v>
      </c>
      <c r="B17" s="235"/>
      <c r="C17" s="236"/>
      <c r="D17" s="70" t="s">
        <v>24</v>
      </c>
      <c r="E17" s="39" t="s">
        <v>96</v>
      </c>
      <c r="F17" s="78">
        <f ca="1">INDEX(MasterTable[[1er   ]],(_xlfn.AGGREGATE(15,6,(ROW(MasterTable[[1er   ]])-ROW(MasterTable[#Headers]))/(MasterTable[[Ticket]:[Ticket]]=$B$1),ROWS(F17:F17))))</f>
        <v>9.1</v>
      </c>
      <c r="G17" s="92">
        <f>RESUMÉ!E23</f>
        <v>1</v>
      </c>
      <c r="H17" s="84"/>
    </row>
    <row r="18" spans="1:8" x14ac:dyDescent="0.25">
      <c r="A18" s="211" t="s">
        <v>152</v>
      </c>
      <c r="B18" s="212"/>
      <c r="C18" s="213"/>
      <c r="D18" s="61" t="s">
        <v>24</v>
      </c>
      <c r="E18" s="39" t="s">
        <v>97</v>
      </c>
      <c r="F18" s="76">
        <f ca="1">INDEX(MasterTable[[2 à 5   ]],(_xlfn.AGGREGATE(15,6,(ROW(MasterTable[[2 à 5   ]])-ROW(MasterTable[#Headers]))/(MasterTable[[Ticket]:[Ticket]]=$B$1),ROWS(F18:F18))))</f>
        <v>10.1</v>
      </c>
      <c r="G18" s="92">
        <f>RESUMÉ!E24</f>
        <v>1</v>
      </c>
      <c r="H18" s="84"/>
    </row>
    <row r="19" spans="1:8" ht="15.75" thickBot="1" x14ac:dyDescent="0.3">
      <c r="A19" s="211" t="s">
        <v>152</v>
      </c>
      <c r="B19" s="212"/>
      <c r="C19" s="213"/>
      <c r="D19" s="67" t="s">
        <v>24</v>
      </c>
      <c r="E19" s="68" t="s">
        <v>98</v>
      </c>
      <c r="F19" s="80">
        <f ca="1">INDEX(MasterTable[[6 à 10   ]],(_xlfn.AGGREGATE(15,6,(ROW(MasterTable[[6 à 10   ]])-ROW(MasterTable[#Headers]))/(MasterTable[[Ticket]:[Ticket]]=$B$1),ROWS(F19:F19))))</f>
        <v>11.1</v>
      </c>
      <c r="G19" s="92">
        <f>RESUMÉ!E25</f>
        <v>1</v>
      </c>
      <c r="H19" s="84"/>
    </row>
    <row r="20" spans="1:8" ht="15" customHeight="1" thickTop="1" x14ac:dyDescent="0.25">
      <c r="A20" s="256" t="s">
        <v>150</v>
      </c>
      <c r="B20" s="257"/>
      <c r="C20" s="258"/>
      <c r="D20" s="58" t="s">
        <v>25</v>
      </c>
      <c r="E20" s="69" t="s">
        <v>99</v>
      </c>
      <c r="F20" s="81">
        <f ca="1">INDEX(MasterTable[[1er    ]],(_xlfn.AGGREGATE(15,6,(ROW(MasterTable[[1er    ]])-ROW(MasterTable[#Headers]))/(MasterTable[[Ticket]:[Ticket]]=$B$1),ROWS(F20:F20))))</f>
        <v>12.1</v>
      </c>
      <c r="G20" s="92">
        <f>RESUMÉ!E26</f>
        <v>1</v>
      </c>
      <c r="H20" s="84"/>
    </row>
    <row r="21" spans="1:8" x14ac:dyDescent="0.25">
      <c r="A21" s="225" t="s">
        <v>150</v>
      </c>
      <c r="B21" s="226"/>
      <c r="C21" s="227"/>
      <c r="D21" s="61" t="s">
        <v>25</v>
      </c>
      <c r="E21" s="39" t="s">
        <v>100</v>
      </c>
      <c r="F21" s="76">
        <f ca="1">INDEX(MasterTable[[2 à 5    ]],(_xlfn.AGGREGATE(15,6,(ROW(MasterTable[[2 à 5    ]])-ROW(MasterTable[#Headers]))/(MasterTable[[Ticket]:[Ticket]]=$B$1),ROWS(F21:F21))))</f>
        <v>13.1</v>
      </c>
      <c r="G21" s="92">
        <f>RESUMÉ!E27</f>
        <v>1</v>
      </c>
      <c r="H21" s="84"/>
    </row>
    <row r="22" spans="1:8" x14ac:dyDescent="0.25">
      <c r="A22" s="228" t="s">
        <v>150</v>
      </c>
      <c r="B22" s="229"/>
      <c r="C22" s="230"/>
      <c r="D22" s="71" t="s">
        <v>25</v>
      </c>
      <c r="E22" s="39" t="s">
        <v>104</v>
      </c>
      <c r="F22" s="82">
        <f ca="1">INDEX(MasterTable[[6 à 10    ]],(_xlfn.AGGREGATE(15,6,(ROW(MasterTable[[6 à 10    ]])-ROW(MasterTable[#Headers]))/(MasterTable[[Ticket]:[Ticket]]=$B$1),ROWS(F22:F22))))</f>
        <v>14.1</v>
      </c>
      <c r="G22" s="92">
        <f>RESUMÉ!E28</f>
        <v>1</v>
      </c>
      <c r="H22" s="84"/>
    </row>
    <row r="23" spans="1:8" ht="15" customHeight="1" x14ac:dyDescent="0.25">
      <c r="A23" s="231" t="s">
        <v>150</v>
      </c>
      <c r="B23" s="232"/>
      <c r="C23" s="233"/>
      <c r="D23" s="59" t="s">
        <v>24</v>
      </c>
      <c r="E23" s="69" t="s">
        <v>102</v>
      </c>
      <c r="F23" s="81">
        <f ca="1">INDEX(MasterTable[[1er     ]],(_xlfn.AGGREGATE(15,6,(ROW(MasterTable[[1er     ]])-ROW(MasterTable[#Headers]))/(MasterTable[[Ticket]:[Ticket]]=$B$1),ROWS(F23:F23))))</f>
        <v>15.1</v>
      </c>
      <c r="G23" s="92">
        <f>RESUMÉ!E29</f>
        <v>1</v>
      </c>
      <c r="H23" s="84"/>
    </row>
    <row r="24" spans="1:8" x14ac:dyDescent="0.25">
      <c r="A24" s="225" t="s">
        <v>150</v>
      </c>
      <c r="B24" s="226"/>
      <c r="C24" s="227"/>
      <c r="D24" s="61" t="s">
        <v>24</v>
      </c>
      <c r="E24" s="39" t="s">
        <v>103</v>
      </c>
      <c r="F24" s="76">
        <f ca="1">INDEX(MasterTable[[2 à 5     ]],(_xlfn.AGGREGATE(15,6,(ROW(MasterTable[[2 à 5     ]])-ROW(MasterTable[#Headers]))/(MasterTable[[Ticket]:[Ticket]]=$B$1),ROWS(F24:F24))))</f>
        <v>16.100000000000001</v>
      </c>
      <c r="G24" s="92">
        <f>RESUMÉ!E30</f>
        <v>1</v>
      </c>
      <c r="H24" s="84"/>
    </row>
    <row r="25" spans="1:8" ht="15.75" thickBot="1" x14ac:dyDescent="0.3">
      <c r="A25" s="222" t="s">
        <v>150</v>
      </c>
      <c r="B25" s="223"/>
      <c r="C25" s="224"/>
      <c r="D25" s="67" t="s">
        <v>24</v>
      </c>
      <c r="E25" s="68" t="s">
        <v>115</v>
      </c>
      <c r="F25" s="80">
        <f ca="1">INDEX(MasterTable[[6 à 10     ]],(_xlfn.AGGREGATE(15,6,(ROW(MasterTable[[6 à 10     ]])-ROW(MasterTable[#Headers]))/(MasterTable[[Ticket]:[Ticket]]=$B$1),ROWS(F25:F25))))</f>
        <v>17.100000000000001</v>
      </c>
      <c r="G25" s="92">
        <f>RESUMÉ!E31</f>
        <v>1</v>
      </c>
      <c r="H25" s="84"/>
    </row>
    <row r="26" spans="1:8" ht="15.75" thickTop="1" x14ac:dyDescent="0.25">
      <c r="A26" s="220" t="s">
        <v>116</v>
      </c>
      <c r="B26" s="221"/>
      <c r="C26" s="221"/>
      <c r="D26" s="65"/>
      <c r="E26" s="66" t="s">
        <v>117</v>
      </c>
      <c r="F26" s="81">
        <f ca="1">INDEX(MasterTable[Blanc ($/M)],(_xlfn.AGGREGATE(15,6,(ROW(MasterTable[Blanc ($/M)])-ROW(MasterTable[#Headers]))/(MasterTable[[Ticket]:[Ticket]]=$B$1),ROWS(F26:F26))))</f>
        <v>18.100000000000001</v>
      </c>
      <c r="G26" s="92">
        <f>RESUMÉ!E32</f>
        <v>0</v>
      </c>
      <c r="H26" s="84"/>
    </row>
    <row r="27" spans="1:8" x14ac:dyDescent="0.25">
      <c r="A27" s="209" t="s">
        <v>118</v>
      </c>
      <c r="B27" s="210"/>
      <c r="C27" s="210"/>
      <c r="D27" s="40"/>
      <c r="E27" s="41" t="s">
        <v>119</v>
      </c>
      <c r="F27" s="76">
        <f ca="1">INDEX(MasterTable[Vert ($/M)],(_xlfn.AGGREGATE(15,6,(ROW(MasterTable[Vert ($/M)])-ROW(MasterTable[#Headers]))/(MasterTable[[Ticket]:[Ticket]]=$B$1),ROWS(F27:F27))))</f>
        <v>19.100000000000001</v>
      </c>
      <c r="G27" s="92">
        <f>RESUMÉ!E33</f>
        <v>0</v>
      </c>
      <c r="H27" s="84"/>
    </row>
    <row r="28" spans="1:8" x14ac:dyDescent="0.25">
      <c r="A28" s="209" t="s">
        <v>120</v>
      </c>
      <c r="B28" s="210"/>
      <c r="C28" s="210"/>
      <c r="D28" s="40"/>
      <c r="E28" s="41" t="s">
        <v>21</v>
      </c>
      <c r="F28" s="76">
        <f ca="1">INDEX(MasterTable[Blanc],(_xlfn.AGGREGATE(15,6,(ROW(MasterTable[Blanc])-ROW(MasterTable[#Headers]))/(MasterTable[[Ticket]:[Ticket]]=$B$1),ROWS(F28:F28))))</f>
        <v>20.100000000000001</v>
      </c>
      <c r="G28" s="92">
        <f>RESUMÉ!E34</f>
        <v>0</v>
      </c>
      <c r="H28" s="84"/>
    </row>
    <row r="29" spans="1:8" x14ac:dyDescent="0.25">
      <c r="A29" s="209" t="s">
        <v>121</v>
      </c>
      <c r="B29" s="210"/>
      <c r="C29" s="210"/>
      <c r="D29" s="40"/>
      <c r="E29" s="41" t="s">
        <v>20</v>
      </c>
      <c r="F29" s="76">
        <f ca="1">INDEX(MasterTable[Noir],(_xlfn.AGGREGATE(15,6,(ROW(MasterTable[Noir])-ROW(MasterTable[#Headers]))/(MasterTable[[Ticket]:[Ticket]]=$B$1),ROWS(F29:F29))))</f>
        <v>21.1</v>
      </c>
      <c r="G29" s="92">
        <f>RESUMÉ!E35</f>
        <v>0</v>
      </c>
      <c r="H29" s="84"/>
    </row>
    <row r="30" spans="1:8" x14ac:dyDescent="0.25">
      <c r="A30" s="209" t="s">
        <v>122</v>
      </c>
      <c r="B30" s="210"/>
      <c r="C30" s="210"/>
      <c r="D30" s="40"/>
      <c r="E30" s="41" t="s">
        <v>19</v>
      </c>
      <c r="F30" s="76">
        <f ca="1">INDEX(MasterTable[Vert],(_xlfn.AGGREGATE(15,6,(ROW(MasterTable[Vert])-ROW(MasterTable[#Headers]))/(MasterTable[[Ticket]:[Ticket]]=$B$1),ROWS(F30:F30))))</f>
        <v>22.1</v>
      </c>
      <c r="G30" s="92">
        <f>RESUMÉ!E36</f>
        <v>0</v>
      </c>
      <c r="H30" s="84"/>
    </row>
    <row r="31" spans="1:8" x14ac:dyDescent="0.25">
      <c r="A31" s="209" t="s">
        <v>123</v>
      </c>
      <c r="B31" s="210"/>
      <c r="C31" s="210"/>
      <c r="D31" s="40"/>
      <c r="E31" s="41" t="s">
        <v>17</v>
      </c>
      <c r="F31" s="76">
        <f ca="1">INDEX(MasterTable[1 port],(_xlfn.AGGREGATE(15,6,(ROW(MasterTable[1 port])-ROW(MasterTable[#Headers]))/(MasterTable[[Ticket]:[Ticket]]=$B$1),ROWS(F31:F31))))</f>
        <v>23.1</v>
      </c>
      <c r="G31" s="92">
        <f>RESUMÉ!E37</f>
        <v>0</v>
      </c>
      <c r="H31" s="84"/>
    </row>
    <row r="32" spans="1:8" x14ac:dyDescent="0.25">
      <c r="A32" s="209" t="s">
        <v>124</v>
      </c>
      <c r="B32" s="210"/>
      <c r="C32" s="210"/>
      <c r="D32" s="40"/>
      <c r="E32" s="41" t="s">
        <v>16</v>
      </c>
      <c r="F32" s="76">
        <f ca="1">INDEX(MasterTable[2 port],(_xlfn.AGGREGATE(15,6,(ROW(MasterTable[2 port])-ROW(MasterTable[#Headers]))/(MasterTable[[Ticket]:[Ticket]]=$B$1),ROWS(F32:F32))))</f>
        <v>24.1</v>
      </c>
      <c r="G32" s="92">
        <f>RESUMÉ!E38</f>
        <v>0</v>
      </c>
      <c r="H32" s="84"/>
    </row>
    <row r="33" spans="1:8" x14ac:dyDescent="0.25">
      <c r="A33" s="209" t="s">
        <v>125</v>
      </c>
      <c r="B33" s="210"/>
      <c r="C33" s="210"/>
      <c r="D33" s="40"/>
      <c r="E33" s="41" t="s">
        <v>15</v>
      </c>
      <c r="F33" s="76">
        <f ca="1">INDEX(MasterTable[4 port],(_xlfn.AGGREGATE(15,6,(ROW(MasterTable[4 port])-ROW(MasterTable[#Headers]))/(MasterTable[[Ticket]:[Ticket]]=$B$1),ROWS(F33:F33))))</f>
        <v>25.1</v>
      </c>
      <c r="G33" s="92">
        <f>RESUMÉ!E39</f>
        <v>0</v>
      </c>
      <c r="H33" s="84"/>
    </row>
    <row r="34" spans="1:8" x14ac:dyDescent="0.25">
      <c r="A34" s="209" t="s">
        <v>126</v>
      </c>
      <c r="B34" s="210"/>
      <c r="C34" s="210"/>
      <c r="D34" s="40"/>
      <c r="E34" s="41" t="s">
        <v>18</v>
      </c>
      <c r="F34" s="76">
        <f ca="1">INDEX(MasterTable[6 port],(_xlfn.AGGREGATE(15,6,(ROW(MasterTable[6 port])-ROW(MasterTable[#Headers]))/(MasterTable[[Ticket]:[Ticket]]=$B$1),ROWS(F34:F34))))</f>
        <v>26.1</v>
      </c>
      <c r="G34" s="92">
        <f>RESUMÉ!E40</f>
        <v>0</v>
      </c>
      <c r="H34" s="84"/>
    </row>
    <row r="35" spans="1:8" x14ac:dyDescent="0.25">
      <c r="A35" s="209" t="s">
        <v>127</v>
      </c>
      <c r="B35" s="210"/>
      <c r="C35" s="210"/>
      <c r="D35" s="40"/>
      <c r="E35" s="41" t="s">
        <v>105</v>
      </c>
      <c r="F35" s="76">
        <f ca="1">INDEX(MasterTable[[1 port ]],(_xlfn.AGGREGATE(15,6,(ROW(MasterTable[[1 port ]])-ROW(MasterTable[#Headers]))/(MasterTable[[Ticket]:[Ticket]]=$B$1),ROWS(F35:F35))))</f>
        <v>27.1</v>
      </c>
      <c r="G35" s="92">
        <f>RESUMÉ!E41</f>
        <v>0</v>
      </c>
      <c r="H35" s="84"/>
    </row>
    <row r="36" spans="1:8" x14ac:dyDescent="0.25">
      <c r="A36" s="209" t="s">
        <v>128</v>
      </c>
      <c r="B36" s="210"/>
      <c r="C36" s="210"/>
      <c r="D36" s="40"/>
      <c r="E36" s="41" t="s">
        <v>106</v>
      </c>
      <c r="F36" s="76">
        <f ca="1">INDEX(MasterTable[[2 port ]],(_xlfn.AGGREGATE(15,6,(ROW(MasterTable[[2 port ]])-ROW(MasterTable[#Headers]))/(MasterTable[[Ticket]:[Ticket]]=$B$1),ROWS(F36:F36))))</f>
        <v>28.1</v>
      </c>
      <c r="G36" s="92">
        <f>RESUMÉ!E42</f>
        <v>0</v>
      </c>
      <c r="H36" s="84"/>
    </row>
    <row r="37" spans="1:8" x14ac:dyDescent="0.25">
      <c r="A37" s="209" t="s">
        <v>129</v>
      </c>
      <c r="B37" s="210"/>
      <c r="C37" s="210"/>
      <c r="D37" s="40"/>
      <c r="E37" s="41" t="s">
        <v>107</v>
      </c>
      <c r="F37" s="76">
        <f ca="1">INDEX(MasterTable[[4 port ]],(_xlfn.AGGREGATE(15,6,(ROW(MasterTable[[4 port ]])-ROW(MasterTable[#Headers]))/(MasterTable[[Ticket]:[Ticket]]=$B$1),ROWS(F37:F37))))</f>
        <v>29.1</v>
      </c>
      <c r="G37" s="92">
        <f>RESUMÉ!E43</f>
        <v>0</v>
      </c>
      <c r="H37" s="84"/>
    </row>
    <row r="38" spans="1:8" x14ac:dyDescent="0.25">
      <c r="A38" s="209" t="s">
        <v>130</v>
      </c>
      <c r="B38" s="210"/>
      <c r="C38" s="210"/>
      <c r="D38" s="40"/>
      <c r="E38" s="41" t="s">
        <v>14</v>
      </c>
      <c r="F38" s="76">
        <f ca="1">INDEX(MasterTable[48 port],(_xlfn.AGGREGATE(15,6,(ROW(MasterTable[48 port])-ROW(MasterTable[#Headers]))/(MasterTable[[Ticket]:[Ticket]]=$B$1),ROWS(F38:F38))))</f>
        <v>30.1</v>
      </c>
      <c r="G38" s="92">
        <f>RESUMÉ!E44</f>
        <v>0</v>
      </c>
      <c r="H38" s="84"/>
    </row>
    <row r="39" spans="1:8" x14ac:dyDescent="0.25">
      <c r="A39" s="209" t="s">
        <v>131</v>
      </c>
      <c r="B39" s="210"/>
      <c r="C39" s="210"/>
      <c r="D39" s="40"/>
      <c r="E39" s="41" t="s">
        <v>13</v>
      </c>
      <c r="F39" s="76">
        <f ca="1">INDEX(MasterTable[2''],(_xlfn.AGGREGATE(15,6,(ROW(MasterTable[2''])-ROW(MasterTable[#Headers]))/(MasterTable[[Ticket]:[Ticket]]=$B$1),ROWS(F39:F39))))</f>
        <v>31.1</v>
      </c>
      <c r="G39" s="92">
        <f>RESUMÉ!E45</f>
        <v>0</v>
      </c>
      <c r="H39" s="84"/>
    </row>
    <row r="40" spans="1:8" x14ac:dyDescent="0.25">
      <c r="A40" s="209" t="s">
        <v>132</v>
      </c>
      <c r="B40" s="210"/>
      <c r="C40" s="210"/>
      <c r="D40" s="40"/>
      <c r="E40" s="41" t="s">
        <v>12</v>
      </c>
      <c r="F40" s="76">
        <f ca="1">INDEX(MasterTable[4''],(_xlfn.AGGREGATE(15,6,(ROW(MasterTable[4''])-ROW(MasterTable[#Headers]))/(MasterTable[[Ticket]:[Ticket]]=$B$1),ROWS(F40:F40))))</f>
        <v>32.1</v>
      </c>
      <c r="G40" s="92">
        <f>RESUMÉ!E46</f>
        <v>0</v>
      </c>
      <c r="H40" s="84"/>
    </row>
    <row r="41" spans="1:8" x14ac:dyDescent="0.25">
      <c r="A41" s="209" t="s">
        <v>133</v>
      </c>
      <c r="B41" s="210"/>
      <c r="C41" s="210"/>
      <c r="D41" s="40"/>
      <c r="E41" s="41" t="s">
        <v>11</v>
      </c>
      <c r="F41" s="76">
        <f ca="1">INDEX(MasterTable[7''],(_xlfn.AGGREGATE(15,6,(ROW(MasterTable[7''])-ROW(MasterTable[#Headers]))/(MasterTable[[Ticket]:[Ticket]]=$B$1),ROWS(F41:F41))))</f>
        <v>33.1</v>
      </c>
      <c r="G41" s="92">
        <f>RESUMÉ!E47</f>
        <v>0</v>
      </c>
      <c r="H41" s="84"/>
    </row>
    <row r="42" spans="1:8" x14ac:dyDescent="0.25">
      <c r="A42" s="209" t="s">
        <v>134</v>
      </c>
      <c r="B42" s="210"/>
      <c r="C42" s="210"/>
      <c r="D42" s="40"/>
      <c r="E42" s="41" t="s">
        <v>10</v>
      </c>
      <c r="F42" s="76">
        <f ca="1">INDEX(MasterTable[10''],(_xlfn.AGGREGATE(15,6,(ROW(MasterTable[10''])-ROW(MasterTable[#Headers]))/(MasterTable[[Ticket]:[Ticket]]=$B$1),ROWS(F42:F42))))</f>
        <v>34.1</v>
      </c>
      <c r="G42" s="92">
        <f>RESUMÉ!E48</f>
        <v>0</v>
      </c>
      <c r="H42" s="84"/>
    </row>
    <row r="43" spans="1:8" x14ac:dyDescent="0.25">
      <c r="A43" s="209" t="s">
        <v>135</v>
      </c>
      <c r="B43" s="210"/>
      <c r="C43" s="210"/>
      <c r="D43" s="40"/>
      <c r="E43" s="41" t="s">
        <v>9</v>
      </c>
      <c r="F43" s="76">
        <f ca="1">INDEX(MasterTable[15''],(_xlfn.AGGREGATE(15,6,(ROW(MasterTable[15''])-ROW(MasterTable[#Headers]))/(MasterTable[[Ticket]:[Ticket]]=$B$1),ROWS(F43:F43))))</f>
        <v>35.1</v>
      </c>
      <c r="G43" s="92">
        <f>RESUMÉ!E49</f>
        <v>0</v>
      </c>
      <c r="H43" s="84"/>
    </row>
    <row r="44" spans="1:8" x14ac:dyDescent="0.25">
      <c r="A44" s="209" t="s">
        <v>136</v>
      </c>
      <c r="B44" s="210"/>
      <c r="C44" s="210"/>
      <c r="D44" s="40"/>
      <c r="E44" s="42" t="s">
        <v>8</v>
      </c>
      <c r="F44" s="76">
        <f ca="1">INDEX(MasterTable[REG],(_xlfn.AGGREGATE(15,6,(ROW(MasterTable[REG])-ROW(MasterTable[#Headers]))/(MasterTable[[Ticket]:[Ticket]]=$B$1),ROWS(F44:F44))))</f>
        <v>36.1</v>
      </c>
      <c r="G44" s="92">
        <f>RESUMÉ!E50</f>
        <v>0</v>
      </c>
      <c r="H44" s="84"/>
    </row>
    <row r="45" spans="1:8" x14ac:dyDescent="0.25">
      <c r="A45" s="209" t="s">
        <v>137</v>
      </c>
      <c r="B45" s="210"/>
      <c r="C45" s="210"/>
      <c r="D45" s="40"/>
      <c r="E45" s="42" t="s">
        <v>7</v>
      </c>
      <c r="F45" s="76">
        <f ca="1">INDEX(MasterTable[Overtime],(_xlfn.AGGREGATE(15,6,(ROW(MasterTable[Overtime])-ROW(MasterTable[#Headers]))/(MasterTable[[Ticket]:[Ticket]]=$B$1),ROWS(F45:F45))))</f>
        <v>37.1</v>
      </c>
      <c r="G45" s="92">
        <f>RESUMÉ!E51</f>
        <v>0</v>
      </c>
      <c r="H45" s="84"/>
    </row>
    <row r="46" spans="1:8" x14ac:dyDescent="0.25">
      <c r="A46" s="209" t="s">
        <v>138</v>
      </c>
      <c r="B46" s="210"/>
      <c r="C46" s="210"/>
      <c r="D46" s="40"/>
      <c r="E46" s="42" t="s">
        <v>6</v>
      </c>
      <c r="F46" s="76">
        <f ca="1">INDEX(MasterTable[Ferier],(_xlfn.AGGREGATE(15,6,(ROW(MasterTable[Ferier])-ROW(MasterTable[#Headers]))/(MasterTable[[Ticket]:[Ticket]]=$B$1),ROWS(F46:F46))))</f>
        <v>38.1</v>
      </c>
      <c r="G46" s="92">
        <f>RESUMÉ!E52</f>
        <v>0</v>
      </c>
      <c r="H46" s="84"/>
    </row>
    <row r="47" spans="1:8" x14ac:dyDescent="0.25">
      <c r="A47" s="209" t="s">
        <v>139</v>
      </c>
      <c r="B47" s="210"/>
      <c r="C47" s="210"/>
      <c r="D47" s="40"/>
      <c r="E47" s="42" t="s">
        <v>108</v>
      </c>
      <c r="F47" s="76">
        <f ca="1">INDEX(MasterTable[[REG ]],(_xlfn.AGGREGATE(15,6,(ROW(MasterTable[[REG ]])-ROW(MasterTable[#Headers]))/(MasterTable[[Ticket]:[Ticket]]=$B$1),ROWS(F47:F47))))</f>
        <v>39.1</v>
      </c>
      <c r="G47" s="92">
        <f>RESUMÉ!E53</f>
        <v>0</v>
      </c>
      <c r="H47" s="84"/>
    </row>
    <row r="48" spans="1:8" x14ac:dyDescent="0.25">
      <c r="A48" s="209" t="s">
        <v>140</v>
      </c>
      <c r="B48" s="210"/>
      <c r="C48" s="210"/>
      <c r="D48" s="40"/>
      <c r="E48" s="42" t="s">
        <v>109</v>
      </c>
      <c r="F48" s="76">
        <f ca="1">INDEX(MasterTable[[Overtime ]],(_xlfn.AGGREGATE(15,6,(ROW(MasterTable[[Overtime ]])-ROW(MasterTable[#Headers]))/(MasterTable[[Ticket]:[Ticket]]=$B$1),ROWS(F48:F48))))</f>
        <v>40.1</v>
      </c>
      <c r="G48" s="92">
        <f>RESUMÉ!E54</f>
        <v>0</v>
      </c>
      <c r="H48" s="84"/>
    </row>
    <row r="49" spans="1:8" ht="16.5" customHeight="1" x14ac:dyDescent="0.25">
      <c r="A49" s="254" t="s">
        <v>141</v>
      </c>
      <c r="B49" s="255"/>
      <c r="C49" s="255"/>
      <c r="D49" s="43"/>
      <c r="E49" s="51" t="s">
        <v>110</v>
      </c>
      <c r="F49" s="77">
        <f ca="1">INDEX(MasterTable[[Ferier ]],(_xlfn.AGGREGATE(15,6,(ROW(MasterTable[[Ferier ]])-ROW(MasterTable[#Headers]))/(MasterTable[[Ticket]:[Ticket]]=$B$1),ROWS(F49:F49))))</f>
        <v>0</v>
      </c>
      <c r="G49" s="92">
        <f>RESUMÉ!E55</f>
        <v>0</v>
      </c>
      <c r="H49" s="84"/>
    </row>
    <row r="50" spans="1:8" ht="16.5" customHeight="1" x14ac:dyDescent="0.25">
      <c r="A50" s="248" t="s">
        <v>144</v>
      </c>
      <c r="B50" s="249"/>
      <c r="C50" s="250"/>
      <c r="D50" s="43" t="s">
        <v>143</v>
      </c>
      <c r="E50" s="51" t="s">
        <v>145</v>
      </c>
      <c r="F50" s="77">
        <f ca="1">INDEX(MasterTable[Misc.],(_xlfn.AGGREGATE(15,6,(ROW(MasterTable[Misc.])-ROW(MasterTable[#Headers]))/(MasterTable[[Ticket]:[Ticket]]=$B$1),ROWS(F50:F50))))</f>
        <v>0</v>
      </c>
      <c r="G50" s="92">
        <f>RESUMÉ!E56</f>
        <v>0</v>
      </c>
      <c r="H50" s="84"/>
    </row>
    <row r="51" spans="1:8" ht="15.75" thickBot="1" x14ac:dyDescent="0.3">
      <c r="A51" s="237"/>
      <c r="B51" s="238"/>
      <c r="C51" s="238"/>
      <c r="D51" s="239"/>
      <c r="E51" s="44" t="s">
        <v>35</v>
      </c>
      <c r="F51" s="83">
        <f ca="1">INDEX(MasterTable[total ($)],(_xlfn.AGGREGATE(15,6,(ROW(MasterTable[total ($)])-ROW(MasterTable[#Headers]))/(MasterTable[[Ticket]:[Ticket]]=$B$1),ROWS(F51:F51))))</f>
        <v>29423.497975486767</v>
      </c>
      <c r="G51" s="94">
        <f>RESUMÉ!E57</f>
        <v>0</v>
      </c>
      <c r="H51" s="85"/>
    </row>
  </sheetData>
  <mergeCells count="49">
    <mergeCell ref="A18:C18"/>
    <mergeCell ref="A10:C10"/>
    <mergeCell ref="A11:C11"/>
    <mergeCell ref="A12:C12"/>
    <mergeCell ref="A14:C14"/>
    <mergeCell ref="A15:C15"/>
    <mergeCell ref="A16:C16"/>
    <mergeCell ref="A51:D51"/>
    <mergeCell ref="B1:D1"/>
    <mergeCell ref="B2:D2"/>
    <mergeCell ref="B3:D3"/>
    <mergeCell ref="B4:D4"/>
    <mergeCell ref="A50:C50"/>
    <mergeCell ref="A6:C6"/>
    <mergeCell ref="A44:C44"/>
    <mergeCell ref="A45:C45"/>
    <mergeCell ref="A46:C46"/>
    <mergeCell ref="A47:C47"/>
    <mergeCell ref="A48:C48"/>
    <mergeCell ref="A49:C49"/>
    <mergeCell ref="A38:C38"/>
    <mergeCell ref="A39:C39"/>
    <mergeCell ref="A20:C20"/>
    <mergeCell ref="A40:C40"/>
    <mergeCell ref="A41:C41"/>
    <mergeCell ref="A42:C42"/>
    <mergeCell ref="A43:C43"/>
    <mergeCell ref="A32:C32"/>
    <mergeCell ref="A33:C33"/>
    <mergeCell ref="A34:C34"/>
    <mergeCell ref="A35:C35"/>
    <mergeCell ref="A36:C36"/>
    <mergeCell ref="A37:C37"/>
    <mergeCell ref="A31:C31"/>
    <mergeCell ref="A19:C19"/>
    <mergeCell ref="A13:C13"/>
    <mergeCell ref="A8:C8"/>
    <mergeCell ref="A9:C9"/>
    <mergeCell ref="A26:C26"/>
    <mergeCell ref="A27:C27"/>
    <mergeCell ref="A28:C28"/>
    <mergeCell ref="A29:C29"/>
    <mergeCell ref="A30:C30"/>
    <mergeCell ref="A25:C25"/>
    <mergeCell ref="A21:C21"/>
    <mergeCell ref="A22:C22"/>
    <mergeCell ref="A23:C23"/>
    <mergeCell ref="A24:C24"/>
    <mergeCell ref="A17:C17"/>
  </mergeCells>
  <pageMargins left="0.25" right="0.25" top="0.22916666666666666" bottom="0.10416666666666667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H51"/>
  <sheetViews>
    <sheetView view="pageLayout" zoomScaleNormal="100" workbookViewId="0">
      <selection activeCell="B2" sqref="B2:D2"/>
    </sheetView>
  </sheetViews>
  <sheetFormatPr defaultRowHeight="15" x14ac:dyDescent="0.25"/>
  <cols>
    <col min="1" max="1" width="14.140625" style="101" customWidth="1"/>
    <col min="2" max="2" width="14.42578125" style="101" customWidth="1"/>
    <col min="3" max="3" width="6.42578125" style="101" customWidth="1"/>
    <col min="4" max="4" width="15.28515625" style="101" customWidth="1"/>
    <col min="5" max="5" width="11" style="101" customWidth="1"/>
    <col min="6" max="6" width="12.7109375" style="101" customWidth="1"/>
    <col min="7" max="7" width="11.28515625" style="101" customWidth="1"/>
    <col min="8" max="8" width="13" style="101" customWidth="1"/>
    <col min="9" max="10" width="9.140625" style="101"/>
    <col min="11" max="11" width="9.5703125" style="101" bestFit="1" customWidth="1"/>
    <col min="12" max="16384" width="9.140625" style="101"/>
  </cols>
  <sheetData>
    <row r="1" spans="1:8" x14ac:dyDescent="0.25">
      <c r="A1" s="46" t="s">
        <v>156</v>
      </c>
      <c r="B1" s="240" t="str">
        <f ca="1">REPLACE(CELL("FILENAME",B1),1,SEARCH("]",CELL("FILENAME",B1)),"")</f>
        <v>743</v>
      </c>
      <c r="C1" s="240"/>
      <c r="D1" s="241"/>
    </row>
    <row r="2" spans="1:8" x14ac:dyDescent="0.25">
      <c r="A2" s="47" t="s">
        <v>158</v>
      </c>
      <c r="B2" s="262" t="e">
        <f ca="1">INDEX(MasterTable[Ins],(_xlfn.AGGREGATE(15,6,(ROW(MasterTable[Ins])-ROW(MasterTable[#Headers]))/(MasterTable[[Ticket]:[Ticket]]=$B$1),ROWS($B$2:B2))))</f>
        <v>#NUM!</v>
      </c>
      <c r="C2" s="262"/>
      <c r="D2" s="263"/>
    </row>
    <row r="3" spans="1:8" x14ac:dyDescent="0.25">
      <c r="A3" s="47" t="s">
        <v>113</v>
      </c>
      <c r="B3" s="244" t="e">
        <f ca="1">INDEX(MasterTable[BT],(_xlfn.AGGREGATE(15,6,(ROW(MasterTable[BT])-ROW(MasterTable[#Headers]))/(MasterTable[[Ticket]:[Ticket]]=$B$1),ROWS($B$3:B3))))</f>
        <v>#NUM!</v>
      </c>
      <c r="C3" s="244"/>
      <c r="D3" s="245"/>
      <c r="E3" s="45"/>
      <c r="F3" s="45"/>
    </row>
    <row r="4" spans="1:8" ht="15.75" thickBot="1" x14ac:dyDescent="0.3">
      <c r="A4" s="37" t="s">
        <v>114</v>
      </c>
      <c r="B4" s="246" t="e">
        <f ca="1">INDEX(MasterTable[NOM CONTACT],(_xlfn.AGGREGATE(15,6,(ROW(MasterTable[NOM CONTACT])-ROW(MasterTable[#Headers]))/(MasterTable[[Ticket]:[Ticket]]=$B$1),ROWS($B$4:B4))))</f>
        <v>#NUM!</v>
      </c>
      <c r="C4" s="246"/>
      <c r="D4" s="247"/>
    </row>
    <row r="5" spans="1:8" ht="11.25" customHeight="1" thickBot="1" x14ac:dyDescent="0.3"/>
    <row r="6" spans="1:8" ht="15.75" customHeight="1" x14ac:dyDescent="0.25">
      <c r="A6" s="251" t="s">
        <v>146</v>
      </c>
      <c r="B6" s="252"/>
      <c r="C6" s="253"/>
      <c r="D6" s="55" t="s">
        <v>147</v>
      </c>
      <c r="E6" s="74" t="s">
        <v>148</v>
      </c>
      <c r="F6" s="73" t="s">
        <v>149</v>
      </c>
      <c r="G6" s="86" t="s">
        <v>153</v>
      </c>
      <c r="H6" s="87" t="s">
        <v>154</v>
      </c>
    </row>
    <row r="7" spans="1:8" ht="11.25" customHeight="1" thickBot="1" x14ac:dyDescent="0.3">
      <c r="A7" s="52"/>
      <c r="B7" s="53"/>
      <c r="C7" s="53"/>
      <c r="D7" s="53"/>
      <c r="E7" s="53"/>
      <c r="F7" s="53" t="s">
        <v>41</v>
      </c>
      <c r="G7" s="53" t="s">
        <v>155</v>
      </c>
      <c r="H7" s="53" t="s">
        <v>172</v>
      </c>
    </row>
    <row r="8" spans="1:8" ht="17.25" customHeight="1" x14ac:dyDescent="0.25">
      <c r="A8" s="214" t="s">
        <v>151</v>
      </c>
      <c r="B8" s="215"/>
      <c r="C8" s="216"/>
      <c r="D8" s="57" t="s">
        <v>25</v>
      </c>
      <c r="E8" s="38" t="s">
        <v>3</v>
      </c>
      <c r="F8" s="103" t="e">
        <f ca="1">INDEX(MasterTable[1er],(_xlfn.AGGREGATE(15,6,(ROW(MasterTable[1er])-ROW(MasterTable[#Headers]))/(MasterTable[[Ticket]:[Ticket]]=$B$1),ROWS(F8:F8))))</f>
        <v>#NUM!</v>
      </c>
      <c r="G8" s="102">
        <f>RESUMÉ!E14</f>
        <v>1</v>
      </c>
      <c r="H8" s="116" t="e">
        <f ca="1">Table656[[#This Row],[Column1]]*Table656[[#This Row],[ ]]</f>
        <v>#NUM!</v>
      </c>
    </row>
    <row r="9" spans="1:8" x14ac:dyDescent="0.25">
      <c r="A9" s="217" t="s">
        <v>151</v>
      </c>
      <c r="B9" s="218"/>
      <c r="C9" s="219"/>
      <c r="D9" s="60" t="s">
        <v>25</v>
      </c>
      <c r="E9" s="39" t="s">
        <v>2</v>
      </c>
      <c r="F9" s="104" t="e">
        <f ca="1">INDEX(MasterTable[2 à 5],(_xlfn.AGGREGATE(15,6,(ROW(MasterTable[2 à 5])-ROW(MasterTable[#Headers]))/(MasterTable[[Ticket]:[Ticket]]=$B$1),ROWS(F9:F9))))</f>
        <v>#NUM!</v>
      </c>
      <c r="G9" s="92">
        <f>RESUMÉ!E15</f>
        <v>1</v>
      </c>
      <c r="H9" s="115" t="e">
        <f ca="1">Table656[[#This Row],[Column1]]*Table656[[#This Row],[ ]]</f>
        <v>#NUM!</v>
      </c>
    </row>
    <row r="10" spans="1:8" ht="16.5" customHeight="1" x14ac:dyDescent="0.25">
      <c r="A10" s="217" t="s">
        <v>151</v>
      </c>
      <c r="B10" s="218"/>
      <c r="C10" s="219"/>
      <c r="D10" s="58" t="s">
        <v>25</v>
      </c>
      <c r="E10" s="63" t="s">
        <v>1</v>
      </c>
      <c r="F10" s="105" t="e">
        <f ca="1">INDEX(MasterTable[6 à 10],(_xlfn.AGGREGATE(15,6,(ROW(MasterTable[6 à 10])-ROW(MasterTable[#Headers]))/(MasterTable[[Ticket]:[Ticket]]=$B$1),ROWS(F10:F10))))</f>
        <v>#NUM!</v>
      </c>
      <c r="G10" s="94">
        <f>RESUMÉ!E16</f>
        <v>1</v>
      </c>
      <c r="H10" s="114" t="e">
        <f ca="1">Table656[[#This Row],[Column1]]*Table656[[#This Row],[ ]]</f>
        <v>#NUM!</v>
      </c>
    </row>
    <row r="11" spans="1:8" ht="12.75" customHeight="1" x14ac:dyDescent="0.25">
      <c r="A11" s="234" t="s">
        <v>151</v>
      </c>
      <c r="B11" s="235"/>
      <c r="C11" s="236"/>
      <c r="D11" s="70" t="s">
        <v>24</v>
      </c>
      <c r="E11" s="39" t="s">
        <v>90</v>
      </c>
      <c r="F11" s="108" t="e">
        <f ca="1">INDEX(MasterTable[[1er ]],(_xlfn.AGGREGATE(15,6,(ROW(MasterTable[[1er ]])-ROW(MasterTable[#Headers]))/(MasterTable[[Ticket]:[Ticket]]=$B$1),ROWS(F11:F11))))</f>
        <v>#NUM!</v>
      </c>
      <c r="G11" s="109">
        <f>RESUMÉ!E17</f>
        <v>1</v>
      </c>
      <c r="H11" s="113" t="e">
        <f ca="1">Table656[[#This Row],[Column1]]*Table656[[#This Row],[ ]]</f>
        <v>#NUM!</v>
      </c>
    </row>
    <row r="12" spans="1:8" x14ac:dyDescent="0.25">
      <c r="A12" s="211" t="s">
        <v>151</v>
      </c>
      <c r="B12" s="212"/>
      <c r="C12" s="213"/>
      <c r="D12" s="61" t="s">
        <v>24</v>
      </c>
      <c r="E12" s="39" t="s">
        <v>91</v>
      </c>
      <c r="F12" s="104" t="e">
        <f ca="1">INDEX(MasterTable[[2 à 5 ]],(_xlfn.AGGREGATE(15,6,(ROW(MasterTable[[2 à 5 ]])-ROW(MasterTable[#Headers]))/(MasterTable[[Ticket]:[Ticket]]=$B$1),ROWS(F12:F12))))</f>
        <v>#NUM!</v>
      </c>
      <c r="G12" s="92">
        <f>RESUMÉ!E18</f>
        <v>1</v>
      </c>
      <c r="H12" s="115" t="e">
        <f ca="1">Table656[[#This Row],[Column1]]*Table656[[#This Row],[ ]]</f>
        <v>#NUM!</v>
      </c>
    </row>
    <row r="13" spans="1:8" ht="15.75" thickBot="1" x14ac:dyDescent="0.3">
      <c r="A13" s="214" t="s">
        <v>151</v>
      </c>
      <c r="B13" s="215"/>
      <c r="C13" s="216"/>
      <c r="D13" s="61" t="s">
        <v>24</v>
      </c>
      <c r="E13" s="63" t="s">
        <v>92</v>
      </c>
      <c r="F13" s="105" t="e">
        <f ca="1">INDEX(MasterTable[[6 à 10 ]],(_xlfn.AGGREGATE(15,6,(ROW(MasterTable[[6 à 10 ]])-ROW(MasterTable[#Headers]))/(MasterTable[[Ticket]:[Ticket]]=$B$1),ROWS(F13:F13))))</f>
        <v>#NUM!</v>
      </c>
      <c r="G13" s="94">
        <f>RESUMÉ!E19</f>
        <v>1</v>
      </c>
      <c r="H13" s="114" t="e">
        <f ca="1">Table656[[#This Row],[Column1]]*Table656[[#This Row],[ ]]</f>
        <v>#NUM!</v>
      </c>
    </row>
    <row r="14" spans="1:8" ht="15" customHeight="1" thickTop="1" x14ac:dyDescent="0.25">
      <c r="A14" s="259" t="s">
        <v>152</v>
      </c>
      <c r="B14" s="260"/>
      <c r="C14" s="261"/>
      <c r="D14" s="72" t="s">
        <v>25</v>
      </c>
      <c r="E14" s="64" t="s">
        <v>93</v>
      </c>
      <c r="F14" s="106" t="e">
        <f ca="1">INDEX(MasterTable[[1er  ]],(_xlfn.AGGREGATE(15,6,(ROW(MasterTable[[1er  ]])-ROW(MasterTable[#Headers]))/(MasterTable[[Ticket]:[Ticket]]=$B$1),ROWS(F14:F14))))</f>
        <v>#NUM!</v>
      </c>
      <c r="G14" s="107">
        <f>RESUMÉ!E20</f>
        <v>1</v>
      </c>
      <c r="H14" s="112" t="e">
        <f ca="1">Table656[[#This Row],[Column1]]*Table656[[#This Row],[ ]]</f>
        <v>#NUM!</v>
      </c>
    </row>
    <row r="15" spans="1:8" x14ac:dyDescent="0.25">
      <c r="A15" s="211" t="s">
        <v>152</v>
      </c>
      <c r="B15" s="212"/>
      <c r="C15" s="213"/>
      <c r="D15" s="62" t="s">
        <v>25</v>
      </c>
      <c r="E15" s="39" t="s">
        <v>94</v>
      </c>
      <c r="F15" s="104" t="e">
        <f ca="1">INDEX(MasterTable[[2 à 5  ]],(_xlfn.AGGREGATE(15,6,(ROW(MasterTable[[2 à 5  ]])-ROW(MasterTable[#Headers]))/(MasterTable[[Ticket]:[Ticket]]=$B$1),ROWS(F15:F15))))</f>
        <v>#NUM!</v>
      </c>
      <c r="G15" s="92">
        <f>RESUMÉ!E21</f>
        <v>1</v>
      </c>
      <c r="H15" s="115" t="e">
        <f ca="1">Table656[[#This Row],[Column1]]*Table656[[#This Row],[ ]]</f>
        <v>#NUM!</v>
      </c>
    </row>
    <row r="16" spans="1:8" x14ac:dyDescent="0.25">
      <c r="A16" s="217" t="s">
        <v>152</v>
      </c>
      <c r="B16" s="218"/>
      <c r="C16" s="219"/>
      <c r="D16" s="62" t="s">
        <v>25</v>
      </c>
      <c r="E16" s="63" t="s">
        <v>95</v>
      </c>
      <c r="F16" s="105" t="e">
        <f ca="1">INDEX(MasterTable[[6 à 10  ]],(_xlfn.AGGREGATE(15,6,(ROW(MasterTable[[6 à 10  ]])-ROW(MasterTable[#Headers]))/(MasterTable[[Ticket]:[Ticket]]=$B$1),ROWS(F16:F16))))</f>
        <v>#NUM!</v>
      </c>
      <c r="G16" s="94">
        <f>RESUMÉ!E22</f>
        <v>1</v>
      </c>
      <c r="H16" s="114" t="e">
        <f ca="1">Table656[[#This Row],[Column1]]*Table656[[#This Row],[ ]]</f>
        <v>#NUM!</v>
      </c>
    </row>
    <row r="17" spans="1:8" ht="15" customHeight="1" x14ac:dyDescent="0.25">
      <c r="A17" s="234" t="s">
        <v>152</v>
      </c>
      <c r="B17" s="235"/>
      <c r="C17" s="236"/>
      <c r="D17" s="70" t="s">
        <v>24</v>
      </c>
      <c r="E17" s="39" t="s">
        <v>96</v>
      </c>
      <c r="F17" s="108" t="e">
        <f ca="1">INDEX(MasterTable[[1er   ]],(_xlfn.AGGREGATE(15,6,(ROW(MasterTable[[1er   ]])-ROW(MasterTable[#Headers]))/(MasterTable[[Ticket]:[Ticket]]=$B$1),ROWS(F17:F17))))</f>
        <v>#NUM!</v>
      </c>
      <c r="G17" s="109">
        <f>RESUMÉ!E23</f>
        <v>1</v>
      </c>
      <c r="H17" s="113" t="e">
        <f ca="1">Table656[[#This Row],[Column1]]*Table656[[#This Row],[ ]]</f>
        <v>#NUM!</v>
      </c>
    </row>
    <row r="18" spans="1:8" x14ac:dyDescent="0.25">
      <c r="A18" s="211" t="s">
        <v>152</v>
      </c>
      <c r="B18" s="212"/>
      <c r="C18" s="213"/>
      <c r="D18" s="61" t="s">
        <v>24</v>
      </c>
      <c r="E18" s="39" t="s">
        <v>97</v>
      </c>
      <c r="F18" s="104" t="e">
        <f ca="1">INDEX(MasterTable[[2 à 5   ]],(_xlfn.AGGREGATE(15,6,(ROW(MasterTable[[2 à 5   ]])-ROW(MasterTable[#Headers]))/(MasterTable[[Ticket]:[Ticket]]=$B$1),ROWS(F18:F18))))</f>
        <v>#NUM!</v>
      </c>
      <c r="G18" s="92">
        <f>RESUMÉ!E24</f>
        <v>1</v>
      </c>
      <c r="H18" s="115" t="e">
        <f ca="1">Table656[[#This Row],[Column1]]*Table656[[#This Row],[ ]]</f>
        <v>#NUM!</v>
      </c>
    </row>
    <row r="19" spans="1:8" ht="15.75" thickBot="1" x14ac:dyDescent="0.3">
      <c r="A19" s="211" t="s">
        <v>152</v>
      </c>
      <c r="B19" s="212"/>
      <c r="C19" s="213"/>
      <c r="D19" s="67" t="s">
        <v>24</v>
      </c>
      <c r="E19" s="68" t="s">
        <v>98</v>
      </c>
      <c r="F19" s="105" t="e">
        <f ca="1">INDEX(MasterTable[[6 à 10   ]],(_xlfn.AGGREGATE(15,6,(ROW(MasterTable[[6 à 10   ]])-ROW(MasterTable[#Headers]))/(MasterTable[[Ticket]:[Ticket]]=$B$1),ROWS(F19:F19))))</f>
        <v>#NUM!</v>
      </c>
      <c r="G19" s="94">
        <f>RESUMÉ!E25</f>
        <v>1</v>
      </c>
      <c r="H19" s="114" t="e">
        <f ca="1">Table656[[#This Row],[Column1]]*Table656[[#This Row],[ ]]</f>
        <v>#NUM!</v>
      </c>
    </row>
    <row r="20" spans="1:8" ht="15" customHeight="1" thickTop="1" x14ac:dyDescent="0.25">
      <c r="A20" s="256" t="s">
        <v>150</v>
      </c>
      <c r="B20" s="257"/>
      <c r="C20" s="258"/>
      <c r="D20" s="58" t="s">
        <v>25</v>
      </c>
      <c r="E20" s="69" t="s">
        <v>99</v>
      </c>
      <c r="F20" s="106" t="e">
        <f ca="1">INDEX(MasterTable[[1er    ]],(_xlfn.AGGREGATE(15,6,(ROW(MasterTable[[1er    ]])-ROW(MasterTable[#Headers]))/(MasterTable[[Ticket]:[Ticket]]=$B$1),ROWS(F20:F20))))</f>
        <v>#NUM!</v>
      </c>
      <c r="G20" s="107">
        <f>RESUMÉ!E26</f>
        <v>1</v>
      </c>
      <c r="H20" s="112" t="e">
        <f ca="1">Table656[[#This Row],[Column1]]*Table656[[#This Row],[ ]]</f>
        <v>#NUM!</v>
      </c>
    </row>
    <row r="21" spans="1:8" x14ac:dyDescent="0.25">
      <c r="A21" s="225" t="s">
        <v>150</v>
      </c>
      <c r="B21" s="226"/>
      <c r="C21" s="227"/>
      <c r="D21" s="61" t="s">
        <v>25</v>
      </c>
      <c r="E21" s="39" t="s">
        <v>100</v>
      </c>
      <c r="F21" s="104" t="e">
        <f ca="1">INDEX(MasterTable[[2 à 5    ]],(_xlfn.AGGREGATE(15,6,(ROW(MasterTable[[2 à 5    ]])-ROW(MasterTable[#Headers]))/(MasterTable[[Ticket]:[Ticket]]=$B$1),ROWS(F21:F21))))</f>
        <v>#NUM!</v>
      </c>
      <c r="G21" s="92">
        <f>RESUMÉ!E27</f>
        <v>1</v>
      </c>
      <c r="H21" s="115" t="e">
        <f ca="1">Table656[[#This Row],[Column1]]*Table656[[#This Row],[ ]]</f>
        <v>#NUM!</v>
      </c>
    </row>
    <row r="22" spans="1:8" x14ac:dyDescent="0.25">
      <c r="A22" s="228" t="s">
        <v>150</v>
      </c>
      <c r="B22" s="229"/>
      <c r="C22" s="230"/>
      <c r="D22" s="71" t="s">
        <v>25</v>
      </c>
      <c r="E22" s="39" t="s">
        <v>104</v>
      </c>
      <c r="F22" s="105" t="e">
        <f ca="1">INDEX(MasterTable[[6 à 10    ]],(_xlfn.AGGREGATE(15,6,(ROW(MasterTable[[6 à 10    ]])-ROW(MasterTable[#Headers]))/(MasterTable[[Ticket]:[Ticket]]=$B$1),ROWS(F22:F22))))</f>
        <v>#NUM!</v>
      </c>
      <c r="G22" s="94">
        <f>RESUMÉ!E28</f>
        <v>1</v>
      </c>
      <c r="H22" s="114" t="e">
        <f ca="1">Table656[[#This Row],[Column1]]*Table656[[#This Row],[ ]]</f>
        <v>#NUM!</v>
      </c>
    </row>
    <row r="23" spans="1:8" ht="15" customHeight="1" x14ac:dyDescent="0.25">
      <c r="A23" s="231" t="s">
        <v>150</v>
      </c>
      <c r="B23" s="232"/>
      <c r="C23" s="233"/>
      <c r="D23" s="59" t="s">
        <v>24</v>
      </c>
      <c r="E23" s="69" t="s">
        <v>102</v>
      </c>
      <c r="F23" s="108" t="e">
        <f ca="1">INDEX(MasterTable[[1er     ]],(_xlfn.AGGREGATE(15,6,(ROW(MasterTable[[1er     ]])-ROW(MasterTable[#Headers]))/(MasterTable[[Ticket]:[Ticket]]=$B$1),ROWS(F23:F23))))</f>
        <v>#NUM!</v>
      </c>
      <c r="G23" s="109">
        <f>RESUMÉ!E29</f>
        <v>1</v>
      </c>
      <c r="H23" s="113" t="e">
        <f ca="1">Table656[[#This Row],[Column1]]*Table656[[#This Row],[ ]]</f>
        <v>#NUM!</v>
      </c>
    </row>
    <row r="24" spans="1:8" x14ac:dyDescent="0.25">
      <c r="A24" s="225" t="s">
        <v>150</v>
      </c>
      <c r="B24" s="226"/>
      <c r="C24" s="227"/>
      <c r="D24" s="61" t="s">
        <v>24</v>
      </c>
      <c r="E24" s="39" t="s">
        <v>103</v>
      </c>
      <c r="F24" s="104" t="e">
        <f ca="1">INDEX(MasterTable[[2 à 5     ]],(_xlfn.AGGREGATE(15,6,(ROW(MasterTable[[2 à 5     ]])-ROW(MasterTable[#Headers]))/(MasterTable[[Ticket]:[Ticket]]=$B$1),ROWS(F24:F24))))</f>
        <v>#NUM!</v>
      </c>
      <c r="G24" s="92">
        <f>RESUMÉ!E30</f>
        <v>1</v>
      </c>
      <c r="H24" s="115" t="e">
        <f ca="1">Table656[[#This Row],[Column1]]*Table656[[#This Row],[ ]]</f>
        <v>#NUM!</v>
      </c>
    </row>
    <row r="25" spans="1:8" ht="15.75" thickBot="1" x14ac:dyDescent="0.3">
      <c r="A25" s="222" t="s">
        <v>150</v>
      </c>
      <c r="B25" s="223"/>
      <c r="C25" s="224"/>
      <c r="D25" s="67" t="s">
        <v>24</v>
      </c>
      <c r="E25" s="68" t="s">
        <v>115</v>
      </c>
      <c r="F25" s="105" t="e">
        <f ca="1">INDEX(MasterTable[[6 à 10     ]],(_xlfn.AGGREGATE(15,6,(ROW(MasterTable[[6 à 10     ]])-ROW(MasterTable[#Headers]))/(MasterTable[[Ticket]:[Ticket]]=$B$1),ROWS(F25:F25))))</f>
        <v>#NUM!</v>
      </c>
      <c r="G25" s="94">
        <f>RESUMÉ!E31</f>
        <v>1</v>
      </c>
      <c r="H25" s="114" t="e">
        <f ca="1">Table656[[#This Row],[Column1]]*Table656[[#This Row],[ ]]</f>
        <v>#NUM!</v>
      </c>
    </row>
    <row r="26" spans="1:8" ht="15.75" thickTop="1" x14ac:dyDescent="0.25">
      <c r="A26" s="220" t="s">
        <v>116</v>
      </c>
      <c r="B26" s="221"/>
      <c r="C26" s="221"/>
      <c r="D26" s="65"/>
      <c r="E26" s="66" t="s">
        <v>117</v>
      </c>
      <c r="F26" s="106" t="e">
        <f ca="1">INDEX(MasterTable[Blanc ($/M)],(_xlfn.AGGREGATE(15,6,(ROW(MasterTable[Blanc ($/M)])-ROW(MasterTable[#Headers]))/(MasterTable[[Ticket]:[Ticket]]=$B$1),ROWS(F26:F26))))</f>
        <v>#NUM!</v>
      </c>
      <c r="G26" s="107">
        <f>'LISTE DE PRIX'!F6</f>
        <v>0.96311999999999998</v>
      </c>
      <c r="H26" s="112" t="e">
        <f ca="1">Table656[[#This Row],[Column1]]*Table656[[#This Row],[ ]]</f>
        <v>#NUM!</v>
      </c>
    </row>
    <row r="27" spans="1:8" x14ac:dyDescent="0.25">
      <c r="A27" s="209" t="s">
        <v>118</v>
      </c>
      <c r="B27" s="210"/>
      <c r="C27" s="210"/>
      <c r="D27" s="40"/>
      <c r="E27" s="41" t="s">
        <v>119</v>
      </c>
      <c r="F27" s="104" t="e">
        <f ca="1">INDEX(MasterTable[Vert ($/M)],(_xlfn.AGGREGATE(15,6,(ROW(MasterTable[Vert ($/M)])-ROW(MasterTable[#Headers]))/(MasterTable[[Ticket]:[Ticket]]=$B$1),ROWS(F27:F27))))</f>
        <v>#NUM!</v>
      </c>
      <c r="G27" s="93">
        <f>'LISTE DE PRIX'!F7</f>
        <v>0.96311999999999998</v>
      </c>
      <c r="H27" s="115" t="e">
        <f ca="1">Table656[[#This Row],[Column1]]*Table656[[#This Row],[ ]]</f>
        <v>#NUM!</v>
      </c>
    </row>
    <row r="28" spans="1:8" x14ac:dyDescent="0.25">
      <c r="A28" s="209" t="s">
        <v>120</v>
      </c>
      <c r="B28" s="210"/>
      <c r="C28" s="210"/>
      <c r="D28" s="40"/>
      <c r="E28" s="41" t="s">
        <v>21</v>
      </c>
      <c r="F28" s="104" t="e">
        <f ca="1">INDEX(MasterTable[Blanc],(_xlfn.AGGREGATE(15,6,(ROW(MasterTable[Blanc])-ROW(MasterTable[#Headers]))/(MasterTable[[Ticket]:[Ticket]]=$B$1),ROWS(F28:F28))))</f>
        <v>#NUM!</v>
      </c>
      <c r="G28" s="92">
        <f>'LISTE DE PRIX'!F12</f>
        <v>11.22072</v>
      </c>
      <c r="H28" s="115" t="e">
        <f ca="1">Table656[[#This Row],[Column1]]*Table656[[#This Row],[ ]]</f>
        <v>#NUM!</v>
      </c>
    </row>
    <row r="29" spans="1:8" x14ac:dyDescent="0.25">
      <c r="A29" s="209" t="s">
        <v>121</v>
      </c>
      <c r="B29" s="210"/>
      <c r="C29" s="210"/>
      <c r="D29" s="40"/>
      <c r="E29" s="41" t="s">
        <v>20</v>
      </c>
      <c r="F29" s="104" t="e">
        <f ca="1">INDEX(MasterTable[Noir],(_xlfn.AGGREGATE(15,6,(ROW(MasterTable[Noir])-ROW(MasterTable[#Headers]))/(MasterTable[[Ticket]:[Ticket]]=$B$1),ROWS(F29:F29))))</f>
        <v>#NUM!</v>
      </c>
      <c r="G29" s="92">
        <f>'LISTE DE PRIX'!F13</f>
        <v>11.22072</v>
      </c>
      <c r="H29" s="115" t="e">
        <f ca="1">Table656[[#This Row],[Column1]]*Table656[[#This Row],[ ]]</f>
        <v>#NUM!</v>
      </c>
    </row>
    <row r="30" spans="1:8" x14ac:dyDescent="0.25">
      <c r="A30" s="209" t="s">
        <v>122</v>
      </c>
      <c r="B30" s="210"/>
      <c r="C30" s="210"/>
      <c r="D30" s="40"/>
      <c r="E30" s="41" t="s">
        <v>19</v>
      </c>
      <c r="F30" s="104" t="e">
        <f ca="1">INDEX(MasterTable[Vert],(_xlfn.AGGREGATE(15,6,(ROW(MasterTable[Vert])-ROW(MasterTable[#Headers]))/(MasterTable[[Ticket]:[Ticket]]=$B$1),ROWS(F30:F30))))</f>
        <v>#NUM!</v>
      </c>
      <c r="G30" s="92">
        <f>'LISTE DE PRIX'!F14</f>
        <v>11.22072</v>
      </c>
      <c r="H30" s="115" t="e">
        <f ca="1">Table656[[#This Row],[Column1]]*Table656[[#This Row],[ ]]</f>
        <v>#NUM!</v>
      </c>
    </row>
    <row r="31" spans="1:8" x14ac:dyDescent="0.25">
      <c r="A31" s="209" t="s">
        <v>123</v>
      </c>
      <c r="B31" s="210"/>
      <c r="C31" s="210"/>
      <c r="D31" s="40"/>
      <c r="E31" s="41" t="s">
        <v>17</v>
      </c>
      <c r="F31" s="104" t="e">
        <f ca="1">INDEX(MasterTable[1 port],(_xlfn.AGGREGATE(15,6,(ROW(MasterTable[1 port])-ROW(MasterTable[#Headers]))/(MasterTable[[Ticket]:[Ticket]]=$B$1),ROWS(F31:F31))))</f>
        <v>#NUM!</v>
      </c>
      <c r="G31" s="92">
        <f>'LISTE DE PRIX'!F8</f>
        <v>2.9059200000000001</v>
      </c>
      <c r="H31" s="115" t="e">
        <f ca="1">Table656[[#This Row],[Column1]]*Table656[[#This Row],[ ]]</f>
        <v>#NUM!</v>
      </c>
    </row>
    <row r="32" spans="1:8" x14ac:dyDescent="0.25">
      <c r="A32" s="209" t="s">
        <v>124</v>
      </c>
      <c r="B32" s="210"/>
      <c r="C32" s="210"/>
      <c r="D32" s="40"/>
      <c r="E32" s="41" t="s">
        <v>16</v>
      </c>
      <c r="F32" s="104" t="e">
        <f ca="1">INDEX(MasterTable[2 port],(_xlfn.AGGREGATE(15,6,(ROW(MasterTable[2 port])-ROW(MasterTable[#Headers]))/(MasterTable[[Ticket]:[Ticket]]=$B$1),ROWS(F32:F32))))</f>
        <v>#NUM!</v>
      </c>
      <c r="G32" s="92">
        <f>'LISTE DE PRIX'!F9</f>
        <v>2.9059200000000001</v>
      </c>
      <c r="H32" s="115" t="e">
        <f ca="1">Table656[[#This Row],[Column1]]*Table656[[#This Row],[ ]]</f>
        <v>#NUM!</v>
      </c>
    </row>
    <row r="33" spans="1:8" x14ac:dyDescent="0.25">
      <c r="A33" s="209" t="s">
        <v>125</v>
      </c>
      <c r="B33" s="210"/>
      <c r="C33" s="210"/>
      <c r="D33" s="40"/>
      <c r="E33" s="41" t="s">
        <v>15</v>
      </c>
      <c r="F33" s="104" t="e">
        <f ca="1">INDEX(MasterTable[4 port],(_xlfn.AGGREGATE(15,6,(ROW(MasterTable[4 port])-ROW(MasterTable[#Headers]))/(MasterTable[[Ticket]:[Ticket]]=$B$1),ROWS(F33:F33))))</f>
        <v>#NUM!</v>
      </c>
      <c r="G33" s="92">
        <f>'LISTE DE PRIX'!F10</f>
        <v>2.9059200000000001</v>
      </c>
      <c r="H33" s="115" t="e">
        <f ca="1">Table656[[#This Row],[Column1]]*Table656[[#This Row],[ ]]</f>
        <v>#NUM!</v>
      </c>
    </row>
    <row r="34" spans="1:8" x14ac:dyDescent="0.25">
      <c r="A34" s="209" t="s">
        <v>126</v>
      </c>
      <c r="B34" s="210"/>
      <c r="C34" s="210"/>
      <c r="D34" s="40"/>
      <c r="E34" s="41" t="s">
        <v>18</v>
      </c>
      <c r="F34" s="104" t="e">
        <f ca="1">INDEX(MasterTable[6 port],(_xlfn.AGGREGATE(15,6,(ROW(MasterTable[6 port])-ROW(MasterTable[#Headers]))/(MasterTable[[Ticket]:[Ticket]]=$B$1),ROWS(F34:F34))))</f>
        <v>#NUM!</v>
      </c>
      <c r="G34" s="92">
        <f>'LISTE DE PRIX'!F11</f>
        <v>2.9059200000000001</v>
      </c>
      <c r="H34" s="115" t="e">
        <f ca="1">Table656[[#This Row],[Column1]]*Table656[[#This Row],[ ]]</f>
        <v>#NUM!</v>
      </c>
    </row>
    <row r="35" spans="1:8" x14ac:dyDescent="0.25">
      <c r="A35" s="209" t="s">
        <v>127</v>
      </c>
      <c r="B35" s="210"/>
      <c r="C35" s="210"/>
      <c r="D35" s="40"/>
      <c r="E35" s="41" t="s">
        <v>105</v>
      </c>
      <c r="F35" s="104" t="e">
        <f ca="1">INDEX(MasterTable[[1 port ]],(_xlfn.AGGREGATE(15,6,(ROW(MasterTable[[1 port ]])-ROW(MasterTable[#Headers]))/(MasterTable[[Ticket]:[Ticket]]=$B$1),ROWS(F35:F35))))</f>
        <v>#NUM!</v>
      </c>
      <c r="G35" s="92">
        <f>'LISTE DE PRIX'!F16</f>
        <v>3.4342799999999998</v>
      </c>
      <c r="H35" s="115" t="e">
        <f ca="1">Table656[[#This Row],[Column1]]*Table656[[#This Row],[ ]]</f>
        <v>#NUM!</v>
      </c>
    </row>
    <row r="36" spans="1:8" x14ac:dyDescent="0.25">
      <c r="A36" s="209" t="s">
        <v>128</v>
      </c>
      <c r="B36" s="210"/>
      <c r="C36" s="210"/>
      <c r="D36" s="40"/>
      <c r="E36" s="41" t="s">
        <v>106</v>
      </c>
      <c r="F36" s="104" t="e">
        <f ca="1">INDEX(MasterTable[[2 port ]],(_xlfn.AGGREGATE(15,6,(ROW(MasterTable[[2 port ]])-ROW(MasterTable[#Headers]))/(MasterTable[[Ticket]:[Ticket]]=$B$1),ROWS(F36:F36))))</f>
        <v>#NUM!</v>
      </c>
      <c r="G36" s="92">
        <f>'LISTE DE PRIX'!F17</f>
        <v>5.1954000000000002</v>
      </c>
      <c r="H36" s="115" t="e">
        <f ca="1">Table656[[#This Row],[Column1]]*Table656[[#This Row],[ ]]</f>
        <v>#NUM!</v>
      </c>
    </row>
    <row r="37" spans="1:8" x14ac:dyDescent="0.25">
      <c r="A37" s="209" t="s">
        <v>129</v>
      </c>
      <c r="B37" s="210"/>
      <c r="C37" s="210"/>
      <c r="D37" s="40"/>
      <c r="E37" s="41" t="s">
        <v>107</v>
      </c>
      <c r="F37" s="104" t="e">
        <f ca="1">INDEX(MasterTable[[4 port ]],(_xlfn.AGGREGATE(15,6,(ROW(MasterTable[[4 port ]])-ROW(MasterTable[#Headers]))/(MasterTable[[Ticket]:[Ticket]]=$B$1),ROWS(F37:F37))))</f>
        <v>#NUM!</v>
      </c>
      <c r="G37" s="92">
        <f>'LISTE DE PRIX'!F18</f>
        <v>8.9879999999999995</v>
      </c>
      <c r="H37" s="115" t="e">
        <f ca="1">Table656[[#This Row],[Column1]]*Table656[[#This Row],[ ]]</f>
        <v>#NUM!</v>
      </c>
    </row>
    <row r="38" spans="1:8" x14ac:dyDescent="0.25">
      <c r="A38" s="209" t="s">
        <v>130</v>
      </c>
      <c r="B38" s="210"/>
      <c r="C38" s="210"/>
      <c r="D38" s="40"/>
      <c r="E38" s="41" t="s">
        <v>14</v>
      </c>
      <c r="F38" s="104" t="e">
        <f ca="1">INDEX(MasterTable[48 port],(_xlfn.AGGREGATE(15,6,(ROW(MasterTable[48 port])-ROW(MasterTable[#Headers]))/(MasterTable[[Ticket]:[Ticket]]=$B$1),ROWS(F38:F38))))</f>
        <v>#NUM!</v>
      </c>
      <c r="G38" s="92">
        <f>'LISTE DE PRIX'!F15</f>
        <v>12.269192200557104</v>
      </c>
      <c r="H38" s="115" t="e">
        <f ca="1">Table656[[#This Row],[Column1]]*Table656[[#This Row],[ ]]</f>
        <v>#NUM!</v>
      </c>
    </row>
    <row r="39" spans="1:8" x14ac:dyDescent="0.25">
      <c r="A39" s="209" t="s">
        <v>131</v>
      </c>
      <c r="B39" s="210"/>
      <c r="C39" s="210"/>
      <c r="D39" s="40"/>
      <c r="E39" s="41" t="s">
        <v>13</v>
      </c>
      <c r="F39" s="104" t="e">
        <f ca="1">INDEX(MasterTable[2''],(_xlfn.AGGREGATE(15,6,(ROW(MasterTable[2''])-ROW(MasterTable[#Headers]))/(MasterTable[[Ticket]:[Ticket]]=$B$1),ROWS(F39:F39))))</f>
        <v>#NUM!</v>
      </c>
      <c r="G39" s="92">
        <f>'LISTE DE PRIX'!F19</f>
        <v>10.98</v>
      </c>
      <c r="H39" s="115" t="e">
        <f ca="1">Table656[[#This Row],[Column1]]*Table656[[#This Row],[ ]]</f>
        <v>#NUM!</v>
      </c>
    </row>
    <row r="40" spans="1:8" x14ac:dyDescent="0.25">
      <c r="A40" s="209" t="s">
        <v>132</v>
      </c>
      <c r="B40" s="210"/>
      <c r="C40" s="210"/>
      <c r="D40" s="40"/>
      <c r="E40" s="41" t="s">
        <v>12</v>
      </c>
      <c r="F40" s="104" t="e">
        <f ca="1">INDEX(MasterTable[4''],(_xlfn.AGGREGATE(15,6,(ROW(MasterTable[4''])-ROW(MasterTable[#Headers]))/(MasterTable[[Ticket]:[Ticket]]=$B$1),ROWS(F40:F40))))</f>
        <v>#NUM!</v>
      </c>
      <c r="G40" s="92">
        <f>'LISTE DE PRIX'!F20</f>
        <v>12.156000000000001</v>
      </c>
      <c r="H40" s="115" t="e">
        <f ca="1">Table656[[#This Row],[Column1]]*Table656[[#This Row],[ ]]</f>
        <v>#NUM!</v>
      </c>
    </row>
    <row r="41" spans="1:8" x14ac:dyDescent="0.25">
      <c r="A41" s="209" t="s">
        <v>133</v>
      </c>
      <c r="B41" s="210"/>
      <c r="C41" s="210"/>
      <c r="D41" s="40"/>
      <c r="E41" s="41" t="s">
        <v>11</v>
      </c>
      <c r="F41" s="104" t="e">
        <f ca="1">INDEX(MasterTable[7''],(_xlfn.AGGREGATE(15,6,(ROW(MasterTable[7''])-ROW(MasterTable[#Headers]))/(MasterTable[[Ticket]:[Ticket]]=$B$1),ROWS(F41:F41))))</f>
        <v>#NUM!</v>
      </c>
      <c r="G41" s="92">
        <f>'LISTE DE PRIX'!F21</f>
        <v>13.896000000000001</v>
      </c>
      <c r="H41" s="115" t="e">
        <f ca="1">Table656[[#This Row],[Column1]]*Table656[[#This Row],[ ]]</f>
        <v>#NUM!</v>
      </c>
    </row>
    <row r="42" spans="1:8" x14ac:dyDescent="0.25">
      <c r="A42" s="209" t="s">
        <v>134</v>
      </c>
      <c r="B42" s="210"/>
      <c r="C42" s="210"/>
      <c r="D42" s="40"/>
      <c r="E42" s="41" t="s">
        <v>10</v>
      </c>
      <c r="F42" s="104" t="e">
        <f ca="1">INDEX(MasterTable[10''],(_xlfn.AGGREGATE(15,6,(ROW(MasterTable[10''])-ROW(MasterTable[#Headers]))/(MasterTable[[Ticket]:[Ticket]]=$B$1),ROWS(F42:F42))))</f>
        <v>#NUM!</v>
      </c>
      <c r="G42" s="92">
        <f>'LISTE DE PRIX'!F22</f>
        <v>15.66</v>
      </c>
      <c r="H42" s="115" t="e">
        <f ca="1">Table656[[#This Row],[Column1]]*Table656[[#This Row],[ ]]</f>
        <v>#NUM!</v>
      </c>
    </row>
    <row r="43" spans="1:8" x14ac:dyDescent="0.25">
      <c r="A43" s="209" t="s">
        <v>135</v>
      </c>
      <c r="B43" s="210"/>
      <c r="C43" s="210"/>
      <c r="D43" s="40"/>
      <c r="E43" s="41" t="s">
        <v>9</v>
      </c>
      <c r="F43" s="104" t="e">
        <f ca="1">INDEX(MasterTable[15''],(_xlfn.AGGREGATE(15,6,(ROW(MasterTable[15''])-ROW(MasterTable[#Headers]))/(MasterTable[[Ticket]:[Ticket]]=$B$1),ROWS(F43:F43))))</f>
        <v>#NUM!</v>
      </c>
      <c r="G43" s="92">
        <f>'LISTE DE PRIX'!F23</f>
        <v>18.564</v>
      </c>
      <c r="H43" s="115" t="e">
        <f ca="1">Table656[[#This Row],[Column1]]*Table656[[#This Row],[ ]]</f>
        <v>#NUM!</v>
      </c>
    </row>
    <row r="44" spans="1:8" x14ac:dyDescent="0.25">
      <c r="A44" s="209" t="s">
        <v>136</v>
      </c>
      <c r="B44" s="210"/>
      <c r="C44" s="210"/>
      <c r="D44" s="40"/>
      <c r="E44" s="42" t="s">
        <v>8</v>
      </c>
      <c r="F44" s="104" t="e">
        <f ca="1">INDEX(MasterTable[REG],(_xlfn.AGGREGATE(15,6,(ROW(MasterTable[REG])-ROW(MasterTable[#Headers]))/(MasterTable[[Ticket]:[Ticket]]=$B$1),ROWS(F44:F44))))</f>
        <v>#NUM!</v>
      </c>
      <c r="G44" s="92">
        <f>'LISTE DE PRIX'!F25</f>
        <v>59.999974999999999</v>
      </c>
      <c r="H44" s="115" t="e">
        <f ca="1">Table656[[#This Row],[Column1]]*Table656[[#This Row],[ ]]</f>
        <v>#NUM!</v>
      </c>
    </row>
    <row r="45" spans="1:8" x14ac:dyDescent="0.25">
      <c r="A45" s="209" t="s">
        <v>137</v>
      </c>
      <c r="B45" s="210"/>
      <c r="C45" s="210"/>
      <c r="D45" s="40"/>
      <c r="E45" s="42" t="s">
        <v>7</v>
      </c>
      <c r="F45" s="104" t="e">
        <f ca="1">INDEX(MasterTable[Overtime],(_xlfn.AGGREGATE(15,6,(ROW(MasterTable[Overtime])-ROW(MasterTable[#Headers]))/(MasterTable[[Ticket]:[Ticket]]=$B$1),ROWS(F45:F45))))</f>
        <v>#NUM!</v>
      </c>
      <c r="G45" s="92">
        <f>'LISTE DE PRIX'!F26</f>
        <v>89.999962499999995</v>
      </c>
      <c r="H45" s="115" t="e">
        <f ca="1">Table656[[#This Row],[Column1]]*Table656[[#This Row],[ ]]</f>
        <v>#NUM!</v>
      </c>
    </row>
    <row r="46" spans="1:8" x14ac:dyDescent="0.25">
      <c r="A46" s="209" t="s">
        <v>138</v>
      </c>
      <c r="B46" s="210"/>
      <c r="C46" s="210"/>
      <c r="D46" s="40"/>
      <c r="E46" s="42" t="s">
        <v>6</v>
      </c>
      <c r="F46" s="104" t="e">
        <f ca="1">INDEX(MasterTable[Ferier],(_xlfn.AGGREGATE(15,6,(ROW(MasterTable[Ferier])-ROW(MasterTable[#Headers]))/(MasterTable[[Ticket]:[Ticket]]=$B$1),ROWS(F46:F46))))</f>
        <v>#NUM!</v>
      </c>
      <c r="G46" s="92">
        <f>'LISTE DE PRIX'!F27</f>
        <v>119.99995</v>
      </c>
      <c r="H46" s="115" t="e">
        <f ca="1">Table656[[#This Row],[Column1]]*Table656[[#This Row],[ ]]</f>
        <v>#NUM!</v>
      </c>
    </row>
    <row r="47" spans="1:8" x14ac:dyDescent="0.25">
      <c r="A47" s="209" t="s">
        <v>139</v>
      </c>
      <c r="B47" s="210"/>
      <c r="C47" s="210"/>
      <c r="D47" s="40"/>
      <c r="E47" s="42" t="s">
        <v>108</v>
      </c>
      <c r="F47" s="104" t="e">
        <f ca="1">INDEX(MasterTable[[REG ]],(_xlfn.AGGREGATE(15,6,(ROW(MasterTable[[REG ]])-ROW(MasterTable[#Headers]))/(MasterTable[[Ticket]:[Ticket]]=$B$1),ROWS(F47:F47))))</f>
        <v>#NUM!</v>
      </c>
      <c r="G47" s="92">
        <f>'LISTE DE PRIX'!F28</f>
        <v>125.00001</v>
      </c>
      <c r="H47" s="115" t="e">
        <f ca="1">Table656[[#This Row],[Column1]]*Table656[[#This Row],[ ]]</f>
        <v>#NUM!</v>
      </c>
    </row>
    <row r="48" spans="1:8" x14ac:dyDescent="0.25">
      <c r="A48" s="209" t="s">
        <v>140</v>
      </c>
      <c r="B48" s="210"/>
      <c r="C48" s="210"/>
      <c r="D48" s="40"/>
      <c r="E48" s="42" t="s">
        <v>109</v>
      </c>
      <c r="F48" s="104" t="e">
        <f ca="1">INDEX(MasterTable[[Overtime ]],(_xlfn.AGGREGATE(15,6,(ROW(MasterTable[[Overtime ]])-ROW(MasterTable[#Headers]))/(MasterTable[[Ticket]:[Ticket]]=$B$1),ROWS(F48:F48))))</f>
        <v>#NUM!</v>
      </c>
      <c r="G48" s="92">
        <f>'LISTE DE PRIX'!F29</f>
        <v>250.00002000000001</v>
      </c>
      <c r="H48" s="115" t="e">
        <f ca="1">Table656[[#This Row],[Column1]]*Table656[[#This Row],[ ]]</f>
        <v>#NUM!</v>
      </c>
    </row>
    <row r="49" spans="1:8" ht="16.5" customHeight="1" x14ac:dyDescent="0.25">
      <c r="A49" s="254" t="s">
        <v>141</v>
      </c>
      <c r="B49" s="255"/>
      <c r="C49" s="255"/>
      <c r="D49" s="43"/>
      <c r="E49" s="51" t="s">
        <v>110</v>
      </c>
      <c r="F49" s="104" t="e">
        <f ca="1">INDEX(MasterTable[[Ferier ]],(_xlfn.AGGREGATE(15,6,(ROW(MasterTable[[Ferier ]])-ROW(MasterTable[#Headers]))/(MasterTable[[Ticket]:[Ticket]]=$B$1),ROWS(F49:F49))))</f>
        <v>#NUM!</v>
      </c>
      <c r="G49" s="92">
        <f>'LISTE DE PRIX'!F30</f>
        <v>375.00002999999998</v>
      </c>
      <c r="H49" s="115" t="e">
        <f ca="1">Table656[[#This Row],[Column1]]*Table656[[#This Row],[ ]]</f>
        <v>#NUM!</v>
      </c>
    </row>
    <row r="50" spans="1:8" ht="16.5" customHeight="1" x14ac:dyDescent="0.25">
      <c r="A50" s="248" t="s">
        <v>144</v>
      </c>
      <c r="B50" s="249"/>
      <c r="C50" s="250"/>
      <c r="D50" s="43" t="s">
        <v>143</v>
      </c>
      <c r="E50" s="51" t="s">
        <v>145</v>
      </c>
      <c r="F50" s="104" t="e">
        <f ca="1">INDEX(MasterTable[Misc.],(_xlfn.AGGREGATE(15,6,(ROW(MasterTable[Misc.])-ROW(MasterTable[#Headers]))/(MasterTable[[Ticket]:[Ticket]]=$B$1),ROWS(F50:F50))))</f>
        <v>#NUM!</v>
      </c>
      <c r="G50" s="145" t="s">
        <v>173</v>
      </c>
      <c r="H50" s="115" t="e">
        <f ca="1">Table656[[#This Row],[Column1]]*Table656[[#This Row],[ ]]</f>
        <v>#NUM!</v>
      </c>
    </row>
    <row r="51" spans="1:8" ht="15.75" thickBot="1" x14ac:dyDescent="0.3">
      <c r="A51" s="237"/>
      <c r="B51" s="238"/>
      <c r="C51" s="238"/>
      <c r="D51" s="239"/>
      <c r="E51" s="44" t="s">
        <v>35</v>
      </c>
      <c r="F51" s="110" t="e">
        <f ca="1">INDEX(MasterTable[total ($)],(_xlfn.AGGREGATE(15,6,(ROW(MasterTable[total ($)])-ROW(MasterTable[#Headers]))/(MasterTable[[Ticket]:[Ticket]]=$B$1),ROWS(F51:F51))))</f>
        <v>#NUM!</v>
      </c>
      <c r="G51" s="94">
        <v>1</v>
      </c>
      <c r="H51" s="111" t="e">
        <f ca="1">Table656[[#This Row],[Column1]]*Table656[[#This Row],[ ]]</f>
        <v>#NUM!</v>
      </c>
    </row>
  </sheetData>
  <mergeCells count="49">
    <mergeCell ref="A51:D51"/>
    <mergeCell ref="A45:C45"/>
    <mergeCell ref="A46:C46"/>
    <mergeCell ref="A47:C47"/>
    <mergeCell ref="A48:C48"/>
    <mergeCell ref="A49:C49"/>
    <mergeCell ref="A50:C50"/>
    <mergeCell ref="A44:C44"/>
    <mergeCell ref="A33:C33"/>
    <mergeCell ref="A34:C34"/>
    <mergeCell ref="A35:C35"/>
    <mergeCell ref="A36:C36"/>
    <mergeCell ref="A37:C37"/>
    <mergeCell ref="A38:C38"/>
    <mergeCell ref="A39:C39"/>
    <mergeCell ref="A40:C40"/>
    <mergeCell ref="A41:C41"/>
    <mergeCell ref="A42:C42"/>
    <mergeCell ref="A43:C43"/>
    <mergeCell ref="A32:C32"/>
    <mergeCell ref="A21:C21"/>
    <mergeCell ref="A22:C22"/>
    <mergeCell ref="A23:C23"/>
    <mergeCell ref="A24:C24"/>
    <mergeCell ref="A25:C25"/>
    <mergeCell ref="A26:C26"/>
    <mergeCell ref="A27:C27"/>
    <mergeCell ref="A28:C28"/>
    <mergeCell ref="A29:C29"/>
    <mergeCell ref="A30:C30"/>
    <mergeCell ref="A31:C31"/>
    <mergeCell ref="A20:C20"/>
    <mergeCell ref="A9:C9"/>
    <mergeCell ref="A10:C10"/>
    <mergeCell ref="A11:C11"/>
    <mergeCell ref="A12:C12"/>
    <mergeCell ref="A13:C13"/>
    <mergeCell ref="A14:C14"/>
    <mergeCell ref="A15:C15"/>
    <mergeCell ref="A16:C16"/>
    <mergeCell ref="A17:C17"/>
    <mergeCell ref="A18:C18"/>
    <mergeCell ref="A19:C19"/>
    <mergeCell ref="A8:C8"/>
    <mergeCell ref="B1:D1"/>
    <mergeCell ref="B2:D2"/>
    <mergeCell ref="B3:D3"/>
    <mergeCell ref="B4:D4"/>
    <mergeCell ref="A6:C6"/>
  </mergeCells>
  <pageMargins left="0.25" right="0.25" top="0.22916666666666666" bottom="0.10416666666666667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facturation</vt:lpstr>
      <vt:lpstr>LISTE DE PRIX</vt:lpstr>
      <vt:lpstr>RESUMÉ</vt:lpstr>
      <vt:lpstr>tickets</vt:lpstr>
      <vt:lpstr>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Teoli, Antonio</dc:creator>
  <cp:lastModifiedBy>Teoli, Antonio</cp:lastModifiedBy>
  <cp:lastPrinted>2017-11-20T13:19:40Z</cp:lastPrinted>
  <dcterms:created xsi:type="dcterms:W3CDTF">2017-10-03T15:54:20Z</dcterms:created>
  <dcterms:modified xsi:type="dcterms:W3CDTF">2017-11-21T19:20:55Z</dcterms:modified>
</cp:coreProperties>
</file>