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990" yWindow="555" windowWidth="12360" windowHeight="7455" tabRatio="501"/>
  </bookViews>
  <sheets>
    <sheet name="facturation" sheetId="4" r:id="rId1"/>
    <sheet name="LISTE DE PRIX" sheetId="5" r:id="rId2"/>
    <sheet name="RESUMÉ" sheetId="6" r:id="rId3"/>
    <sheet name="var-160" sheetId="9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E15" i="6" l="1"/>
  <c r="E16" i="6"/>
  <c r="E17" i="6"/>
  <c r="E18" i="6"/>
  <c r="E25" i="6"/>
  <c r="E26" i="6"/>
  <c r="E27" i="6"/>
  <c r="E28" i="6"/>
  <c r="E29" i="6"/>
  <c r="E30" i="6"/>
  <c r="E31" i="6"/>
  <c r="G26" i="9" l="1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B1" i="9" l="1"/>
  <c r="F50" i="9" s="1"/>
  <c r="F29" i="9" l="1"/>
  <c r="F41" i="9"/>
  <c r="F28" i="9"/>
  <c r="F44" i="9"/>
  <c r="F26" i="9"/>
  <c r="F42" i="9"/>
  <c r="B4" i="9"/>
  <c r="B3" i="9"/>
  <c r="B2" i="9"/>
  <c r="M17" i="4" l="1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E14" i="6"/>
  <c r="G8" i="9" s="1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5" i="5"/>
  <c r="F26" i="5"/>
  <c r="F27" i="5"/>
  <c r="F28" i="5"/>
  <c r="F29" i="5"/>
  <c r="F30" i="5"/>
  <c r="BD28" i="4" l="1"/>
  <c r="BD7" i="4"/>
  <c r="I29" i="4"/>
  <c r="N19" i="4" l="1"/>
  <c r="M19" i="4"/>
  <c r="N17" i="4" l="1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F19" i="4"/>
  <c r="AI19" i="4"/>
  <c r="AJ19" i="4"/>
  <c r="AK19" i="4"/>
  <c r="AM19" i="4"/>
  <c r="AN19" i="4"/>
  <c r="AO19" i="4"/>
  <c r="AP19" i="4"/>
  <c r="AQ19" i="4"/>
  <c r="AR19" i="4"/>
  <c r="AS19" i="4"/>
  <c r="AT19" i="4"/>
  <c r="AU19" i="4"/>
  <c r="AV19" i="4"/>
  <c r="AX19" i="4"/>
  <c r="AY19" i="4"/>
  <c r="AZ19" i="4"/>
  <c r="BA19" i="4"/>
  <c r="BB19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F20" i="4"/>
  <c r="AI20" i="4"/>
  <c r="AK20" i="4"/>
  <c r="AL20" i="4"/>
  <c r="AM20" i="4"/>
  <c r="AN20" i="4"/>
  <c r="AO20" i="4"/>
  <c r="AP20" i="4"/>
  <c r="AQ20" i="4"/>
  <c r="AS20" i="4"/>
  <c r="AT20" i="4"/>
  <c r="AV20" i="4"/>
  <c r="AX20" i="4"/>
  <c r="AY20" i="4"/>
  <c r="BA20" i="4"/>
  <c r="BB20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X21" i="4"/>
  <c r="AY21" i="4"/>
  <c r="AZ21" i="4"/>
  <c r="BA21" i="4"/>
  <c r="BB21" i="4"/>
  <c r="M22" i="4"/>
  <c r="N22" i="4"/>
  <c r="O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M23" i="4"/>
  <c r="N23" i="4"/>
  <c r="O23" i="4"/>
  <c r="Q23" i="4"/>
  <c r="R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X23" i="4"/>
  <c r="AY23" i="4"/>
  <c r="BA23" i="4"/>
  <c r="BB23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F18" i="4"/>
  <c r="AI18" i="4"/>
  <c r="AJ18" i="4"/>
  <c r="AK18" i="4"/>
  <c r="AL18" i="4"/>
  <c r="AM18" i="4"/>
  <c r="AN18" i="4"/>
  <c r="AO18" i="4"/>
  <c r="AP18" i="4"/>
  <c r="AQ18" i="4"/>
  <c r="AR18" i="4"/>
  <c r="AS18" i="4"/>
  <c r="AV18" i="4"/>
  <c r="AX18" i="4"/>
  <c r="AY18" i="4"/>
  <c r="AZ18" i="4"/>
  <c r="BA18" i="4"/>
  <c r="BB18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O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X25" i="4"/>
  <c r="AY25" i="4"/>
  <c r="AZ25" i="4"/>
  <c r="BA25" i="4"/>
  <c r="BB2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F15" i="4"/>
  <c r="AI15" i="4"/>
  <c r="AJ15" i="4"/>
  <c r="AK15" i="4"/>
  <c r="AM15" i="4"/>
  <c r="AN15" i="4"/>
  <c r="AO15" i="4"/>
  <c r="AP15" i="4"/>
  <c r="AQ15" i="4"/>
  <c r="AR15" i="4"/>
  <c r="AS15" i="4"/>
  <c r="AV15" i="4"/>
  <c r="AX15" i="4"/>
  <c r="AY15" i="4"/>
  <c r="AZ15" i="4"/>
  <c r="BA15" i="4"/>
  <c r="BB15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F16" i="4"/>
  <c r="AI16" i="4"/>
  <c r="AJ16" i="4"/>
  <c r="AM16" i="4"/>
  <c r="AN16" i="4"/>
  <c r="AO16" i="4"/>
  <c r="AP16" i="4"/>
  <c r="AQ16" i="4"/>
  <c r="AR16" i="4"/>
  <c r="AS16" i="4"/>
  <c r="AV16" i="4"/>
  <c r="AY16" i="4"/>
  <c r="AZ16" i="4"/>
  <c r="BA16" i="4"/>
  <c r="BB16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M13" i="4"/>
  <c r="F8" i="9" s="1"/>
  <c r="N13" i="4"/>
  <c r="F9" i="9" s="1"/>
  <c r="O13" i="4"/>
  <c r="F10" i="9" s="1"/>
  <c r="P13" i="4"/>
  <c r="F11" i="9" s="1"/>
  <c r="Q13" i="4"/>
  <c r="F12" i="9" s="1"/>
  <c r="R13" i="4"/>
  <c r="F13" i="9" s="1"/>
  <c r="S13" i="4"/>
  <c r="F14" i="9" s="1"/>
  <c r="T13" i="4"/>
  <c r="F15" i="9" s="1"/>
  <c r="U13" i="4"/>
  <c r="F16" i="9" s="1"/>
  <c r="V13" i="4"/>
  <c r="F17" i="9" s="1"/>
  <c r="W13" i="4"/>
  <c r="F18" i="9" s="1"/>
  <c r="X13" i="4"/>
  <c r="F19" i="9" s="1"/>
  <c r="Y13" i="4"/>
  <c r="F20" i="9" s="1"/>
  <c r="Z13" i="4"/>
  <c r="F21" i="9" s="1"/>
  <c r="AA13" i="4"/>
  <c r="F22" i="9" s="1"/>
  <c r="AB13" i="4"/>
  <c r="F23" i="9" s="1"/>
  <c r="AC13" i="4"/>
  <c r="F24" i="9" s="1"/>
  <c r="AD13" i="4"/>
  <c r="F25" i="9" s="1"/>
  <c r="AF13" i="4"/>
  <c r="F27" i="9" s="1"/>
  <c r="AI13" i="4"/>
  <c r="F30" i="9" s="1"/>
  <c r="AJ13" i="4"/>
  <c r="F31" i="9" s="1"/>
  <c r="AK13" i="4"/>
  <c r="F32" i="9" s="1"/>
  <c r="AL13" i="4"/>
  <c r="F33" i="9" s="1"/>
  <c r="AM13" i="4"/>
  <c r="F34" i="9" s="1"/>
  <c r="AN13" i="4"/>
  <c r="F35" i="9" s="1"/>
  <c r="AO13" i="4"/>
  <c r="F36" i="9" s="1"/>
  <c r="AP13" i="4"/>
  <c r="F37" i="9" s="1"/>
  <c r="AQ13" i="4"/>
  <c r="F38" i="9" s="1"/>
  <c r="AR13" i="4"/>
  <c r="F39" i="9" s="1"/>
  <c r="AS13" i="4"/>
  <c r="F40" i="9" s="1"/>
  <c r="AV13" i="4"/>
  <c r="F43" i="9" s="1"/>
  <c r="AX13" i="4"/>
  <c r="F45" i="9" s="1"/>
  <c r="AY13" i="4"/>
  <c r="F46" i="9" s="1"/>
  <c r="AZ13" i="4"/>
  <c r="F47" i="9" s="1"/>
  <c r="BA13" i="4"/>
  <c r="F48" i="9" s="1"/>
  <c r="BB13" i="4"/>
  <c r="F49" i="9" s="1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F27" i="4"/>
  <c r="AI27" i="4"/>
  <c r="AJ27" i="4"/>
  <c r="AK27" i="4"/>
  <c r="AL27" i="4"/>
  <c r="AM27" i="4"/>
  <c r="AN27" i="4"/>
  <c r="AP27" i="4"/>
  <c r="AQ27" i="4"/>
  <c r="AR27" i="4"/>
  <c r="AS27" i="4"/>
  <c r="AV27" i="4"/>
  <c r="AX27" i="4"/>
  <c r="AY27" i="4"/>
  <c r="AZ27" i="4"/>
  <c r="BA27" i="4"/>
  <c r="BB27" i="4"/>
  <c r="BD19" i="4" l="1"/>
  <c r="BD15" i="4"/>
  <c r="BD27" i="4"/>
  <c r="BD14" i="4"/>
  <c r="BD13" i="4"/>
  <c r="F51" i="9" s="1"/>
  <c r="BD22" i="4"/>
  <c r="BD21" i="4"/>
  <c r="BD10" i="4"/>
  <c r="BD12" i="4"/>
  <c r="BD8" i="4"/>
  <c r="BD26" i="4"/>
  <c r="BD11" i="4"/>
  <c r="BD20" i="4"/>
  <c r="BD17" i="4"/>
  <c r="BD16" i="4"/>
  <c r="BD25" i="4"/>
  <c r="BD24" i="4"/>
  <c r="BD9" i="4"/>
  <c r="BD18" i="4"/>
  <c r="BD23" i="4"/>
  <c r="BD31" i="4" l="1"/>
</calcChain>
</file>

<file path=xl/sharedStrings.xml><?xml version="1.0" encoding="utf-8"?>
<sst xmlns="http://schemas.openxmlformats.org/spreadsheetml/2006/main" count="408" uniqueCount="232">
  <si>
    <t>TOTAL</t>
  </si>
  <si>
    <t>A FACTURER</t>
  </si>
  <si>
    <t>VAR-149</t>
  </si>
  <si>
    <t>VAR-102</t>
  </si>
  <si>
    <t>TEL ROUGE</t>
  </si>
  <si>
    <t>VSSM</t>
  </si>
  <si>
    <t>EXEMPLE</t>
  </si>
  <si>
    <t>6 à 10</t>
  </si>
  <si>
    <t>2 à 5</t>
  </si>
  <si>
    <t>1er</t>
  </si>
  <si>
    <t>DATE FIN</t>
  </si>
  <si>
    <t>DATE DEBUT</t>
  </si>
  <si>
    <t>Ferier</t>
  </si>
  <si>
    <t>Overtime</t>
  </si>
  <si>
    <t>REG</t>
  </si>
  <si>
    <t>15'</t>
  </si>
  <si>
    <t>10'</t>
  </si>
  <si>
    <t>7'</t>
  </si>
  <si>
    <t>4'</t>
  </si>
  <si>
    <t>2'</t>
  </si>
  <si>
    <t>48 port</t>
  </si>
  <si>
    <t>4 port</t>
  </si>
  <si>
    <t>2 port</t>
  </si>
  <si>
    <t>1 port</t>
  </si>
  <si>
    <t>6 port</t>
  </si>
  <si>
    <t>Vert</t>
  </si>
  <si>
    <t>Noir</t>
  </si>
  <si>
    <t>Blanc</t>
  </si>
  <si>
    <t>Vert ($/M)</t>
  </si>
  <si>
    <t>Blanc ($/M)</t>
  </si>
  <si>
    <t>EPA</t>
  </si>
  <si>
    <t>Non-EPA</t>
  </si>
  <si>
    <t>Temps technicien Electrique</t>
  </si>
  <si>
    <t>Temps technicien cableur</t>
  </si>
  <si>
    <t>Patch Cord cat6</t>
  </si>
  <si>
    <t>Patch P.</t>
  </si>
  <si>
    <t>Boite a raccordement latéral</t>
  </si>
  <si>
    <t>Plaque mural KS</t>
  </si>
  <si>
    <t>Connecteur Cat6</t>
  </si>
  <si>
    <t>Cable cat6 2412</t>
  </si>
  <si>
    <t>commentaire</t>
  </si>
  <si>
    <t>total ($)</t>
  </si>
  <si>
    <t>Temps/Materiels</t>
  </si>
  <si>
    <t>câblage Dégret</t>
  </si>
  <si>
    <t>Non Dégret</t>
  </si>
  <si>
    <t>16-oct.17</t>
  </si>
  <si>
    <t>VAR-112</t>
  </si>
  <si>
    <t>Soumission</t>
  </si>
  <si>
    <t>PRIX Soumis</t>
  </si>
  <si>
    <t>Acquis</t>
  </si>
  <si>
    <t>OUI</t>
  </si>
  <si>
    <t xml:space="preserve">fichel excel </t>
  </si>
  <si>
    <t>TEMP/MATERIEL</t>
  </si>
  <si>
    <t>CONTRACTUEL</t>
  </si>
  <si>
    <t>VAR-111</t>
  </si>
  <si>
    <t>SC360-017115</t>
  </si>
  <si>
    <t>VAR-132</t>
  </si>
  <si>
    <t>VAR-114</t>
  </si>
  <si>
    <t>SC360-017118</t>
  </si>
  <si>
    <t>VAR-118</t>
  </si>
  <si>
    <t>SC360-017083</t>
  </si>
  <si>
    <t>SC360-017041</t>
  </si>
  <si>
    <t>VAR-127</t>
  </si>
  <si>
    <t>SC360-017046</t>
  </si>
  <si>
    <t xml:space="preserve"> </t>
  </si>
  <si>
    <t>VAR-P1</t>
  </si>
  <si>
    <t>SC360-017122</t>
  </si>
  <si>
    <t>TBD</t>
  </si>
  <si>
    <t>ANN</t>
  </si>
  <si>
    <t>SC360-017095</t>
  </si>
  <si>
    <t>SC360-017125</t>
  </si>
  <si>
    <t>Prix Sales</t>
  </si>
  <si>
    <t>Margin</t>
  </si>
  <si>
    <t>Prix Cost</t>
  </si>
  <si>
    <t>Nbres</t>
  </si>
  <si>
    <t>Liste de prix unitaire</t>
  </si>
  <si>
    <t>PRIX AVEC Matériel et Main-œuvre</t>
  </si>
  <si>
    <t xml:space="preserve">1 CABLES </t>
  </si>
  <si>
    <t>2 À 5 CABLES</t>
  </si>
  <si>
    <t>6 À 10</t>
  </si>
  <si>
    <t>TYPE DE CABLES</t>
  </si>
  <si>
    <t>COSTS</t>
  </si>
  <si>
    <t>SALES</t>
  </si>
  <si>
    <t xml:space="preserve">   COSTS  </t>
  </si>
  <si>
    <t xml:space="preserve">   SALES  </t>
  </si>
  <si>
    <t xml:space="preserve">   COST   </t>
  </si>
  <si>
    <t xml:space="preserve"> SALES </t>
  </si>
  <si>
    <t>CHUM NON-CCQ</t>
  </si>
  <si>
    <t>CHUM HEPA NON-CCQ</t>
  </si>
  <si>
    <t>PROJECTCO  NON-CCQ</t>
  </si>
  <si>
    <t>PROJECTCO HEPA NON-CCQ</t>
  </si>
  <si>
    <t>PROJECTCO CCQ</t>
  </si>
  <si>
    <t>PROJECTCO HEPA CCQ</t>
  </si>
  <si>
    <t>TYPE DE CABLE</t>
  </si>
  <si>
    <t>NOMBRE DE CABLE</t>
  </si>
  <si>
    <t>PRIX COST</t>
  </si>
  <si>
    <t>PRIX SALES</t>
  </si>
  <si>
    <t>2 A 5</t>
  </si>
  <si>
    <t>6 A 10</t>
  </si>
  <si>
    <t>PROJECTCO NON-CCQ</t>
  </si>
  <si>
    <t>PROJECTCO CCQ HEPA</t>
  </si>
  <si>
    <t>SC360-017091</t>
  </si>
  <si>
    <t>TEMP/MAT</t>
  </si>
  <si>
    <t>N/A</t>
  </si>
  <si>
    <t xml:space="preserve">VARIA </t>
  </si>
  <si>
    <t>NOM CONTACT</t>
  </si>
  <si>
    <t>EMAIL CONTACT</t>
  </si>
  <si>
    <t>GILLES.PERRON@VEOLIA.COM</t>
  </si>
  <si>
    <t xml:space="preserve">Neves-Pelchat, Julien </t>
  </si>
  <si>
    <t>julien.nevespelchat@veolia.com</t>
  </si>
  <si>
    <t>Perron, Gilles</t>
  </si>
  <si>
    <t>M2065</t>
  </si>
  <si>
    <t>M1995</t>
  </si>
  <si>
    <t># B.C</t>
  </si>
  <si>
    <t># B.T</t>
  </si>
  <si>
    <t>M1912</t>
  </si>
  <si>
    <t>Landais, Jean-Michel</t>
  </si>
  <si>
    <t>jean-michel.lendais@veolia.com</t>
  </si>
  <si>
    <t>M1721</t>
  </si>
  <si>
    <t>0756/0752/0751</t>
  </si>
  <si>
    <t>M1707</t>
  </si>
  <si>
    <t>M1833</t>
  </si>
  <si>
    <t>2960/0755/0754/0753/2967</t>
  </si>
  <si>
    <t>M1822</t>
  </si>
  <si>
    <t>SEPTEMBRE/OCTOBRE</t>
  </si>
  <si>
    <t>NOVEMBRE</t>
  </si>
  <si>
    <t>FACTURATION A FAIRE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</si>
  <si>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</si>
  <si>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</si>
  <si>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</si>
  <si>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</si>
  <si>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</si>
  <si>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</si>
  <si>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</si>
  <si>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</si>
  <si>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</si>
  <si>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</si>
  <si>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</si>
  <si>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</si>
  <si>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FACTURATION FAIT</t>
  </si>
  <si>
    <t>TURG-047</t>
  </si>
  <si>
    <t>francois.beauregard@veolia.com</t>
  </si>
  <si>
    <t xml:space="preserve">Beauregard, Francois </t>
  </si>
  <si>
    <t>SC360-017130</t>
  </si>
  <si>
    <t>VAR-160</t>
  </si>
  <si>
    <t>M2073</t>
  </si>
  <si>
    <t>SC360-017126</t>
  </si>
  <si>
    <t>M1977</t>
  </si>
  <si>
    <t>VAR-131(INCLUS DANS VAR-118)</t>
  </si>
  <si>
    <t>SC360-017117(T/M)</t>
  </si>
  <si>
    <t>M2110</t>
  </si>
  <si>
    <t>TURG-056</t>
  </si>
  <si>
    <t>M2124</t>
  </si>
  <si>
    <t>M2121</t>
  </si>
  <si>
    <t>SC360-017128(T/M)</t>
  </si>
  <si>
    <t>VSSM-003</t>
  </si>
  <si>
    <t>2979/2980</t>
  </si>
  <si>
    <t>VAR-VSSM-006</t>
  </si>
  <si>
    <t>M2170</t>
  </si>
  <si>
    <t>T/M</t>
  </si>
  <si>
    <t>TURG-0033</t>
  </si>
  <si>
    <t>M1883</t>
  </si>
  <si>
    <t>FACTURATION FAIT (CREDIT DE 948,92$)</t>
  </si>
  <si>
    <t>Pro</t>
  </si>
  <si>
    <t xml:space="preserve">1er </t>
  </si>
  <si>
    <t xml:space="preserve">2 à 5 </t>
  </si>
  <si>
    <t xml:space="preserve">6 à 10 </t>
  </si>
  <si>
    <t xml:space="preserve">1er  </t>
  </si>
  <si>
    <t xml:space="preserve">2 à 5  </t>
  </si>
  <si>
    <t xml:space="preserve">6 à 10  </t>
  </si>
  <si>
    <t xml:space="preserve">1er   </t>
  </si>
  <si>
    <t xml:space="preserve">2 à 5   </t>
  </si>
  <si>
    <t xml:space="preserve">6 à 10   </t>
  </si>
  <si>
    <t xml:space="preserve">1er    </t>
  </si>
  <si>
    <t xml:space="preserve">2 à 5    </t>
  </si>
  <si>
    <t xml:space="preserve">6 à 10    </t>
  </si>
  <si>
    <t xml:space="preserve">1er     </t>
  </si>
  <si>
    <t xml:space="preserve">2 à 5     </t>
  </si>
  <si>
    <t xml:space="preserve">6 à 10     </t>
  </si>
  <si>
    <t xml:space="preserve">1 port </t>
  </si>
  <si>
    <t xml:space="preserve">2 port </t>
  </si>
  <si>
    <t xml:space="preserve">4 port </t>
  </si>
  <si>
    <t xml:space="preserve">REG </t>
  </si>
  <si>
    <t xml:space="preserve">Overtime </t>
  </si>
  <si>
    <t xml:space="preserve">Ferier </t>
  </si>
  <si>
    <t>VARIA:</t>
  </si>
  <si>
    <t>Bon commande:</t>
  </si>
  <si>
    <t>BON TRAVAIL:</t>
  </si>
  <si>
    <t>Contact:</t>
  </si>
  <si>
    <t xml:space="preserve">6 à 10      </t>
  </si>
  <si>
    <t xml:space="preserve">BELDEN CABLE CAT6 2412 BLANC </t>
  </si>
  <si>
    <t>Blanc (M)</t>
  </si>
  <si>
    <t>BELDEN CABLE CAT6 2412 VERT</t>
  </si>
  <si>
    <t>Vert (M)</t>
  </si>
  <si>
    <t>CONNECTEUR KS CAT6 BLANC</t>
  </si>
  <si>
    <t>CONNECTEUR KS CAT6 NOIR</t>
  </si>
  <si>
    <t>CONNECTEUR KS CAT6 VERT</t>
  </si>
  <si>
    <t>Plaque Mural 1 port KS Blanc</t>
  </si>
  <si>
    <t>Plaque Mural 2 port KS Blanc</t>
  </si>
  <si>
    <t>Plaque Mural 4 port KS Blanc</t>
  </si>
  <si>
    <t>Plaque Mural 6 port KS Blanc</t>
  </si>
  <si>
    <t>Boite sortie latéral KS Blanc 1port</t>
  </si>
  <si>
    <t>Boite sortie latéral KS Blanc 2port</t>
  </si>
  <si>
    <t>Boite sortie latéral KS Blanc 4port</t>
  </si>
  <si>
    <t>PatchPanel 48 port KS 1U</t>
  </si>
  <si>
    <t>Cordon de Raccordement blanc 2'</t>
  </si>
  <si>
    <t>Cordon de Raccordement blanc 4'</t>
  </si>
  <si>
    <t>Cordon de Raccordement blanc 7'</t>
  </si>
  <si>
    <t>Cordon de Raccordement blanc 10'</t>
  </si>
  <si>
    <t>Cordon de Raccordement blanc 15'</t>
  </si>
  <si>
    <t>Travaux heures Reg. Non-CCQ</t>
  </si>
  <si>
    <t>Travaux heures Suppl. Non-CCQ</t>
  </si>
  <si>
    <t>Travaux heures Ferier. Non-CCQ</t>
  </si>
  <si>
    <t>Travaux heures Reg. CCQ</t>
  </si>
  <si>
    <t>Travaux heures Suppl. CCQ</t>
  </si>
  <si>
    <t>Travaux heures Ferier. CCQ</t>
  </si>
  <si>
    <t>DEMO</t>
  </si>
  <si>
    <t>VAR-150.16</t>
  </si>
  <si>
    <t>Misc.</t>
  </si>
  <si>
    <t>Produit Diver</t>
  </si>
  <si>
    <t>Divers</t>
  </si>
  <si>
    <t>Item Descrition</t>
  </si>
  <si>
    <t>Numero Produit</t>
  </si>
  <si>
    <t>Ref.</t>
  </si>
  <si>
    <t>Quantité</t>
  </si>
  <si>
    <t>Câblage DÉGRET ProjectCo</t>
  </si>
  <si>
    <t>Câblage Non Dégret CHUM</t>
  </si>
  <si>
    <t>Câblage Non Dégret ProjectCo</t>
  </si>
  <si>
    <t>Prix ($/U)</t>
  </si>
  <si>
    <t>Total ($)</t>
  </si>
  <si>
    <t>Column1</t>
  </si>
  <si>
    <r>
      <t xml:space="preserve">FACTURATION A: </t>
    </r>
    <r>
      <rPr>
        <sz val="11"/>
        <color rgb="FFFF000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</si>
</sst>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 * #,##0.00_)\ &quot;$&quot;_ ;_ * \(#,##0.00\)\ &quot;$&quot;_ ;_ * &quot;-&quot;??_)\ &quot;$&quot;_ ;_ @_ 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#,##0.00\ &quot;$&quot;"/>
    <numFmt numFmtId="167" formatCode="_ * #,##0.00_)\ [$$-C0C]_ ;_ * \(#,##0.00\)\ [$$-C0C]_ ;_ * &quot;-&quot;??_)\ [$$-C0C]_ ;_ @_ "/>
    <numFmt numFmtId="168" formatCode="0.0000%"/>
    <numFmt numFmtId="169" formatCode="0.000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6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7030A0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</fills>
  <borders count="1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auto="1"/>
      </bottom>
      <diagonal/>
    </border>
    <border>
      <left/>
      <right/>
      <top style="dashed">
        <color indexed="64"/>
      </top>
      <bottom style="dashed">
        <color auto="1"/>
      </bottom>
      <diagonal/>
    </border>
    <border>
      <left/>
      <right style="medium">
        <color auto="1"/>
      </right>
      <top style="dashed">
        <color indexed="64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medium">
        <color auto="1"/>
      </top>
      <bottom style="dashed">
        <color indexed="64"/>
      </bottom>
      <diagonal/>
    </border>
    <border>
      <left/>
      <right style="medium">
        <color indexed="64"/>
      </right>
      <top style="medium">
        <color auto="1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auto="1"/>
      </right>
      <top style="dash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hair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 style="mediumDashed">
        <color indexed="64"/>
      </right>
      <top style="medium">
        <color auto="1"/>
      </top>
      <bottom/>
      <diagonal/>
    </border>
    <border>
      <left style="dashDot">
        <color auto="1"/>
      </left>
      <right style="thin">
        <color indexed="64"/>
      </right>
      <top style="medium">
        <color auto="1"/>
      </top>
      <bottom/>
      <diagonal/>
    </border>
    <border>
      <left style="dashDot">
        <color auto="1"/>
      </left>
      <right style="thin">
        <color indexed="64"/>
      </right>
      <top/>
      <bottom/>
      <diagonal/>
    </border>
    <border>
      <left style="dashDot">
        <color auto="1"/>
      </left>
      <right style="thin">
        <color indexed="64"/>
      </right>
      <top/>
      <bottom style="dashed">
        <color auto="1"/>
      </bottom>
      <diagonal/>
    </border>
    <border>
      <left style="dashDot">
        <color auto="1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dashDot">
        <color auto="1"/>
      </left>
      <right style="thin">
        <color indexed="64"/>
      </right>
      <top style="dashed">
        <color auto="1"/>
      </top>
      <bottom/>
      <diagonal/>
    </border>
    <border>
      <left style="hair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auto="1"/>
      </right>
      <top/>
      <bottom style="dashed">
        <color indexed="64"/>
      </bottom>
      <diagonal/>
    </border>
    <border>
      <left style="dashDot">
        <color auto="1"/>
      </left>
      <right style="thin">
        <color indexed="64"/>
      </right>
      <top style="dashed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dashDot">
        <color auto="1"/>
      </left>
      <right style="thin">
        <color indexed="64"/>
      </right>
      <top style="thin">
        <color auto="1"/>
      </top>
      <bottom/>
      <diagonal/>
    </border>
    <border>
      <left style="dashDot">
        <color auto="1"/>
      </left>
      <right style="thin">
        <color indexed="64"/>
      </right>
      <top style="dashed">
        <color auto="1"/>
      </top>
      <bottom style="thin">
        <color auto="1"/>
      </bottom>
      <diagonal/>
    </border>
    <border>
      <left/>
      <right style="dashDot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hair">
        <color indexed="64"/>
      </right>
      <top/>
      <bottom style="dashed">
        <color indexed="64"/>
      </bottom>
      <diagonal/>
    </border>
    <border>
      <left style="hair">
        <color indexed="64"/>
      </left>
      <right style="hair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dashDot">
        <color auto="1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ashed">
        <color auto="1"/>
      </bottom>
      <diagonal/>
    </border>
    <border>
      <left/>
      <right/>
      <top style="double">
        <color indexed="64"/>
      </top>
      <bottom style="dashed">
        <color auto="1"/>
      </bottom>
      <diagonal/>
    </border>
    <border>
      <left/>
      <right style="dashDot">
        <color auto="1"/>
      </right>
      <top style="double">
        <color indexed="64"/>
      </top>
      <bottom style="dashed">
        <color auto="1"/>
      </bottom>
      <diagonal/>
    </border>
    <border>
      <left/>
      <right style="dashDot">
        <color auto="1"/>
      </right>
      <top style="dashed">
        <color auto="1"/>
      </top>
      <bottom/>
      <diagonal/>
    </border>
    <border>
      <left style="medium">
        <color indexed="64"/>
      </left>
      <right/>
      <top style="thin">
        <color indexed="64"/>
      </top>
      <bottom style="dashed">
        <color auto="1"/>
      </bottom>
      <diagonal/>
    </border>
    <border>
      <left/>
      <right/>
      <top style="thin">
        <color indexed="64"/>
      </top>
      <bottom style="dashed">
        <color auto="1"/>
      </bottom>
      <diagonal/>
    </border>
    <border>
      <left/>
      <right style="dashDot">
        <color auto="1"/>
      </right>
      <top style="thin">
        <color indexed="64"/>
      </top>
      <bottom style="dashed">
        <color auto="1"/>
      </bottom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auto="1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auto="1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Dot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</borders>
  <cellStyleXfs count="120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9" fillId="43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6" borderId="0" applyNumberFormat="0" applyBorder="0" applyAlignment="0" applyProtection="0"/>
    <xf numFmtId="0" fontId="17" fillId="9" borderId="0" applyNumberFormat="0" applyBorder="0" applyAlignment="0" applyProtection="0"/>
    <xf numFmtId="0" fontId="19" fillId="47" borderId="0" applyNumberFormat="0" applyBorder="0" applyAlignment="0" applyProtection="0"/>
    <xf numFmtId="0" fontId="17" fillId="13" borderId="0" applyNumberFormat="0" applyBorder="0" applyAlignment="0" applyProtection="0"/>
    <xf numFmtId="0" fontId="19" fillId="48" borderId="0" applyNumberFormat="0" applyBorder="0" applyAlignment="0" applyProtection="0"/>
    <xf numFmtId="0" fontId="17" fillId="17" borderId="0" applyNumberFormat="0" applyBorder="0" applyAlignment="0" applyProtection="0"/>
    <xf numFmtId="0" fontId="19" fillId="49" borderId="0" applyNumberFormat="0" applyBorder="0" applyAlignment="0" applyProtection="0"/>
    <xf numFmtId="0" fontId="17" fillId="21" borderId="0" applyNumberFormat="0" applyBorder="0" applyAlignment="0" applyProtection="0"/>
    <xf numFmtId="0" fontId="19" fillId="44" borderId="0" applyNumberFormat="0" applyBorder="0" applyAlignment="0" applyProtection="0"/>
    <xf numFmtId="0" fontId="17" fillId="25" borderId="0" applyNumberFormat="0" applyBorder="0" applyAlignment="0" applyProtection="0"/>
    <xf numFmtId="0" fontId="19" fillId="45" borderId="0" applyNumberFormat="0" applyBorder="0" applyAlignment="0" applyProtection="0"/>
    <xf numFmtId="0" fontId="17" fillId="29" borderId="0" applyNumberFormat="0" applyBorder="0" applyAlignment="0" applyProtection="0"/>
    <xf numFmtId="0" fontId="19" fillId="5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34" borderId="0" applyNumberFormat="0" applyBorder="0" applyAlignment="0" applyProtection="0"/>
    <xf numFmtId="0" fontId="11" fillId="6" borderId="4" applyNumberFormat="0" applyAlignment="0" applyProtection="0"/>
    <xf numFmtId="0" fontId="21" fillId="51" borderId="34" applyNumberFormat="0" applyAlignment="0" applyProtection="0"/>
    <xf numFmtId="0" fontId="12" fillId="0" borderId="6" applyNumberFormat="0" applyFill="0" applyAlignment="0" applyProtection="0"/>
    <xf numFmtId="0" fontId="22" fillId="52" borderId="35" applyNumberFormat="0" applyAlignment="0" applyProtection="0"/>
    <xf numFmtId="164" fontId="23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53" borderId="36" applyNumberFormat="0" applyFont="0" applyAlignment="0" applyProtection="0"/>
    <xf numFmtId="0" fontId="9" fillId="5" borderId="4" applyNumberFormat="0" applyAlignment="0" applyProtection="0"/>
    <xf numFmtId="0" fontId="25" fillId="0" borderId="0" applyNumberFormat="0" applyFill="0" applyBorder="0" applyAlignment="0" applyProtection="0"/>
    <xf numFmtId="0" fontId="26" fillId="35" borderId="0" applyNumberFormat="0" applyBorder="0" applyAlignment="0" applyProtection="0"/>
    <xf numFmtId="0" fontId="27" fillId="0" borderId="37" applyNumberFormat="0" applyFill="0" applyAlignment="0" applyProtection="0"/>
    <xf numFmtId="0" fontId="28" fillId="0" borderId="38" applyNumberFormat="0" applyFill="0" applyAlignment="0" applyProtection="0"/>
    <xf numFmtId="0" fontId="29" fillId="0" borderId="39" applyNumberFormat="0" applyFill="0" applyAlignment="0" applyProtection="0"/>
    <xf numFmtId="0" fontId="29" fillId="0" borderId="0" applyNumberFormat="0" applyFill="0" applyBorder="0" applyAlignment="0" applyProtection="0"/>
    <xf numFmtId="0" fontId="30" fillId="38" borderId="34" applyNumberFormat="0" applyAlignment="0" applyProtection="0"/>
    <xf numFmtId="0" fontId="7" fillId="3" borderId="0" applyNumberFormat="0" applyBorder="0" applyAlignment="0" applyProtection="0"/>
    <xf numFmtId="0" fontId="31" fillId="0" borderId="40" applyNumberFormat="0" applyFill="0" applyAlignment="0" applyProtection="0"/>
    <xf numFmtId="165" fontId="1" fillId="0" borderId="0" applyFont="0" applyFill="0" applyBorder="0" applyAlignment="0" applyProtection="0"/>
    <xf numFmtId="0" fontId="32" fillId="54" borderId="0" applyNumberFormat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4" fillId="53" borderId="36" applyNumberFormat="0" applyFont="0" applyAlignment="0" applyProtection="0"/>
    <xf numFmtId="0" fontId="33" fillId="51" borderId="41" applyNumberFormat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6" fillId="0" borderId="42" applyNumberFormat="0" applyFill="0" applyAlignment="0" applyProtection="0"/>
    <xf numFmtId="0" fontId="13" fillId="7" borderId="7" applyNumberFormat="0" applyAlignment="0" applyProtection="0"/>
    <xf numFmtId="0" fontId="37" fillId="0" borderId="0" applyNumberFormat="0" applyFill="0" applyBorder="0" applyAlignment="0" applyProtection="0"/>
    <xf numFmtId="0" fontId="44" fillId="0" borderId="0" applyNumberFormat="0" applyFill="0" applyBorder="0" applyAlignment="0" applyProtection="0"/>
  </cellStyleXfs>
  <cellXfs count="255">
    <xf numFmtId="0" fontId="0" fillId="0" borderId="0" xfId="0"/>
    <xf numFmtId="44" fontId="0" fillId="0" borderId="0" xfId="0" applyNumberFormat="1"/>
    <xf numFmtId="0" fontId="0" fillId="0" borderId="10" xfId="0" applyBorder="1"/>
    <xf numFmtId="44" fontId="0" fillId="0" borderId="10" xfId="0" applyNumberFormat="1" applyBorder="1"/>
    <xf numFmtId="0" fontId="0" fillId="0" borderId="10" xfId="0" applyBorder="1" applyAlignment="1">
      <alignment horizontal="center"/>
    </xf>
    <xf numFmtId="15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right"/>
    </xf>
    <xf numFmtId="0" fontId="17" fillId="55" borderId="10" xfId="0" applyFont="1" applyFill="1" applyBorder="1" applyAlignment="1">
      <alignment horizontal="center"/>
    </xf>
    <xf numFmtId="167" fontId="0" fillId="0" borderId="10" xfId="0" applyNumberFormat="1" applyBorder="1"/>
    <xf numFmtId="0" fontId="0" fillId="0" borderId="0" xfId="0" applyAlignment="1">
      <alignment horizontal="center"/>
    </xf>
    <xf numFmtId="167" fontId="0" fillId="0" borderId="0" xfId="0" applyNumberFormat="1"/>
    <xf numFmtId="0" fontId="0" fillId="0" borderId="10" xfId="0" applyBorder="1" applyAlignment="1">
      <alignment horizontal="center"/>
    </xf>
    <xf numFmtId="0" fontId="0" fillId="56" borderId="10" xfId="0" applyFill="1" applyBorder="1" applyAlignment="1">
      <alignment horizontal="center"/>
    </xf>
    <xf numFmtId="0" fontId="0" fillId="55" borderId="10" xfId="0" applyFill="1" applyBorder="1" applyAlignment="1">
      <alignment horizontal="center"/>
    </xf>
    <xf numFmtId="15" fontId="0" fillId="0" borderId="10" xfId="0" applyNumberFormat="1" applyBorder="1" applyAlignment="1">
      <alignment horizontal="center"/>
    </xf>
    <xf numFmtId="166" fontId="0" fillId="55" borderId="10" xfId="0" applyNumberFormat="1" applyFill="1" applyBorder="1" applyAlignment="1">
      <alignment horizontal="center"/>
    </xf>
    <xf numFmtId="1" fontId="0" fillId="0" borderId="0" xfId="0" applyNumberFormat="1"/>
    <xf numFmtId="44" fontId="0" fillId="0" borderId="10" xfId="0" applyNumberFormat="1" applyFill="1" applyBorder="1"/>
    <xf numFmtId="168" fontId="0" fillId="58" borderId="10" xfId="0" applyNumberFormat="1" applyFont="1" applyFill="1" applyBorder="1" applyAlignment="1">
      <alignment horizontal="center"/>
    </xf>
    <xf numFmtId="169" fontId="38" fillId="0" borderId="10" xfId="0" applyNumberFormat="1" applyFon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10" xfId="0" applyFill="1" applyBorder="1"/>
    <xf numFmtId="168" fontId="0" fillId="0" borderId="10" xfId="0" applyNumberFormat="1" applyFont="1" applyBorder="1" applyAlignment="1">
      <alignment horizontal="center"/>
    </xf>
    <xf numFmtId="169" fontId="38" fillId="0" borderId="10" xfId="0" applyNumberFormat="1" applyFont="1" applyBorder="1" applyAlignment="1">
      <alignment horizontal="right"/>
    </xf>
    <xf numFmtId="0" fontId="0" fillId="0" borderId="13" xfId="0" applyFill="1" applyBorder="1"/>
    <xf numFmtId="44" fontId="0" fillId="59" borderId="10" xfId="0" applyNumberFormat="1" applyFill="1" applyBorder="1"/>
    <xf numFmtId="10" fontId="0" fillId="59" borderId="10" xfId="0" applyNumberFormat="1" applyFill="1" applyBorder="1"/>
    <xf numFmtId="169" fontId="0" fillId="59" borderId="10" xfId="0" applyNumberFormat="1" applyFill="1" applyBorder="1" applyAlignment="1">
      <alignment horizontal="right"/>
    </xf>
    <xf numFmtId="0" fontId="0" fillId="59" borderId="10" xfId="0" applyFill="1" applyBorder="1" applyAlignment="1">
      <alignment horizontal="right"/>
    </xf>
    <xf numFmtId="0" fontId="0" fillId="59" borderId="10" xfId="0" applyFill="1" applyBorder="1"/>
    <xf numFmtId="10" fontId="0" fillId="0" borderId="10" xfId="0" applyNumberFormat="1" applyBorder="1"/>
    <xf numFmtId="166" fontId="0" fillId="0" borderId="10" xfId="0" applyNumberFormat="1" applyBorder="1"/>
    <xf numFmtId="169" fontId="38" fillId="0" borderId="10" xfId="0" applyNumberFormat="1" applyFont="1" applyBorder="1"/>
    <xf numFmtId="0" fontId="0" fillId="0" borderId="26" xfId="0" applyBorder="1"/>
    <xf numFmtId="0" fontId="0" fillId="56" borderId="0" xfId="0" applyFill="1"/>
    <xf numFmtId="0" fontId="0" fillId="60" borderId="10" xfId="0" applyFill="1" applyBorder="1"/>
    <xf numFmtId="0" fontId="38" fillId="61" borderId="0" xfId="0" applyFont="1" applyFill="1" applyAlignment="1">
      <alignment horizontal="center"/>
    </xf>
    <xf numFmtId="44" fontId="38" fillId="61" borderId="0" xfId="0" applyNumberFormat="1" applyFont="1" applyFill="1"/>
    <xf numFmtId="0" fontId="38" fillId="61" borderId="0" xfId="0" applyFont="1" applyFill="1"/>
    <xf numFmtId="0" fontId="39" fillId="0" borderId="0" xfId="0" applyFont="1"/>
    <xf numFmtId="0" fontId="39" fillId="0" borderId="0" xfId="0" applyFont="1" applyAlignment="1">
      <alignment horizontal="center"/>
    </xf>
    <xf numFmtId="44" fontId="39" fillId="0" borderId="0" xfId="0" applyNumberFormat="1" applyFont="1"/>
    <xf numFmtId="0" fontId="40" fillId="0" borderId="0" xfId="0" applyFont="1"/>
    <xf numFmtId="0" fontId="40" fillId="0" borderId="0" xfId="0" applyFont="1" applyAlignment="1">
      <alignment horizontal="center"/>
    </xf>
    <xf numFmtId="0" fontId="41" fillId="0" borderId="0" xfId="0" applyFont="1"/>
    <xf numFmtId="0" fontId="4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42" fillId="0" borderId="0" xfId="0" applyFont="1"/>
    <xf numFmtId="0" fontId="42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0" fillId="62" borderId="10" xfId="0" applyFill="1" applyBorder="1"/>
    <xf numFmtId="0" fontId="44" fillId="62" borderId="10" xfId="119" applyFill="1" applyBorder="1"/>
    <xf numFmtId="0" fontId="0" fillId="62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63" borderId="10" xfId="0" applyFill="1" applyBorder="1"/>
    <xf numFmtId="0" fontId="0" fillId="63" borderId="10" xfId="0" applyFill="1" applyBorder="1" applyAlignment="1">
      <alignment horizontal="center"/>
    </xf>
    <xf numFmtId="0" fontId="44" fillId="63" borderId="10" xfId="119" applyFill="1" applyBorder="1"/>
    <xf numFmtId="0" fontId="0" fillId="0" borderId="0" xfId="0" applyBorder="1"/>
    <xf numFmtId="0" fontId="44" fillId="63" borderId="10" xfId="119" applyFill="1" applyBorder="1" applyAlignment="1">
      <alignment horizontal="center"/>
    </xf>
    <xf numFmtId="0" fontId="0" fillId="63" borderId="10" xfId="0" applyFill="1" applyBorder="1" applyAlignment="1">
      <alignment horizontal="left"/>
    </xf>
    <xf numFmtId="0" fontId="44" fillId="0" borderId="10" xfId="119" applyBorder="1"/>
    <xf numFmtId="0" fontId="47" fillId="55" borderId="10" xfId="0" applyFont="1" applyFill="1" applyBorder="1" applyAlignment="1">
      <alignment horizontal="center"/>
    </xf>
    <xf numFmtId="0" fontId="48" fillId="57" borderId="10" xfId="0" applyFont="1" applyFill="1" applyBorder="1" applyAlignment="1">
      <alignment horizontal="center"/>
    </xf>
    <xf numFmtId="0" fontId="48" fillId="57" borderId="10" xfId="0" applyFont="1" applyFill="1" applyBorder="1"/>
    <xf numFmtId="167" fontId="48" fillId="57" borderId="10" xfId="0" applyNumberFormat="1" applyFont="1" applyFill="1" applyBorder="1"/>
    <xf numFmtId="0" fontId="0" fillId="62" borderId="10" xfId="0" applyFont="1" applyFill="1" applyBorder="1" applyAlignment="1">
      <alignment vertical="center"/>
    </xf>
    <xf numFmtId="0" fontId="45" fillId="62" borderId="10" xfId="0" applyFont="1" applyFill="1" applyBorder="1"/>
    <xf numFmtId="0" fontId="0" fillId="0" borderId="10" xfId="0" applyFont="1" applyFill="1" applyBorder="1" applyAlignment="1">
      <alignment horizontal="center"/>
    </xf>
    <xf numFmtId="167" fontId="0" fillId="0" borderId="10" xfId="0" applyNumberFormat="1" applyFont="1" applyFill="1" applyBorder="1"/>
    <xf numFmtId="0" fontId="0" fillId="0" borderId="10" xfId="0" applyBorder="1" applyAlignment="1">
      <alignment horizontal="center"/>
    </xf>
    <xf numFmtId="0" fontId="0" fillId="63" borderId="10" xfId="0" applyFont="1" applyFill="1" applyBorder="1" applyAlignment="1">
      <alignment horizontal="center"/>
    </xf>
    <xf numFmtId="0" fontId="0" fillId="63" borderId="10" xfId="0" applyFont="1" applyFill="1" applyBorder="1"/>
    <xf numFmtId="0" fontId="44" fillId="63" borderId="10" xfId="119" applyFont="1" applyFill="1" applyBorder="1"/>
    <xf numFmtId="0" fontId="49" fillId="55" borderId="10" xfId="0" applyFont="1" applyFill="1" applyBorder="1" applyAlignment="1">
      <alignment horizontal="center"/>
    </xf>
    <xf numFmtId="0" fontId="0" fillId="62" borderId="0" xfId="0" applyFill="1" applyBorder="1" applyAlignment="1">
      <alignment horizontal="center"/>
    </xf>
    <xf numFmtId="0" fontId="0" fillId="62" borderId="26" xfId="0" applyFill="1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vertical="center"/>
    </xf>
    <xf numFmtId="0" fontId="0" fillId="0" borderId="62" xfId="0" applyBorder="1"/>
    <xf numFmtId="0" fontId="0" fillId="0" borderId="67" xfId="0" applyBorder="1" applyAlignment="1">
      <alignment horizontal="right"/>
    </xf>
    <xf numFmtId="0" fontId="13" fillId="64" borderId="70" xfId="0" applyFont="1" applyFill="1" applyBorder="1" applyAlignment="1">
      <alignment horizontal="center"/>
    </xf>
    <xf numFmtId="0" fontId="13" fillId="64" borderId="10" xfId="0" applyFont="1" applyFill="1" applyBorder="1" applyAlignment="1">
      <alignment horizontal="center"/>
    </xf>
    <xf numFmtId="0" fontId="0" fillId="0" borderId="73" xfId="0" applyBorder="1"/>
    <xf numFmtId="0" fontId="13" fillId="64" borderId="74" xfId="0" applyFont="1" applyFill="1" applyBorder="1" applyAlignment="1">
      <alignment horizontal="center" vertical="center"/>
    </xf>
    <xf numFmtId="0" fontId="13" fillId="64" borderId="74" xfId="0" applyFont="1" applyFill="1" applyBorder="1" applyAlignment="1">
      <alignment horizontal="center"/>
    </xf>
    <xf numFmtId="0" fontId="0" fillId="0" borderId="78" xfId="0" applyBorder="1"/>
    <xf numFmtId="0" fontId="13" fillId="64" borderId="82" xfId="0" applyFont="1" applyFill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0" fillId="0" borderId="85" xfId="0" applyBorder="1" applyAlignment="1">
      <alignment horizontal="right"/>
    </xf>
    <xf numFmtId="0" fontId="0" fillId="0" borderId="62" xfId="0" applyBorder="1" applyAlignment="1">
      <alignment horizontal="right"/>
    </xf>
    <xf numFmtId="0" fontId="44" fillId="62" borderId="10" xfId="119" applyFill="1" applyBorder="1" applyAlignment="1">
      <alignment horizontal="center"/>
    </xf>
    <xf numFmtId="0" fontId="0" fillId="57" borderId="10" xfId="0" applyFill="1" applyBorder="1" applyAlignment="1">
      <alignment horizontal="center"/>
    </xf>
    <xf numFmtId="0" fontId="0" fillId="57" borderId="10" xfId="0" applyFill="1" applyBorder="1"/>
    <xf numFmtId="0" fontId="44" fillId="57" borderId="10" xfId="119" applyFill="1" applyBorder="1"/>
    <xf numFmtId="0" fontId="49" fillId="57" borderId="10" xfId="0" applyFont="1" applyFill="1" applyBorder="1" applyAlignment="1">
      <alignment horizontal="center"/>
    </xf>
    <xf numFmtId="167" fontId="0" fillId="57" borderId="10" xfId="0" applyNumberFormat="1" applyFill="1" applyBorder="1"/>
    <xf numFmtId="0" fontId="0" fillId="57" borderId="10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3" fillId="64" borderId="88" xfId="0" applyFont="1" applyFill="1" applyBorder="1" applyAlignment="1">
      <alignment horizontal="center"/>
    </xf>
    <xf numFmtId="0" fontId="17" fillId="65" borderId="92" xfId="0" applyFont="1" applyFill="1" applyBorder="1"/>
    <xf numFmtId="0" fontId="17" fillId="65" borderId="87" xfId="0" applyFont="1" applyFill="1" applyBorder="1"/>
    <xf numFmtId="0" fontId="50" fillId="65" borderId="61" xfId="0" applyFont="1" applyFill="1" applyBorder="1" applyAlignment="1">
      <alignment horizontal="center"/>
    </xf>
    <xf numFmtId="0" fontId="50" fillId="65" borderId="94" xfId="0" applyFont="1" applyFill="1" applyBorder="1" applyAlignment="1"/>
    <xf numFmtId="0" fontId="50" fillId="65" borderId="93" xfId="0" applyFont="1" applyFill="1" applyBorder="1" applyAlignment="1">
      <alignment horizontal="center"/>
    </xf>
    <xf numFmtId="0" fontId="0" fillId="0" borderId="95" xfId="0" applyBorder="1" applyAlignment="1">
      <alignment vertical="center"/>
    </xf>
    <xf numFmtId="0" fontId="0" fillId="0" borderId="96" xfId="0" applyBorder="1" applyAlignment="1">
      <alignment vertical="center"/>
    </xf>
    <xf numFmtId="0" fontId="0" fillId="0" borderId="97" xfId="0" applyBorder="1" applyAlignment="1">
      <alignment vertical="center"/>
    </xf>
    <xf numFmtId="0" fontId="0" fillId="0" borderId="98" xfId="0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99" xfId="0" applyBorder="1" applyAlignment="1">
      <alignment vertical="top"/>
    </xf>
    <xf numFmtId="0" fontId="13" fillId="64" borderId="17" xfId="0" applyFont="1" applyFill="1" applyBorder="1" applyAlignment="1">
      <alignment horizontal="center"/>
    </xf>
    <xf numFmtId="0" fontId="13" fillId="64" borderId="32" xfId="0" applyFont="1" applyFill="1" applyBorder="1" applyAlignment="1">
      <alignment horizontal="center"/>
    </xf>
    <xf numFmtId="0" fontId="0" fillId="0" borderId="100" xfId="0" applyBorder="1" applyAlignment="1"/>
    <xf numFmtId="0" fontId="13" fillId="64" borderId="101" xfId="0" applyFont="1" applyFill="1" applyBorder="1" applyAlignment="1">
      <alignment horizontal="center" vertical="center"/>
    </xf>
    <xf numFmtId="0" fontId="0" fillId="0" borderId="103" xfId="0" applyBorder="1" applyAlignment="1">
      <alignment vertical="center"/>
    </xf>
    <xf numFmtId="0" fontId="13" fillId="64" borderId="104" xfId="0" applyFont="1" applyFill="1" applyBorder="1" applyAlignment="1">
      <alignment horizontal="center"/>
    </xf>
    <xf numFmtId="0" fontId="13" fillId="64" borderId="43" xfId="0" applyFont="1" applyFill="1" applyBorder="1" applyAlignment="1">
      <alignment horizontal="center"/>
    </xf>
    <xf numFmtId="0" fontId="0" fillId="0" borderId="105" xfId="0" applyBorder="1" applyAlignment="1">
      <alignment vertical="center"/>
    </xf>
    <xf numFmtId="0" fontId="0" fillId="0" borderId="106" xfId="0" applyBorder="1" applyAlignment="1">
      <alignment vertical="center"/>
    </xf>
    <xf numFmtId="0" fontId="0" fillId="0" borderId="121" xfId="0" applyBorder="1" applyAlignment="1">
      <alignment vertical="top"/>
    </xf>
    <xf numFmtId="0" fontId="0" fillId="0" borderId="122" xfId="0" applyBorder="1"/>
    <xf numFmtId="0" fontId="0" fillId="0" borderId="123" xfId="0" applyBorder="1"/>
    <xf numFmtId="0" fontId="0" fillId="0" borderId="124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166" fontId="0" fillId="0" borderId="124" xfId="0" applyNumberFormat="1" applyBorder="1"/>
    <xf numFmtId="0" fontId="0" fillId="0" borderId="130" xfId="0" applyBorder="1"/>
    <xf numFmtId="0" fontId="0" fillId="0" borderId="131" xfId="0" applyBorder="1"/>
    <xf numFmtId="0" fontId="50" fillId="0" borderId="132" xfId="0" applyFont="1" applyBorder="1" applyAlignment="1">
      <alignment horizontal="center" vertical="center" wrapText="1"/>
    </xf>
    <xf numFmtId="0" fontId="50" fillId="0" borderId="46" xfId="0" applyFont="1" applyBorder="1" applyAlignment="1">
      <alignment horizontal="center" vertical="center"/>
    </xf>
    <xf numFmtId="0" fontId="0" fillId="0" borderId="133" xfId="0" applyBorder="1"/>
    <xf numFmtId="0" fontId="0" fillId="0" borderId="134" xfId="0" applyBorder="1"/>
    <xf numFmtId="0" fontId="0" fillId="0" borderId="135" xfId="0" applyBorder="1"/>
    <xf numFmtId="0" fontId="0" fillId="0" borderId="136" xfId="0" applyBorder="1"/>
    <xf numFmtId="44" fontId="0" fillId="0" borderId="75" xfId="0" applyNumberFormat="1" applyBorder="1"/>
    <xf numFmtId="44" fontId="0" fillId="0" borderId="102" xfId="0" applyNumberFormat="1" applyBorder="1"/>
    <xf numFmtId="44" fontId="0" fillId="0" borderId="86" xfId="0" applyNumberFormat="1" applyBorder="1"/>
    <xf numFmtId="0" fontId="0" fillId="0" borderId="1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62" borderId="49" xfId="0" applyFill="1" applyBorder="1" applyAlignment="1">
      <alignment horizontal="center"/>
    </xf>
    <xf numFmtId="0" fontId="0" fillId="62" borderId="46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60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63" borderId="26" xfId="0" applyFill="1" applyBorder="1" applyAlignment="1">
      <alignment horizontal="center"/>
    </xf>
    <xf numFmtId="0" fontId="0" fillId="63" borderId="50" xfId="0" applyFill="1" applyBorder="1" applyAlignment="1">
      <alignment horizontal="center"/>
    </xf>
    <xf numFmtId="0" fontId="46" fillId="0" borderId="45" xfId="0" applyFont="1" applyBorder="1" applyAlignment="1">
      <alignment horizontal="center" textRotation="255"/>
    </xf>
    <xf numFmtId="0" fontId="46" fillId="0" borderId="47" xfId="0" applyFont="1" applyBorder="1" applyAlignment="1">
      <alignment horizontal="center" textRotation="255"/>
    </xf>
    <xf numFmtId="0" fontId="46" fillId="0" borderId="48" xfId="0" applyFont="1" applyBorder="1" applyAlignment="1">
      <alignment horizontal="center" textRotation="255"/>
    </xf>
    <xf numFmtId="0" fontId="0" fillId="0" borderId="43" xfId="0" applyBorder="1" applyAlignment="1">
      <alignment horizontal="center" vertical="center"/>
    </xf>
    <xf numFmtId="0" fontId="0" fillId="60" borderId="26" xfId="0" applyFill="1" applyBorder="1" applyAlignment="1">
      <alignment horizontal="center"/>
    </xf>
    <xf numFmtId="0" fontId="0" fillId="60" borderId="20" xfId="0" applyFill="1" applyBorder="1" applyAlignment="1">
      <alignment horizontal="center"/>
    </xf>
    <xf numFmtId="0" fontId="0" fillId="60" borderId="1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2" xfId="0" applyBorder="1" applyAlignment="1">
      <alignment horizontal="left" vertical="center"/>
    </xf>
    <xf numFmtId="0" fontId="0" fillId="0" borderId="63" xfId="0" applyBorder="1" applyAlignment="1">
      <alignment horizontal="left" vertical="center"/>
    </xf>
    <xf numFmtId="0" fontId="0" fillId="0" borderId="107" xfId="0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116" xfId="0" applyBorder="1" applyAlignment="1">
      <alignment horizontal="left" vertical="center"/>
    </xf>
    <xf numFmtId="0" fontId="0" fillId="0" borderId="117" xfId="0" applyBorder="1" applyAlignment="1">
      <alignment horizontal="left" vertical="center"/>
    </xf>
    <xf numFmtId="0" fontId="0" fillId="0" borderId="118" xfId="0" applyBorder="1" applyAlignment="1">
      <alignment horizontal="left" vertical="center"/>
    </xf>
    <xf numFmtId="0" fontId="0" fillId="0" borderId="119" xfId="0" applyBorder="1" applyAlignment="1">
      <alignment horizontal="left" vertical="center"/>
    </xf>
    <xf numFmtId="0" fontId="0" fillId="0" borderId="113" xfId="0" applyBorder="1" applyAlignment="1">
      <alignment horizontal="left" vertical="center"/>
    </xf>
    <xf numFmtId="0" fontId="0" fillId="0" borderId="114" xfId="0" applyBorder="1" applyAlignment="1">
      <alignment horizontal="left" vertical="center"/>
    </xf>
    <xf numFmtId="0" fontId="0" fillId="0" borderId="115" xfId="0" applyBorder="1" applyAlignment="1">
      <alignment horizontal="left" vertical="center"/>
    </xf>
    <xf numFmtId="0" fontId="0" fillId="0" borderId="79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3" xfId="0" applyBorder="1" applyAlignment="1">
      <alignment horizontal="left"/>
    </xf>
    <xf numFmtId="0" fontId="0" fillId="0" borderId="84" xfId="0" applyBorder="1" applyAlignment="1">
      <alignment horizontal="left"/>
    </xf>
    <xf numFmtId="0" fontId="0" fillId="0" borderId="63" xfId="0" applyBorder="1" applyAlignment="1">
      <alignment horizontal="left"/>
    </xf>
    <xf numFmtId="0" fontId="0" fillId="0" borderId="64" xfId="0" applyBorder="1" applyAlignment="1">
      <alignment horizontal="left"/>
    </xf>
    <xf numFmtId="0" fontId="0" fillId="0" borderId="63" xfId="0" applyBorder="1" applyAlignment="1">
      <alignment horizontal="left" vertical="top"/>
    </xf>
    <xf numFmtId="0" fontId="0" fillId="0" borderId="64" xfId="0" applyBorder="1" applyAlignment="1">
      <alignment horizontal="left" vertical="top"/>
    </xf>
    <xf numFmtId="0" fontId="0" fillId="0" borderId="68" xfId="0" applyBorder="1" applyAlignment="1">
      <alignment horizontal="left" vertical="top"/>
    </xf>
    <xf numFmtId="0" fontId="0" fillId="0" borderId="69" xfId="0" applyBorder="1" applyAlignment="1">
      <alignment horizontal="left" vertical="top"/>
    </xf>
    <xf numFmtId="0" fontId="0" fillId="0" borderId="89" xfId="0" applyBorder="1" applyAlignment="1">
      <alignment horizontal="left"/>
    </xf>
    <xf numFmtId="0" fontId="0" fillId="0" borderId="90" xfId="0" applyBorder="1" applyAlignment="1">
      <alignment horizontal="left"/>
    </xf>
    <xf numFmtId="0" fontId="0" fillId="0" borderId="91" xfId="0" applyBorder="1" applyAlignment="1">
      <alignment horizontal="left"/>
    </xf>
    <xf numFmtId="0" fontId="50" fillId="65" borderId="45" xfId="0" applyFont="1" applyFill="1" applyBorder="1" applyAlignment="1">
      <alignment horizontal="center"/>
    </xf>
    <xf numFmtId="0" fontId="50" fillId="65" borderId="61" xfId="0" applyFont="1" applyFill="1" applyBorder="1" applyAlignment="1">
      <alignment horizontal="center"/>
    </xf>
    <xf numFmtId="0" fontId="50" fillId="65" borderId="93" xfId="0" applyFont="1" applyFill="1" applyBorder="1" applyAlignment="1">
      <alignment horizontal="center"/>
    </xf>
    <xf numFmtId="0" fontId="0" fillId="0" borderId="71" xfId="0" applyBorder="1" applyAlignment="1">
      <alignment horizontal="left"/>
    </xf>
    <xf numFmtId="0" fontId="0" fillId="0" borderId="72" xfId="0" applyBorder="1" applyAlignment="1">
      <alignment horizontal="left"/>
    </xf>
    <xf numFmtId="0" fontId="0" fillId="0" borderId="76" xfId="0" applyBorder="1" applyAlignment="1">
      <alignment horizontal="left"/>
    </xf>
    <xf numFmtId="0" fontId="0" fillId="0" borderId="77" xfId="0" applyBorder="1" applyAlignment="1">
      <alignment horizontal="left"/>
    </xf>
    <xf numFmtId="0" fontId="0" fillId="0" borderId="113" xfId="0" applyFont="1" applyBorder="1" applyAlignment="1">
      <alignment horizontal="left" vertical="center"/>
    </xf>
    <xf numFmtId="0" fontId="0" fillId="0" borderId="114" xfId="0" applyFont="1" applyBorder="1" applyAlignment="1">
      <alignment horizontal="left" vertical="center"/>
    </xf>
    <xf numFmtId="0" fontId="0" fillId="0" borderId="115" xfId="0" applyFont="1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0" xfId="0" applyBorder="1" applyAlignment="1">
      <alignment horizontal="left" vertical="center"/>
    </xf>
    <xf numFmtId="0" fontId="0" fillId="0" borderId="108" xfId="0" applyBorder="1" applyAlignment="1">
      <alignment horizontal="left"/>
    </xf>
    <xf numFmtId="0" fontId="0" fillId="0" borderId="109" xfId="0" applyBorder="1" applyAlignment="1">
      <alignment horizontal="left"/>
    </xf>
    <xf numFmtId="0" fontId="0" fillId="0" borderId="110" xfId="0" applyFont="1" applyBorder="1" applyAlignment="1">
      <alignment horizontal="left" vertical="center"/>
    </xf>
    <xf numFmtId="0" fontId="0" fillId="0" borderId="111" xfId="0" applyFont="1" applyBorder="1" applyAlignment="1">
      <alignment horizontal="left" vertical="center"/>
    </xf>
    <xf numFmtId="0" fontId="0" fillId="0" borderId="112" xfId="0" applyFont="1" applyBorder="1" applyAlignment="1">
      <alignment horizontal="left" vertical="center"/>
    </xf>
    <xf numFmtId="0" fontId="0" fillId="0" borderId="62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0" fillId="0" borderId="107" xfId="0" applyFont="1" applyBorder="1" applyAlignment="1">
      <alignment horizontal="left" vertical="center"/>
    </xf>
    <xf numFmtId="0" fontId="0" fillId="0" borderId="65" xfId="0" applyFont="1" applyBorder="1" applyAlignment="1">
      <alignment horizontal="left" vertical="center"/>
    </xf>
    <xf numFmtId="0" fontId="0" fillId="0" borderId="66" xfId="0" applyFont="1" applyBorder="1" applyAlignment="1">
      <alignment horizontal="left" vertical="center"/>
    </xf>
    <xf numFmtId="0" fontId="0" fillId="0" borderId="116" xfId="0" applyFont="1" applyBorder="1" applyAlignment="1">
      <alignment horizontal="left" vertical="center"/>
    </xf>
    <xf numFmtId="0" fontId="0" fillId="0" borderId="117" xfId="0" applyFont="1" applyBorder="1" applyAlignment="1">
      <alignment horizontal="left" vertical="center"/>
    </xf>
    <xf numFmtId="0" fontId="0" fillId="0" borderId="118" xfId="0" applyFont="1" applyBorder="1" applyAlignment="1">
      <alignment horizontal="left" vertical="center"/>
    </xf>
    <xf numFmtId="0" fontId="0" fillId="0" borderId="119" xfId="0" applyFont="1" applyBorder="1" applyAlignment="1">
      <alignment horizontal="left" vertical="center"/>
    </xf>
  </cellXfs>
  <cellStyles count="120">
    <cellStyle name="20 % - Accent1 2" xfId="1"/>
    <cellStyle name="20 % - Accent1 2 2" xfId="2"/>
    <cellStyle name="20 % - Accent1 3" xfId="3"/>
    <cellStyle name="20 % - Accent2 2" xfId="4"/>
    <cellStyle name="20 % - Accent2 2 2" xfId="5"/>
    <cellStyle name="20 % - Accent2 3" xfId="6"/>
    <cellStyle name="20 % - Accent3 2" xfId="7"/>
    <cellStyle name="20 % - Accent3 2 2" xfId="8"/>
    <cellStyle name="20 % - Accent3 3" xfId="9"/>
    <cellStyle name="20 % - Accent4 2" xfId="10"/>
    <cellStyle name="20 % - Accent4 2 2" xfId="11"/>
    <cellStyle name="20 % - Accent4 3" xfId="12"/>
    <cellStyle name="20 % - Accent5 2" xfId="13"/>
    <cellStyle name="20 % - Accent5 2 2" xfId="14"/>
    <cellStyle name="20 % - Accent5 3" xfId="15"/>
    <cellStyle name="20 % - Accent6 2" xfId="16"/>
    <cellStyle name="20 % - Accent6 2 2" xfId="17"/>
    <cellStyle name="20 % - Accent6 3" xfId="18"/>
    <cellStyle name="20% - Accent1 2" xfId="19"/>
    <cellStyle name="20% - Accent2 2" xfId="20"/>
    <cellStyle name="20% - Accent3 2" xfId="21"/>
    <cellStyle name="20% - Accent4 2" xfId="22"/>
    <cellStyle name="20% - Accent5 2" xfId="23"/>
    <cellStyle name="20% - Accent6 2" xfId="24"/>
    <cellStyle name="40 % - Accent1 2" xfId="25"/>
    <cellStyle name="40 % - Accent1 2 2" xfId="26"/>
    <cellStyle name="40 % - Accent1 3" xfId="27"/>
    <cellStyle name="40 % - Accent2 2" xfId="28"/>
    <cellStyle name="40 % - Accent2 2 2" xfId="29"/>
    <cellStyle name="40 % - Accent2 3" xfId="30"/>
    <cellStyle name="40 % - Accent3 2" xfId="31"/>
    <cellStyle name="40 % - Accent3 2 2" xfId="32"/>
    <cellStyle name="40 % - Accent3 3" xfId="33"/>
    <cellStyle name="40 % - Accent4 2" xfId="34"/>
    <cellStyle name="40 % - Accent4 2 2" xfId="35"/>
    <cellStyle name="40 % - Accent4 3" xfId="36"/>
    <cellStyle name="40 % - Accent5 2" xfId="37"/>
    <cellStyle name="40 % - Accent5 2 2" xfId="38"/>
    <cellStyle name="40 % - Accent5 3" xfId="39"/>
    <cellStyle name="40 % - Accent6 2" xfId="40"/>
    <cellStyle name="40 % - Accent6 2 2" xfId="41"/>
    <cellStyle name="40 % - Accent6 3" xfId="42"/>
    <cellStyle name="40% - Accent1 2" xfId="43"/>
    <cellStyle name="40% - Accent2 2" xfId="44"/>
    <cellStyle name="40% - Accent3 2" xfId="45"/>
    <cellStyle name="40% - Accent4 2" xfId="46"/>
    <cellStyle name="40% - Accent5 2" xfId="47"/>
    <cellStyle name="40% - Accent6 2" xfId="48"/>
    <cellStyle name="60 % - Accent1 2" xfId="49"/>
    <cellStyle name="60 % - Accent2 2" xfId="50"/>
    <cellStyle name="60 % - Accent3 2" xfId="51"/>
    <cellStyle name="60 % - Accent4 2" xfId="52"/>
    <cellStyle name="60 % - Accent5 2" xfId="53"/>
    <cellStyle name="60 % - Accent6 2" xfId="54"/>
    <cellStyle name="60% - Accent1 2" xfId="55"/>
    <cellStyle name="60% - Accent2 2" xfId="56"/>
    <cellStyle name="60% - Accent3 2" xfId="57"/>
    <cellStyle name="60% - Accent4 2" xfId="58"/>
    <cellStyle name="60% - Accent5 2" xfId="59"/>
    <cellStyle name="60% - Accent6 2" xfId="60"/>
    <cellStyle name="Accent1 2" xfId="61"/>
    <cellStyle name="Accent1 3" xfId="62"/>
    <cellStyle name="Accent2 2" xfId="63"/>
    <cellStyle name="Accent2 3" xfId="64"/>
    <cellStyle name="Accent3 2" xfId="65"/>
    <cellStyle name="Accent3 3" xfId="66"/>
    <cellStyle name="Accent4 2" xfId="67"/>
    <cellStyle name="Accent4 3" xfId="68"/>
    <cellStyle name="Accent5 2" xfId="69"/>
    <cellStyle name="Accent5 3" xfId="70"/>
    <cellStyle name="Accent6 2" xfId="71"/>
    <cellStyle name="Accent6 3" xfId="72"/>
    <cellStyle name="Avertissement 2" xfId="73"/>
    <cellStyle name="Bad 2" xfId="74"/>
    <cellStyle name="Calcul 2" xfId="75"/>
    <cellStyle name="Calculation 2" xfId="76"/>
    <cellStyle name="Cellule liée 2" xfId="77"/>
    <cellStyle name="Check Cell 2" xfId="78"/>
    <cellStyle name="Comma 2" xfId="79"/>
    <cellStyle name="Commentaire 2" xfId="80"/>
    <cellStyle name="Commentaire 2 2" xfId="81"/>
    <cellStyle name="Commentaire 3" xfId="82"/>
    <cellStyle name="Commentaire 4" xfId="83"/>
    <cellStyle name="Entrée 2" xfId="84"/>
    <cellStyle name="Explanatory Text 2" xfId="85"/>
    <cellStyle name="Good 2" xfId="86"/>
    <cellStyle name="Heading 1 2" xfId="87"/>
    <cellStyle name="Heading 2 2" xfId="88"/>
    <cellStyle name="Heading 3 2" xfId="89"/>
    <cellStyle name="Heading 4 2" xfId="90"/>
    <cellStyle name="Hyperlink" xfId="119" builtinId="8"/>
    <cellStyle name="Input 2" xfId="91"/>
    <cellStyle name="Insatisfaisant 2" xfId="92"/>
    <cellStyle name="Linked Cell 2" xfId="93"/>
    <cellStyle name="Monétaire 2" xfId="94"/>
    <cellStyle name="Neutral 2" xfId="95"/>
    <cellStyle name="Neutre 2" xfId="96"/>
    <cellStyle name="Normal" xfId="0" builtinId="0"/>
    <cellStyle name="Normal 2" xfId="97"/>
    <cellStyle name="Normal 2 2" xfId="98"/>
    <cellStyle name="Normal 3" xfId="99"/>
    <cellStyle name="Normal 4" xfId="100"/>
    <cellStyle name="Normal 5" xfId="101"/>
    <cellStyle name="Note 2" xfId="102"/>
    <cellStyle name="Output 2" xfId="103"/>
    <cellStyle name="Percent 2" xfId="104"/>
    <cellStyle name="Pourcentage 2" xfId="105"/>
    <cellStyle name="Satisfaisant 2" xfId="106"/>
    <cellStyle name="Sortie 2" xfId="107"/>
    <cellStyle name="Texte explicatif 2" xfId="108"/>
    <cellStyle name="Title 2" xfId="109"/>
    <cellStyle name="Titre 2" xfId="110"/>
    <cellStyle name="Titre 1 2" xfId="111"/>
    <cellStyle name="Titre 2 2" xfId="112"/>
    <cellStyle name="Titre 3 2" xfId="113"/>
    <cellStyle name="Titre 4 2" xfId="114"/>
    <cellStyle name="Total 2" xfId="115"/>
    <cellStyle name="Total 3" xfId="116"/>
    <cellStyle name="Vérification 2" xfId="117"/>
    <cellStyle name="Warning Text 2" xfId="118"/>
  </cellStyles>
  <dxfs count="69">
    <dxf>
      <numFmt numFmtId="34" formatCode="_ * #,##0.00_)\ &quot;$&quot;_ ;_ * \(#,##0.00\)\ &quot;$&quot;_ ;_ * &quot;-&quot;??_)\ &quot;$&quot;_ ;_ @_ "/>
      <border diagonalUp="0" diagonalDown="0">
        <left style="thin">
          <color indexed="64"/>
        </left>
        <right style="medium">
          <color auto="1"/>
        </right>
        <top style="dashed">
          <color indexed="64"/>
        </top>
        <bottom style="dashed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auto="1"/>
        </right>
        <top style="dashed">
          <color indexed="64"/>
        </top>
        <bottom style="dashed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79998168889431442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  <numFmt numFmtId="3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  <numFmt numFmtId="3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  <numFmt numFmtId="34" formatCode="_ * #,##0.00_)\ &quot;$&quot;_ ;_ * \(#,##0.00\)\ &quot;$&quot;_ ;_ * &quot;-&quot;??_)\ &quot;$&quot;_ ;_ @_ "/>
      <fill>
        <patternFill patternType="solid">
          <fgColor indexed="64"/>
          <bgColor theme="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4" formatCode="_ * #,##0.00_)\ &quot;$&quot;_ ;_ * \(#,##0.00\)\ &quot;$&quot;_ ;_ * &quot;-&quot;??_)\ &quot;$&quot;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0" formatCode="dd/mmm/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0" formatCode="dd/mmm/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_ * #,##0.00_)\ [$$-C0C]_ ;_ * \(#,##0.00\)\ [$$-C0C]_ ;_ * &quot;-&quot;??_)\ [$$-C0C]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io.teoli/Dropbox/Veolia/SoumissionService/Service/Soum_Service2017_Chum_V3_withK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É"/>
      <sheetName val="LISTE DE PRIX"/>
      <sheetName val="CableChum"/>
      <sheetName val="CableChum HEPA"/>
      <sheetName val="Cable projectco Non-CCQ"/>
      <sheetName val="Cable projectco HEPA Non-CCQ"/>
      <sheetName val="Cable Projectco CCQ"/>
      <sheetName val="Cable Projectco HEPA CCQ"/>
      <sheetName val="M-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3" name="MasterTable" displayName="MasterTable" ref="B6:BE28" totalsRowShown="0" headerRowDxfId="68" dataDxfId="67" tableBorderDxfId="66">
  <autoFilter ref="B6:BE28"/>
  <tableColumns count="56">
    <tableColumn id="1" name="Pro" dataDxfId="65"/>
    <tableColumn id="2" name="# B.T" dataDxfId="64"/>
    <tableColumn id="3" name="VARIA " dataDxfId="63"/>
    <tableColumn id="4" name="# B.C" dataDxfId="62"/>
    <tableColumn id="5" name="NOM CONTACT" dataDxfId="61"/>
    <tableColumn id="6" name="EMAIL CONTACT" dataDxfId="60"/>
    <tableColumn id="7" name="Soumission" dataDxfId="59"/>
    <tableColumn id="8" name="PRIX Soumis" dataDxfId="58"/>
    <tableColumn id="9" name="Acquis" dataDxfId="57"/>
    <tableColumn id="10" name="DATE DEBUT" dataDxfId="56"/>
    <tableColumn id="11" name="DATE FIN" dataDxfId="55"/>
    <tableColumn id="12" name="1er" dataDxfId="54">
      <calculatedColumnFormula>SUM(0)</calculatedColumnFormula>
    </tableColumn>
    <tableColumn id="13" name="2 à 5" dataDxfId="53">
      <calculatedColumnFormula>SUM(0)</calculatedColumnFormula>
    </tableColumn>
    <tableColumn id="14" name="6 à 10" dataDxfId="52">
      <calculatedColumnFormula>SUM(0)</calculatedColumnFormula>
    </tableColumn>
    <tableColumn id="15" name="1er " dataDxfId="51">
      <calculatedColumnFormula>SUM(0)</calculatedColumnFormula>
    </tableColumn>
    <tableColumn id="16" name="2 à 5 " dataDxfId="50">
      <calculatedColumnFormula>SUM(0)</calculatedColumnFormula>
    </tableColumn>
    <tableColumn id="17" name="6 à 10 " dataDxfId="49">
      <calculatedColumnFormula>SUM(0)</calculatedColumnFormula>
    </tableColumn>
    <tableColumn id="18" name="1er  " dataDxfId="48">
      <calculatedColumnFormula>SUM(0)</calculatedColumnFormula>
    </tableColumn>
    <tableColumn id="19" name="2 à 5  " dataDxfId="47">
      <calculatedColumnFormula>SUM(0)</calculatedColumnFormula>
    </tableColumn>
    <tableColumn id="20" name="6 à 10  " dataDxfId="46">
      <calculatedColumnFormula>SUM(0)</calculatedColumnFormula>
    </tableColumn>
    <tableColumn id="21" name="1er   " dataDxfId="45">
      <calculatedColumnFormula>SUM(0)</calculatedColumnFormula>
    </tableColumn>
    <tableColumn id="22" name="2 à 5   " dataDxfId="44">
      <calculatedColumnFormula>SUM(0)</calculatedColumnFormula>
    </tableColumn>
    <tableColumn id="23" name="6 à 10   " dataDxfId="43">
      <calculatedColumnFormula>SUM(0)</calculatedColumnFormula>
    </tableColumn>
    <tableColumn id="24" name="1er    " dataDxfId="42">
      <calculatedColumnFormula>SUM(0)</calculatedColumnFormula>
    </tableColumn>
    <tableColumn id="25" name="2 à 5    " dataDxfId="41">
      <calculatedColumnFormula>SUM(0)</calculatedColumnFormula>
    </tableColumn>
    <tableColumn id="26" name="6 à 10    " dataDxfId="40">
      <calculatedColumnFormula>SUM(0)</calculatedColumnFormula>
    </tableColumn>
    <tableColumn id="27" name="1er     " dataDxfId="39">
      <calculatedColumnFormula>SUM(0)</calculatedColumnFormula>
    </tableColumn>
    <tableColumn id="28" name="2 à 5     " dataDxfId="38">
      <calculatedColumnFormula>SUM(0)</calculatedColumnFormula>
    </tableColumn>
    <tableColumn id="29" name="6 à 10     " dataDxfId="37">
      <calculatedColumnFormula>SUM(0)</calculatedColumnFormula>
    </tableColumn>
    <tableColumn id="30" name="Blanc ($/M)" dataDxfId="36">
      <calculatedColumnFormula>SUM(0)</calculatedColumnFormula>
    </tableColumn>
    <tableColumn id="31" name="Vert ($/M)" dataDxfId="35">
      <calculatedColumnFormula>SUM(0)</calculatedColumnFormula>
    </tableColumn>
    <tableColumn id="32" name="Blanc" dataDxfId="34">
      <calculatedColumnFormula>SUM(0)</calculatedColumnFormula>
    </tableColumn>
    <tableColumn id="33" name="Noir" dataDxfId="33">
      <calculatedColumnFormula>SUM(0)</calculatedColumnFormula>
    </tableColumn>
    <tableColumn id="34" name="Vert" dataDxfId="32">
      <calculatedColumnFormula>SUM(0)</calculatedColumnFormula>
    </tableColumn>
    <tableColumn id="35" name="1 port" dataDxfId="31">
      <calculatedColumnFormula>SUM(0)</calculatedColumnFormula>
    </tableColumn>
    <tableColumn id="36" name="2 port" dataDxfId="30">
      <calculatedColumnFormula>SUM(0)</calculatedColumnFormula>
    </tableColumn>
    <tableColumn id="37" name="4 port" dataDxfId="29">
      <calculatedColumnFormula>SUM(0)</calculatedColumnFormula>
    </tableColumn>
    <tableColumn id="38" name="6 port" dataDxfId="28">
      <calculatedColumnFormula>SUM(0)</calculatedColumnFormula>
    </tableColumn>
    <tableColumn id="39" name="1 port " dataDxfId="27">
      <calculatedColumnFormula>SUM(0)</calculatedColumnFormula>
    </tableColumn>
    <tableColumn id="40" name="2 port " dataDxfId="26">
      <calculatedColumnFormula>SUM(0)</calculatedColumnFormula>
    </tableColumn>
    <tableColumn id="41" name="4 port " dataDxfId="25">
      <calculatedColumnFormula>SUM(0)</calculatedColumnFormula>
    </tableColumn>
    <tableColumn id="42" name="48 port" dataDxfId="24">
      <calculatedColumnFormula>SUM(0)</calculatedColumnFormula>
    </tableColumn>
    <tableColumn id="43" name="2'" dataDxfId="23">
      <calculatedColumnFormula>SUM(0)</calculatedColumnFormula>
    </tableColumn>
    <tableColumn id="44" name="4'" dataDxfId="22">
      <calculatedColumnFormula>SUM(0)</calculatedColumnFormula>
    </tableColumn>
    <tableColumn id="45" name="7'" dataDxfId="21">
      <calculatedColumnFormula>SUM(0)</calculatedColumnFormula>
    </tableColumn>
    <tableColumn id="46" name="10'" dataDxfId="20">
      <calculatedColumnFormula>SUM(0)</calculatedColumnFormula>
    </tableColumn>
    <tableColumn id="47" name="15'" dataDxfId="19">
      <calculatedColumnFormula>SUM(0)</calculatedColumnFormula>
    </tableColumn>
    <tableColumn id="48" name="REG" dataDxfId="18">
      <calculatedColumnFormula>SUM(0)</calculatedColumnFormula>
    </tableColumn>
    <tableColumn id="49" name="Overtime" dataDxfId="17">
      <calculatedColumnFormula>SUM(0)</calculatedColumnFormula>
    </tableColumn>
    <tableColumn id="50" name="Ferier" dataDxfId="16">
      <calculatedColumnFormula>SUM(0)</calculatedColumnFormula>
    </tableColumn>
    <tableColumn id="51" name="REG " dataDxfId="15">
      <calculatedColumnFormula>SUM(0)</calculatedColumnFormula>
    </tableColumn>
    <tableColumn id="52" name="Overtime " dataDxfId="14">
      <calculatedColumnFormula>SUM(0)</calculatedColumnFormula>
    </tableColumn>
    <tableColumn id="53" name="Ferier " dataDxfId="13">
      <calculatedColumnFormula>SUM(0)</calculatedColumnFormula>
    </tableColumn>
    <tableColumn id="56" name="Misc." dataDxfId="12"/>
    <tableColumn id="54" name="total ($)" dataDxfId="11">
      <calculatedColumnFormula>SUM(M7*RESUMÉ!$E$14,N7*RESUMÉ!$E$15,O7*RESUMÉ!$E$16,P7*RESUMÉ!$E$17,Q7*RESUMÉ!$E$18,R7*RESUMÉ!$E$19,S7*RESUMÉ!$E$20,T7*RESUMÉ!$E$21,U7*RESUMÉ!$E$22,V7*RESUMÉ!$E$23,W7*RESUMÉ!$E$24,X7*RESUMÉ!$E$25,Y7*RESUMÉ!$E$26,Z7*RESUMÉ!$E$27,AA7*RESUMÉ!$E$28,AB7*RESUMÉ!$E$29,AC7*RESUMÉ!$E$30,AD7*RESUMÉ!$E$31,AE7*'LISTE DE PRIX'!$F$6,AF7*'LISTE DE PRIX'!$F$7,AG7*'LISTE DE PRIX'!$F$12,AH7*'LISTE DE PRIX'!$F$13,AI7*'LISTE DE PRIX'!$F$14,AJ7*'LISTE DE PRIX'!$F$8,AK7*'LISTE DE PRIX'!$F$9,AL7*'LISTE DE PRIX'!$F$10,AM7*'LISTE DE PRIX'!$F$11,AN7*'LISTE DE PRIX'!$F$16,AO7*'LISTE DE PRIX'!$F$17,AP7*'LISTE DE PRIX'!$F$18,AQ7*'LISTE DE PRIX'!$F$15,AR7*'LISTE DE PRIX'!$F$19,AS7*'LISTE DE PRIX'!$F$20,AT7*'LISTE DE PRIX'!$F$21,AU7*'LISTE DE PRIX'!$F$22,AV7*'LISTE DE PRIX'!$F$23,AW7*'LISTE DE PRIX'!$F$25,AX7*'LISTE DE PRIX'!$F$26,AY7*'LISTE DE PRIX'!$F$27,AZ7*'LISTE DE PRIX'!$F$28,BA7*'LISTE DE PRIX'!$F$29,BB7*'LISTE DE PRIX'!$F$30)+MasterTable[[#This Row],[Misc.]]</calculatedColumnFormula>
    </tableColumn>
    <tableColumn id="55" name="commentair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OTAL" displayName="TOTAL" ref="B4:H10">
  <autoFilter ref="B4:H10"/>
  <tableColumns count="7">
    <tableColumn id="1" name="TYPE DE CABLES" totalsRowLabel="Total"/>
    <tableColumn id="2" name="COSTS" dataDxfId="9">
      <calculatedColumnFormula>[1]CableChum!$J$27</calculatedColumnFormula>
    </tableColumn>
    <tableColumn id="3" name="SALES"/>
    <tableColumn id="4" name="   COSTS  " totalsRowFunction="count" dataDxfId="8"/>
    <tableColumn id="11" name="   SALES  "/>
    <tableColumn id="12" name="   COST   " dataDxfId="7"/>
    <tableColumn id="13" name=" SALES 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id="2" name="Table11" displayName="Table11" ref="B13:E31" totalsRowShown="0">
  <autoFilter ref="B13:E31"/>
  <tableColumns count="4">
    <tableColumn id="1" name="TYPE DE CABLE"/>
    <tableColumn id="2" name="NOMBRE DE CABLE" dataDxfId="6"/>
    <tableColumn id="3" name="PRIX COST" dataDxfId="5"/>
    <tableColumn id="4" name="PRIX SALES">
      <calculatedColumnFormula>D5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F7:G51" totalsRowShown="0" headerRowDxfId="4" headerRowBorderDxfId="3" tableBorderDxfId="2">
  <autoFilter ref="F7:G51"/>
  <tableColumns count="2">
    <tableColumn id="1" name=" " dataDxfId="1"/>
    <tableColumn id="2" name="Column1" dataDxfId="0">
      <calculatedColumnFormula>RESUMÉ!E14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lien.nevespelchat@veolia.com" TargetMode="External"/><Relationship Id="rId13" Type="http://schemas.openxmlformats.org/officeDocument/2006/relationships/hyperlink" Target="mailto:francois.beauregard@veolia.com" TargetMode="External"/><Relationship Id="rId18" Type="http://schemas.openxmlformats.org/officeDocument/2006/relationships/hyperlink" Target="mailto:jean-michel.lendais@veolia.com" TargetMode="External"/><Relationship Id="rId3" Type="http://schemas.openxmlformats.org/officeDocument/2006/relationships/hyperlink" Target="mailto:jean-michel.lendais@veolia.com" TargetMode="External"/><Relationship Id="rId21" Type="http://schemas.openxmlformats.org/officeDocument/2006/relationships/table" Target="../tables/table1.xml"/><Relationship Id="rId7" Type="http://schemas.openxmlformats.org/officeDocument/2006/relationships/hyperlink" Target="mailto:jean-michel.lendais@veolia.com" TargetMode="External"/><Relationship Id="rId12" Type="http://schemas.openxmlformats.org/officeDocument/2006/relationships/hyperlink" Target="mailto:jean-michel.lendais@veolia.com" TargetMode="External"/><Relationship Id="rId17" Type="http://schemas.openxmlformats.org/officeDocument/2006/relationships/hyperlink" Target="mailto:francois.beauregard@veolia.com" TargetMode="External"/><Relationship Id="rId2" Type="http://schemas.openxmlformats.org/officeDocument/2006/relationships/hyperlink" Target="mailto:julien.nevespelchat@veolia.com" TargetMode="External"/><Relationship Id="rId16" Type="http://schemas.openxmlformats.org/officeDocument/2006/relationships/hyperlink" Target="mailto:julien.nevespelchat@veolia.com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GILLES.PERRON@VEOLIA.COM" TargetMode="External"/><Relationship Id="rId6" Type="http://schemas.openxmlformats.org/officeDocument/2006/relationships/hyperlink" Target="mailto:julien.nevespelchat@veolia.com" TargetMode="External"/><Relationship Id="rId11" Type="http://schemas.openxmlformats.org/officeDocument/2006/relationships/hyperlink" Target="mailto:francois.beauregard@veolia.com" TargetMode="External"/><Relationship Id="rId5" Type="http://schemas.openxmlformats.org/officeDocument/2006/relationships/hyperlink" Target="mailto:GILLES.PERRON@VEOLIA.COM" TargetMode="External"/><Relationship Id="rId15" Type="http://schemas.openxmlformats.org/officeDocument/2006/relationships/hyperlink" Target="mailto:GILLES.PERRON@VEOLIA.COM" TargetMode="External"/><Relationship Id="rId10" Type="http://schemas.openxmlformats.org/officeDocument/2006/relationships/hyperlink" Target="mailto:julien.nevespelchat@veolia.com" TargetMode="External"/><Relationship Id="rId19" Type="http://schemas.openxmlformats.org/officeDocument/2006/relationships/hyperlink" Target="../../AppData/Roaming/Microsoft/Excel/VAR/VSSM_PRO2222/VSSM-Plans-Services-V2-jm%20(2).pdf" TargetMode="External"/><Relationship Id="rId4" Type="http://schemas.openxmlformats.org/officeDocument/2006/relationships/hyperlink" Target="mailto:jean-michel.lendais@veolia.com" TargetMode="External"/><Relationship Id="rId9" Type="http://schemas.openxmlformats.org/officeDocument/2006/relationships/hyperlink" Target="mailto:francois.beauregard@veolia.com" TargetMode="External"/><Relationship Id="rId14" Type="http://schemas.openxmlformats.org/officeDocument/2006/relationships/hyperlink" Target="mailto:julien.nevespelchat@veoli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E47"/>
  <sheetViews>
    <sheetView tabSelected="1" zoomScale="90" zoomScaleNormal="90" workbookViewId="0">
      <pane xSplit="12" topLeftCell="BA1" activePane="topRight" state="frozen"/>
      <selection activeCell="H6" sqref="H6"/>
      <selection pane="topRight" activeCell="Y3" sqref="Y3:AD3"/>
    </sheetView>
  </sheetViews>
  <sheetFormatPr defaultRowHeight="15" x14ac:dyDescent="0.25"/>
  <cols>
    <col min="2" max="2" width="11" customWidth="1"/>
    <col min="3" max="3" width="11.28515625" customWidth="1"/>
    <col min="4" max="4" width="16.85546875" customWidth="1"/>
    <col min="5" max="5" width="11" customWidth="1"/>
    <col min="6" max="6" width="22.42578125" customWidth="1"/>
    <col min="7" max="7" width="30.5703125" customWidth="1"/>
    <col min="8" max="8" width="16.85546875" style="10" customWidth="1"/>
    <col min="9" max="9" width="16.85546875" customWidth="1"/>
    <col min="10" max="10" width="12.85546875" customWidth="1"/>
    <col min="11" max="11" width="17.42578125" customWidth="1"/>
    <col min="12" max="12" width="15.28515625" customWidth="1"/>
    <col min="13" max="30" width="12" customWidth="1"/>
    <col min="31" max="31" width="17.85546875" customWidth="1"/>
    <col min="32" max="32" width="15.7109375" customWidth="1"/>
    <col min="33" max="33" width="16.7109375" customWidth="1"/>
    <col min="34" max="34" width="17.140625" customWidth="1"/>
    <col min="35" max="55" width="12" customWidth="1"/>
    <col min="56" max="56" width="14.42578125" customWidth="1"/>
    <col min="57" max="57" width="43.28515625" customWidth="1"/>
  </cols>
  <sheetData>
    <row r="1" spans="2:57" ht="15.75" thickBot="1" x14ac:dyDescent="0.3"/>
    <row r="2" spans="2:57" ht="15.75" thickTop="1" x14ac:dyDescent="0.25">
      <c r="B2" s="172" t="s">
        <v>231</v>
      </c>
      <c r="C2" s="179"/>
      <c r="D2" s="173"/>
      <c r="E2" s="173"/>
      <c r="F2" s="173"/>
      <c r="G2" s="173"/>
      <c r="H2" s="173"/>
      <c r="I2" s="173"/>
      <c r="J2" s="173"/>
      <c r="K2" s="173"/>
      <c r="L2" s="173"/>
      <c r="M2" s="173" t="s">
        <v>44</v>
      </c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 t="s">
        <v>43</v>
      </c>
      <c r="Z2" s="173"/>
      <c r="AA2" s="173"/>
      <c r="AB2" s="173"/>
      <c r="AC2" s="173"/>
      <c r="AD2" s="174"/>
      <c r="AE2" s="172" t="s">
        <v>42</v>
      </c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4"/>
      <c r="BC2" s="106"/>
      <c r="BD2" s="166"/>
      <c r="BE2" s="167"/>
    </row>
    <row r="3" spans="2:57" x14ac:dyDescent="0.25">
      <c r="B3" s="180"/>
      <c r="C3" s="181"/>
      <c r="D3" s="182"/>
      <c r="E3" s="182"/>
      <c r="F3" s="182"/>
      <c r="G3" s="182"/>
      <c r="H3" s="182"/>
      <c r="I3" s="182"/>
      <c r="J3" s="182"/>
      <c r="K3" s="182"/>
      <c r="L3" s="182"/>
      <c r="M3" s="185"/>
      <c r="N3" s="186"/>
      <c r="O3" s="186"/>
      <c r="P3" s="186"/>
      <c r="Q3" s="186"/>
      <c r="R3" s="187"/>
      <c r="S3" s="185"/>
      <c r="T3" s="186"/>
      <c r="U3" s="186"/>
      <c r="V3" s="186"/>
      <c r="W3" s="186"/>
      <c r="X3" s="187"/>
      <c r="Y3" s="183"/>
      <c r="Z3" s="184"/>
      <c r="AA3" s="184"/>
      <c r="AB3" s="184"/>
      <c r="AC3" s="184"/>
      <c r="AD3" s="184"/>
      <c r="AE3" s="175" t="s">
        <v>39</v>
      </c>
      <c r="AF3" s="159"/>
      <c r="AG3" s="157" t="s">
        <v>38</v>
      </c>
      <c r="AH3" s="158"/>
      <c r="AI3" s="159"/>
      <c r="AJ3" s="157" t="s">
        <v>37</v>
      </c>
      <c r="AK3" s="158"/>
      <c r="AL3" s="158"/>
      <c r="AM3" s="159"/>
      <c r="AN3" s="157" t="s">
        <v>36</v>
      </c>
      <c r="AO3" s="158"/>
      <c r="AP3" s="159"/>
      <c r="AQ3" s="169" t="s">
        <v>35</v>
      </c>
      <c r="AR3" s="157" t="s">
        <v>34</v>
      </c>
      <c r="AS3" s="158"/>
      <c r="AT3" s="158"/>
      <c r="AU3" s="158"/>
      <c r="AV3" s="159"/>
      <c r="AW3" s="157" t="s">
        <v>33</v>
      </c>
      <c r="AX3" s="158"/>
      <c r="AY3" s="159"/>
      <c r="AZ3" s="157" t="s">
        <v>32</v>
      </c>
      <c r="BA3" s="158"/>
      <c r="BB3" s="159"/>
      <c r="BC3" s="107"/>
      <c r="BD3" s="160"/>
      <c r="BE3" s="168"/>
    </row>
    <row r="4" spans="2:57" x14ac:dyDescent="0.25">
      <c r="B4" s="175"/>
      <c r="C4" s="159"/>
      <c r="D4" s="157"/>
      <c r="E4" s="158"/>
      <c r="F4" s="158"/>
      <c r="G4" s="158"/>
      <c r="H4" s="158"/>
      <c r="I4" s="158"/>
      <c r="J4" s="158"/>
      <c r="K4" s="158"/>
      <c r="L4" s="159"/>
      <c r="M4" s="151" t="s">
        <v>31</v>
      </c>
      <c r="N4" s="152"/>
      <c r="O4" s="153"/>
      <c r="P4" s="151" t="s">
        <v>30</v>
      </c>
      <c r="Q4" s="152"/>
      <c r="R4" s="153"/>
      <c r="S4" s="151" t="s">
        <v>31</v>
      </c>
      <c r="T4" s="152"/>
      <c r="U4" s="153"/>
      <c r="V4" s="151" t="s">
        <v>30</v>
      </c>
      <c r="W4" s="152"/>
      <c r="X4" s="153"/>
      <c r="Y4" s="157" t="s">
        <v>31</v>
      </c>
      <c r="Z4" s="158"/>
      <c r="AA4" s="159"/>
      <c r="AB4" s="157" t="s">
        <v>30</v>
      </c>
      <c r="AC4" s="158"/>
      <c r="AD4" s="189"/>
      <c r="AE4" s="176"/>
      <c r="AF4" s="162"/>
      <c r="AG4" s="160"/>
      <c r="AH4" s="161"/>
      <c r="AI4" s="162"/>
      <c r="AJ4" s="160"/>
      <c r="AK4" s="161"/>
      <c r="AL4" s="161"/>
      <c r="AM4" s="162"/>
      <c r="AN4" s="160"/>
      <c r="AO4" s="161"/>
      <c r="AP4" s="162"/>
      <c r="AQ4" s="170"/>
      <c r="AR4" s="160"/>
      <c r="AS4" s="161"/>
      <c r="AT4" s="161"/>
      <c r="AU4" s="161"/>
      <c r="AV4" s="162"/>
      <c r="AW4" s="160"/>
      <c r="AX4" s="161"/>
      <c r="AY4" s="162"/>
      <c r="AZ4" s="160"/>
      <c r="BA4" s="161"/>
      <c r="BB4" s="162"/>
      <c r="BC4" s="107"/>
      <c r="BD4" s="160"/>
      <c r="BE4" s="168"/>
    </row>
    <row r="5" spans="2:57" x14ac:dyDescent="0.25">
      <c r="B5" s="188"/>
      <c r="C5" s="156"/>
      <c r="D5" s="154"/>
      <c r="E5" s="155"/>
      <c r="F5" s="155"/>
      <c r="G5" s="155"/>
      <c r="H5" s="155"/>
      <c r="I5" s="155"/>
      <c r="J5" s="155"/>
      <c r="K5" s="155"/>
      <c r="L5" s="156"/>
      <c r="M5" s="154"/>
      <c r="N5" s="155"/>
      <c r="O5" s="156"/>
      <c r="P5" s="154"/>
      <c r="Q5" s="155"/>
      <c r="R5" s="156"/>
      <c r="S5" s="154"/>
      <c r="T5" s="155"/>
      <c r="U5" s="156"/>
      <c r="V5" s="154"/>
      <c r="W5" s="155"/>
      <c r="X5" s="156"/>
      <c r="Y5" s="154"/>
      <c r="Z5" s="155"/>
      <c r="AA5" s="156"/>
      <c r="AB5" s="154"/>
      <c r="AC5" s="155"/>
      <c r="AD5" s="190"/>
      <c r="AE5" s="176"/>
      <c r="AF5" s="162"/>
      <c r="AG5" s="163"/>
      <c r="AH5" s="164"/>
      <c r="AI5" s="165"/>
      <c r="AJ5" s="163"/>
      <c r="AK5" s="164"/>
      <c r="AL5" s="164"/>
      <c r="AM5" s="165"/>
      <c r="AN5" s="163"/>
      <c r="AO5" s="164"/>
      <c r="AP5" s="165"/>
      <c r="AQ5" s="171"/>
      <c r="AR5" s="163"/>
      <c r="AS5" s="164"/>
      <c r="AT5" s="164"/>
      <c r="AU5" s="164"/>
      <c r="AV5" s="165"/>
      <c r="AW5" s="163"/>
      <c r="AX5" s="164"/>
      <c r="AY5" s="165"/>
      <c r="AZ5" s="163"/>
      <c r="BA5" s="164"/>
      <c r="BB5" s="165"/>
      <c r="BC5" s="107"/>
      <c r="BD5" s="160"/>
      <c r="BE5" s="168"/>
    </row>
    <row r="6" spans="2:57" x14ac:dyDescent="0.25">
      <c r="B6" s="81" t="s">
        <v>163</v>
      </c>
      <c r="C6" s="81" t="s">
        <v>114</v>
      </c>
      <c r="D6" s="85" t="s">
        <v>104</v>
      </c>
      <c r="E6" s="85" t="s">
        <v>113</v>
      </c>
      <c r="F6" s="85" t="s">
        <v>105</v>
      </c>
      <c r="G6" s="85" t="s">
        <v>106</v>
      </c>
      <c r="H6" s="85" t="s">
        <v>47</v>
      </c>
      <c r="I6" s="85" t="s">
        <v>48</v>
      </c>
      <c r="J6" s="85" t="s">
        <v>49</v>
      </c>
      <c r="K6" s="85" t="s">
        <v>11</v>
      </c>
      <c r="L6" s="85" t="s">
        <v>10</v>
      </c>
      <c r="M6" s="85" t="s">
        <v>9</v>
      </c>
      <c r="N6" s="85" t="s">
        <v>8</v>
      </c>
      <c r="O6" s="85" t="s">
        <v>7</v>
      </c>
      <c r="P6" s="85" t="s">
        <v>164</v>
      </c>
      <c r="Q6" s="85" t="s">
        <v>165</v>
      </c>
      <c r="R6" s="85" t="s">
        <v>166</v>
      </c>
      <c r="S6" s="85" t="s">
        <v>167</v>
      </c>
      <c r="T6" s="85" t="s">
        <v>168</v>
      </c>
      <c r="U6" s="85" t="s">
        <v>169</v>
      </c>
      <c r="V6" s="85" t="s">
        <v>170</v>
      </c>
      <c r="W6" s="85" t="s">
        <v>171</v>
      </c>
      <c r="X6" s="85" t="s">
        <v>172</v>
      </c>
      <c r="Y6" s="85" t="s">
        <v>173</v>
      </c>
      <c r="Z6" s="85" t="s">
        <v>174</v>
      </c>
      <c r="AA6" s="85" t="s">
        <v>175</v>
      </c>
      <c r="AB6" s="85" t="s">
        <v>176</v>
      </c>
      <c r="AC6" s="85" t="s">
        <v>177</v>
      </c>
      <c r="AD6" s="80" t="s">
        <v>178</v>
      </c>
      <c r="AE6" s="82" t="s">
        <v>29</v>
      </c>
      <c r="AF6" s="82" t="s">
        <v>28</v>
      </c>
      <c r="AG6" s="86" t="s">
        <v>27</v>
      </c>
      <c r="AH6" s="86" t="s">
        <v>26</v>
      </c>
      <c r="AI6" s="86" t="s">
        <v>25</v>
      </c>
      <c r="AJ6" s="86" t="s">
        <v>23</v>
      </c>
      <c r="AK6" s="86" t="s">
        <v>22</v>
      </c>
      <c r="AL6" s="86" t="s">
        <v>21</v>
      </c>
      <c r="AM6" s="86" t="s">
        <v>24</v>
      </c>
      <c r="AN6" s="86" t="s">
        <v>179</v>
      </c>
      <c r="AO6" s="86" t="s">
        <v>180</v>
      </c>
      <c r="AP6" s="86" t="s">
        <v>181</v>
      </c>
      <c r="AQ6" s="86" t="s">
        <v>20</v>
      </c>
      <c r="AR6" s="86" t="s">
        <v>19</v>
      </c>
      <c r="AS6" s="86" t="s">
        <v>18</v>
      </c>
      <c r="AT6" s="86" t="s">
        <v>17</v>
      </c>
      <c r="AU6" s="86" t="s">
        <v>16</v>
      </c>
      <c r="AV6" s="86" t="s">
        <v>15</v>
      </c>
      <c r="AW6" s="86" t="s">
        <v>14</v>
      </c>
      <c r="AX6" s="86" t="s">
        <v>13</v>
      </c>
      <c r="AY6" s="86" t="s">
        <v>12</v>
      </c>
      <c r="AZ6" s="86" t="s">
        <v>182</v>
      </c>
      <c r="BA6" s="86" t="s">
        <v>183</v>
      </c>
      <c r="BB6" s="86" t="s">
        <v>184</v>
      </c>
      <c r="BC6" s="108" t="s">
        <v>218</v>
      </c>
      <c r="BD6" s="84" t="s">
        <v>41</v>
      </c>
      <c r="BE6" s="83" t="s">
        <v>40</v>
      </c>
    </row>
    <row r="7" spans="2:57" x14ac:dyDescent="0.25">
      <c r="B7" s="79" t="s">
        <v>216</v>
      </c>
      <c r="C7" s="79" t="s">
        <v>216</v>
      </c>
      <c r="D7" s="79" t="s">
        <v>216</v>
      </c>
      <c r="E7" s="79" t="s">
        <v>216</v>
      </c>
      <c r="F7" s="79" t="s">
        <v>216</v>
      </c>
      <c r="G7" s="79" t="s">
        <v>216</v>
      </c>
      <c r="H7" s="79" t="s">
        <v>216</v>
      </c>
      <c r="I7" s="79" t="s">
        <v>216</v>
      </c>
      <c r="J7" s="79" t="s">
        <v>216</v>
      </c>
      <c r="K7" s="79" t="s">
        <v>216</v>
      </c>
      <c r="L7" s="79" t="s">
        <v>216</v>
      </c>
      <c r="M7" s="79">
        <v>0.1</v>
      </c>
      <c r="N7" s="79">
        <v>1.1000000000000001</v>
      </c>
      <c r="O7" s="79">
        <v>2.1</v>
      </c>
      <c r="P7" s="79">
        <v>3.1</v>
      </c>
      <c r="Q7" s="79">
        <v>4.0999999999999996</v>
      </c>
      <c r="R7" s="79">
        <v>5.0999999999999996</v>
      </c>
      <c r="S7" s="79">
        <v>6.1</v>
      </c>
      <c r="T7" s="79">
        <v>7.1</v>
      </c>
      <c r="U7" s="79">
        <v>8.1</v>
      </c>
      <c r="V7" s="79">
        <v>9.1</v>
      </c>
      <c r="W7" s="79">
        <v>10.1</v>
      </c>
      <c r="X7" s="79">
        <v>11.1</v>
      </c>
      <c r="Y7" s="79">
        <v>12.1</v>
      </c>
      <c r="Z7" s="79">
        <v>13.1</v>
      </c>
      <c r="AA7" s="79">
        <v>14.1</v>
      </c>
      <c r="AB7" s="79">
        <v>15.1</v>
      </c>
      <c r="AC7" s="79">
        <v>16.100000000000001</v>
      </c>
      <c r="AD7" s="79">
        <v>17.100000000000001</v>
      </c>
      <c r="AE7" s="79">
        <v>18.100000000000001</v>
      </c>
      <c r="AF7" s="79">
        <v>19.100000000000001</v>
      </c>
      <c r="AG7" s="79">
        <v>20.100000000000001</v>
      </c>
      <c r="AH7" s="79">
        <v>21.1</v>
      </c>
      <c r="AI7" s="79">
        <v>22.1</v>
      </c>
      <c r="AJ7" s="79">
        <v>23.1</v>
      </c>
      <c r="AK7" s="79">
        <v>24.1</v>
      </c>
      <c r="AL7" s="79">
        <v>25.1</v>
      </c>
      <c r="AM7" s="79">
        <v>26.1</v>
      </c>
      <c r="AN7" s="79">
        <v>27.1</v>
      </c>
      <c r="AO7" s="79">
        <v>28.1</v>
      </c>
      <c r="AP7" s="79">
        <v>29.1</v>
      </c>
      <c r="AQ7" s="79">
        <v>30.1</v>
      </c>
      <c r="AR7" s="79">
        <v>31.1</v>
      </c>
      <c r="AS7" s="79">
        <v>32.1</v>
      </c>
      <c r="AT7" s="79">
        <v>33.1</v>
      </c>
      <c r="AU7" s="79">
        <v>34.1</v>
      </c>
      <c r="AV7" s="79">
        <v>35.1</v>
      </c>
      <c r="AW7" s="79">
        <v>36.1</v>
      </c>
      <c r="AX7" s="79">
        <v>37.1</v>
      </c>
      <c r="AY7" s="79">
        <v>38.1</v>
      </c>
      <c r="AZ7" s="79">
        <v>39.1</v>
      </c>
      <c r="BA7" s="79">
        <v>40.1</v>
      </c>
      <c r="BB7" s="79">
        <v>0</v>
      </c>
      <c r="BC7" s="79"/>
      <c r="BD7" s="3">
        <f>SUM(M7*RESUMÉ!$E$14,N7*RESUMÉ!$E$15,O7*RESUMÉ!$E$16,P7*RESUMÉ!$E$17,Q7*RESUMÉ!$E$18,R7*RESUMÉ!$E$19,S7*RESUMÉ!$E$20,T7*RESUMÉ!$E$21,U7*RESUMÉ!$E$22,V7*RESUMÉ!$E$23,W7*RESUMÉ!$E$24,X7*RESUMÉ!$E$25,Y7*RESUMÉ!$E$26,Z7*RESUMÉ!$E$27,AA7*RESUMÉ!$E$28,AB7*RESUMÉ!$E$29,AC7*RESUMÉ!$E$30,AD7*RESUMÉ!$E$31,AE7*'LISTE DE PRIX'!$F$6,AF7*'LISTE DE PRIX'!$F$7,AG7*'LISTE DE PRIX'!$F$12,AH7*'LISTE DE PRIX'!$F$13,AI7*'LISTE DE PRIX'!$F$14,AJ7*'LISTE DE PRIX'!$F$8,AK7*'LISTE DE PRIX'!$F$9,AL7*'LISTE DE PRIX'!$F$10,AM7*'LISTE DE PRIX'!$F$11,AN7*'LISTE DE PRIX'!$F$16,AO7*'LISTE DE PRIX'!$F$17,AP7*'LISTE DE PRIX'!$F$18,AQ7*'LISTE DE PRIX'!$F$15,AR7*'LISTE DE PRIX'!$F$19,AS7*'LISTE DE PRIX'!$F$20,AT7*'LISTE DE PRIX'!$F$21,AU7*'LISTE DE PRIX'!$F$22,AV7*'LISTE DE PRIX'!$F$23,AW7*'LISTE DE PRIX'!$F$25,AX7*'LISTE DE PRIX'!$F$26,AY7*'LISTE DE PRIX'!$F$27,AZ7*'LISTE DE PRIX'!$F$28,BA7*'LISTE DE PRIX'!$F$29,BB7*'LISTE DE PRIX'!$F$30)+MasterTable[[#This Row],[Misc.]]</f>
        <v>48941.144890250005</v>
      </c>
      <c r="BE7" s="2"/>
    </row>
    <row r="8" spans="2:57" x14ac:dyDescent="0.25">
      <c r="B8" s="56">
        <v>2222</v>
      </c>
      <c r="C8" s="12"/>
      <c r="D8" s="2" t="s">
        <v>54</v>
      </c>
      <c r="E8" s="72"/>
      <c r="F8" s="2" t="s">
        <v>116</v>
      </c>
      <c r="G8" s="63" t="s">
        <v>117</v>
      </c>
      <c r="H8" s="72" t="s">
        <v>55</v>
      </c>
      <c r="I8" s="9">
        <v>6012</v>
      </c>
      <c r="J8" s="13" t="s">
        <v>67</v>
      </c>
      <c r="K8" s="5"/>
      <c r="L8" s="2"/>
      <c r="M8" s="4">
        <f t="shared" ref="M8:V14" si="0">SUM(0)</f>
        <v>0</v>
      </c>
      <c r="N8" s="4">
        <f t="shared" si="0"/>
        <v>0</v>
      </c>
      <c r="O8" s="4">
        <f t="shared" si="0"/>
        <v>0</v>
      </c>
      <c r="P8" s="4">
        <f t="shared" si="0"/>
        <v>0</v>
      </c>
      <c r="Q8" s="4">
        <f t="shared" si="0"/>
        <v>0</v>
      </c>
      <c r="R8" s="4">
        <f t="shared" si="0"/>
        <v>0</v>
      </c>
      <c r="S8" s="4">
        <f t="shared" si="0"/>
        <v>0</v>
      </c>
      <c r="T8" s="4">
        <f t="shared" si="0"/>
        <v>0</v>
      </c>
      <c r="U8" s="4">
        <f t="shared" si="0"/>
        <v>0</v>
      </c>
      <c r="V8" s="4">
        <f t="shared" si="0"/>
        <v>0</v>
      </c>
      <c r="W8" s="4">
        <f t="shared" ref="W8:AF14" si="1">SUM(0)</f>
        <v>0</v>
      </c>
      <c r="X8" s="4">
        <f t="shared" si="1"/>
        <v>0</v>
      </c>
      <c r="Y8" s="4">
        <f t="shared" si="1"/>
        <v>0</v>
      </c>
      <c r="Z8" s="4">
        <f t="shared" si="1"/>
        <v>0</v>
      </c>
      <c r="AA8" s="4">
        <f t="shared" si="1"/>
        <v>0</v>
      </c>
      <c r="AB8" s="4">
        <f t="shared" si="1"/>
        <v>0</v>
      </c>
      <c r="AC8" s="4">
        <f t="shared" si="1"/>
        <v>0</v>
      </c>
      <c r="AD8" s="4">
        <f t="shared" si="1"/>
        <v>0</v>
      </c>
      <c r="AE8" s="4">
        <f t="shared" si="1"/>
        <v>0</v>
      </c>
      <c r="AF8" s="4">
        <f t="shared" si="1"/>
        <v>0</v>
      </c>
      <c r="AG8" s="4">
        <f t="shared" ref="AG8:AP14" si="2">SUM(0)</f>
        <v>0</v>
      </c>
      <c r="AH8" s="4">
        <f t="shared" si="2"/>
        <v>0</v>
      </c>
      <c r="AI8" s="4">
        <f t="shared" si="2"/>
        <v>0</v>
      </c>
      <c r="AJ8" s="4">
        <f t="shared" si="2"/>
        <v>0</v>
      </c>
      <c r="AK8" s="4">
        <f t="shared" si="2"/>
        <v>0</v>
      </c>
      <c r="AL8" s="4">
        <f t="shared" si="2"/>
        <v>0</v>
      </c>
      <c r="AM8" s="4">
        <f t="shared" si="2"/>
        <v>0</v>
      </c>
      <c r="AN8" s="4">
        <f t="shared" si="2"/>
        <v>0</v>
      </c>
      <c r="AO8" s="4">
        <f t="shared" si="2"/>
        <v>0</v>
      </c>
      <c r="AP8" s="4">
        <f t="shared" si="2"/>
        <v>0</v>
      </c>
      <c r="AQ8" s="4">
        <f t="shared" ref="AQ8:BB14" si="3">SUM(0)</f>
        <v>0</v>
      </c>
      <c r="AR8" s="4">
        <f t="shared" si="3"/>
        <v>0</v>
      </c>
      <c r="AS8" s="4">
        <f t="shared" si="3"/>
        <v>0</v>
      </c>
      <c r="AT8" s="4">
        <f t="shared" si="3"/>
        <v>0</v>
      </c>
      <c r="AU8" s="4">
        <f t="shared" si="3"/>
        <v>0</v>
      </c>
      <c r="AV8" s="4">
        <f t="shared" si="3"/>
        <v>0</v>
      </c>
      <c r="AW8" s="4">
        <f t="shared" si="3"/>
        <v>0</v>
      </c>
      <c r="AX8" s="4">
        <f t="shared" si="3"/>
        <v>0</v>
      </c>
      <c r="AY8" s="4">
        <f t="shared" si="3"/>
        <v>0</v>
      </c>
      <c r="AZ8" s="4">
        <f t="shared" si="3"/>
        <v>0</v>
      </c>
      <c r="BA8" s="4">
        <f t="shared" si="3"/>
        <v>0</v>
      </c>
      <c r="BB8" s="4">
        <f t="shared" si="3"/>
        <v>0</v>
      </c>
      <c r="BC8" s="79"/>
      <c r="BD8" s="3">
        <f>SUM(M8*RESUMÉ!$E$14,N8*RESUMÉ!$E$15,O8*RESUMÉ!$E$16,P8*RESUMÉ!$E$17,Q8*RESUMÉ!$E$18,R8*RESUMÉ!$E$19,S8*RESUMÉ!$E$20,T8*RESUMÉ!$E$21,U8*RESUMÉ!$E$22,V8*RESUMÉ!$E$23,W8*RESUMÉ!$E$24,X8*RESUMÉ!$E$25,Y8*RESUMÉ!$E$26,Z8*RESUMÉ!$E$27,AA8*RESUMÉ!$E$28,AB8*RESUMÉ!$E$29,AC8*RESUMÉ!$E$30,AD8*RESUMÉ!$E$31,AE8*'LISTE DE PRIX'!$F$6,AF8*'LISTE DE PRIX'!$F$7,AG8*'LISTE DE PRIX'!$F$12,AH8*'LISTE DE PRIX'!$F$13,AI8*'LISTE DE PRIX'!$F$14,AJ8*'LISTE DE PRIX'!$F$8,AK8*'LISTE DE PRIX'!$F$9,AL8*'LISTE DE PRIX'!$F$10,AM8*'LISTE DE PRIX'!$F$11,AN8*'LISTE DE PRIX'!$F$16,AO8*'LISTE DE PRIX'!$F$17,AP8*'LISTE DE PRIX'!$F$18,AQ8*'LISTE DE PRIX'!$F$15,AR8*'LISTE DE PRIX'!$F$19,AS8*'LISTE DE PRIX'!$F$20,AT8*'LISTE DE PRIX'!$F$21,AU8*'LISTE DE PRIX'!$F$22,AV8*'LISTE DE PRIX'!$F$23,AW8*'LISTE DE PRIX'!$F$25,AX8*'LISTE DE PRIX'!$F$26,AY8*'LISTE DE PRIX'!$F$27,AZ8*'LISTE DE PRIX'!$F$28,BA8*'LISTE DE PRIX'!$F$29,BB8*'LISTE DE PRIX'!$F$30)+MasterTable[[#This Row],[Misc.]]</f>
        <v>0</v>
      </c>
      <c r="BE8" s="2"/>
    </row>
    <row r="9" spans="2:57" x14ac:dyDescent="0.25">
      <c r="B9" s="12">
        <v>2222</v>
      </c>
      <c r="C9" s="12"/>
      <c r="D9" s="2" t="s">
        <v>57</v>
      </c>
      <c r="E9" s="72"/>
      <c r="F9" s="60" t="s">
        <v>108</v>
      </c>
      <c r="G9" s="63" t="s">
        <v>109</v>
      </c>
      <c r="H9" s="72" t="s">
        <v>58</v>
      </c>
      <c r="I9" s="9">
        <v>78084</v>
      </c>
      <c r="J9" s="13" t="s">
        <v>67</v>
      </c>
      <c r="K9" s="5">
        <v>43027</v>
      </c>
      <c r="L9" s="2"/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1"/>
        <v>0</v>
      </c>
      <c r="X9" s="4">
        <f t="shared" si="1"/>
        <v>0</v>
      </c>
      <c r="Y9" s="4">
        <f t="shared" si="1"/>
        <v>0</v>
      </c>
      <c r="Z9" s="4">
        <f t="shared" si="1"/>
        <v>0</v>
      </c>
      <c r="AA9" s="4">
        <f t="shared" si="1"/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0</v>
      </c>
      <c r="AG9" s="4">
        <f t="shared" si="2"/>
        <v>0</v>
      </c>
      <c r="AH9" s="4">
        <f t="shared" si="2"/>
        <v>0</v>
      </c>
      <c r="AI9" s="4">
        <f t="shared" si="2"/>
        <v>0</v>
      </c>
      <c r="AJ9" s="4">
        <f t="shared" si="2"/>
        <v>0</v>
      </c>
      <c r="AK9" s="4">
        <f t="shared" si="2"/>
        <v>0</v>
      </c>
      <c r="AL9" s="4">
        <f t="shared" si="2"/>
        <v>0</v>
      </c>
      <c r="AM9" s="4">
        <f t="shared" si="2"/>
        <v>0</v>
      </c>
      <c r="AN9" s="4">
        <f t="shared" si="2"/>
        <v>0</v>
      </c>
      <c r="AO9" s="4">
        <f t="shared" si="2"/>
        <v>0</v>
      </c>
      <c r="AP9" s="4">
        <f t="shared" si="2"/>
        <v>0</v>
      </c>
      <c r="AQ9" s="4">
        <f t="shared" si="3"/>
        <v>0</v>
      </c>
      <c r="AR9" s="4">
        <f t="shared" si="3"/>
        <v>0</v>
      </c>
      <c r="AS9" s="4">
        <f t="shared" si="3"/>
        <v>0</v>
      </c>
      <c r="AT9" s="4">
        <f t="shared" si="3"/>
        <v>0</v>
      </c>
      <c r="AU9" s="4">
        <f t="shared" si="3"/>
        <v>0</v>
      </c>
      <c r="AV9" s="4">
        <f t="shared" si="3"/>
        <v>0</v>
      </c>
      <c r="AW9" s="4">
        <f t="shared" si="3"/>
        <v>0</v>
      </c>
      <c r="AX9" s="4">
        <f t="shared" si="3"/>
        <v>0</v>
      </c>
      <c r="AY9" s="4">
        <f t="shared" si="3"/>
        <v>0</v>
      </c>
      <c r="AZ9" s="4">
        <f t="shared" si="3"/>
        <v>0</v>
      </c>
      <c r="BA9" s="4">
        <f t="shared" si="3"/>
        <v>0</v>
      </c>
      <c r="BB9" s="4">
        <f t="shared" si="3"/>
        <v>0</v>
      </c>
      <c r="BC9" s="79"/>
      <c r="BD9" s="3">
        <f>SUM(M9*RESUMÉ!$E$14,N9*RESUMÉ!$E$15,O9*RESUMÉ!$E$16,P9*RESUMÉ!$E$17,Q9*RESUMÉ!$E$18,R9*RESUMÉ!$E$19,S9*RESUMÉ!$E$20,T9*RESUMÉ!$E$21,U9*RESUMÉ!$E$22,V9*RESUMÉ!$E$23,W9*RESUMÉ!$E$24,X9*RESUMÉ!$E$25,Y9*RESUMÉ!$E$26,Z9*RESUMÉ!$E$27,AA9*RESUMÉ!$E$28,AB9*RESUMÉ!$E$29,AC9*RESUMÉ!$E$30,AD9*RESUMÉ!$E$31,AE9*'LISTE DE PRIX'!$F$6,AF9*'LISTE DE PRIX'!$F$7,AG9*'LISTE DE PRIX'!$F$12,AH9*'LISTE DE PRIX'!$F$13,AI9*'LISTE DE PRIX'!$F$14,AJ9*'LISTE DE PRIX'!$F$8,AK9*'LISTE DE PRIX'!$F$9,AL9*'LISTE DE PRIX'!$F$10,AM9*'LISTE DE PRIX'!$F$11,AN9*'LISTE DE PRIX'!$F$16,AO9*'LISTE DE PRIX'!$F$17,AP9*'LISTE DE PRIX'!$F$18,AQ9*'LISTE DE PRIX'!$F$15,AR9*'LISTE DE PRIX'!$F$19,AS9*'LISTE DE PRIX'!$F$20,AT9*'LISTE DE PRIX'!$F$21,AU9*'LISTE DE PRIX'!$F$22,AV9*'LISTE DE PRIX'!$F$23,AW9*'LISTE DE PRIX'!$F$25,AX9*'LISTE DE PRIX'!$F$26,AY9*'LISTE DE PRIX'!$F$27,AZ9*'LISTE DE PRIX'!$F$28,BA9*'LISTE DE PRIX'!$F$29,BB9*'LISTE DE PRIX'!$F$30)+MasterTable[[#This Row],[Misc.]]</f>
        <v>0</v>
      </c>
      <c r="BE9" s="2"/>
    </row>
    <row r="10" spans="2:57" x14ac:dyDescent="0.25">
      <c r="B10" s="72">
        <v>2222</v>
      </c>
      <c r="C10" s="72"/>
      <c r="D10" s="2" t="s">
        <v>62</v>
      </c>
      <c r="E10" s="72"/>
      <c r="F10" s="2" t="s">
        <v>110</v>
      </c>
      <c r="G10" s="63" t="s">
        <v>107</v>
      </c>
      <c r="H10" s="72" t="s">
        <v>63</v>
      </c>
      <c r="I10" s="9">
        <v>720</v>
      </c>
      <c r="J10" s="13" t="s">
        <v>67</v>
      </c>
      <c r="K10" s="5">
        <v>42954</v>
      </c>
      <c r="L10" s="2"/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1"/>
        <v>0</v>
      </c>
      <c r="X10" s="4">
        <f t="shared" si="1"/>
        <v>0</v>
      </c>
      <c r="Y10" s="4">
        <f t="shared" si="1"/>
        <v>0</v>
      </c>
      <c r="Z10" s="4">
        <f t="shared" si="1"/>
        <v>0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0</v>
      </c>
      <c r="AF10" s="4">
        <f t="shared" si="1"/>
        <v>0</v>
      </c>
      <c r="AG10" s="4">
        <f t="shared" si="2"/>
        <v>0</v>
      </c>
      <c r="AH10" s="4">
        <f t="shared" si="2"/>
        <v>0</v>
      </c>
      <c r="AI10" s="4">
        <f t="shared" si="2"/>
        <v>0</v>
      </c>
      <c r="AJ10" s="4">
        <f t="shared" si="2"/>
        <v>0</v>
      </c>
      <c r="AK10" s="4">
        <f t="shared" si="2"/>
        <v>0</v>
      </c>
      <c r="AL10" s="4">
        <f t="shared" si="2"/>
        <v>0</v>
      </c>
      <c r="AM10" s="4">
        <f t="shared" si="2"/>
        <v>0</v>
      </c>
      <c r="AN10" s="4">
        <f t="shared" si="2"/>
        <v>0</v>
      </c>
      <c r="AO10" s="4">
        <f t="shared" si="2"/>
        <v>0</v>
      </c>
      <c r="AP10" s="4">
        <f t="shared" si="2"/>
        <v>0</v>
      </c>
      <c r="AQ10" s="4">
        <f t="shared" si="3"/>
        <v>0</v>
      </c>
      <c r="AR10" s="4">
        <f t="shared" si="3"/>
        <v>0</v>
      </c>
      <c r="AS10" s="4">
        <f t="shared" si="3"/>
        <v>0</v>
      </c>
      <c r="AT10" s="4">
        <f t="shared" si="3"/>
        <v>0</v>
      </c>
      <c r="AU10" s="4">
        <f t="shared" si="3"/>
        <v>0</v>
      </c>
      <c r="AV10" s="4">
        <f t="shared" si="3"/>
        <v>0</v>
      </c>
      <c r="AW10" s="4">
        <f t="shared" si="3"/>
        <v>0</v>
      </c>
      <c r="AX10" s="4">
        <f t="shared" si="3"/>
        <v>0</v>
      </c>
      <c r="AY10" s="4">
        <f t="shared" si="3"/>
        <v>0</v>
      </c>
      <c r="AZ10" s="4">
        <f t="shared" si="3"/>
        <v>0</v>
      </c>
      <c r="BA10" s="4">
        <f t="shared" si="3"/>
        <v>0</v>
      </c>
      <c r="BB10" s="4">
        <f t="shared" si="3"/>
        <v>0</v>
      </c>
      <c r="BC10" s="79"/>
      <c r="BD10" s="3">
        <f>SUM(M10*RESUMÉ!$E$14,N10*RESUMÉ!$E$15,O10*RESUMÉ!$E$16,P10*RESUMÉ!$E$17,Q10*RESUMÉ!$E$18,R10*RESUMÉ!$E$19,S10*RESUMÉ!$E$20,T10*RESUMÉ!$E$21,U10*RESUMÉ!$E$22,V10*RESUMÉ!$E$23,W10*RESUMÉ!$E$24,X10*RESUMÉ!$E$25,Y10*RESUMÉ!$E$26,Z10*RESUMÉ!$E$27,AA10*RESUMÉ!$E$28,AB10*RESUMÉ!$E$29,AC10*RESUMÉ!$E$30,AD10*RESUMÉ!$E$31,AE10*'LISTE DE PRIX'!$F$6,AF10*'LISTE DE PRIX'!$F$7,AG10*'LISTE DE PRIX'!$F$12,AH10*'LISTE DE PRIX'!$F$13,AI10*'LISTE DE PRIX'!$F$14,AJ10*'LISTE DE PRIX'!$F$8,AK10*'LISTE DE PRIX'!$F$9,AL10*'LISTE DE PRIX'!$F$10,AM10*'LISTE DE PRIX'!$F$11,AN10*'LISTE DE PRIX'!$F$16,AO10*'LISTE DE PRIX'!$F$17,AP10*'LISTE DE PRIX'!$F$18,AQ10*'LISTE DE PRIX'!$F$15,AR10*'LISTE DE PRIX'!$F$19,AS10*'LISTE DE PRIX'!$F$20,AT10*'LISTE DE PRIX'!$F$21,AU10*'LISTE DE PRIX'!$F$22,AV10*'LISTE DE PRIX'!$F$23,AW10*'LISTE DE PRIX'!$F$25,AX10*'LISTE DE PRIX'!$F$26,AY10*'LISTE DE PRIX'!$F$27,AZ10*'LISTE DE PRIX'!$F$28,BA10*'LISTE DE PRIX'!$F$29,BB10*'LISTE DE PRIX'!$F$30)+MasterTable[[#This Row],[Misc.]]</f>
        <v>0</v>
      </c>
      <c r="BE10" s="2"/>
    </row>
    <row r="11" spans="2:57" x14ac:dyDescent="0.25">
      <c r="B11" s="12">
        <v>2222</v>
      </c>
      <c r="C11" s="12"/>
      <c r="D11" s="2" t="s">
        <v>140</v>
      </c>
      <c r="E11" s="2"/>
      <c r="F11" s="2" t="s">
        <v>142</v>
      </c>
      <c r="G11" s="63" t="s">
        <v>141</v>
      </c>
      <c r="H11" s="56" t="s">
        <v>143</v>
      </c>
      <c r="I11" s="9">
        <v>4248</v>
      </c>
      <c r="J11" s="13" t="s">
        <v>67</v>
      </c>
      <c r="K11" s="5">
        <v>43045</v>
      </c>
      <c r="L11" s="5">
        <v>43045</v>
      </c>
      <c r="M11" s="4">
        <f t="shared" si="0"/>
        <v>0</v>
      </c>
      <c r="N11" s="4">
        <f t="shared" si="0"/>
        <v>0</v>
      </c>
      <c r="O11" s="4">
        <f t="shared" si="0"/>
        <v>0</v>
      </c>
      <c r="P11" s="4">
        <f t="shared" si="0"/>
        <v>0</v>
      </c>
      <c r="Q11" s="4">
        <f t="shared" si="0"/>
        <v>0</v>
      </c>
      <c r="R11" s="4">
        <f t="shared" si="0"/>
        <v>0</v>
      </c>
      <c r="S11" s="4">
        <f t="shared" si="0"/>
        <v>0</v>
      </c>
      <c r="T11" s="4">
        <f t="shared" si="0"/>
        <v>0</v>
      </c>
      <c r="U11" s="4">
        <f t="shared" si="0"/>
        <v>0</v>
      </c>
      <c r="V11" s="4">
        <f t="shared" si="0"/>
        <v>0</v>
      </c>
      <c r="W11" s="4">
        <f t="shared" si="1"/>
        <v>0</v>
      </c>
      <c r="X11" s="4">
        <f t="shared" si="1"/>
        <v>0</v>
      </c>
      <c r="Y11" s="4">
        <f t="shared" si="1"/>
        <v>0</v>
      </c>
      <c r="Z11" s="4">
        <f t="shared" si="1"/>
        <v>0</v>
      </c>
      <c r="AA11" s="4">
        <f t="shared" si="1"/>
        <v>0</v>
      </c>
      <c r="AB11" s="4">
        <f t="shared" si="1"/>
        <v>0</v>
      </c>
      <c r="AC11" s="4">
        <f t="shared" si="1"/>
        <v>0</v>
      </c>
      <c r="AD11" s="4">
        <f t="shared" si="1"/>
        <v>0</v>
      </c>
      <c r="AE11" s="4">
        <f t="shared" si="1"/>
        <v>0</v>
      </c>
      <c r="AF11" s="4">
        <f t="shared" si="1"/>
        <v>0</v>
      </c>
      <c r="AG11" s="4">
        <f t="shared" si="2"/>
        <v>0</v>
      </c>
      <c r="AH11" s="4">
        <f t="shared" si="2"/>
        <v>0</v>
      </c>
      <c r="AI11" s="4">
        <f t="shared" si="2"/>
        <v>0</v>
      </c>
      <c r="AJ11" s="4">
        <f t="shared" si="2"/>
        <v>0</v>
      </c>
      <c r="AK11" s="4">
        <f t="shared" si="2"/>
        <v>0</v>
      </c>
      <c r="AL11" s="4">
        <f t="shared" si="2"/>
        <v>0</v>
      </c>
      <c r="AM11" s="4">
        <f t="shared" si="2"/>
        <v>0</v>
      </c>
      <c r="AN11" s="4">
        <f t="shared" si="2"/>
        <v>0</v>
      </c>
      <c r="AO11" s="4">
        <f t="shared" si="2"/>
        <v>0</v>
      </c>
      <c r="AP11" s="4">
        <f t="shared" si="2"/>
        <v>0</v>
      </c>
      <c r="AQ11" s="4">
        <f t="shared" si="3"/>
        <v>0</v>
      </c>
      <c r="AR11" s="4">
        <f t="shared" si="3"/>
        <v>0</v>
      </c>
      <c r="AS11" s="4">
        <f t="shared" si="3"/>
        <v>0</v>
      </c>
      <c r="AT11" s="4">
        <f t="shared" si="3"/>
        <v>0</v>
      </c>
      <c r="AU11" s="4">
        <f t="shared" si="3"/>
        <v>0</v>
      </c>
      <c r="AV11" s="4">
        <f t="shared" si="3"/>
        <v>0</v>
      </c>
      <c r="AW11" s="4">
        <f t="shared" si="3"/>
        <v>0</v>
      </c>
      <c r="AX11" s="4">
        <f t="shared" si="3"/>
        <v>0</v>
      </c>
      <c r="AY11" s="4">
        <f t="shared" si="3"/>
        <v>0</v>
      </c>
      <c r="AZ11" s="4">
        <f t="shared" si="3"/>
        <v>0</v>
      </c>
      <c r="BA11" s="4">
        <f t="shared" si="3"/>
        <v>0</v>
      </c>
      <c r="BB11" s="4">
        <f t="shared" si="3"/>
        <v>0</v>
      </c>
      <c r="BC11" s="79"/>
      <c r="BD11" s="3">
        <f>SUM(M11*RESUMÉ!$E$14,N11*RESUMÉ!$E$15,O11*RESUMÉ!$E$16,P11*RESUMÉ!$E$17,Q11*RESUMÉ!$E$18,R11*RESUMÉ!$E$19,S11*RESUMÉ!$E$20,T11*RESUMÉ!$E$21,U11*RESUMÉ!$E$22,V11*RESUMÉ!$E$23,W11*RESUMÉ!$E$24,X11*RESUMÉ!$E$25,Y11*RESUMÉ!$E$26,Z11*RESUMÉ!$E$27,AA11*RESUMÉ!$E$28,AB11*RESUMÉ!$E$29,AC11*RESUMÉ!$E$30,AD11*RESUMÉ!$E$31,AE11*'LISTE DE PRIX'!$F$6,AF11*'LISTE DE PRIX'!$F$7,AG11*'LISTE DE PRIX'!$F$12,AH11*'LISTE DE PRIX'!$F$13,AI11*'LISTE DE PRIX'!$F$14,AJ11*'LISTE DE PRIX'!$F$8,AK11*'LISTE DE PRIX'!$F$9,AL11*'LISTE DE PRIX'!$F$10,AM11*'LISTE DE PRIX'!$F$11,AN11*'LISTE DE PRIX'!$F$16,AO11*'LISTE DE PRIX'!$F$17,AP11*'LISTE DE PRIX'!$F$18,AQ11*'LISTE DE PRIX'!$F$15,AR11*'LISTE DE PRIX'!$F$19,AS11*'LISTE DE PRIX'!$F$20,AT11*'LISTE DE PRIX'!$F$21,AU11*'LISTE DE PRIX'!$F$22,AV11*'LISTE DE PRIX'!$F$23,AW11*'LISTE DE PRIX'!$F$25,AX11*'LISTE DE PRIX'!$F$26,AY11*'LISTE DE PRIX'!$F$27,AZ11*'LISTE DE PRIX'!$F$28,BA11*'LISTE DE PRIX'!$F$29,BB11*'LISTE DE PRIX'!$F$30)+MasterTable[[#This Row],[Misc.]]</f>
        <v>0</v>
      </c>
      <c r="BE11" s="2"/>
    </row>
    <row r="12" spans="2:57" x14ac:dyDescent="0.25">
      <c r="B12" s="12">
        <v>2222</v>
      </c>
      <c r="C12" s="12"/>
      <c r="D12" s="2" t="s">
        <v>59</v>
      </c>
      <c r="E12" s="72" t="s">
        <v>147</v>
      </c>
      <c r="F12" s="2" t="s">
        <v>142</v>
      </c>
      <c r="G12" s="63" t="s">
        <v>141</v>
      </c>
      <c r="H12" s="14" t="s">
        <v>60</v>
      </c>
      <c r="I12" s="9">
        <v>4619</v>
      </c>
      <c r="J12" s="8" t="s">
        <v>50</v>
      </c>
      <c r="K12" s="15" t="s">
        <v>67</v>
      </c>
      <c r="L12" s="5"/>
      <c r="M12" s="4">
        <f t="shared" si="0"/>
        <v>0</v>
      </c>
      <c r="N12" s="4">
        <f t="shared" si="0"/>
        <v>0</v>
      </c>
      <c r="O12" s="4">
        <f t="shared" si="0"/>
        <v>0</v>
      </c>
      <c r="P12" s="4">
        <f t="shared" si="0"/>
        <v>0</v>
      </c>
      <c r="Q12" s="4">
        <f t="shared" si="0"/>
        <v>0</v>
      </c>
      <c r="R12" s="4">
        <f t="shared" si="0"/>
        <v>0</v>
      </c>
      <c r="S12" s="4">
        <f t="shared" si="0"/>
        <v>0</v>
      </c>
      <c r="T12" s="4">
        <f t="shared" si="0"/>
        <v>0</v>
      </c>
      <c r="U12" s="4">
        <f t="shared" si="0"/>
        <v>0</v>
      </c>
      <c r="V12" s="4">
        <f t="shared" si="0"/>
        <v>0</v>
      </c>
      <c r="W12" s="4">
        <f t="shared" si="1"/>
        <v>0</v>
      </c>
      <c r="X12" s="4">
        <f t="shared" si="1"/>
        <v>0</v>
      </c>
      <c r="Y12" s="4">
        <f t="shared" si="1"/>
        <v>0</v>
      </c>
      <c r="Z12" s="4">
        <f t="shared" si="1"/>
        <v>0</v>
      </c>
      <c r="AA12" s="4">
        <f t="shared" si="1"/>
        <v>0</v>
      </c>
      <c r="AB12" s="4">
        <f t="shared" si="1"/>
        <v>0</v>
      </c>
      <c r="AC12" s="4">
        <f t="shared" si="1"/>
        <v>0</v>
      </c>
      <c r="AD12" s="4">
        <f t="shared" si="1"/>
        <v>0</v>
      </c>
      <c r="AE12" s="4">
        <f t="shared" si="1"/>
        <v>0</v>
      </c>
      <c r="AF12" s="4">
        <f t="shared" si="1"/>
        <v>0</v>
      </c>
      <c r="AG12" s="4">
        <f t="shared" si="2"/>
        <v>0</v>
      </c>
      <c r="AH12" s="4">
        <f t="shared" si="2"/>
        <v>0</v>
      </c>
      <c r="AI12" s="4">
        <f t="shared" si="2"/>
        <v>0</v>
      </c>
      <c r="AJ12" s="4">
        <f t="shared" si="2"/>
        <v>0</v>
      </c>
      <c r="AK12" s="4">
        <f t="shared" si="2"/>
        <v>0</v>
      </c>
      <c r="AL12" s="4">
        <f t="shared" si="2"/>
        <v>0</v>
      </c>
      <c r="AM12" s="4">
        <f t="shared" si="2"/>
        <v>0</v>
      </c>
      <c r="AN12" s="4">
        <f t="shared" si="2"/>
        <v>0</v>
      </c>
      <c r="AO12" s="4">
        <f t="shared" si="2"/>
        <v>0</v>
      </c>
      <c r="AP12" s="4">
        <f t="shared" si="2"/>
        <v>0</v>
      </c>
      <c r="AQ12" s="4">
        <f t="shared" si="3"/>
        <v>0</v>
      </c>
      <c r="AR12" s="4">
        <f t="shared" si="3"/>
        <v>0</v>
      </c>
      <c r="AS12" s="4">
        <f t="shared" si="3"/>
        <v>0</v>
      </c>
      <c r="AT12" s="4">
        <f t="shared" si="3"/>
        <v>0</v>
      </c>
      <c r="AU12" s="4">
        <f t="shared" si="3"/>
        <v>0</v>
      </c>
      <c r="AV12" s="4">
        <f t="shared" si="3"/>
        <v>0</v>
      </c>
      <c r="AW12" s="4">
        <f t="shared" si="3"/>
        <v>0</v>
      </c>
      <c r="AX12" s="4">
        <f t="shared" si="3"/>
        <v>0</v>
      </c>
      <c r="AY12" s="4">
        <f t="shared" si="3"/>
        <v>0</v>
      </c>
      <c r="AZ12" s="4">
        <f t="shared" si="3"/>
        <v>0</v>
      </c>
      <c r="BA12" s="4">
        <f t="shared" si="3"/>
        <v>0</v>
      </c>
      <c r="BB12" s="4">
        <f t="shared" si="3"/>
        <v>0</v>
      </c>
      <c r="BC12" s="79"/>
      <c r="BD12" s="3">
        <f>SUM(M12*RESUMÉ!$E$14,N12*RESUMÉ!$E$15,O12*RESUMÉ!$E$16,P12*RESUMÉ!$E$17,Q12*RESUMÉ!$E$18,R12*RESUMÉ!$E$19,S12*RESUMÉ!$E$20,T12*RESUMÉ!$E$21,U12*RESUMÉ!$E$22,V12*RESUMÉ!$E$23,W12*RESUMÉ!$E$24,X12*RESUMÉ!$E$25,Y12*RESUMÉ!$E$26,Z12*RESUMÉ!$E$27,AA12*RESUMÉ!$E$28,AB12*RESUMÉ!$E$29,AC12*RESUMÉ!$E$30,AD12*RESUMÉ!$E$31,AE12*'LISTE DE PRIX'!$F$6,AF12*'LISTE DE PRIX'!$F$7,AG12*'LISTE DE PRIX'!$F$12,AH12*'LISTE DE PRIX'!$F$13,AI12*'LISTE DE PRIX'!$F$14,AJ12*'LISTE DE PRIX'!$F$8,AK12*'LISTE DE PRIX'!$F$9,AL12*'LISTE DE PRIX'!$F$10,AM12*'LISTE DE PRIX'!$F$11,AN12*'LISTE DE PRIX'!$F$16,AO12*'LISTE DE PRIX'!$F$17,AP12*'LISTE DE PRIX'!$F$18,AQ12*'LISTE DE PRIX'!$F$15,AR12*'LISTE DE PRIX'!$F$19,AS12*'LISTE DE PRIX'!$F$20,AT12*'LISTE DE PRIX'!$F$21,AU12*'LISTE DE PRIX'!$F$22,AV12*'LISTE DE PRIX'!$F$23,AW12*'LISTE DE PRIX'!$F$25,AX12*'LISTE DE PRIX'!$F$26,AY12*'LISTE DE PRIX'!$F$27,AZ12*'LISTE DE PRIX'!$F$28,BA12*'LISTE DE PRIX'!$F$29,BB12*'LISTE DE PRIX'!$F$30)+MasterTable[[#This Row],[Misc.]]</f>
        <v>0</v>
      </c>
      <c r="BE12" s="2"/>
    </row>
    <row r="13" spans="2:57" x14ac:dyDescent="0.25">
      <c r="B13" s="12">
        <v>2222</v>
      </c>
      <c r="C13" s="12" t="s">
        <v>156</v>
      </c>
      <c r="D13" s="57" t="s">
        <v>144</v>
      </c>
      <c r="E13" s="58" t="s">
        <v>145</v>
      </c>
      <c r="F13" s="57" t="s">
        <v>108</v>
      </c>
      <c r="G13" s="59" t="s">
        <v>109</v>
      </c>
      <c r="H13" s="14" t="s">
        <v>146</v>
      </c>
      <c r="I13" s="9">
        <v>1152</v>
      </c>
      <c r="J13" s="64" t="s">
        <v>50</v>
      </c>
      <c r="K13" s="5">
        <v>43038</v>
      </c>
      <c r="L13" s="5">
        <v>43049</v>
      </c>
      <c r="M13" s="4">
        <f t="shared" si="0"/>
        <v>0</v>
      </c>
      <c r="N13" s="4">
        <f t="shared" si="0"/>
        <v>0</v>
      </c>
      <c r="O13" s="4">
        <f t="shared" si="0"/>
        <v>0</v>
      </c>
      <c r="P13" s="4">
        <f t="shared" si="0"/>
        <v>0</v>
      </c>
      <c r="Q13" s="4">
        <f t="shared" si="0"/>
        <v>0</v>
      </c>
      <c r="R13" s="4">
        <f t="shared" si="0"/>
        <v>0</v>
      </c>
      <c r="S13" s="4">
        <f t="shared" si="0"/>
        <v>0</v>
      </c>
      <c r="T13" s="4">
        <f t="shared" si="0"/>
        <v>0</v>
      </c>
      <c r="U13" s="4">
        <f t="shared" si="0"/>
        <v>0</v>
      </c>
      <c r="V13" s="4">
        <f t="shared" si="0"/>
        <v>0</v>
      </c>
      <c r="W13" s="4">
        <f t="shared" si="1"/>
        <v>0</v>
      </c>
      <c r="X13" s="4">
        <f t="shared" si="1"/>
        <v>0</v>
      </c>
      <c r="Y13" s="4">
        <f t="shared" si="1"/>
        <v>0</v>
      </c>
      <c r="Z13" s="4">
        <f t="shared" si="1"/>
        <v>0</v>
      </c>
      <c r="AA13" s="4">
        <f t="shared" si="1"/>
        <v>0</v>
      </c>
      <c r="AB13" s="4">
        <f t="shared" si="1"/>
        <v>0</v>
      </c>
      <c r="AC13" s="4">
        <f t="shared" si="1"/>
        <v>0</v>
      </c>
      <c r="AD13" s="4">
        <f t="shared" si="1"/>
        <v>0</v>
      </c>
      <c r="AE13" s="4">
        <v>76</v>
      </c>
      <c r="AF13" s="4">
        <f t="shared" si="1"/>
        <v>0</v>
      </c>
      <c r="AG13" s="4">
        <v>2</v>
      </c>
      <c r="AH13" s="4">
        <v>2</v>
      </c>
      <c r="AI13" s="4">
        <f t="shared" si="2"/>
        <v>0</v>
      </c>
      <c r="AJ13" s="4">
        <f t="shared" si="2"/>
        <v>0</v>
      </c>
      <c r="AK13" s="4">
        <f t="shared" si="2"/>
        <v>0</v>
      </c>
      <c r="AL13" s="4">
        <f t="shared" si="2"/>
        <v>0</v>
      </c>
      <c r="AM13" s="4">
        <f t="shared" si="2"/>
        <v>0</v>
      </c>
      <c r="AN13" s="4">
        <f t="shared" si="2"/>
        <v>0</v>
      </c>
      <c r="AO13" s="4">
        <f t="shared" si="2"/>
        <v>0</v>
      </c>
      <c r="AP13" s="4">
        <f t="shared" si="2"/>
        <v>0</v>
      </c>
      <c r="AQ13" s="4">
        <f t="shared" si="3"/>
        <v>0</v>
      </c>
      <c r="AR13" s="4">
        <f t="shared" si="3"/>
        <v>0</v>
      </c>
      <c r="AS13" s="4">
        <f t="shared" si="3"/>
        <v>0</v>
      </c>
      <c r="AT13" s="4">
        <v>0</v>
      </c>
      <c r="AU13" s="4">
        <v>0</v>
      </c>
      <c r="AV13" s="4">
        <f t="shared" si="3"/>
        <v>0</v>
      </c>
      <c r="AW13" s="4">
        <v>18</v>
      </c>
      <c r="AX13" s="4">
        <f t="shared" si="3"/>
        <v>0</v>
      </c>
      <c r="AY13" s="4">
        <f t="shared" si="3"/>
        <v>0</v>
      </c>
      <c r="AZ13" s="4">
        <f t="shared" si="3"/>
        <v>0</v>
      </c>
      <c r="BA13" s="4">
        <f t="shared" si="3"/>
        <v>0</v>
      </c>
      <c r="BB13" s="4">
        <f t="shared" si="3"/>
        <v>0</v>
      </c>
      <c r="BC13" s="79"/>
      <c r="BD13" s="3">
        <f>SUM(M13*RESUMÉ!$E$14,N13*RESUMÉ!$E$15,O13*RESUMÉ!$E$16,P13*RESUMÉ!$E$17,Q13*RESUMÉ!$E$18,R13*RESUMÉ!$E$19,S13*RESUMÉ!$E$20,T13*RESUMÉ!$E$21,U13*RESUMÉ!$E$22,V13*RESUMÉ!$E$23,W13*RESUMÉ!$E$24,X13*RESUMÉ!$E$25,Y13*RESUMÉ!$E$26,Z13*RESUMÉ!$E$27,AA13*RESUMÉ!$E$28,AB13*RESUMÉ!$E$29,AC13*RESUMÉ!$E$30,AD13*RESUMÉ!$E$31,AE13*'LISTE DE PRIX'!$F$6,AF13*'LISTE DE PRIX'!$F$7,AG13*'LISTE DE PRIX'!$F$12,AH13*'LISTE DE PRIX'!$F$13,AI13*'LISTE DE PRIX'!$F$14,AJ13*'LISTE DE PRIX'!$F$8,AK13*'LISTE DE PRIX'!$F$9,AL13*'LISTE DE PRIX'!$F$10,AM13*'LISTE DE PRIX'!$F$11,AN13*'LISTE DE PRIX'!$F$16,AO13*'LISTE DE PRIX'!$F$17,AP13*'LISTE DE PRIX'!$F$18,AQ13*'LISTE DE PRIX'!$F$15,AR13*'LISTE DE PRIX'!$F$19,AS13*'LISTE DE PRIX'!$F$20,AT13*'LISTE DE PRIX'!$F$21,AU13*'LISTE DE PRIX'!$F$22,AV13*'LISTE DE PRIX'!$F$23,AW13*'LISTE DE PRIX'!$F$25,AX13*'LISTE DE PRIX'!$F$26,AY13*'LISTE DE PRIX'!$F$27,AZ13*'LISTE DE PRIX'!$F$28,BA13*'LISTE DE PRIX'!$F$29,BB13*'LISTE DE PRIX'!$F$30)+MasterTable[[#This Row],[Misc.]]</f>
        <v>1198.0795499999999</v>
      </c>
      <c r="BE13" s="57" t="s">
        <v>1</v>
      </c>
    </row>
    <row r="14" spans="2:57" x14ac:dyDescent="0.25">
      <c r="B14" s="100">
        <v>2222</v>
      </c>
      <c r="C14" s="100"/>
      <c r="D14" s="101" t="s">
        <v>155</v>
      </c>
      <c r="E14" s="101" t="s">
        <v>153</v>
      </c>
      <c r="F14" s="101" t="s">
        <v>108</v>
      </c>
      <c r="G14" s="102" t="s">
        <v>109</v>
      </c>
      <c r="H14" s="103" t="s">
        <v>154</v>
      </c>
      <c r="I14" s="104" t="s">
        <v>52</v>
      </c>
      <c r="J14" s="105" t="s">
        <v>68</v>
      </c>
      <c r="K14" s="5"/>
      <c r="L14" s="5"/>
      <c r="M14" s="4">
        <f t="shared" si="0"/>
        <v>0</v>
      </c>
      <c r="N14" s="4">
        <f t="shared" si="0"/>
        <v>0</v>
      </c>
      <c r="O14" s="4">
        <f t="shared" si="0"/>
        <v>0</v>
      </c>
      <c r="P14" s="4">
        <f t="shared" si="0"/>
        <v>0</v>
      </c>
      <c r="Q14" s="4">
        <f t="shared" si="0"/>
        <v>0</v>
      </c>
      <c r="R14" s="4">
        <f t="shared" si="0"/>
        <v>0</v>
      </c>
      <c r="S14" s="4">
        <f t="shared" si="0"/>
        <v>0</v>
      </c>
      <c r="T14" s="4">
        <f t="shared" si="0"/>
        <v>0</v>
      </c>
      <c r="U14" s="4">
        <f t="shared" si="0"/>
        <v>0</v>
      </c>
      <c r="V14" s="4">
        <f t="shared" si="0"/>
        <v>0</v>
      </c>
      <c r="W14" s="4">
        <f t="shared" si="1"/>
        <v>0</v>
      </c>
      <c r="X14" s="4">
        <f t="shared" si="1"/>
        <v>0</v>
      </c>
      <c r="Y14" s="4">
        <f t="shared" si="1"/>
        <v>0</v>
      </c>
      <c r="Z14" s="4">
        <f t="shared" si="1"/>
        <v>0</v>
      </c>
      <c r="AA14" s="4">
        <f t="shared" si="1"/>
        <v>0</v>
      </c>
      <c r="AB14" s="4">
        <f t="shared" si="1"/>
        <v>0</v>
      </c>
      <c r="AC14" s="4">
        <f t="shared" si="1"/>
        <v>0</v>
      </c>
      <c r="AD14" s="4">
        <f t="shared" si="1"/>
        <v>0</v>
      </c>
      <c r="AE14" s="4">
        <f t="shared" si="1"/>
        <v>0</v>
      </c>
      <c r="AF14" s="4">
        <f t="shared" si="1"/>
        <v>0</v>
      </c>
      <c r="AG14" s="4">
        <f t="shared" si="2"/>
        <v>0</v>
      </c>
      <c r="AH14" s="4">
        <f t="shared" si="2"/>
        <v>0</v>
      </c>
      <c r="AI14" s="4">
        <f t="shared" si="2"/>
        <v>0</v>
      </c>
      <c r="AJ14" s="4">
        <f t="shared" si="2"/>
        <v>0</v>
      </c>
      <c r="AK14" s="4">
        <f t="shared" si="2"/>
        <v>0</v>
      </c>
      <c r="AL14" s="4">
        <f t="shared" si="2"/>
        <v>0</v>
      </c>
      <c r="AM14" s="4">
        <f t="shared" si="2"/>
        <v>0</v>
      </c>
      <c r="AN14" s="4">
        <f t="shared" si="2"/>
        <v>0</v>
      </c>
      <c r="AO14" s="4">
        <f t="shared" si="2"/>
        <v>0</v>
      </c>
      <c r="AP14" s="4">
        <f t="shared" si="2"/>
        <v>0</v>
      </c>
      <c r="AQ14" s="4">
        <f t="shared" si="3"/>
        <v>0</v>
      </c>
      <c r="AR14" s="4">
        <f t="shared" si="3"/>
        <v>0</v>
      </c>
      <c r="AS14" s="4">
        <f t="shared" si="3"/>
        <v>0</v>
      </c>
      <c r="AT14" s="4">
        <f t="shared" si="3"/>
        <v>0</v>
      </c>
      <c r="AU14" s="4">
        <f t="shared" si="3"/>
        <v>0</v>
      </c>
      <c r="AV14" s="4">
        <f t="shared" si="3"/>
        <v>0</v>
      </c>
      <c r="AW14" s="4">
        <f t="shared" si="3"/>
        <v>0</v>
      </c>
      <c r="AX14" s="4">
        <f t="shared" si="3"/>
        <v>0</v>
      </c>
      <c r="AY14" s="4">
        <f t="shared" si="3"/>
        <v>0</v>
      </c>
      <c r="AZ14" s="4">
        <f t="shared" si="3"/>
        <v>0</v>
      </c>
      <c r="BA14" s="4">
        <f t="shared" si="3"/>
        <v>0</v>
      </c>
      <c r="BB14" s="4">
        <f t="shared" si="3"/>
        <v>0</v>
      </c>
      <c r="BC14" s="79"/>
      <c r="BD14" s="3">
        <f>SUM(M14*RESUMÉ!$E$14,N14*RESUMÉ!$E$15,O14*RESUMÉ!$E$16,P14*RESUMÉ!$E$17,Q14*RESUMÉ!$E$18,R14*RESUMÉ!$E$19,S14*RESUMÉ!$E$20,T14*RESUMÉ!$E$21,U14*RESUMÉ!$E$22,V14*RESUMÉ!$E$23,W14*RESUMÉ!$E$24,X14*RESUMÉ!$E$25,Y14*RESUMÉ!$E$26,Z14*RESUMÉ!$E$27,AA14*RESUMÉ!$E$28,AB14*RESUMÉ!$E$29,AC14*RESUMÉ!$E$30,AD14*RESUMÉ!$E$31,AE14*'LISTE DE PRIX'!$F$6,AF14*'LISTE DE PRIX'!$F$7,AG14*'LISTE DE PRIX'!$F$12,AH14*'LISTE DE PRIX'!$F$13,AI14*'LISTE DE PRIX'!$F$14,AJ14*'LISTE DE PRIX'!$F$8,AK14*'LISTE DE PRIX'!$F$9,AL14*'LISTE DE PRIX'!$F$10,AM14*'LISTE DE PRIX'!$F$11,AN14*'LISTE DE PRIX'!$F$16,AO14*'LISTE DE PRIX'!$F$17,AP14*'LISTE DE PRIX'!$F$18,AQ14*'LISTE DE PRIX'!$F$15,AR14*'LISTE DE PRIX'!$F$19,AS14*'LISTE DE PRIX'!$F$20,AT14*'LISTE DE PRIX'!$F$21,AU14*'LISTE DE PRIX'!$F$22,AV14*'LISTE DE PRIX'!$F$23,AW14*'LISTE DE PRIX'!$F$25,AX14*'LISTE DE PRIX'!$F$26,AY14*'LISTE DE PRIX'!$F$27,AZ14*'LISTE DE PRIX'!$F$28,BA14*'LISTE DE PRIX'!$F$29,BB14*'LISTE DE PRIX'!$F$30)+MasterTable[[#This Row],[Misc.]]</f>
        <v>0</v>
      </c>
      <c r="BE14" s="2"/>
    </row>
    <row r="15" spans="2:57" x14ac:dyDescent="0.25">
      <c r="B15" s="56">
        <v>2222</v>
      </c>
      <c r="C15" s="56">
        <v>2971</v>
      </c>
      <c r="D15" s="57" t="s">
        <v>217</v>
      </c>
      <c r="E15" s="58" t="s">
        <v>111</v>
      </c>
      <c r="F15" s="57" t="s">
        <v>110</v>
      </c>
      <c r="G15" s="59" t="s">
        <v>107</v>
      </c>
      <c r="H15" s="14" t="s">
        <v>102</v>
      </c>
      <c r="I15" s="9" t="s">
        <v>52</v>
      </c>
      <c r="J15" s="8" t="s">
        <v>50</v>
      </c>
      <c r="K15" s="5">
        <v>43038</v>
      </c>
      <c r="L15" s="5">
        <v>43038</v>
      </c>
      <c r="M15" s="4">
        <f t="shared" ref="M15:V18" si="4">SUM(0)</f>
        <v>0</v>
      </c>
      <c r="N15" s="4">
        <f t="shared" si="4"/>
        <v>0</v>
      </c>
      <c r="O15" s="4">
        <f t="shared" si="4"/>
        <v>0</v>
      </c>
      <c r="P15" s="4">
        <f t="shared" si="4"/>
        <v>0</v>
      </c>
      <c r="Q15" s="4">
        <f t="shared" si="4"/>
        <v>0</v>
      </c>
      <c r="R15" s="4">
        <f t="shared" si="4"/>
        <v>0</v>
      </c>
      <c r="S15" s="4">
        <f t="shared" si="4"/>
        <v>0</v>
      </c>
      <c r="T15" s="4">
        <f t="shared" si="4"/>
        <v>0</v>
      </c>
      <c r="U15" s="4">
        <f t="shared" si="4"/>
        <v>0</v>
      </c>
      <c r="V15" s="4">
        <f t="shared" si="4"/>
        <v>0</v>
      </c>
      <c r="W15" s="4">
        <f t="shared" ref="W15:AD18" si="5">SUM(0)</f>
        <v>0</v>
      </c>
      <c r="X15" s="4">
        <f t="shared" si="5"/>
        <v>0</v>
      </c>
      <c r="Y15" s="4">
        <f t="shared" si="5"/>
        <v>0</v>
      </c>
      <c r="Z15" s="4">
        <f t="shared" si="5"/>
        <v>0</v>
      </c>
      <c r="AA15" s="4">
        <f t="shared" si="5"/>
        <v>0</v>
      </c>
      <c r="AB15" s="4">
        <f t="shared" si="5"/>
        <v>0</v>
      </c>
      <c r="AC15" s="4">
        <f t="shared" si="5"/>
        <v>0</v>
      </c>
      <c r="AD15" s="4">
        <f t="shared" si="5"/>
        <v>0</v>
      </c>
      <c r="AE15" s="4">
        <v>90</v>
      </c>
      <c r="AF15" s="4">
        <f t="shared" ref="AF15:AF25" si="6">SUM(0)</f>
        <v>0</v>
      </c>
      <c r="AG15" s="4">
        <v>1</v>
      </c>
      <c r="AH15" s="4">
        <v>1</v>
      </c>
      <c r="AI15" s="4">
        <f>SUM(0)</f>
        <v>0</v>
      </c>
      <c r="AJ15" s="4">
        <f>SUM(0)</f>
        <v>0</v>
      </c>
      <c r="AK15" s="4">
        <f>SUM(0)</f>
        <v>0</v>
      </c>
      <c r="AL15" s="4">
        <v>1</v>
      </c>
      <c r="AM15" s="4">
        <f t="shared" ref="AM15:AS19" si="7">SUM(0)</f>
        <v>0</v>
      </c>
      <c r="AN15" s="4">
        <f t="shared" si="7"/>
        <v>0</v>
      </c>
      <c r="AO15" s="4">
        <f t="shared" si="7"/>
        <v>0</v>
      </c>
      <c r="AP15" s="4">
        <f t="shared" si="7"/>
        <v>0</v>
      </c>
      <c r="AQ15" s="4">
        <f t="shared" si="7"/>
        <v>0</v>
      </c>
      <c r="AR15" s="4">
        <f t="shared" si="7"/>
        <v>0</v>
      </c>
      <c r="AS15" s="4">
        <f t="shared" si="7"/>
        <v>0</v>
      </c>
      <c r="AT15" s="4">
        <v>1</v>
      </c>
      <c r="AU15" s="4">
        <v>1</v>
      </c>
      <c r="AV15" s="4">
        <f t="shared" ref="AV15:AV25" si="8">SUM(0)</f>
        <v>0</v>
      </c>
      <c r="AW15" s="4">
        <v>6</v>
      </c>
      <c r="AX15" s="4">
        <f>SUM(0)</f>
        <v>0</v>
      </c>
      <c r="AY15" s="4">
        <f>SUM(0)</f>
        <v>0</v>
      </c>
      <c r="AZ15" s="4">
        <f>SUM(0)</f>
        <v>0</v>
      </c>
      <c r="BA15" s="4">
        <f>SUM(0)</f>
        <v>0</v>
      </c>
      <c r="BB15" s="4">
        <f>SUM(0)</f>
        <v>0</v>
      </c>
      <c r="BC15" s="79"/>
      <c r="BD15" s="3">
        <f>SUM(M15*RESUMÉ!$E$14,N15*RESUMÉ!$E$15,O15*RESUMÉ!$E$16,P15*RESUMÉ!$E$17,Q15*RESUMÉ!$E$18,R15*RESUMÉ!$E$19,S15*RESUMÉ!$E$20,T15*RESUMÉ!$E$21,U15*RESUMÉ!$E$22,V15*RESUMÉ!$E$23,W15*RESUMÉ!$E$24,X15*RESUMÉ!$E$25,Y15*RESUMÉ!$E$26,Z15*RESUMÉ!$E$27,AA15*RESUMÉ!$E$28,AB15*RESUMÉ!$E$29,AC15*RESUMÉ!$E$30,AD15*RESUMÉ!$E$31,AE15*'LISTE DE PRIX'!$F$6,AF15*'LISTE DE PRIX'!$F$7,AG15*'LISTE DE PRIX'!$F$12,AH15*'LISTE DE PRIX'!$F$13,AI15*'LISTE DE PRIX'!$F$14,AJ15*'LISTE DE PRIX'!$F$8,AK15*'LISTE DE PRIX'!$F$9,AL15*'LISTE DE PRIX'!$F$10,AM15*'LISTE DE PRIX'!$F$11,AN15*'LISTE DE PRIX'!$F$16,AO15*'LISTE DE PRIX'!$F$17,AP15*'LISTE DE PRIX'!$F$18,AQ15*'LISTE DE PRIX'!$F$15,AR15*'LISTE DE PRIX'!$F$19,AS15*'LISTE DE PRIX'!$F$20,AT15*'LISTE DE PRIX'!$F$21,AU15*'LISTE DE PRIX'!$F$22,AV15*'LISTE DE PRIX'!$F$23,AW15*'LISTE DE PRIX'!$F$25,AX15*'LISTE DE PRIX'!$F$26,AY15*'LISTE DE PRIX'!$F$27,AZ15*'LISTE DE PRIX'!$F$28,BA15*'LISTE DE PRIX'!$F$29,BB15*'LISTE DE PRIX'!$F$30)+MasterTable[[#This Row],[Misc.]]</f>
        <v>501.58400999999998</v>
      </c>
      <c r="BE15" s="57" t="s">
        <v>1</v>
      </c>
    </row>
    <row r="16" spans="2:57" x14ac:dyDescent="0.25">
      <c r="B16" s="56">
        <v>2222</v>
      </c>
      <c r="C16" s="56">
        <v>2972</v>
      </c>
      <c r="D16" s="62" t="s">
        <v>151</v>
      </c>
      <c r="E16" s="58" t="s">
        <v>150</v>
      </c>
      <c r="F16" s="62" t="s">
        <v>108</v>
      </c>
      <c r="G16" s="61" t="s">
        <v>109</v>
      </c>
      <c r="H16" s="14" t="s">
        <v>102</v>
      </c>
      <c r="I16" s="9" t="s">
        <v>52</v>
      </c>
      <c r="J16" s="8" t="s">
        <v>50</v>
      </c>
      <c r="K16" s="5">
        <v>43042</v>
      </c>
      <c r="L16" s="5">
        <v>43042</v>
      </c>
      <c r="M16" s="4">
        <f t="shared" si="4"/>
        <v>0</v>
      </c>
      <c r="N16" s="4">
        <f t="shared" si="4"/>
        <v>0</v>
      </c>
      <c r="O16" s="4">
        <f t="shared" si="4"/>
        <v>0</v>
      </c>
      <c r="P16" s="4">
        <f t="shared" si="4"/>
        <v>0</v>
      </c>
      <c r="Q16" s="4">
        <f t="shared" si="4"/>
        <v>0</v>
      </c>
      <c r="R16" s="4">
        <f t="shared" si="4"/>
        <v>0</v>
      </c>
      <c r="S16" s="4">
        <f t="shared" si="4"/>
        <v>0</v>
      </c>
      <c r="T16" s="4">
        <f t="shared" si="4"/>
        <v>0</v>
      </c>
      <c r="U16" s="4">
        <f t="shared" si="4"/>
        <v>0</v>
      </c>
      <c r="V16" s="4">
        <f t="shared" si="4"/>
        <v>0</v>
      </c>
      <c r="W16" s="4">
        <f t="shared" si="5"/>
        <v>0</v>
      </c>
      <c r="X16" s="4">
        <f t="shared" si="5"/>
        <v>0</v>
      </c>
      <c r="Y16" s="4">
        <f t="shared" si="5"/>
        <v>0</v>
      </c>
      <c r="Z16" s="4">
        <f t="shared" si="5"/>
        <v>0</v>
      </c>
      <c r="AA16" s="4">
        <f t="shared" si="5"/>
        <v>0</v>
      </c>
      <c r="AB16" s="4">
        <f t="shared" si="5"/>
        <v>0</v>
      </c>
      <c r="AC16" s="4">
        <f t="shared" si="5"/>
        <v>0</v>
      </c>
      <c r="AD16" s="4">
        <f t="shared" si="5"/>
        <v>0</v>
      </c>
      <c r="AE16" s="4">
        <v>30</v>
      </c>
      <c r="AF16" s="4">
        <f t="shared" si="6"/>
        <v>0</v>
      </c>
      <c r="AG16" s="4">
        <v>1</v>
      </c>
      <c r="AH16" s="4">
        <v>1</v>
      </c>
      <c r="AI16" s="4">
        <f t="shared" ref="AI16:AJ19" si="9">SUM(0)</f>
        <v>0</v>
      </c>
      <c r="AJ16" s="4">
        <f t="shared" si="9"/>
        <v>0</v>
      </c>
      <c r="AK16" s="4">
        <v>0</v>
      </c>
      <c r="AL16" s="4">
        <v>1</v>
      </c>
      <c r="AM16" s="4">
        <f t="shared" si="7"/>
        <v>0</v>
      </c>
      <c r="AN16" s="4">
        <f t="shared" si="7"/>
        <v>0</v>
      </c>
      <c r="AO16" s="4">
        <f t="shared" si="7"/>
        <v>0</v>
      </c>
      <c r="AP16" s="4">
        <f t="shared" si="7"/>
        <v>0</v>
      </c>
      <c r="AQ16" s="4">
        <f t="shared" si="7"/>
        <v>0</v>
      </c>
      <c r="AR16" s="4">
        <f t="shared" si="7"/>
        <v>0</v>
      </c>
      <c r="AS16" s="4">
        <f t="shared" si="7"/>
        <v>0</v>
      </c>
      <c r="AT16" s="4">
        <v>1</v>
      </c>
      <c r="AU16" s="4">
        <v>1</v>
      </c>
      <c r="AV16" s="4">
        <f t="shared" si="8"/>
        <v>0</v>
      </c>
      <c r="AW16" s="4">
        <v>4</v>
      </c>
      <c r="AX16" s="4">
        <v>2</v>
      </c>
      <c r="AY16" s="4">
        <f t="shared" ref="AY16:BB19" si="10">SUM(0)</f>
        <v>0</v>
      </c>
      <c r="AZ16" s="4">
        <f t="shared" si="10"/>
        <v>0</v>
      </c>
      <c r="BA16" s="4">
        <f t="shared" si="10"/>
        <v>0</v>
      </c>
      <c r="BB16" s="4">
        <f t="shared" si="10"/>
        <v>0</v>
      </c>
      <c r="BC16" s="79"/>
      <c r="BD16" s="3">
        <f>SUM(M16*RESUMÉ!$E$14,N16*RESUMÉ!$E$15,O16*RESUMÉ!$E$16,P16*RESUMÉ!$E$17,Q16*RESUMÉ!$E$18,R16*RESUMÉ!$E$19,S16*RESUMÉ!$E$20,T16*RESUMÉ!$E$21,U16*RESUMÉ!$E$22,V16*RESUMÉ!$E$23,W16*RESUMÉ!$E$24,X16*RESUMÉ!$E$25,Y16*RESUMÉ!$E$26,Z16*RESUMÉ!$E$27,AA16*RESUMÉ!$E$28,AB16*RESUMÉ!$E$29,AC16*RESUMÉ!$E$30,AD16*RESUMÉ!$E$31,AE16*'LISTE DE PRIX'!$F$6,AF16*'LISTE DE PRIX'!$F$7,AG16*'LISTE DE PRIX'!$F$12,AH16*'LISTE DE PRIX'!$F$13,AI16*'LISTE DE PRIX'!$F$14,AJ16*'LISTE DE PRIX'!$F$8,AK16*'LISTE DE PRIX'!$F$9,AL16*'LISTE DE PRIX'!$F$10,AM16*'LISTE DE PRIX'!$F$11,AN16*'LISTE DE PRIX'!$F$16,AO16*'LISTE DE PRIX'!$F$17,AP16*'LISTE DE PRIX'!$F$18,AQ16*'LISTE DE PRIX'!$F$15,AR16*'LISTE DE PRIX'!$F$19,AS16*'LISTE DE PRIX'!$F$20,AT16*'LISTE DE PRIX'!$F$21,AU16*'LISTE DE PRIX'!$F$22,AV16*'LISTE DE PRIX'!$F$23,AW16*'LISTE DE PRIX'!$F$25,AX16*'LISTE DE PRIX'!$F$26,AY16*'LISTE DE PRIX'!$F$27,AZ16*'LISTE DE PRIX'!$F$28,BA16*'LISTE DE PRIX'!$F$29,BB16*'LISTE DE PRIX'!$F$30)+MasterTable[[#This Row],[Misc.]]</f>
        <v>503.796785</v>
      </c>
      <c r="BE16" s="57" t="s">
        <v>1</v>
      </c>
    </row>
    <row r="17" spans="1:57" x14ac:dyDescent="0.25">
      <c r="B17" s="2" t="s">
        <v>6</v>
      </c>
      <c r="C17" s="12"/>
      <c r="D17" s="2"/>
      <c r="E17" s="2"/>
      <c r="F17" s="2"/>
      <c r="G17" s="2"/>
      <c r="H17" s="6"/>
      <c r="I17" s="9"/>
      <c r="J17" s="2"/>
      <c r="K17" s="2"/>
      <c r="L17" s="2"/>
      <c r="M17" s="4">
        <f t="shared" si="4"/>
        <v>0</v>
      </c>
      <c r="N17" s="4">
        <f t="shared" si="4"/>
        <v>0</v>
      </c>
      <c r="O17" s="4">
        <f t="shared" si="4"/>
        <v>0</v>
      </c>
      <c r="P17" s="4">
        <f t="shared" si="4"/>
        <v>0</v>
      </c>
      <c r="Q17" s="4">
        <f t="shared" si="4"/>
        <v>0</v>
      </c>
      <c r="R17" s="4">
        <f t="shared" si="4"/>
        <v>0</v>
      </c>
      <c r="S17" s="4">
        <f t="shared" si="4"/>
        <v>0</v>
      </c>
      <c r="T17" s="4">
        <f t="shared" si="4"/>
        <v>0</v>
      </c>
      <c r="U17" s="4">
        <f t="shared" si="4"/>
        <v>0</v>
      </c>
      <c r="V17" s="4">
        <f t="shared" si="4"/>
        <v>0</v>
      </c>
      <c r="W17" s="4">
        <f t="shared" si="5"/>
        <v>0</v>
      </c>
      <c r="X17" s="4">
        <f t="shared" si="5"/>
        <v>0</v>
      </c>
      <c r="Y17" s="4">
        <f t="shared" si="5"/>
        <v>0</v>
      </c>
      <c r="Z17" s="4">
        <f t="shared" si="5"/>
        <v>0</v>
      </c>
      <c r="AA17" s="4">
        <f t="shared" si="5"/>
        <v>0</v>
      </c>
      <c r="AB17" s="4">
        <f t="shared" si="5"/>
        <v>0</v>
      </c>
      <c r="AC17" s="4">
        <f t="shared" si="5"/>
        <v>0</v>
      </c>
      <c r="AD17" s="4">
        <f t="shared" si="5"/>
        <v>0</v>
      </c>
      <c r="AE17" s="4">
        <f>SUM(0)</f>
        <v>0</v>
      </c>
      <c r="AF17" s="4">
        <f t="shared" si="6"/>
        <v>0</v>
      </c>
      <c r="AG17" s="4">
        <f>SUM(0)</f>
        <v>0</v>
      </c>
      <c r="AH17" s="4">
        <f>SUM(0)</f>
        <v>0</v>
      </c>
      <c r="AI17" s="4">
        <f t="shared" si="9"/>
        <v>0</v>
      </c>
      <c r="AJ17" s="4">
        <f t="shared" si="9"/>
        <v>0</v>
      </c>
      <c r="AK17" s="4">
        <f>SUM(0)</f>
        <v>0</v>
      </c>
      <c r="AL17" s="4">
        <f>SUM(0)</f>
        <v>0</v>
      </c>
      <c r="AM17" s="4">
        <f t="shared" si="7"/>
        <v>0</v>
      </c>
      <c r="AN17" s="4">
        <f t="shared" si="7"/>
        <v>0</v>
      </c>
      <c r="AO17" s="4">
        <f t="shared" si="7"/>
        <v>0</v>
      </c>
      <c r="AP17" s="4">
        <f t="shared" si="7"/>
        <v>0</v>
      </c>
      <c r="AQ17" s="4">
        <f t="shared" si="7"/>
        <v>0</v>
      </c>
      <c r="AR17" s="4">
        <f t="shared" si="7"/>
        <v>0</v>
      </c>
      <c r="AS17" s="4">
        <f t="shared" si="7"/>
        <v>0</v>
      </c>
      <c r="AT17" s="4">
        <f>SUM(0)</f>
        <v>0</v>
      </c>
      <c r="AU17" s="4">
        <f>SUM(0)</f>
        <v>0</v>
      </c>
      <c r="AV17" s="4">
        <f t="shared" si="8"/>
        <v>0</v>
      </c>
      <c r="AW17" s="4">
        <f>SUM(0)</f>
        <v>0</v>
      </c>
      <c r="AX17" s="4">
        <f>SUM(0)</f>
        <v>0</v>
      </c>
      <c r="AY17" s="4">
        <f t="shared" si="10"/>
        <v>0</v>
      </c>
      <c r="AZ17" s="4">
        <f t="shared" si="10"/>
        <v>0</v>
      </c>
      <c r="BA17" s="4">
        <f t="shared" si="10"/>
        <v>0</v>
      </c>
      <c r="BB17" s="4">
        <f t="shared" si="10"/>
        <v>0</v>
      </c>
      <c r="BC17" s="79"/>
      <c r="BD17" s="3">
        <f>SUM(M17*RESUMÉ!$E$14,N17*RESUMÉ!$E$15,O17*RESUMÉ!$E$16,P17*RESUMÉ!$E$17,Q17*RESUMÉ!$E$18,R17*RESUMÉ!$E$19,S17*RESUMÉ!$E$20,T17*RESUMÉ!$E$21,U17*RESUMÉ!$E$22,V17*RESUMÉ!$E$23,W17*RESUMÉ!$E$24,X17*RESUMÉ!$E$25,Y17*RESUMÉ!$E$26,Z17*RESUMÉ!$E$27,AA17*RESUMÉ!$E$28,AB17*RESUMÉ!$E$29,AC17*RESUMÉ!$E$30,AD17*RESUMÉ!$E$31,AE17*'LISTE DE PRIX'!$F$6,AF17*'LISTE DE PRIX'!$F$7,AG17*'LISTE DE PRIX'!$F$12,AH17*'LISTE DE PRIX'!$F$13,AI17*'LISTE DE PRIX'!$F$14,AJ17*'LISTE DE PRIX'!$F$8,AK17*'LISTE DE PRIX'!$F$9,AL17*'LISTE DE PRIX'!$F$10,AM17*'LISTE DE PRIX'!$F$11,AN17*'LISTE DE PRIX'!$F$16,AO17*'LISTE DE PRIX'!$F$17,AP17*'LISTE DE PRIX'!$F$18,AQ17*'LISTE DE PRIX'!$F$15,AR17*'LISTE DE PRIX'!$F$19,AS17*'LISTE DE PRIX'!$F$20,AT17*'LISTE DE PRIX'!$F$21,AU17*'LISTE DE PRIX'!$F$22,AV17*'LISTE DE PRIX'!$F$23,AW17*'LISTE DE PRIX'!$F$25,AX17*'LISTE DE PRIX'!$F$26,AY17*'LISTE DE PRIX'!$F$27,AZ17*'LISTE DE PRIX'!$F$28,BA17*'LISTE DE PRIX'!$F$29,BB17*'LISTE DE PRIX'!$F$30)+MasterTable[[#This Row],[Misc.]]</f>
        <v>0</v>
      </c>
      <c r="BE17" s="2"/>
    </row>
    <row r="18" spans="1:57" x14ac:dyDescent="0.25">
      <c r="B18" s="70">
        <v>2222</v>
      </c>
      <c r="C18" s="70">
        <v>2973</v>
      </c>
      <c r="D18" s="74" t="s">
        <v>56</v>
      </c>
      <c r="E18" s="73" t="s">
        <v>152</v>
      </c>
      <c r="F18" s="74" t="s">
        <v>142</v>
      </c>
      <c r="G18" s="75" t="s">
        <v>141</v>
      </c>
      <c r="H18" s="76" t="s">
        <v>149</v>
      </c>
      <c r="I18" s="71">
        <v>502.72</v>
      </c>
      <c r="J18" s="64" t="s">
        <v>50</v>
      </c>
      <c r="K18" s="5">
        <v>43045</v>
      </c>
      <c r="L18" s="5">
        <v>43045</v>
      </c>
      <c r="M18" s="4">
        <f t="shared" si="4"/>
        <v>0</v>
      </c>
      <c r="N18" s="4">
        <f t="shared" si="4"/>
        <v>0</v>
      </c>
      <c r="O18" s="4">
        <f t="shared" si="4"/>
        <v>0</v>
      </c>
      <c r="P18" s="4">
        <f t="shared" si="4"/>
        <v>0</v>
      </c>
      <c r="Q18" s="4">
        <f t="shared" si="4"/>
        <v>0</v>
      </c>
      <c r="R18" s="4">
        <f t="shared" si="4"/>
        <v>0</v>
      </c>
      <c r="S18" s="4">
        <f t="shared" si="4"/>
        <v>0</v>
      </c>
      <c r="T18" s="4">
        <f t="shared" si="4"/>
        <v>0</v>
      </c>
      <c r="U18" s="4">
        <f t="shared" si="4"/>
        <v>0</v>
      </c>
      <c r="V18" s="4">
        <f t="shared" si="4"/>
        <v>0</v>
      </c>
      <c r="W18" s="4">
        <f t="shared" si="5"/>
        <v>0</v>
      </c>
      <c r="X18" s="4">
        <f t="shared" si="5"/>
        <v>0</v>
      </c>
      <c r="Y18" s="4">
        <f t="shared" si="5"/>
        <v>0</v>
      </c>
      <c r="Z18" s="4">
        <f t="shared" si="5"/>
        <v>0</v>
      </c>
      <c r="AA18" s="4">
        <f t="shared" si="5"/>
        <v>0</v>
      </c>
      <c r="AB18" s="4">
        <f t="shared" si="5"/>
        <v>0</v>
      </c>
      <c r="AC18" s="4">
        <f t="shared" si="5"/>
        <v>0</v>
      </c>
      <c r="AD18" s="4">
        <f t="shared" si="5"/>
        <v>0</v>
      </c>
      <c r="AE18" s="4">
        <v>150</v>
      </c>
      <c r="AF18" s="4">
        <f t="shared" si="6"/>
        <v>0</v>
      </c>
      <c r="AG18" s="4">
        <v>2</v>
      </c>
      <c r="AH18" s="4">
        <v>2</v>
      </c>
      <c r="AI18" s="4">
        <f t="shared" si="9"/>
        <v>0</v>
      </c>
      <c r="AJ18" s="4">
        <f t="shared" si="9"/>
        <v>0</v>
      </c>
      <c r="AK18" s="4">
        <f>SUM(0)</f>
        <v>0</v>
      </c>
      <c r="AL18" s="4">
        <f>SUM(0)</f>
        <v>0</v>
      </c>
      <c r="AM18" s="4">
        <f t="shared" si="7"/>
        <v>0</v>
      </c>
      <c r="AN18" s="4">
        <f t="shared" si="7"/>
        <v>0</v>
      </c>
      <c r="AO18" s="4">
        <f t="shared" si="7"/>
        <v>0</v>
      </c>
      <c r="AP18" s="4">
        <f t="shared" si="7"/>
        <v>0</v>
      </c>
      <c r="AQ18" s="4">
        <f t="shared" si="7"/>
        <v>0</v>
      </c>
      <c r="AR18" s="4">
        <f t="shared" si="7"/>
        <v>0</v>
      </c>
      <c r="AS18" s="4">
        <f t="shared" si="7"/>
        <v>0</v>
      </c>
      <c r="AT18" s="4">
        <v>2</v>
      </c>
      <c r="AU18" s="4">
        <v>2</v>
      </c>
      <c r="AV18" s="4">
        <f t="shared" si="8"/>
        <v>0</v>
      </c>
      <c r="AW18" s="4">
        <v>7</v>
      </c>
      <c r="AX18" s="4">
        <f t="shared" ref="AX18:AX25" si="11">SUM(0)</f>
        <v>0</v>
      </c>
      <c r="AY18" s="4">
        <f t="shared" si="10"/>
        <v>0</v>
      </c>
      <c r="AZ18" s="4">
        <f t="shared" si="10"/>
        <v>0</v>
      </c>
      <c r="BA18" s="4">
        <f t="shared" si="10"/>
        <v>0</v>
      </c>
      <c r="BB18" s="4">
        <f t="shared" si="10"/>
        <v>0</v>
      </c>
      <c r="BC18" s="79"/>
      <c r="BD18" s="3">
        <f>SUM(M18*RESUMÉ!$E$14,N18*RESUMÉ!$E$15,O18*RESUMÉ!$E$16,P18*RESUMÉ!$E$17,Q18*RESUMÉ!$E$18,R18*RESUMÉ!$E$19,S18*RESUMÉ!$E$20,T18*RESUMÉ!$E$21,U18*RESUMÉ!$E$22,V18*RESUMÉ!$E$23,W18*RESUMÉ!$E$24,X18*RESUMÉ!$E$25,Y18*RESUMÉ!$E$26,Z18*RESUMÉ!$E$27,AA18*RESUMÉ!$E$28,AB18*RESUMÉ!$E$29,AC18*RESUMÉ!$E$30,AD18*RESUMÉ!$E$31,AE18*'LISTE DE PRIX'!$F$6,AF18*'LISTE DE PRIX'!$F$7,AG18*'LISTE DE PRIX'!$F$12,AH18*'LISTE DE PRIX'!$F$13,AI18*'LISTE DE PRIX'!$F$14,AJ18*'LISTE DE PRIX'!$F$8,AK18*'LISTE DE PRIX'!$F$9,AL18*'LISTE DE PRIX'!$F$10,AM18*'LISTE DE PRIX'!$F$11,AN18*'LISTE DE PRIX'!$F$16,AO18*'LISTE DE PRIX'!$F$17,AP18*'LISTE DE PRIX'!$F$18,AQ18*'LISTE DE PRIX'!$F$15,AR18*'LISTE DE PRIX'!$F$19,AS18*'LISTE DE PRIX'!$F$20,AT18*'LISTE DE PRIX'!$F$21,AU18*'LISTE DE PRIX'!$F$22,AV18*'LISTE DE PRIX'!$F$23,AW18*'LISTE DE PRIX'!$F$25,AX18*'LISTE DE PRIX'!$F$26,AY18*'LISTE DE PRIX'!$F$27,AZ18*'LISTE DE PRIX'!$F$28,BA18*'LISTE DE PRIX'!$F$29,BB18*'LISTE DE PRIX'!$F$30)+MasterTable[[#This Row],[Misc.]]</f>
        <v>668.46270499999991</v>
      </c>
      <c r="BE18" s="57" t="s">
        <v>1</v>
      </c>
    </row>
    <row r="19" spans="1:57" x14ac:dyDescent="0.25">
      <c r="B19" s="56">
        <v>2222</v>
      </c>
      <c r="C19" s="56" t="s">
        <v>122</v>
      </c>
      <c r="D19" s="54" t="s">
        <v>5</v>
      </c>
      <c r="E19" s="99" t="s">
        <v>118</v>
      </c>
      <c r="F19" s="68" t="s">
        <v>116</v>
      </c>
      <c r="G19" s="54" t="s">
        <v>117</v>
      </c>
      <c r="H19" s="16" t="s">
        <v>51</v>
      </c>
      <c r="I19" s="9">
        <v>13259</v>
      </c>
      <c r="J19" s="8" t="s">
        <v>50</v>
      </c>
      <c r="K19" s="5">
        <v>42996</v>
      </c>
      <c r="L19" s="5">
        <v>43014</v>
      </c>
      <c r="M19" s="4">
        <f>SUM(1+1+1+1+1+1+1)</f>
        <v>7</v>
      </c>
      <c r="N19" s="4">
        <f>SUM(4+4+1+4+1+1)</f>
        <v>15</v>
      </c>
      <c r="O19" s="4">
        <f>SUM(1+4+1)</f>
        <v>6</v>
      </c>
      <c r="P19" s="4">
        <f t="shared" ref="P19:R21" si="12">SUM(0)</f>
        <v>0</v>
      </c>
      <c r="Q19" s="4">
        <f t="shared" si="12"/>
        <v>0</v>
      </c>
      <c r="R19" s="4">
        <f t="shared" si="12"/>
        <v>0</v>
      </c>
      <c r="S19" s="4">
        <f>SUM(1+1+1+1+1+1+1+1+1)</f>
        <v>9</v>
      </c>
      <c r="T19" s="4">
        <f>SUM(4+1+4+4+3)</f>
        <v>16</v>
      </c>
      <c r="U19" s="4">
        <f>SUM(2+6+3)</f>
        <v>11</v>
      </c>
      <c r="V19" s="4">
        <f t="shared" ref="V19:AD25" si="13">SUM(0)</f>
        <v>0</v>
      </c>
      <c r="W19" s="4">
        <f t="shared" si="13"/>
        <v>0</v>
      </c>
      <c r="X19" s="4">
        <f t="shared" si="13"/>
        <v>0</v>
      </c>
      <c r="Y19" s="4">
        <f t="shared" si="13"/>
        <v>0</v>
      </c>
      <c r="Z19" s="4">
        <f t="shared" si="13"/>
        <v>0</v>
      </c>
      <c r="AA19" s="4">
        <f t="shared" si="13"/>
        <v>0</v>
      </c>
      <c r="AB19" s="4">
        <f t="shared" si="13"/>
        <v>0</v>
      </c>
      <c r="AC19" s="4">
        <f t="shared" si="13"/>
        <v>0</v>
      </c>
      <c r="AD19" s="4">
        <f t="shared" si="13"/>
        <v>0</v>
      </c>
      <c r="AE19" s="4">
        <v>170</v>
      </c>
      <c r="AF19" s="4">
        <f t="shared" si="6"/>
        <v>0</v>
      </c>
      <c r="AG19" s="4">
        <v>2</v>
      </c>
      <c r="AH19" s="4">
        <v>2</v>
      </c>
      <c r="AI19" s="4">
        <f t="shared" si="9"/>
        <v>0</v>
      </c>
      <c r="AJ19" s="4">
        <f t="shared" si="9"/>
        <v>0</v>
      </c>
      <c r="AK19" s="4">
        <f t="shared" ref="AK19:AK25" si="14">SUM(0)</f>
        <v>0</v>
      </c>
      <c r="AL19" s="4">
        <v>1</v>
      </c>
      <c r="AM19" s="4">
        <f t="shared" si="7"/>
        <v>0</v>
      </c>
      <c r="AN19" s="4">
        <f t="shared" si="7"/>
        <v>0</v>
      </c>
      <c r="AO19" s="4">
        <f t="shared" si="7"/>
        <v>0</v>
      </c>
      <c r="AP19" s="4">
        <f t="shared" si="7"/>
        <v>0</v>
      </c>
      <c r="AQ19" s="4">
        <f t="shared" si="7"/>
        <v>0</v>
      </c>
      <c r="AR19" s="4">
        <f t="shared" si="7"/>
        <v>0</v>
      </c>
      <c r="AS19" s="4">
        <f t="shared" si="7"/>
        <v>0</v>
      </c>
      <c r="AT19" s="4">
        <f>SUM(0)</f>
        <v>0</v>
      </c>
      <c r="AU19" s="4">
        <f>SUM(0)</f>
        <v>0</v>
      </c>
      <c r="AV19" s="4">
        <f t="shared" si="8"/>
        <v>0</v>
      </c>
      <c r="AW19" s="4">
        <v>33</v>
      </c>
      <c r="AX19" s="4">
        <f t="shared" si="11"/>
        <v>0</v>
      </c>
      <c r="AY19" s="4">
        <f t="shared" si="10"/>
        <v>0</v>
      </c>
      <c r="AZ19" s="4">
        <f t="shared" si="10"/>
        <v>0</v>
      </c>
      <c r="BA19" s="4">
        <f t="shared" si="10"/>
        <v>0</v>
      </c>
      <c r="BB19" s="4">
        <f t="shared" si="10"/>
        <v>0</v>
      </c>
      <c r="BC19" s="79"/>
      <c r="BD19" s="3">
        <f>SUM(M19*RESUMÉ!$E$14,N19*RESUMÉ!$E$15,O19*RESUMÉ!$E$16,P19*RESUMÉ!$E$17,Q19*RESUMÉ!$E$18,R19*RESUMÉ!$E$19,S19*RESUMÉ!$E$20,T19*RESUMÉ!$E$21,U19*RESUMÉ!$E$22,V19*RESUMÉ!$E$23,W19*RESUMÉ!$E$24,X19*RESUMÉ!$E$25,Y19*RESUMÉ!$E$26,Z19*RESUMÉ!$E$27,AA19*RESUMÉ!$E$28,AB19*RESUMÉ!$E$29,AC19*RESUMÉ!$E$30,AD19*RESUMÉ!$E$31,AE19*'LISTE DE PRIX'!$F$6,AF19*'LISTE DE PRIX'!$F$7,AG19*'LISTE DE PRIX'!$F$12,AH19*'LISTE DE PRIX'!$F$13,AI19*'LISTE DE PRIX'!$F$14,AJ19*'LISTE DE PRIX'!$F$8,AK19*'LISTE DE PRIX'!$F$9,AL19*'LISTE DE PRIX'!$F$10,AM19*'LISTE DE PRIX'!$F$11,AN19*'LISTE DE PRIX'!$F$16,AO19*'LISTE DE PRIX'!$F$17,AP19*'LISTE DE PRIX'!$F$18,AQ19*'LISTE DE PRIX'!$F$15,AR19*'LISTE DE PRIX'!$F$19,AS19*'LISTE DE PRIX'!$F$20,AT19*'LISTE DE PRIX'!$F$21,AU19*'LISTE DE PRIX'!$F$22,AV19*'LISTE DE PRIX'!$F$23,AW19*'LISTE DE PRIX'!$F$25,AX19*'LISTE DE PRIX'!$F$26,AY19*'LISTE DE PRIX'!$F$27,AZ19*'LISTE DE PRIX'!$F$28,BA19*'LISTE DE PRIX'!$F$29,BB19*'LISTE DE PRIX'!$F$30)+MasterTable[[#This Row],[Misc.]]</f>
        <v>2255.5183750000001</v>
      </c>
      <c r="BE19" s="53" t="s">
        <v>162</v>
      </c>
    </row>
    <row r="20" spans="1:57" x14ac:dyDescent="0.25">
      <c r="B20" s="56">
        <v>2222</v>
      </c>
      <c r="C20" s="56" t="s">
        <v>119</v>
      </c>
      <c r="D20" s="53" t="s">
        <v>4</v>
      </c>
      <c r="E20" s="77" t="s">
        <v>120</v>
      </c>
      <c r="F20" s="78" t="s">
        <v>116</v>
      </c>
      <c r="G20" s="54" t="s">
        <v>117</v>
      </c>
      <c r="H20" s="14" t="s">
        <v>101</v>
      </c>
      <c r="I20" s="72" t="s">
        <v>52</v>
      </c>
      <c r="J20" s="8" t="s">
        <v>50</v>
      </c>
      <c r="K20" s="5">
        <v>42997</v>
      </c>
      <c r="L20" s="5">
        <v>43000</v>
      </c>
      <c r="M20" s="4">
        <f>SUM(0)</f>
        <v>0</v>
      </c>
      <c r="N20" s="4">
        <f>SUM(0)</f>
        <v>0</v>
      </c>
      <c r="O20" s="4">
        <f>SUM(0)</f>
        <v>0</v>
      </c>
      <c r="P20" s="4">
        <f t="shared" si="12"/>
        <v>0</v>
      </c>
      <c r="Q20" s="4">
        <f t="shared" si="12"/>
        <v>0</v>
      </c>
      <c r="R20" s="4">
        <f t="shared" si="12"/>
        <v>0</v>
      </c>
      <c r="S20" s="4">
        <f t="shared" ref="S20:U22" si="15">SUM(0)</f>
        <v>0</v>
      </c>
      <c r="T20" s="4">
        <f t="shared" si="15"/>
        <v>0</v>
      </c>
      <c r="U20" s="4">
        <f t="shared" si="15"/>
        <v>0</v>
      </c>
      <c r="V20" s="4">
        <f t="shared" si="13"/>
        <v>0</v>
      </c>
      <c r="W20" s="4">
        <f t="shared" si="13"/>
        <v>0</v>
      </c>
      <c r="X20" s="4">
        <f t="shared" si="13"/>
        <v>0</v>
      </c>
      <c r="Y20" s="4">
        <f t="shared" si="13"/>
        <v>0</v>
      </c>
      <c r="Z20" s="4">
        <f t="shared" si="13"/>
        <v>0</v>
      </c>
      <c r="AA20" s="4">
        <f t="shared" si="13"/>
        <v>0</v>
      </c>
      <c r="AB20" s="4">
        <f t="shared" si="13"/>
        <v>0</v>
      </c>
      <c r="AC20" s="4">
        <f t="shared" si="13"/>
        <v>0</v>
      </c>
      <c r="AD20" s="4">
        <f t="shared" si="13"/>
        <v>0</v>
      </c>
      <c r="AE20" s="4">
        <v>160</v>
      </c>
      <c r="AF20" s="4">
        <f t="shared" si="6"/>
        <v>0</v>
      </c>
      <c r="AG20" s="4">
        <v>3</v>
      </c>
      <c r="AH20" s="4">
        <v>3</v>
      </c>
      <c r="AI20" s="4">
        <f t="shared" ref="AI20:AI25" si="16">SUM(0)</f>
        <v>0</v>
      </c>
      <c r="AJ20" s="4">
        <v>3</v>
      </c>
      <c r="AK20" s="4">
        <f t="shared" si="14"/>
        <v>0</v>
      </c>
      <c r="AL20" s="4">
        <f t="shared" ref="AL20:AQ25" si="17">SUM(0)</f>
        <v>0</v>
      </c>
      <c r="AM20" s="4">
        <f t="shared" si="17"/>
        <v>0</v>
      </c>
      <c r="AN20" s="4">
        <f t="shared" si="17"/>
        <v>0</v>
      </c>
      <c r="AO20" s="4">
        <f t="shared" si="17"/>
        <v>0</v>
      </c>
      <c r="AP20" s="4">
        <f t="shared" si="17"/>
        <v>0</v>
      </c>
      <c r="AQ20" s="4">
        <f t="shared" si="17"/>
        <v>0</v>
      </c>
      <c r="AR20" s="4">
        <v>3</v>
      </c>
      <c r="AS20" s="4">
        <f t="shared" ref="AS20:AT25" si="18">SUM(0)</f>
        <v>0</v>
      </c>
      <c r="AT20" s="4">
        <f t="shared" si="18"/>
        <v>0</v>
      </c>
      <c r="AU20" s="4">
        <v>0</v>
      </c>
      <c r="AV20" s="4">
        <f t="shared" si="8"/>
        <v>0</v>
      </c>
      <c r="AW20" s="4">
        <v>32</v>
      </c>
      <c r="AX20" s="4">
        <f t="shared" si="11"/>
        <v>0</v>
      </c>
      <c r="AY20" s="4">
        <f t="shared" ref="AY20:AY25" si="19">SUM(0)</f>
        <v>0</v>
      </c>
      <c r="AZ20" s="4"/>
      <c r="BA20" s="4">
        <f t="shared" ref="BA20:BB25" si="20">SUM(0)</f>
        <v>0</v>
      </c>
      <c r="BB20" s="4">
        <f t="shared" si="20"/>
        <v>0</v>
      </c>
      <c r="BC20" s="79"/>
      <c r="BD20" s="3">
        <f>SUM(M20*RESUMÉ!$E$14,N20*RESUMÉ!$E$15,O20*RESUMÉ!$E$16,P20*RESUMÉ!$E$17,Q20*RESUMÉ!$E$18,R20*RESUMÉ!$E$19,S20*RESUMÉ!$E$20,T20*RESUMÉ!$E$21,U20*RESUMÉ!$E$22,V20*RESUMÉ!$E$23,W20*RESUMÉ!$E$24,X20*RESUMÉ!$E$25,Y20*RESUMÉ!$E$26,Z20*RESUMÉ!$E$27,AA20*RESUMÉ!$E$28,AB20*RESUMÉ!$E$29,AC20*RESUMÉ!$E$30,AD20*RESUMÉ!$E$31,AE20*'LISTE DE PRIX'!$F$6,AF20*'LISTE DE PRIX'!$F$7,AG20*'LISTE DE PRIX'!$F$12,AH20*'LISTE DE PRIX'!$F$13,AI20*'LISTE DE PRIX'!$F$14,AJ20*'LISTE DE PRIX'!$F$8,AK20*'LISTE DE PRIX'!$F$9,AL20*'LISTE DE PRIX'!$F$10,AM20*'LISTE DE PRIX'!$F$11,AN20*'LISTE DE PRIX'!$F$16,AO20*'LISTE DE PRIX'!$F$17,AP20*'LISTE DE PRIX'!$F$18,AQ20*'LISTE DE PRIX'!$F$15,AR20*'LISTE DE PRIX'!$F$19,AS20*'LISTE DE PRIX'!$F$20,AT20*'LISTE DE PRIX'!$F$21,AU20*'LISTE DE PRIX'!$F$22,AV20*'LISTE DE PRIX'!$F$23,AW20*'LISTE DE PRIX'!$F$25,AX20*'LISTE DE PRIX'!$F$26,AY20*'LISTE DE PRIX'!$F$27,AZ20*'LISTE DE PRIX'!$F$28,BA20*'LISTE DE PRIX'!$F$29,BB20*'LISTE DE PRIX'!$F$30)+MasterTable[[#This Row],[Misc.]]</f>
        <v>2183.0804800000001</v>
      </c>
      <c r="BE20" s="53" t="s">
        <v>139</v>
      </c>
    </row>
    <row r="21" spans="1:57" x14ac:dyDescent="0.25">
      <c r="B21" s="12">
        <v>2222</v>
      </c>
      <c r="C21" s="12" t="s">
        <v>103</v>
      </c>
      <c r="D21" s="53" t="s">
        <v>3</v>
      </c>
      <c r="E21" s="55" t="s">
        <v>121</v>
      </c>
      <c r="F21" s="53" t="s">
        <v>110</v>
      </c>
      <c r="G21" s="54" t="s">
        <v>107</v>
      </c>
      <c r="H21" s="14" t="s">
        <v>69</v>
      </c>
      <c r="I21" s="9">
        <v>1704</v>
      </c>
      <c r="J21" s="8" t="s">
        <v>50</v>
      </c>
      <c r="K21" s="5">
        <v>43006</v>
      </c>
      <c r="L21" s="5">
        <v>43007</v>
      </c>
      <c r="M21" s="4">
        <v>3</v>
      </c>
      <c r="N21" s="4">
        <f t="shared" ref="N21:O24" si="21">SUM(0)</f>
        <v>0</v>
      </c>
      <c r="O21" s="4">
        <f t="shared" si="21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5"/>
        <v>0</v>
      </c>
      <c r="T21" s="4">
        <f t="shared" si="15"/>
        <v>0</v>
      </c>
      <c r="U21" s="4">
        <f t="shared" si="15"/>
        <v>0</v>
      </c>
      <c r="V21" s="4">
        <f t="shared" si="13"/>
        <v>0</v>
      </c>
      <c r="W21" s="4">
        <f t="shared" si="13"/>
        <v>0</v>
      </c>
      <c r="X21" s="4">
        <f t="shared" si="13"/>
        <v>0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4">
        <f t="shared" si="13"/>
        <v>0</v>
      </c>
      <c r="AD21" s="4">
        <f t="shared" si="13"/>
        <v>0</v>
      </c>
      <c r="AE21" s="4">
        <f t="shared" ref="AE21:AE26" si="22">SUM(0)</f>
        <v>0</v>
      </c>
      <c r="AF21" s="4">
        <f t="shared" si="6"/>
        <v>0</v>
      </c>
      <c r="AG21" s="4">
        <f t="shared" ref="AG21:AH25" si="23">SUM(0)</f>
        <v>0</v>
      </c>
      <c r="AH21" s="4">
        <f t="shared" si="23"/>
        <v>0</v>
      </c>
      <c r="AI21" s="4">
        <f t="shared" si="16"/>
        <v>0</v>
      </c>
      <c r="AJ21" s="4">
        <f t="shared" ref="AJ21:AJ27" si="24">SUM(0)</f>
        <v>0</v>
      </c>
      <c r="AK21" s="4">
        <f t="shared" si="14"/>
        <v>0</v>
      </c>
      <c r="AL21" s="4">
        <f t="shared" si="17"/>
        <v>0</v>
      </c>
      <c r="AM21" s="4">
        <f t="shared" si="17"/>
        <v>0</v>
      </c>
      <c r="AN21" s="4">
        <f t="shared" si="17"/>
        <v>0</v>
      </c>
      <c r="AO21" s="4">
        <f t="shared" si="17"/>
        <v>0</v>
      </c>
      <c r="AP21" s="4">
        <f t="shared" si="17"/>
        <v>0</v>
      </c>
      <c r="AQ21" s="4">
        <f t="shared" si="17"/>
        <v>0</v>
      </c>
      <c r="AR21" s="4">
        <f t="shared" ref="AR21:AR27" si="25">SUM(0)</f>
        <v>0</v>
      </c>
      <c r="AS21" s="4">
        <f t="shared" si="18"/>
        <v>0</v>
      </c>
      <c r="AT21" s="4">
        <f t="shared" si="18"/>
        <v>0</v>
      </c>
      <c r="AU21" s="4">
        <f t="shared" ref="AU21:AU26" si="26">SUM(0)</f>
        <v>0</v>
      </c>
      <c r="AV21" s="4">
        <f t="shared" si="8"/>
        <v>0</v>
      </c>
      <c r="AW21" s="4">
        <v>11.5</v>
      </c>
      <c r="AX21" s="4">
        <f t="shared" si="11"/>
        <v>0</v>
      </c>
      <c r="AY21" s="4">
        <f t="shared" si="19"/>
        <v>0</v>
      </c>
      <c r="AZ21" s="4">
        <f>SUM(0)</f>
        <v>0</v>
      </c>
      <c r="BA21" s="4">
        <f t="shared" si="20"/>
        <v>0</v>
      </c>
      <c r="BB21" s="4">
        <f t="shared" si="20"/>
        <v>0</v>
      </c>
      <c r="BC21" s="79"/>
      <c r="BD21" s="3">
        <f>SUM(M21*RESUMÉ!$E$14,N21*RESUMÉ!$E$15,O21*RESUMÉ!$E$16,P21*RESUMÉ!$E$17,Q21*RESUMÉ!$E$18,R21*RESUMÉ!$E$19,S21*RESUMÉ!$E$20,T21*RESUMÉ!$E$21,U21*RESUMÉ!$E$22,V21*RESUMÉ!$E$23,W21*RESUMÉ!$E$24,X21*RESUMÉ!$E$25,Y21*RESUMÉ!$E$26,Z21*RESUMÉ!$E$27,AA21*RESUMÉ!$E$28,AB21*RESUMÉ!$E$29,AC21*RESUMÉ!$E$30,AD21*RESUMÉ!$E$31,AE21*'LISTE DE PRIX'!$F$6,AF21*'LISTE DE PRIX'!$F$7,AG21*'LISTE DE PRIX'!$F$12,AH21*'LISTE DE PRIX'!$F$13,AI21*'LISTE DE PRIX'!$F$14,AJ21*'LISTE DE PRIX'!$F$8,AK21*'LISTE DE PRIX'!$F$9,AL21*'LISTE DE PRIX'!$F$10,AM21*'LISTE DE PRIX'!$F$11,AN21*'LISTE DE PRIX'!$F$16,AO21*'LISTE DE PRIX'!$F$17,AP21*'LISTE DE PRIX'!$F$18,AQ21*'LISTE DE PRIX'!$F$15,AR21*'LISTE DE PRIX'!$F$19,AS21*'LISTE DE PRIX'!$F$20,AT21*'LISTE DE PRIX'!$F$21,AU21*'LISTE DE PRIX'!$F$22,AV21*'LISTE DE PRIX'!$F$23,AW21*'LISTE DE PRIX'!$F$25,AX21*'LISTE DE PRIX'!$F$26,AY21*'LISTE DE PRIX'!$F$27,AZ21*'LISTE DE PRIX'!$F$28,BA21*'LISTE DE PRIX'!$F$29,BB21*'LISTE DE PRIX'!$F$30)+MasterTable[[#This Row],[Misc.]]</f>
        <v>692.99971249999999</v>
      </c>
      <c r="BE21" s="53" t="s">
        <v>139</v>
      </c>
    </row>
    <row r="22" spans="1:57" x14ac:dyDescent="0.25">
      <c r="B22" s="56">
        <v>2222</v>
      </c>
      <c r="C22" s="56" t="s">
        <v>103</v>
      </c>
      <c r="D22" s="53" t="s">
        <v>2</v>
      </c>
      <c r="E22" s="55" t="s">
        <v>123</v>
      </c>
      <c r="F22" s="53" t="s">
        <v>108</v>
      </c>
      <c r="G22" s="54" t="s">
        <v>109</v>
      </c>
      <c r="H22" s="14" t="s">
        <v>53</v>
      </c>
      <c r="I22" s="9">
        <v>1872</v>
      </c>
      <c r="J22" s="8" t="s">
        <v>50</v>
      </c>
      <c r="K22" s="5">
        <v>43007</v>
      </c>
      <c r="L22" s="5">
        <v>43010</v>
      </c>
      <c r="M22" s="4">
        <f>SUM(0)</f>
        <v>0</v>
      </c>
      <c r="N22" s="4">
        <f t="shared" si="21"/>
        <v>0</v>
      </c>
      <c r="O22" s="4">
        <f t="shared" si="21"/>
        <v>0</v>
      </c>
      <c r="P22" s="4">
        <v>4</v>
      </c>
      <c r="Q22" s="4">
        <f t="shared" ref="Q22:R24" si="27">SUM(0)</f>
        <v>0</v>
      </c>
      <c r="R22" s="4">
        <f t="shared" si="27"/>
        <v>0</v>
      </c>
      <c r="S22" s="4">
        <f t="shared" si="15"/>
        <v>0</v>
      </c>
      <c r="T22" s="4">
        <f t="shared" si="15"/>
        <v>0</v>
      </c>
      <c r="U22" s="4">
        <f t="shared" si="15"/>
        <v>0</v>
      </c>
      <c r="V22" s="4">
        <f t="shared" si="13"/>
        <v>0</v>
      </c>
      <c r="W22" s="4">
        <f t="shared" si="13"/>
        <v>0</v>
      </c>
      <c r="X22" s="4">
        <f t="shared" si="13"/>
        <v>0</v>
      </c>
      <c r="Y22" s="4">
        <f t="shared" si="13"/>
        <v>0</v>
      </c>
      <c r="Z22" s="4">
        <f t="shared" si="13"/>
        <v>0</v>
      </c>
      <c r="AA22" s="4">
        <f t="shared" si="13"/>
        <v>0</v>
      </c>
      <c r="AB22" s="4">
        <f t="shared" si="13"/>
        <v>0</v>
      </c>
      <c r="AC22" s="4">
        <f t="shared" si="13"/>
        <v>0</v>
      </c>
      <c r="AD22" s="4">
        <f t="shared" si="13"/>
        <v>0</v>
      </c>
      <c r="AE22" s="4">
        <f t="shared" si="22"/>
        <v>0</v>
      </c>
      <c r="AF22" s="4">
        <f t="shared" si="6"/>
        <v>0</v>
      </c>
      <c r="AG22" s="4">
        <f t="shared" si="23"/>
        <v>0</v>
      </c>
      <c r="AH22" s="4">
        <f t="shared" si="23"/>
        <v>0</v>
      </c>
      <c r="AI22" s="4">
        <f t="shared" si="16"/>
        <v>0</v>
      </c>
      <c r="AJ22" s="4">
        <f t="shared" si="24"/>
        <v>0</v>
      </c>
      <c r="AK22" s="4">
        <f t="shared" si="14"/>
        <v>0</v>
      </c>
      <c r="AL22" s="4">
        <f t="shared" si="17"/>
        <v>0</v>
      </c>
      <c r="AM22" s="4">
        <f t="shared" si="17"/>
        <v>0</v>
      </c>
      <c r="AN22" s="4">
        <f t="shared" si="17"/>
        <v>0</v>
      </c>
      <c r="AO22" s="4">
        <f t="shared" si="17"/>
        <v>0</v>
      </c>
      <c r="AP22" s="4">
        <f t="shared" si="17"/>
        <v>0</v>
      </c>
      <c r="AQ22" s="4">
        <f t="shared" si="17"/>
        <v>0</v>
      </c>
      <c r="AR22" s="4">
        <f t="shared" si="25"/>
        <v>0</v>
      </c>
      <c r="AS22" s="4">
        <f t="shared" si="18"/>
        <v>0</v>
      </c>
      <c r="AT22" s="4">
        <f t="shared" si="18"/>
        <v>0</v>
      </c>
      <c r="AU22" s="4">
        <f t="shared" si="26"/>
        <v>0</v>
      </c>
      <c r="AV22" s="4">
        <f t="shared" si="8"/>
        <v>0</v>
      </c>
      <c r="AW22" s="4">
        <f>SUM(0)</f>
        <v>0</v>
      </c>
      <c r="AX22" s="4">
        <f t="shared" si="11"/>
        <v>0</v>
      </c>
      <c r="AY22" s="4">
        <f t="shared" si="19"/>
        <v>0</v>
      </c>
      <c r="AZ22" s="4">
        <f>SUM(0)</f>
        <v>0</v>
      </c>
      <c r="BA22" s="4">
        <f t="shared" si="20"/>
        <v>0</v>
      </c>
      <c r="BB22" s="4">
        <f t="shared" si="20"/>
        <v>0</v>
      </c>
      <c r="BC22" s="79"/>
      <c r="BD22" s="3">
        <f>SUM(M22*RESUMÉ!$E$14,N22*RESUMÉ!$E$15,O22*RESUMÉ!$E$16,P22*RESUMÉ!$E$17,Q22*RESUMÉ!$E$18,R22*RESUMÉ!$E$19,S22*RESUMÉ!$E$20,T22*RESUMÉ!$E$21,U22*RESUMÉ!$E$22,V22*RESUMÉ!$E$23,W22*RESUMÉ!$E$24,X22*RESUMÉ!$E$25,Y22*RESUMÉ!$E$26,Z22*RESUMÉ!$E$27,AA22*RESUMÉ!$E$28,AB22*RESUMÉ!$E$29,AC22*RESUMÉ!$E$30,AD22*RESUMÉ!$E$31,AE22*'LISTE DE PRIX'!$F$6,AF22*'LISTE DE PRIX'!$F$7,AG22*'LISTE DE PRIX'!$F$12,AH22*'LISTE DE PRIX'!$F$13,AI22*'LISTE DE PRIX'!$F$14,AJ22*'LISTE DE PRIX'!$F$8,AK22*'LISTE DE PRIX'!$F$9,AL22*'LISTE DE PRIX'!$F$10,AM22*'LISTE DE PRIX'!$F$11,AN22*'LISTE DE PRIX'!$F$16,AO22*'LISTE DE PRIX'!$F$17,AP22*'LISTE DE PRIX'!$F$18,AQ22*'LISTE DE PRIX'!$F$15,AR22*'LISTE DE PRIX'!$F$19,AS22*'LISTE DE PRIX'!$F$20,AT22*'LISTE DE PRIX'!$F$21,AU22*'LISTE DE PRIX'!$F$22,AV22*'LISTE DE PRIX'!$F$23,AW22*'LISTE DE PRIX'!$F$25,AX22*'LISTE DE PRIX'!$F$26,AY22*'LISTE DE PRIX'!$F$27,AZ22*'LISTE DE PRIX'!$F$28,BA22*'LISTE DE PRIX'!$F$29,BB22*'LISTE DE PRIX'!$F$30)+MasterTable[[#This Row],[Misc.]]</f>
        <v>4</v>
      </c>
      <c r="BE22" s="53" t="s">
        <v>139</v>
      </c>
    </row>
    <row r="23" spans="1:57" x14ac:dyDescent="0.25">
      <c r="B23" s="72">
        <v>2222</v>
      </c>
      <c r="C23" s="72">
        <v>2966</v>
      </c>
      <c r="D23" s="53" t="s">
        <v>46</v>
      </c>
      <c r="E23" s="55" t="s">
        <v>115</v>
      </c>
      <c r="F23" s="53" t="s">
        <v>116</v>
      </c>
      <c r="G23" s="54" t="s">
        <v>117</v>
      </c>
      <c r="H23" s="14" t="s">
        <v>70</v>
      </c>
      <c r="I23" s="9">
        <v>1368</v>
      </c>
      <c r="J23" s="8" t="s">
        <v>50</v>
      </c>
      <c r="K23" s="5">
        <v>43024</v>
      </c>
      <c r="L23" s="7" t="s">
        <v>45</v>
      </c>
      <c r="M23" s="4">
        <f>SUM(0)</f>
        <v>0</v>
      </c>
      <c r="N23" s="4">
        <f t="shared" si="21"/>
        <v>0</v>
      </c>
      <c r="O23" s="4">
        <f t="shared" si="21"/>
        <v>0</v>
      </c>
      <c r="P23" s="4">
        <v>1</v>
      </c>
      <c r="Q23" s="4">
        <f t="shared" si="27"/>
        <v>0</v>
      </c>
      <c r="R23" s="4">
        <f t="shared" si="27"/>
        <v>0</v>
      </c>
      <c r="S23" s="4">
        <v>1</v>
      </c>
      <c r="T23" s="4">
        <f t="shared" ref="T23:U25" si="28">SUM(0)</f>
        <v>0</v>
      </c>
      <c r="U23" s="4">
        <f t="shared" si="28"/>
        <v>0</v>
      </c>
      <c r="V23" s="4">
        <f t="shared" si="13"/>
        <v>0</v>
      </c>
      <c r="W23" s="4">
        <f t="shared" si="13"/>
        <v>0</v>
      </c>
      <c r="X23" s="4">
        <f t="shared" si="13"/>
        <v>0</v>
      </c>
      <c r="Y23" s="4">
        <f t="shared" si="13"/>
        <v>0</v>
      </c>
      <c r="Z23" s="4">
        <f t="shared" si="13"/>
        <v>0</v>
      </c>
      <c r="AA23" s="4">
        <f t="shared" si="13"/>
        <v>0</v>
      </c>
      <c r="AB23" s="4">
        <f t="shared" si="13"/>
        <v>0</v>
      </c>
      <c r="AC23" s="4">
        <f t="shared" si="13"/>
        <v>0</v>
      </c>
      <c r="AD23" s="4">
        <f t="shared" si="13"/>
        <v>0</v>
      </c>
      <c r="AE23" s="4">
        <f t="shared" si="22"/>
        <v>0</v>
      </c>
      <c r="AF23" s="4">
        <f t="shared" si="6"/>
        <v>0</v>
      </c>
      <c r="AG23" s="4">
        <f t="shared" si="23"/>
        <v>0</v>
      </c>
      <c r="AH23" s="4">
        <f t="shared" si="23"/>
        <v>0</v>
      </c>
      <c r="AI23" s="4">
        <f t="shared" si="16"/>
        <v>0</v>
      </c>
      <c r="AJ23" s="4">
        <f t="shared" si="24"/>
        <v>0</v>
      </c>
      <c r="AK23" s="4">
        <f t="shared" si="14"/>
        <v>0</v>
      </c>
      <c r="AL23" s="4">
        <f t="shared" si="17"/>
        <v>0</v>
      </c>
      <c r="AM23" s="4">
        <f t="shared" si="17"/>
        <v>0</v>
      </c>
      <c r="AN23" s="4">
        <f t="shared" si="17"/>
        <v>0</v>
      </c>
      <c r="AO23" s="4">
        <f t="shared" si="17"/>
        <v>0</v>
      </c>
      <c r="AP23" s="4">
        <f t="shared" si="17"/>
        <v>0</v>
      </c>
      <c r="AQ23" s="4">
        <f t="shared" si="17"/>
        <v>0</v>
      </c>
      <c r="AR23" s="4">
        <f t="shared" si="25"/>
        <v>0</v>
      </c>
      <c r="AS23" s="4">
        <f t="shared" si="18"/>
        <v>0</v>
      </c>
      <c r="AT23" s="4">
        <f t="shared" si="18"/>
        <v>0</v>
      </c>
      <c r="AU23" s="4">
        <f t="shared" si="26"/>
        <v>0</v>
      </c>
      <c r="AV23" s="4">
        <f t="shared" si="8"/>
        <v>0</v>
      </c>
      <c r="AW23" s="4">
        <v>9.0828000000000007</v>
      </c>
      <c r="AX23" s="4">
        <f t="shared" si="11"/>
        <v>0</v>
      </c>
      <c r="AY23" s="4">
        <f t="shared" si="19"/>
        <v>0</v>
      </c>
      <c r="AZ23" s="4">
        <v>0</v>
      </c>
      <c r="BA23" s="4">
        <f t="shared" si="20"/>
        <v>0</v>
      </c>
      <c r="BB23" s="4">
        <f t="shared" si="20"/>
        <v>0</v>
      </c>
      <c r="BC23" s="79"/>
      <c r="BD23" s="3">
        <f>SUM(M23*RESUMÉ!$E$14,N23*RESUMÉ!$E$15,O23*RESUMÉ!$E$16,P23*RESUMÉ!$E$17,Q23*RESUMÉ!$E$18,R23*RESUMÉ!$E$19,S23*RESUMÉ!$E$20,T23*RESUMÉ!$E$21,U23*RESUMÉ!$E$22,V23*RESUMÉ!$E$23,W23*RESUMÉ!$E$24,X23*RESUMÉ!$E$25,Y23*RESUMÉ!$E$26,Z23*RESUMÉ!$E$27,AA23*RESUMÉ!$E$28,AB23*RESUMÉ!$E$29,AC23*RESUMÉ!$E$30,AD23*RESUMÉ!$E$31,AE23*'LISTE DE PRIX'!$F$6,AF23*'LISTE DE PRIX'!$F$7,AG23*'LISTE DE PRIX'!$F$12,AH23*'LISTE DE PRIX'!$F$13,AI23*'LISTE DE PRIX'!$F$14,AJ23*'LISTE DE PRIX'!$F$8,AK23*'LISTE DE PRIX'!$F$9,AL23*'LISTE DE PRIX'!$F$10,AM23*'LISTE DE PRIX'!$F$11,AN23*'LISTE DE PRIX'!$F$16,AO23*'LISTE DE PRIX'!$F$17,AP23*'LISTE DE PRIX'!$F$18,AQ23*'LISTE DE PRIX'!$F$15,AR23*'LISTE DE PRIX'!$F$19,AS23*'LISTE DE PRIX'!$F$20,AT23*'LISTE DE PRIX'!$F$21,AU23*'LISTE DE PRIX'!$F$22,AV23*'LISTE DE PRIX'!$F$23,AW23*'LISTE DE PRIX'!$F$25,AX23*'LISTE DE PRIX'!$F$26,AY23*'LISTE DE PRIX'!$F$27,AZ23*'LISTE DE PRIX'!$F$28,BA23*'LISTE DE PRIX'!$F$29,BB23*'LISTE DE PRIX'!$F$30)+MasterTable[[#This Row],[Misc.]]</f>
        <v>546.96777293000002</v>
      </c>
      <c r="BE23" s="53" t="s">
        <v>139</v>
      </c>
    </row>
    <row r="24" spans="1:57" x14ac:dyDescent="0.25">
      <c r="B24" s="65"/>
      <c r="C24" s="65"/>
      <c r="D24" s="66" t="s">
        <v>148</v>
      </c>
      <c r="E24" s="65"/>
      <c r="F24" s="66"/>
      <c r="G24" s="66"/>
      <c r="H24" s="65" t="s">
        <v>61</v>
      </c>
      <c r="I24" s="67">
        <v>1043</v>
      </c>
      <c r="J24" s="65" t="s">
        <v>68</v>
      </c>
      <c r="K24" s="5">
        <v>42944</v>
      </c>
      <c r="L24" s="2"/>
      <c r="M24" s="4">
        <f>SUM(0)</f>
        <v>0</v>
      </c>
      <c r="N24" s="4">
        <f t="shared" si="21"/>
        <v>0</v>
      </c>
      <c r="O24" s="4">
        <f t="shared" si="21"/>
        <v>0</v>
      </c>
      <c r="P24" s="4">
        <f>SUM(0)</f>
        <v>0</v>
      </c>
      <c r="Q24" s="4">
        <f t="shared" si="27"/>
        <v>0</v>
      </c>
      <c r="R24" s="4">
        <f t="shared" si="27"/>
        <v>0</v>
      </c>
      <c r="S24" s="4">
        <f>SUM(0)</f>
        <v>0</v>
      </c>
      <c r="T24" s="4">
        <f t="shared" si="28"/>
        <v>0</v>
      </c>
      <c r="U24" s="4">
        <f t="shared" si="28"/>
        <v>0</v>
      </c>
      <c r="V24" s="4">
        <f t="shared" si="13"/>
        <v>0</v>
      </c>
      <c r="W24" s="4">
        <f t="shared" si="13"/>
        <v>0</v>
      </c>
      <c r="X24" s="4">
        <f t="shared" si="13"/>
        <v>0</v>
      </c>
      <c r="Y24" s="4">
        <f t="shared" si="13"/>
        <v>0</v>
      </c>
      <c r="Z24" s="4">
        <f t="shared" si="13"/>
        <v>0</v>
      </c>
      <c r="AA24" s="4">
        <f t="shared" si="13"/>
        <v>0</v>
      </c>
      <c r="AB24" s="4">
        <f t="shared" si="13"/>
        <v>0</v>
      </c>
      <c r="AC24" s="4">
        <f t="shared" si="13"/>
        <v>0</v>
      </c>
      <c r="AD24" s="4">
        <f t="shared" si="13"/>
        <v>0</v>
      </c>
      <c r="AE24" s="4">
        <f t="shared" si="22"/>
        <v>0</v>
      </c>
      <c r="AF24" s="4">
        <f t="shared" si="6"/>
        <v>0</v>
      </c>
      <c r="AG24" s="4">
        <f t="shared" si="23"/>
        <v>0</v>
      </c>
      <c r="AH24" s="4">
        <f t="shared" si="23"/>
        <v>0</v>
      </c>
      <c r="AI24" s="4">
        <f t="shared" si="16"/>
        <v>0</v>
      </c>
      <c r="AJ24" s="4">
        <f t="shared" si="24"/>
        <v>0</v>
      </c>
      <c r="AK24" s="4">
        <f t="shared" si="14"/>
        <v>0</v>
      </c>
      <c r="AL24" s="4">
        <f t="shared" si="17"/>
        <v>0</v>
      </c>
      <c r="AM24" s="4">
        <f t="shared" si="17"/>
        <v>0</v>
      </c>
      <c r="AN24" s="4">
        <f t="shared" si="17"/>
        <v>0</v>
      </c>
      <c r="AO24" s="4">
        <f t="shared" si="17"/>
        <v>0</v>
      </c>
      <c r="AP24" s="4">
        <f t="shared" si="17"/>
        <v>0</v>
      </c>
      <c r="AQ24" s="4">
        <f t="shared" si="17"/>
        <v>0</v>
      </c>
      <c r="AR24" s="4">
        <f t="shared" si="25"/>
        <v>0</v>
      </c>
      <c r="AS24" s="4">
        <f t="shared" si="18"/>
        <v>0</v>
      </c>
      <c r="AT24" s="4">
        <f t="shared" si="18"/>
        <v>0</v>
      </c>
      <c r="AU24" s="4">
        <f t="shared" si="26"/>
        <v>0</v>
      </c>
      <c r="AV24" s="4">
        <f t="shared" si="8"/>
        <v>0</v>
      </c>
      <c r="AW24" s="4">
        <f>SUM(0)</f>
        <v>0</v>
      </c>
      <c r="AX24" s="4">
        <f t="shared" si="11"/>
        <v>0</v>
      </c>
      <c r="AY24" s="4">
        <f t="shared" si="19"/>
        <v>0</v>
      </c>
      <c r="AZ24" s="4">
        <f>SUM(0)</f>
        <v>0</v>
      </c>
      <c r="BA24" s="4">
        <f t="shared" si="20"/>
        <v>0</v>
      </c>
      <c r="BB24" s="4">
        <f t="shared" si="20"/>
        <v>0</v>
      </c>
      <c r="BC24" s="79"/>
      <c r="BD24" s="3">
        <f>SUM(M24*RESUMÉ!$E$14,N24*RESUMÉ!$E$15,O24*RESUMÉ!$E$16,P24*RESUMÉ!$E$17,Q24*RESUMÉ!$E$18,R24*RESUMÉ!$E$19,S24*RESUMÉ!$E$20,T24*RESUMÉ!$E$21,U24*RESUMÉ!$E$22,V24*RESUMÉ!$E$23,W24*RESUMÉ!$E$24,X24*RESUMÉ!$E$25,Y24*RESUMÉ!$E$26,Z24*RESUMÉ!$E$27,AA24*RESUMÉ!$E$28,AB24*RESUMÉ!$E$29,AC24*RESUMÉ!$E$30,AD24*RESUMÉ!$E$31,AE24*'LISTE DE PRIX'!$F$6,AF24*'LISTE DE PRIX'!$F$7,AG24*'LISTE DE PRIX'!$F$12,AH24*'LISTE DE PRIX'!$F$13,AI24*'LISTE DE PRIX'!$F$14,AJ24*'LISTE DE PRIX'!$F$8,AK24*'LISTE DE PRIX'!$F$9,AL24*'LISTE DE PRIX'!$F$10,AM24*'LISTE DE PRIX'!$F$11,AN24*'LISTE DE PRIX'!$F$16,AO24*'LISTE DE PRIX'!$F$17,AP24*'LISTE DE PRIX'!$F$18,AQ24*'LISTE DE PRIX'!$F$15,AR24*'LISTE DE PRIX'!$F$19,AS24*'LISTE DE PRIX'!$F$20,AT24*'LISTE DE PRIX'!$F$21,AU24*'LISTE DE PRIX'!$F$22,AV24*'LISTE DE PRIX'!$F$23,AW24*'LISTE DE PRIX'!$F$25,AX24*'LISTE DE PRIX'!$F$26,AY24*'LISTE DE PRIX'!$F$27,AZ24*'LISTE DE PRIX'!$F$28,BA24*'LISTE DE PRIX'!$F$29,BB24*'LISTE DE PRIX'!$F$30)+MasterTable[[#This Row],[Misc.]]</f>
        <v>0</v>
      </c>
      <c r="BE24" s="2"/>
    </row>
    <row r="25" spans="1:57" ht="15.75" x14ac:dyDescent="0.25">
      <c r="B25" s="56">
        <v>2222</v>
      </c>
      <c r="C25" s="56">
        <v>2969</v>
      </c>
      <c r="D25" s="53" t="s">
        <v>65</v>
      </c>
      <c r="E25" s="55" t="s">
        <v>112</v>
      </c>
      <c r="F25" s="69" t="s">
        <v>108</v>
      </c>
      <c r="G25" s="54" t="s">
        <v>109</v>
      </c>
      <c r="H25" s="14" t="s">
        <v>66</v>
      </c>
      <c r="I25" s="9">
        <v>1847</v>
      </c>
      <c r="J25" s="8" t="s">
        <v>50</v>
      </c>
      <c r="K25" s="5">
        <v>43032</v>
      </c>
      <c r="L25" s="5">
        <v>43032</v>
      </c>
      <c r="M25" s="4">
        <v>1</v>
      </c>
      <c r="N25" s="4">
        <v>1</v>
      </c>
      <c r="O25" s="4">
        <f>SUM(0)</f>
        <v>0</v>
      </c>
      <c r="P25" s="4">
        <v>1</v>
      </c>
      <c r="Q25" s="4">
        <v>1</v>
      </c>
      <c r="R25" s="4">
        <f>SUM(0)</f>
        <v>0</v>
      </c>
      <c r="S25" s="4">
        <f>SUM(0)</f>
        <v>0</v>
      </c>
      <c r="T25" s="4">
        <f t="shared" si="28"/>
        <v>0</v>
      </c>
      <c r="U25" s="4">
        <f t="shared" si="28"/>
        <v>0</v>
      </c>
      <c r="V25" s="4">
        <f t="shared" si="13"/>
        <v>0</v>
      </c>
      <c r="W25" s="4">
        <f t="shared" si="13"/>
        <v>0</v>
      </c>
      <c r="X25" s="4">
        <f t="shared" si="13"/>
        <v>0</v>
      </c>
      <c r="Y25" s="4">
        <f t="shared" si="13"/>
        <v>0</v>
      </c>
      <c r="Z25" s="4">
        <f t="shared" si="13"/>
        <v>0</v>
      </c>
      <c r="AA25" s="4">
        <f t="shared" si="13"/>
        <v>0</v>
      </c>
      <c r="AB25" s="4">
        <f t="shared" si="13"/>
        <v>0</v>
      </c>
      <c r="AC25" s="4">
        <f t="shared" si="13"/>
        <v>0</v>
      </c>
      <c r="AD25" s="4">
        <f t="shared" si="13"/>
        <v>0</v>
      </c>
      <c r="AE25" s="4">
        <f t="shared" si="22"/>
        <v>0</v>
      </c>
      <c r="AF25" s="4">
        <f t="shared" si="6"/>
        <v>0</v>
      </c>
      <c r="AG25" s="4">
        <f t="shared" si="23"/>
        <v>0</v>
      </c>
      <c r="AH25" s="4">
        <f t="shared" si="23"/>
        <v>0</v>
      </c>
      <c r="AI25" s="4">
        <f t="shared" si="16"/>
        <v>0</v>
      </c>
      <c r="AJ25" s="4">
        <f t="shared" si="24"/>
        <v>0</v>
      </c>
      <c r="AK25" s="4">
        <f t="shared" si="14"/>
        <v>0</v>
      </c>
      <c r="AL25" s="4">
        <f t="shared" si="17"/>
        <v>0</v>
      </c>
      <c r="AM25" s="4">
        <f t="shared" si="17"/>
        <v>0</v>
      </c>
      <c r="AN25" s="4">
        <f t="shared" si="17"/>
        <v>0</v>
      </c>
      <c r="AO25" s="4">
        <f t="shared" si="17"/>
        <v>0</v>
      </c>
      <c r="AP25" s="4">
        <f t="shared" si="17"/>
        <v>0</v>
      </c>
      <c r="AQ25" s="4">
        <f t="shared" si="17"/>
        <v>0</v>
      </c>
      <c r="AR25" s="4">
        <f t="shared" si="25"/>
        <v>0</v>
      </c>
      <c r="AS25" s="4">
        <f t="shared" si="18"/>
        <v>0</v>
      </c>
      <c r="AT25" s="4">
        <f t="shared" si="18"/>
        <v>0</v>
      </c>
      <c r="AU25" s="4">
        <f t="shared" si="26"/>
        <v>0</v>
      </c>
      <c r="AV25" s="4">
        <f t="shared" si="8"/>
        <v>0</v>
      </c>
      <c r="AW25" s="4">
        <v>8</v>
      </c>
      <c r="AX25" s="4">
        <f t="shared" si="11"/>
        <v>0</v>
      </c>
      <c r="AY25" s="4">
        <f t="shared" si="19"/>
        <v>0</v>
      </c>
      <c r="AZ25" s="4">
        <f>SUM(0)</f>
        <v>0</v>
      </c>
      <c r="BA25" s="4">
        <f t="shared" si="20"/>
        <v>0</v>
      </c>
      <c r="BB25" s="4">
        <f t="shared" si="20"/>
        <v>0</v>
      </c>
      <c r="BC25" s="79"/>
      <c r="BD25" s="3">
        <f>SUM(M25*RESUMÉ!$E$14,N25*RESUMÉ!$E$15,O25*RESUMÉ!$E$16,P25*RESUMÉ!$E$17,Q25*RESUMÉ!$E$18,R25*RESUMÉ!$E$19,S25*RESUMÉ!$E$20,T25*RESUMÉ!$E$21,U25*RESUMÉ!$E$22,V25*RESUMÉ!$E$23,W25*RESUMÉ!$E$24,X25*RESUMÉ!$E$25,Y25*RESUMÉ!$E$26,Z25*RESUMÉ!$E$27,AA25*RESUMÉ!$E$28,AB25*RESUMÉ!$E$29,AC25*RESUMÉ!$E$30,AD25*RESUMÉ!$E$31,AE25*'LISTE DE PRIX'!$F$6,AF25*'LISTE DE PRIX'!$F$7,AG25*'LISTE DE PRIX'!$F$12,AH25*'LISTE DE PRIX'!$F$13,AI25*'LISTE DE PRIX'!$F$14,AJ25*'LISTE DE PRIX'!$F$8,AK25*'LISTE DE PRIX'!$F$9,AL25*'LISTE DE PRIX'!$F$10,AM25*'LISTE DE PRIX'!$F$11,AN25*'LISTE DE PRIX'!$F$16,AO25*'LISTE DE PRIX'!$F$17,AP25*'LISTE DE PRIX'!$F$18,AQ25*'LISTE DE PRIX'!$F$15,AR25*'LISTE DE PRIX'!$F$19,AS25*'LISTE DE PRIX'!$F$20,AT25*'LISTE DE PRIX'!$F$21,AU25*'LISTE DE PRIX'!$F$22,AV25*'LISTE DE PRIX'!$F$23,AW25*'LISTE DE PRIX'!$F$25,AX25*'LISTE DE PRIX'!$F$26,AY25*'LISTE DE PRIX'!$F$27,AZ25*'LISTE DE PRIX'!$F$28,BA25*'LISTE DE PRIX'!$F$29,BB25*'LISTE DE PRIX'!$F$30)+MasterTable[[#This Row],[Misc.]]</f>
        <v>483.99979999999999</v>
      </c>
      <c r="BE25" s="53" t="s">
        <v>139</v>
      </c>
    </row>
    <row r="26" spans="1:57" x14ac:dyDescent="0.25">
      <c r="B26" s="56">
        <v>2222</v>
      </c>
      <c r="C26" s="56"/>
      <c r="D26" s="2" t="s">
        <v>157</v>
      </c>
      <c r="E26" s="2" t="s">
        <v>158</v>
      </c>
      <c r="F26" s="2" t="s">
        <v>142</v>
      </c>
      <c r="G26" s="63" t="s">
        <v>141</v>
      </c>
      <c r="H26" s="14" t="s">
        <v>159</v>
      </c>
      <c r="I26" s="9"/>
      <c r="J26" s="8" t="s">
        <v>50</v>
      </c>
      <c r="K26" s="5">
        <v>43052</v>
      </c>
      <c r="L26" s="5"/>
      <c r="M26" s="4">
        <f t="shared" ref="M26:N27" si="29">SUM(0)</f>
        <v>0</v>
      </c>
      <c r="N26" s="4">
        <f t="shared" si="29"/>
        <v>0</v>
      </c>
      <c r="O26" s="4">
        <f>SUM(0)</f>
        <v>0</v>
      </c>
      <c r="P26" s="4">
        <f t="shared" ref="P26:Q27" si="30">SUM(0)</f>
        <v>0</v>
      </c>
      <c r="Q26" s="4">
        <f t="shared" si="30"/>
        <v>0</v>
      </c>
      <c r="R26" s="4">
        <f>SUM(0)</f>
        <v>0</v>
      </c>
      <c r="S26" s="4">
        <f>SUM(0)</f>
        <v>0</v>
      </c>
      <c r="T26" s="4">
        <f t="shared" ref="T26:U27" si="31">SUM(0)</f>
        <v>0</v>
      </c>
      <c r="U26" s="4">
        <f t="shared" si="31"/>
        <v>0</v>
      </c>
      <c r="V26" s="4">
        <f t="shared" ref="V26:AD27" si="32">SUM(0)</f>
        <v>0</v>
      </c>
      <c r="W26" s="4">
        <f t="shared" si="32"/>
        <v>0</v>
      </c>
      <c r="X26" s="4">
        <f t="shared" si="32"/>
        <v>0</v>
      </c>
      <c r="Y26" s="4">
        <f t="shared" si="32"/>
        <v>0</v>
      </c>
      <c r="Z26" s="4">
        <f t="shared" si="32"/>
        <v>0</v>
      </c>
      <c r="AA26" s="4">
        <f t="shared" si="32"/>
        <v>0</v>
      </c>
      <c r="AB26" s="4">
        <f t="shared" si="32"/>
        <v>0</v>
      </c>
      <c r="AC26" s="4">
        <f t="shared" si="32"/>
        <v>0</v>
      </c>
      <c r="AD26" s="4">
        <f t="shared" si="32"/>
        <v>0</v>
      </c>
      <c r="AE26" s="4">
        <f t="shared" si="22"/>
        <v>0</v>
      </c>
      <c r="AF26" s="4">
        <f>SUM(0)</f>
        <v>0</v>
      </c>
      <c r="AG26" s="4">
        <f>SUM(0)</f>
        <v>0</v>
      </c>
      <c r="AH26" s="4">
        <f>SUM(0)</f>
        <v>0</v>
      </c>
      <c r="AI26" s="4">
        <f>SUM(0)</f>
        <v>0</v>
      </c>
      <c r="AJ26" s="4">
        <f t="shared" si="24"/>
        <v>0</v>
      </c>
      <c r="AK26" s="4">
        <f>SUM(0)</f>
        <v>0</v>
      </c>
      <c r="AL26" s="4">
        <f>SUM(0)</f>
        <v>0</v>
      </c>
      <c r="AM26" s="4">
        <f t="shared" ref="AM26:AQ27" si="33">SUM(0)</f>
        <v>0</v>
      </c>
      <c r="AN26" s="4">
        <f t="shared" si="33"/>
        <v>0</v>
      </c>
      <c r="AO26" s="4">
        <f t="shared" si="33"/>
        <v>0</v>
      </c>
      <c r="AP26" s="4">
        <f t="shared" si="33"/>
        <v>0</v>
      </c>
      <c r="AQ26" s="4">
        <f t="shared" si="33"/>
        <v>0</v>
      </c>
      <c r="AR26" s="4">
        <f t="shared" si="25"/>
        <v>0</v>
      </c>
      <c r="AS26" s="4">
        <f>SUM(0)</f>
        <v>0</v>
      </c>
      <c r="AT26" s="4">
        <f>SUM(0)</f>
        <v>0</v>
      </c>
      <c r="AU26" s="4">
        <f t="shared" si="26"/>
        <v>0</v>
      </c>
      <c r="AV26" s="4">
        <f>SUM(0)</f>
        <v>0</v>
      </c>
      <c r="AW26" s="4">
        <f t="shared" ref="AW26:AX27" si="34">SUM(0)</f>
        <v>0</v>
      </c>
      <c r="AX26" s="4">
        <f t="shared" si="34"/>
        <v>0</v>
      </c>
      <c r="AY26" s="4">
        <f>SUM(0)</f>
        <v>0</v>
      </c>
      <c r="AZ26" s="4">
        <f>SUM(0)</f>
        <v>0</v>
      </c>
      <c r="BA26" s="4">
        <f t="shared" ref="BA26:BB27" si="35">SUM(0)</f>
        <v>0</v>
      </c>
      <c r="BB26" s="4">
        <f t="shared" si="35"/>
        <v>0</v>
      </c>
      <c r="BC26" s="79"/>
      <c r="BD26" s="3">
        <f>SUM(M26*RESUMÉ!$E$14,N26*RESUMÉ!$E$15,O26*RESUMÉ!$E$16,P26*RESUMÉ!$E$17,Q26*RESUMÉ!$E$18,R26*RESUMÉ!$E$19,S26*RESUMÉ!$E$20,T26*RESUMÉ!$E$21,U26*RESUMÉ!$E$22,V26*RESUMÉ!$E$23,W26*RESUMÉ!$E$24,X26*RESUMÉ!$E$25,Y26*RESUMÉ!$E$26,Z26*RESUMÉ!$E$27,AA26*RESUMÉ!$E$28,AB26*RESUMÉ!$E$29,AC26*RESUMÉ!$E$30,AD26*RESUMÉ!$E$31,AE26*'LISTE DE PRIX'!$F$6,AF26*'LISTE DE PRIX'!$F$7,AG26*'LISTE DE PRIX'!$F$12,AH26*'LISTE DE PRIX'!$F$13,AI26*'LISTE DE PRIX'!$F$14,AJ26*'LISTE DE PRIX'!$F$8,AK26*'LISTE DE PRIX'!$F$9,AL26*'LISTE DE PRIX'!$F$10,AM26*'LISTE DE PRIX'!$F$11,AN26*'LISTE DE PRIX'!$F$16,AO26*'LISTE DE PRIX'!$F$17,AP26*'LISTE DE PRIX'!$F$18,AQ26*'LISTE DE PRIX'!$F$15,AR26*'LISTE DE PRIX'!$F$19,AS26*'LISTE DE PRIX'!$F$20,AT26*'LISTE DE PRIX'!$F$21,AU26*'LISTE DE PRIX'!$F$22,AV26*'LISTE DE PRIX'!$F$23,AW26*'LISTE DE PRIX'!$F$25,AX26*'LISTE DE PRIX'!$F$26,AY26*'LISTE DE PRIX'!$F$27,AZ26*'LISTE DE PRIX'!$F$28,BA26*'LISTE DE PRIX'!$F$29,BB26*'LISTE DE PRIX'!$F$30)+MasterTable[[#This Row],[Misc.]]</f>
        <v>0</v>
      </c>
      <c r="BE26" s="2"/>
    </row>
    <row r="27" spans="1:57" x14ac:dyDescent="0.25">
      <c r="B27" s="56">
        <v>2222</v>
      </c>
      <c r="C27" s="56">
        <v>2960</v>
      </c>
      <c r="D27" s="57" t="s">
        <v>160</v>
      </c>
      <c r="E27" s="57" t="s">
        <v>161</v>
      </c>
      <c r="F27" s="57" t="s">
        <v>116</v>
      </c>
      <c r="G27" s="59" t="s">
        <v>117</v>
      </c>
      <c r="H27" s="14" t="s">
        <v>159</v>
      </c>
      <c r="I27" s="9"/>
      <c r="J27" s="8" t="s">
        <v>50</v>
      </c>
      <c r="K27" s="5">
        <v>43014</v>
      </c>
      <c r="L27" s="5">
        <v>43014</v>
      </c>
      <c r="M27" s="4">
        <f t="shared" si="29"/>
        <v>0</v>
      </c>
      <c r="N27" s="4">
        <f t="shared" si="29"/>
        <v>0</v>
      </c>
      <c r="O27" s="4">
        <f>SUM(0)</f>
        <v>0</v>
      </c>
      <c r="P27" s="4">
        <f t="shared" si="30"/>
        <v>0</v>
      </c>
      <c r="Q27" s="4">
        <f t="shared" si="30"/>
        <v>0</v>
      </c>
      <c r="R27" s="4">
        <f>SUM(0)</f>
        <v>0</v>
      </c>
      <c r="S27" s="4">
        <f>SUM(0)</f>
        <v>0</v>
      </c>
      <c r="T27" s="4">
        <f t="shared" si="31"/>
        <v>0</v>
      </c>
      <c r="U27" s="4">
        <f t="shared" si="31"/>
        <v>0</v>
      </c>
      <c r="V27" s="4">
        <f t="shared" si="32"/>
        <v>0</v>
      </c>
      <c r="W27" s="4">
        <f t="shared" si="32"/>
        <v>0</v>
      </c>
      <c r="X27" s="4">
        <f t="shared" si="32"/>
        <v>0</v>
      </c>
      <c r="Y27" s="4">
        <f t="shared" si="32"/>
        <v>0</v>
      </c>
      <c r="Z27" s="4">
        <f t="shared" si="32"/>
        <v>0</v>
      </c>
      <c r="AA27" s="4">
        <f t="shared" si="32"/>
        <v>0</v>
      </c>
      <c r="AB27" s="4">
        <f t="shared" si="32"/>
        <v>0</v>
      </c>
      <c r="AC27" s="4">
        <f t="shared" si="32"/>
        <v>0</v>
      </c>
      <c r="AD27" s="4">
        <f t="shared" si="32"/>
        <v>0</v>
      </c>
      <c r="AE27" s="4">
        <v>155</v>
      </c>
      <c r="AF27" s="4">
        <f>SUM(0)</f>
        <v>0</v>
      </c>
      <c r="AG27" s="4">
        <v>2</v>
      </c>
      <c r="AH27" s="4">
        <v>2</v>
      </c>
      <c r="AI27" s="4">
        <f>SUM(0)</f>
        <v>0</v>
      </c>
      <c r="AJ27" s="4">
        <f t="shared" si="24"/>
        <v>0</v>
      </c>
      <c r="AK27" s="4">
        <f>SUM(0)</f>
        <v>0</v>
      </c>
      <c r="AL27" s="4">
        <f>SUM(0)</f>
        <v>0</v>
      </c>
      <c r="AM27" s="4">
        <f t="shared" si="33"/>
        <v>0</v>
      </c>
      <c r="AN27" s="4">
        <f t="shared" si="33"/>
        <v>0</v>
      </c>
      <c r="AO27" s="4">
        <v>1</v>
      </c>
      <c r="AP27" s="4">
        <f t="shared" si="33"/>
        <v>0</v>
      </c>
      <c r="AQ27" s="4">
        <f t="shared" si="33"/>
        <v>0</v>
      </c>
      <c r="AR27" s="4">
        <f t="shared" si="25"/>
        <v>0</v>
      </c>
      <c r="AS27" s="4">
        <f>SUM(0)</f>
        <v>0</v>
      </c>
      <c r="AT27" s="4">
        <v>1</v>
      </c>
      <c r="AU27" s="4">
        <v>1</v>
      </c>
      <c r="AV27" s="4">
        <f>SUM(0)</f>
        <v>0</v>
      </c>
      <c r="AW27" s="4">
        <v>12</v>
      </c>
      <c r="AX27" s="4">
        <f t="shared" si="34"/>
        <v>0</v>
      </c>
      <c r="AY27" s="4">
        <f>SUM(0)</f>
        <v>0</v>
      </c>
      <c r="AZ27" s="4">
        <f>SUM(0)</f>
        <v>0</v>
      </c>
      <c r="BA27" s="4">
        <f t="shared" si="35"/>
        <v>0</v>
      </c>
      <c r="BB27" s="4">
        <f t="shared" si="35"/>
        <v>0</v>
      </c>
      <c r="BC27" s="79"/>
      <c r="BD27" s="3">
        <f>SUM(M27*RESUMÉ!$E$14,N27*RESUMÉ!$E$15,O27*RESUMÉ!$E$16,P27*RESUMÉ!$E$17,Q27*RESUMÉ!$E$18,R27*RESUMÉ!$E$19,S27*RESUMÉ!$E$20,T27*RESUMÉ!$E$21,U27*RESUMÉ!$E$22,V27*RESUMÉ!$E$23,W27*RESUMÉ!$E$24,X27*RESUMÉ!$E$25,Y27*RESUMÉ!$E$26,Z27*RESUMÉ!$E$27,AA27*RESUMÉ!$E$28,AB27*RESUMÉ!$E$29,AC27*RESUMÉ!$E$30,AD27*RESUMÉ!$E$31,AE27*'LISTE DE PRIX'!$F$6,AF27*'LISTE DE PRIX'!$F$7,AG27*'LISTE DE PRIX'!$F$12,AH27*'LISTE DE PRIX'!$F$13,AI27*'LISTE DE PRIX'!$F$14,AJ27*'LISTE DE PRIX'!$F$8,AK27*'LISTE DE PRIX'!$F$9,AL27*'LISTE DE PRIX'!$F$10,AM27*'LISTE DE PRIX'!$F$11,AN27*'LISTE DE PRIX'!$F$16,AO27*'LISTE DE PRIX'!$F$17,AP27*'LISTE DE PRIX'!$F$18,AQ27*'LISTE DE PRIX'!$F$15,AR27*'LISTE DE PRIX'!$F$19,AS27*'LISTE DE PRIX'!$F$20,AT27*'LISTE DE PRIX'!$F$21,AU27*'LISTE DE PRIX'!$F$22,AV27*'LISTE DE PRIX'!$F$23,AW27*'LISTE DE PRIX'!$F$25,AX27*'LISTE DE PRIX'!$F$26,AY27*'LISTE DE PRIX'!$F$27,AZ27*'LISTE DE PRIX'!$F$28,BA27*'LISTE DE PRIX'!$F$29,BB27*'LISTE DE PRIX'!$F$30)+MasterTable[[#This Row],[Misc.]]</f>
        <v>948.91757999999993</v>
      </c>
      <c r="BE27" s="57" t="s">
        <v>1</v>
      </c>
    </row>
    <row r="28" spans="1:57" x14ac:dyDescent="0.25">
      <c r="B28" s="56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4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3">
        <f>SUM(M28*RESUMÉ!$E$14,N28*RESUMÉ!$E$15,O28*RESUMÉ!$E$16,P28*RESUMÉ!$E$17,Q28*RESUMÉ!$E$18,R28*RESUMÉ!$E$19,S28*RESUMÉ!$E$20,T28*RESUMÉ!$E$21,U28*RESUMÉ!$E$22,V28*RESUMÉ!$E$23,W28*RESUMÉ!$E$24,X28*RESUMÉ!$E$25,Y28*RESUMÉ!$E$26,Z28*RESUMÉ!$E$27,AA28*RESUMÉ!$E$28,AB28*RESUMÉ!$E$29,AC28*RESUMÉ!$E$30,AD28*RESUMÉ!$E$31,AE28*'LISTE DE PRIX'!$F$6,AF28*'LISTE DE PRIX'!$F$7,AG28*'LISTE DE PRIX'!$F$12,AH28*'LISTE DE PRIX'!$F$13,AI28*'LISTE DE PRIX'!$F$14,AJ28*'LISTE DE PRIX'!$F$8,AK28*'LISTE DE PRIX'!$F$9,AL28*'LISTE DE PRIX'!$F$10,AM28*'LISTE DE PRIX'!$F$11,AN28*'LISTE DE PRIX'!$F$16,AO28*'LISTE DE PRIX'!$F$17,AP28*'LISTE DE PRIX'!$F$18,AQ28*'LISTE DE PRIX'!$F$15,AR28*'LISTE DE PRIX'!$F$19,AS28*'LISTE DE PRIX'!$F$20,AT28*'LISTE DE PRIX'!$F$21,AU28*'LISTE DE PRIX'!$F$22,AV28*'LISTE DE PRIX'!$F$23,AW28*'LISTE DE PRIX'!$F$25,AX28*'LISTE DE PRIX'!$F$26,AY28*'LISTE DE PRIX'!$F$27,AZ28*'LISTE DE PRIX'!$F$28,BA28*'LISTE DE PRIX'!$F$29,BB28*'LISTE DE PRIX'!$F$30)+MasterTable[[#This Row],[Misc.]]</f>
        <v>0</v>
      </c>
      <c r="BE28" s="2"/>
    </row>
    <row r="29" spans="1:57" x14ac:dyDescent="0.25">
      <c r="H29" s="10" t="s">
        <v>0</v>
      </c>
      <c r="I29" s="11">
        <f>SUM(I9:I28)</f>
        <v>110418.72</v>
      </c>
    </row>
    <row r="30" spans="1:57" ht="15.75" thickBot="1" x14ac:dyDescent="0.3"/>
    <row r="31" spans="1:57" ht="15" customHeight="1" thickBot="1" x14ac:dyDescent="0.3">
      <c r="A31" s="194" t="s">
        <v>126</v>
      </c>
      <c r="BB31" t="s">
        <v>0</v>
      </c>
      <c r="BD31" s="1">
        <f>SUM(BD8:BD30)-BD28</f>
        <v>9987.4067704299978</v>
      </c>
    </row>
    <row r="32" spans="1:57" x14ac:dyDescent="0.25">
      <c r="A32" s="195"/>
      <c r="B32" s="177" t="s">
        <v>124</v>
      </c>
      <c r="C32" s="178"/>
    </row>
    <row r="33" spans="1:3" x14ac:dyDescent="0.25">
      <c r="A33" s="195"/>
      <c r="B33" s="192" t="s">
        <v>125</v>
      </c>
      <c r="C33" s="193"/>
    </row>
    <row r="34" spans="1:3" x14ac:dyDescent="0.25">
      <c r="A34" s="195"/>
      <c r="B34" s="183" t="s">
        <v>127</v>
      </c>
      <c r="C34" s="191"/>
    </row>
    <row r="35" spans="1:3" x14ac:dyDescent="0.25">
      <c r="A35" s="195"/>
      <c r="B35" s="183" t="s">
        <v>128</v>
      </c>
      <c r="C35" s="191"/>
    </row>
    <row r="36" spans="1:3" x14ac:dyDescent="0.25">
      <c r="A36" s="195"/>
      <c r="B36" s="183" t="s">
        <v>129</v>
      </c>
      <c r="C36" s="191"/>
    </row>
    <row r="37" spans="1:3" x14ac:dyDescent="0.25">
      <c r="A37" s="195"/>
      <c r="B37" s="183" t="s">
        <v>130</v>
      </c>
      <c r="C37" s="191"/>
    </row>
    <row r="38" spans="1:3" x14ac:dyDescent="0.25">
      <c r="A38" s="195"/>
      <c r="B38" s="183" t="s">
        <v>131</v>
      </c>
      <c r="C38" s="191"/>
    </row>
    <row r="39" spans="1:3" x14ac:dyDescent="0.25">
      <c r="A39" s="195"/>
      <c r="B39" s="183" t="s">
        <v>132</v>
      </c>
      <c r="C39" s="191"/>
    </row>
    <row r="40" spans="1:3" x14ac:dyDescent="0.25">
      <c r="A40" s="195"/>
      <c r="B40" s="183" t="s">
        <v>133</v>
      </c>
      <c r="C40" s="191"/>
    </row>
    <row r="41" spans="1:3" x14ac:dyDescent="0.25">
      <c r="A41" s="195"/>
      <c r="B41" s="183" t="s">
        <v>134</v>
      </c>
      <c r="C41" s="191"/>
    </row>
    <row r="42" spans="1:3" x14ac:dyDescent="0.25">
      <c r="A42" s="195"/>
      <c r="B42" s="183" t="s">
        <v>135</v>
      </c>
      <c r="C42" s="191"/>
    </row>
    <row r="43" spans="1:3" x14ac:dyDescent="0.25">
      <c r="A43" s="195"/>
      <c r="B43" s="183" t="s">
        <v>136</v>
      </c>
      <c r="C43" s="191"/>
    </row>
    <row r="44" spans="1:3" x14ac:dyDescent="0.25">
      <c r="A44" s="195"/>
      <c r="B44" s="183" t="s">
        <v>137</v>
      </c>
      <c r="C44" s="191"/>
    </row>
    <row r="45" spans="1:3" x14ac:dyDescent="0.25">
      <c r="A45" s="195"/>
      <c r="B45" s="183" t="s">
        <v>125</v>
      </c>
      <c r="C45" s="191"/>
    </row>
    <row r="46" spans="1:3" ht="15.75" thickBot="1" x14ac:dyDescent="0.3">
      <c r="A46" s="196"/>
      <c r="B46" s="183" t="s">
        <v>138</v>
      </c>
      <c r="C46" s="191"/>
    </row>
    <row r="47" spans="1:3" x14ac:dyDescent="0.25">
      <c r="B47" s="183" t="s">
        <v>128</v>
      </c>
      <c r="C47" s="191"/>
    </row>
  </sheetData>
  <mergeCells count="41">
    <mergeCell ref="B47:C47"/>
    <mergeCell ref="B33:C33"/>
    <mergeCell ref="A31:A46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2:C32"/>
    <mergeCell ref="B2:L3"/>
    <mergeCell ref="Y3:AD3"/>
    <mergeCell ref="Y2:AD2"/>
    <mergeCell ref="M3:R3"/>
    <mergeCell ref="S3:X3"/>
    <mergeCell ref="M2:X2"/>
    <mergeCell ref="D4:L5"/>
    <mergeCell ref="B4:C5"/>
    <mergeCell ref="AB4:AD5"/>
    <mergeCell ref="V4:X5"/>
    <mergeCell ref="S4:U5"/>
    <mergeCell ref="BD2:BE5"/>
    <mergeCell ref="AR3:AV5"/>
    <mergeCell ref="AQ3:AQ5"/>
    <mergeCell ref="AE2:BB2"/>
    <mergeCell ref="AG3:AI5"/>
    <mergeCell ref="AE3:AF5"/>
    <mergeCell ref="AJ3:AM5"/>
    <mergeCell ref="AN3:AP5"/>
    <mergeCell ref="P4:R5"/>
    <mergeCell ref="M4:O5"/>
    <mergeCell ref="Y4:AA5"/>
    <mergeCell ref="AW3:AY5"/>
    <mergeCell ref="AZ3:BB5"/>
  </mergeCells>
  <hyperlinks>
    <hyperlink ref="G15" r:id="rId1"/>
    <hyperlink ref="G25" r:id="rId2" display="mailto:julien.nevespelchat@veolia.com"/>
    <hyperlink ref="G19" r:id="rId3"/>
    <hyperlink ref="G20" r:id="rId4"/>
    <hyperlink ref="G21" r:id="rId5"/>
    <hyperlink ref="G22" r:id="rId6"/>
    <hyperlink ref="G23" r:id="rId7"/>
    <hyperlink ref="G16" r:id="rId8"/>
    <hyperlink ref="G11" r:id="rId9"/>
    <hyperlink ref="G13" r:id="rId10"/>
    <hyperlink ref="G12" r:id="rId11"/>
    <hyperlink ref="G8" r:id="rId12"/>
    <hyperlink ref="G18" r:id="rId13"/>
    <hyperlink ref="G9" r:id="rId14"/>
    <hyperlink ref="G10" r:id="rId15"/>
    <hyperlink ref="G14" r:id="rId16"/>
    <hyperlink ref="G26" r:id="rId17"/>
    <hyperlink ref="G27" r:id="rId18"/>
    <hyperlink ref="D19" location="VSSM!A1" display="VSSM"/>
    <hyperlink ref="E19" r:id="rId19"/>
  </hyperlinks>
  <pageMargins left="0.25" right="0.25" top="0.75" bottom="0.75" header="0.3" footer="0.3"/>
  <pageSetup paperSize="17" scale="36" fitToHeight="0" orientation="landscape" r:id="rId20"/>
  <tableParts count="1">
    <tablePart r:id="rId2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F39"/>
  <sheetViews>
    <sheetView zoomScale="110" zoomScaleNormal="110" workbookViewId="0">
      <selection activeCell="B6" sqref="B6:B30"/>
    </sheetView>
  </sheetViews>
  <sheetFormatPr defaultRowHeight="15" x14ac:dyDescent="0.25"/>
  <cols>
    <col min="2" max="2" width="42.28515625" customWidth="1"/>
    <col min="3" max="3" width="6.140625" customWidth="1"/>
    <col min="4" max="4" width="13.7109375" customWidth="1"/>
    <col min="5" max="5" width="9.140625" customWidth="1"/>
    <col min="6" max="6" width="12.28515625" customWidth="1"/>
  </cols>
  <sheetData>
    <row r="2" spans="2:6" x14ac:dyDescent="0.25">
      <c r="B2" s="35" t="s">
        <v>75</v>
      </c>
    </row>
    <row r="3" spans="2:6" x14ac:dyDescent="0.25">
      <c r="B3" s="169"/>
      <c r="C3" s="182"/>
      <c r="D3" s="182"/>
      <c r="E3" s="182"/>
      <c r="F3" s="182"/>
    </row>
    <row r="4" spans="2:6" x14ac:dyDescent="0.25">
      <c r="B4" s="170"/>
      <c r="C4" s="182"/>
      <c r="D4" s="182"/>
      <c r="E4" s="182"/>
      <c r="F4" s="182"/>
    </row>
    <row r="5" spans="2:6" x14ac:dyDescent="0.25">
      <c r="B5" s="197"/>
      <c r="C5" s="2" t="s">
        <v>74</v>
      </c>
      <c r="D5" s="2" t="s">
        <v>73</v>
      </c>
      <c r="E5" s="2" t="s">
        <v>72</v>
      </c>
      <c r="F5" s="2" t="s">
        <v>71</v>
      </c>
    </row>
    <row r="6" spans="2:6" x14ac:dyDescent="0.25">
      <c r="B6" s="34"/>
      <c r="C6" s="2">
        <v>1</v>
      </c>
      <c r="D6" s="33">
        <v>0.80259999999999998</v>
      </c>
      <c r="E6" s="31">
        <v>0.2</v>
      </c>
      <c r="F6" s="32">
        <f t="shared" ref="F6:F23" si="0">(D6*E6)+D6</f>
        <v>0.96311999999999998</v>
      </c>
    </row>
    <row r="7" spans="2:6" x14ac:dyDescent="0.25">
      <c r="B7" s="34"/>
      <c r="C7" s="2">
        <v>1</v>
      </c>
      <c r="D7" s="33">
        <v>0.80259999999999998</v>
      </c>
      <c r="E7" s="31">
        <v>0.2</v>
      </c>
      <c r="F7" s="32">
        <f t="shared" si="0"/>
        <v>0.96311999999999998</v>
      </c>
    </row>
    <row r="8" spans="2:6" x14ac:dyDescent="0.25">
      <c r="B8" s="34"/>
      <c r="C8" s="2">
        <v>1</v>
      </c>
      <c r="D8" s="33">
        <v>2.4216000000000002</v>
      </c>
      <c r="E8" s="31">
        <v>0.2</v>
      </c>
      <c r="F8" s="32">
        <f t="shared" si="0"/>
        <v>2.9059200000000001</v>
      </c>
    </row>
    <row r="9" spans="2:6" x14ac:dyDescent="0.25">
      <c r="B9" s="34"/>
      <c r="C9" s="2">
        <v>1</v>
      </c>
      <c r="D9" s="33">
        <v>2.4216000000000002</v>
      </c>
      <c r="E9" s="31">
        <v>0.2</v>
      </c>
      <c r="F9" s="32">
        <f t="shared" si="0"/>
        <v>2.9059200000000001</v>
      </c>
    </row>
    <row r="10" spans="2:6" x14ac:dyDescent="0.25">
      <c r="B10" s="34"/>
      <c r="C10" s="2">
        <v>1</v>
      </c>
      <c r="D10" s="33">
        <v>2.4216000000000002</v>
      </c>
      <c r="E10" s="31">
        <v>0.2</v>
      </c>
      <c r="F10" s="32">
        <f t="shared" si="0"/>
        <v>2.9059200000000001</v>
      </c>
    </row>
    <row r="11" spans="2:6" x14ac:dyDescent="0.25">
      <c r="B11" s="34"/>
      <c r="C11" s="2">
        <v>1</v>
      </c>
      <c r="D11" s="33">
        <v>2.4216000000000002</v>
      </c>
      <c r="E11" s="31">
        <v>0.2</v>
      </c>
      <c r="F11" s="32">
        <f t="shared" si="0"/>
        <v>2.9059200000000001</v>
      </c>
    </row>
    <row r="12" spans="2:6" x14ac:dyDescent="0.25">
      <c r="B12" s="34"/>
      <c r="C12" s="2">
        <v>1</v>
      </c>
      <c r="D12" s="33">
        <v>9.3506</v>
      </c>
      <c r="E12" s="31">
        <v>0.2</v>
      </c>
      <c r="F12" s="32">
        <f t="shared" si="0"/>
        <v>11.22072</v>
      </c>
    </row>
    <row r="13" spans="2:6" x14ac:dyDescent="0.25">
      <c r="B13" s="34"/>
      <c r="C13" s="2">
        <v>1</v>
      </c>
      <c r="D13" s="33">
        <v>9.3506</v>
      </c>
      <c r="E13" s="31">
        <v>0.2</v>
      </c>
      <c r="F13" s="32">
        <f t="shared" si="0"/>
        <v>11.22072</v>
      </c>
    </row>
    <row r="14" spans="2:6" x14ac:dyDescent="0.25">
      <c r="B14" s="34"/>
      <c r="C14" s="2">
        <v>1</v>
      </c>
      <c r="D14" s="33">
        <v>9.3506</v>
      </c>
      <c r="E14" s="31">
        <v>0.2</v>
      </c>
      <c r="F14" s="32">
        <f t="shared" si="0"/>
        <v>11.22072</v>
      </c>
    </row>
    <row r="15" spans="2:6" x14ac:dyDescent="0.25">
      <c r="B15" s="22"/>
      <c r="C15" s="7">
        <v>1</v>
      </c>
      <c r="D15" s="24">
        <v>550.58000000000004</v>
      </c>
      <c r="E15" s="31">
        <v>0.2</v>
      </c>
      <c r="F15" s="3">
        <f t="shared" si="0"/>
        <v>660.69600000000003</v>
      </c>
    </row>
    <row r="16" spans="2:6" x14ac:dyDescent="0.25">
      <c r="B16" s="22"/>
      <c r="C16" s="7">
        <v>1</v>
      </c>
      <c r="D16" s="24">
        <v>2.8618999999999999</v>
      </c>
      <c r="E16" s="31">
        <v>0.2</v>
      </c>
      <c r="F16" s="3">
        <f t="shared" si="0"/>
        <v>3.4342799999999998</v>
      </c>
    </row>
    <row r="17" spans="2:6" x14ac:dyDescent="0.25">
      <c r="B17" s="22"/>
      <c r="C17" s="7">
        <v>1</v>
      </c>
      <c r="D17" s="24">
        <v>4.3295000000000003</v>
      </c>
      <c r="E17" s="31">
        <v>0.2</v>
      </c>
      <c r="F17" s="3">
        <f t="shared" si="0"/>
        <v>5.1954000000000002</v>
      </c>
    </row>
    <row r="18" spans="2:6" x14ac:dyDescent="0.25">
      <c r="B18" s="22"/>
      <c r="C18" s="7">
        <v>1</v>
      </c>
      <c r="D18" s="24">
        <v>7.49</v>
      </c>
      <c r="E18" s="31">
        <v>0.2</v>
      </c>
      <c r="F18" s="3">
        <f t="shared" si="0"/>
        <v>8.9879999999999995</v>
      </c>
    </row>
    <row r="19" spans="2:6" x14ac:dyDescent="0.25">
      <c r="B19" s="22"/>
      <c r="C19" s="7">
        <v>1</v>
      </c>
      <c r="D19" s="24">
        <v>9.15</v>
      </c>
      <c r="E19" s="31">
        <v>0.2</v>
      </c>
      <c r="F19" s="3">
        <f t="shared" si="0"/>
        <v>10.98</v>
      </c>
    </row>
    <row r="20" spans="2:6" x14ac:dyDescent="0.25">
      <c r="B20" s="22"/>
      <c r="C20" s="7">
        <v>1</v>
      </c>
      <c r="D20" s="24">
        <v>10.130000000000001</v>
      </c>
      <c r="E20" s="31">
        <v>0.2</v>
      </c>
      <c r="F20" s="3">
        <f t="shared" si="0"/>
        <v>12.156000000000001</v>
      </c>
    </row>
    <row r="21" spans="2:6" x14ac:dyDescent="0.25">
      <c r="B21" s="22"/>
      <c r="C21" s="7">
        <v>1</v>
      </c>
      <c r="D21" s="24">
        <v>11.58</v>
      </c>
      <c r="E21" s="31">
        <v>0.2</v>
      </c>
      <c r="F21" s="3">
        <f t="shared" si="0"/>
        <v>13.896000000000001</v>
      </c>
    </row>
    <row r="22" spans="2:6" x14ac:dyDescent="0.25">
      <c r="B22" s="22"/>
      <c r="C22" s="7">
        <v>1</v>
      </c>
      <c r="D22" s="24">
        <v>13.05</v>
      </c>
      <c r="E22" s="31">
        <v>0.2</v>
      </c>
      <c r="F22" s="3">
        <f t="shared" si="0"/>
        <v>15.66</v>
      </c>
    </row>
    <row r="23" spans="2:6" x14ac:dyDescent="0.25">
      <c r="B23" s="22"/>
      <c r="C23" s="7">
        <v>1</v>
      </c>
      <c r="D23" s="24">
        <v>15.47</v>
      </c>
      <c r="E23" s="31">
        <v>0.2</v>
      </c>
      <c r="F23" s="3">
        <f t="shared" si="0"/>
        <v>18.564</v>
      </c>
    </row>
    <row r="24" spans="2:6" x14ac:dyDescent="0.25">
      <c r="B24" s="30"/>
      <c r="C24" s="29"/>
      <c r="D24" s="28"/>
      <c r="E24" s="27"/>
      <c r="F24" s="26"/>
    </row>
    <row r="25" spans="2:6" x14ac:dyDescent="0.25">
      <c r="B25" s="25"/>
      <c r="C25" s="21">
        <v>1</v>
      </c>
      <c r="D25" s="24">
        <v>35</v>
      </c>
      <c r="E25" s="23">
        <v>0.71428499999999995</v>
      </c>
      <c r="F25" s="3">
        <f t="shared" ref="F25:F30" si="1">(D25*E25)+D25</f>
        <v>59.999974999999999</v>
      </c>
    </row>
    <row r="26" spans="2:6" x14ac:dyDescent="0.25">
      <c r="B26" s="22"/>
      <c r="C26" s="21">
        <v>1</v>
      </c>
      <c r="D26" s="24">
        <v>52.5</v>
      </c>
      <c r="E26" s="23">
        <v>0.71428499999999995</v>
      </c>
      <c r="F26" s="3">
        <f t="shared" si="1"/>
        <v>89.999962499999995</v>
      </c>
    </row>
    <row r="27" spans="2:6" x14ac:dyDescent="0.25">
      <c r="B27" s="22"/>
      <c r="C27" s="21">
        <v>1</v>
      </c>
      <c r="D27" s="24">
        <v>70</v>
      </c>
      <c r="E27" s="23">
        <v>0.71428499999999995</v>
      </c>
      <c r="F27" s="3">
        <f t="shared" si="1"/>
        <v>119.99995</v>
      </c>
    </row>
    <row r="28" spans="2:6" x14ac:dyDescent="0.25">
      <c r="B28" s="22"/>
      <c r="C28" s="21">
        <v>1</v>
      </c>
      <c r="D28" s="20">
        <v>90</v>
      </c>
      <c r="E28" s="19">
        <v>0.38888899999999998</v>
      </c>
      <c r="F28" s="18">
        <f t="shared" si="1"/>
        <v>125.00001</v>
      </c>
    </row>
    <row r="29" spans="2:6" x14ac:dyDescent="0.25">
      <c r="B29" s="22"/>
      <c r="C29" s="21">
        <v>1</v>
      </c>
      <c r="D29" s="20">
        <v>180</v>
      </c>
      <c r="E29" s="19">
        <v>0.38888899999999998</v>
      </c>
      <c r="F29" s="18">
        <f t="shared" si="1"/>
        <v>250.00002000000001</v>
      </c>
    </row>
    <row r="30" spans="2:6" x14ac:dyDescent="0.25">
      <c r="B30" s="22"/>
      <c r="C30" s="21">
        <v>1</v>
      </c>
      <c r="D30" s="20">
        <v>270</v>
      </c>
      <c r="E30" s="19">
        <v>0.38888899999999998</v>
      </c>
      <c r="F30" s="18">
        <f t="shared" si="1"/>
        <v>375.00002999999998</v>
      </c>
    </row>
    <row r="33" spans="3:4" x14ac:dyDescent="0.25">
      <c r="C33" s="17"/>
      <c r="D33" s="17"/>
    </row>
    <row r="34" spans="3:4" x14ac:dyDescent="0.25">
      <c r="C34" s="17"/>
      <c r="D34" s="17"/>
    </row>
    <row r="35" spans="3:4" x14ac:dyDescent="0.25">
      <c r="C35" s="17"/>
      <c r="D35" s="17"/>
    </row>
    <row r="36" spans="3:4" x14ac:dyDescent="0.25">
      <c r="C36" s="17"/>
      <c r="D36" s="17"/>
    </row>
    <row r="37" spans="3:4" x14ac:dyDescent="0.25">
      <c r="C37" s="17"/>
      <c r="D37" s="17"/>
    </row>
    <row r="38" spans="3:4" x14ac:dyDescent="0.25">
      <c r="C38" s="17"/>
      <c r="D38" s="17"/>
    </row>
    <row r="39" spans="3:4" x14ac:dyDescent="0.25">
      <c r="C39" s="17"/>
      <c r="D39" s="17"/>
    </row>
  </sheetData>
  <mergeCells count="3">
    <mergeCell ref="B3:B5"/>
    <mergeCell ref="C3:F3"/>
    <mergeCell ref="C4:F4"/>
  </mergeCells>
  <pageMargins left="0.7" right="0.7" top="0.75" bottom="0.75" header="0.3" footer="0.3"/>
  <pageSetup paperSize="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H31"/>
  <sheetViews>
    <sheetView workbookViewId="0">
      <selection activeCell="E27" sqref="E27"/>
    </sheetView>
  </sheetViews>
  <sheetFormatPr defaultRowHeight="15" x14ac:dyDescent="0.25"/>
  <cols>
    <col min="2" max="2" width="36.42578125" customWidth="1"/>
    <col min="3" max="8" width="20.7109375" customWidth="1"/>
  </cols>
  <sheetData>
    <row r="1" spans="2:8" x14ac:dyDescent="0.25">
      <c r="B1" s="35" t="s">
        <v>76</v>
      </c>
    </row>
    <row r="3" spans="2:8" x14ac:dyDescent="0.25">
      <c r="B3" s="36"/>
      <c r="C3" s="198" t="s">
        <v>77</v>
      </c>
      <c r="D3" s="199"/>
      <c r="E3" s="200" t="s">
        <v>78</v>
      </c>
      <c r="F3" s="200"/>
      <c r="G3" s="200" t="s">
        <v>79</v>
      </c>
      <c r="H3" s="200"/>
    </row>
    <row r="4" spans="2:8" x14ac:dyDescent="0.25">
      <c r="B4" t="s">
        <v>80</v>
      </c>
      <c r="C4" s="37" t="s">
        <v>81</v>
      </c>
      <c r="D4" s="10" t="s">
        <v>82</v>
      </c>
      <c r="E4" s="37" t="s">
        <v>83</v>
      </c>
      <c r="F4" s="10" t="s">
        <v>84</v>
      </c>
      <c r="G4" s="37" t="s">
        <v>85</v>
      </c>
      <c r="H4" s="10" t="s">
        <v>86</v>
      </c>
    </row>
    <row r="5" spans="2:8" x14ac:dyDescent="0.25">
      <c r="B5" t="s">
        <v>87</v>
      </c>
      <c r="C5" s="38">
        <v>1</v>
      </c>
      <c r="D5" s="38">
        <v>1</v>
      </c>
      <c r="E5" s="38">
        <v>1</v>
      </c>
      <c r="F5" s="38">
        <v>1</v>
      </c>
      <c r="G5" s="38">
        <v>1</v>
      </c>
      <c r="H5" s="38">
        <v>1</v>
      </c>
    </row>
    <row r="6" spans="2:8" x14ac:dyDescent="0.25">
      <c r="B6" t="s">
        <v>88</v>
      </c>
      <c r="C6" s="38">
        <v>1</v>
      </c>
      <c r="D6" s="38">
        <v>1</v>
      </c>
      <c r="E6" s="38">
        <v>1</v>
      </c>
      <c r="F6" s="38">
        <v>1</v>
      </c>
      <c r="G6" s="38">
        <v>1</v>
      </c>
      <c r="H6" s="38">
        <v>1</v>
      </c>
    </row>
    <row r="7" spans="2:8" x14ac:dyDescent="0.25">
      <c r="B7" t="s">
        <v>89</v>
      </c>
      <c r="C7" s="38">
        <v>1</v>
      </c>
      <c r="D7" s="38">
        <v>1</v>
      </c>
      <c r="E7" s="38">
        <v>1</v>
      </c>
      <c r="F7" s="38">
        <v>1</v>
      </c>
      <c r="G7" s="38">
        <v>1</v>
      </c>
      <c r="H7" s="38">
        <v>1</v>
      </c>
    </row>
    <row r="8" spans="2:8" x14ac:dyDescent="0.25">
      <c r="B8" t="s">
        <v>90</v>
      </c>
      <c r="C8" s="38">
        <v>1</v>
      </c>
      <c r="D8" s="38">
        <v>1</v>
      </c>
      <c r="E8" s="38">
        <v>1</v>
      </c>
      <c r="F8" s="38">
        <v>1</v>
      </c>
      <c r="G8" s="38">
        <v>1</v>
      </c>
      <c r="H8" s="38">
        <v>1</v>
      </c>
    </row>
    <row r="9" spans="2:8" x14ac:dyDescent="0.25">
      <c r="B9" t="s">
        <v>91</v>
      </c>
      <c r="C9" s="38">
        <v>1</v>
      </c>
      <c r="D9" s="38">
        <v>1</v>
      </c>
      <c r="E9" s="38">
        <v>1</v>
      </c>
      <c r="F9" s="38">
        <v>1</v>
      </c>
      <c r="G9" s="38">
        <v>1</v>
      </c>
      <c r="H9" s="38">
        <v>1</v>
      </c>
    </row>
    <row r="10" spans="2:8" x14ac:dyDescent="0.25">
      <c r="B10" t="s">
        <v>92</v>
      </c>
      <c r="C10" s="38">
        <v>1</v>
      </c>
      <c r="D10" s="38">
        <v>1</v>
      </c>
      <c r="E10" s="38">
        <v>1</v>
      </c>
      <c r="F10" s="38">
        <v>1</v>
      </c>
      <c r="G10" s="38">
        <v>1</v>
      </c>
      <c r="H10" s="38">
        <v>1</v>
      </c>
    </row>
    <row r="12" spans="2:8" x14ac:dyDescent="0.25">
      <c r="C12" s="201"/>
      <c r="D12" s="201"/>
      <c r="E12" s="201"/>
    </row>
    <row r="13" spans="2:8" x14ac:dyDescent="0.25">
      <c r="B13" t="s">
        <v>93</v>
      </c>
      <c r="C13" t="s">
        <v>94</v>
      </c>
      <c r="D13" s="39" t="s">
        <v>95</v>
      </c>
      <c r="E13" t="s">
        <v>96</v>
      </c>
    </row>
    <row r="14" spans="2:8" x14ac:dyDescent="0.25">
      <c r="B14" s="40" t="s">
        <v>87</v>
      </c>
      <c r="C14" s="41">
        <v>1</v>
      </c>
      <c r="D14" s="38">
        <v>1</v>
      </c>
      <c r="E14" s="42">
        <f>D5</f>
        <v>1</v>
      </c>
    </row>
    <row r="15" spans="2:8" x14ac:dyDescent="0.25">
      <c r="B15" s="40" t="s">
        <v>87</v>
      </c>
      <c r="C15" s="41" t="s">
        <v>97</v>
      </c>
      <c r="D15" s="38">
        <v>1</v>
      </c>
      <c r="E15" s="42">
        <f t="shared" ref="E15:E31" si="0">D6</f>
        <v>1</v>
      </c>
    </row>
    <row r="16" spans="2:8" x14ac:dyDescent="0.25">
      <c r="B16" s="40" t="s">
        <v>87</v>
      </c>
      <c r="C16" s="41" t="s">
        <v>98</v>
      </c>
      <c r="D16" s="38">
        <v>1</v>
      </c>
      <c r="E16" s="42">
        <f t="shared" si="0"/>
        <v>1</v>
      </c>
    </row>
    <row r="17" spans="2:5" x14ac:dyDescent="0.25">
      <c r="B17" s="43" t="s">
        <v>88</v>
      </c>
      <c r="C17" s="44">
        <v>1</v>
      </c>
      <c r="D17" s="38">
        <v>1</v>
      </c>
      <c r="E17" s="42">
        <f t="shared" si="0"/>
        <v>1</v>
      </c>
    </row>
    <row r="18" spans="2:5" x14ac:dyDescent="0.25">
      <c r="B18" s="43" t="s">
        <v>88</v>
      </c>
      <c r="C18" s="44" t="s">
        <v>97</v>
      </c>
      <c r="D18" s="38">
        <v>1</v>
      </c>
      <c r="E18" s="42">
        <f t="shared" si="0"/>
        <v>1</v>
      </c>
    </row>
    <row r="19" spans="2:5" x14ac:dyDescent="0.25">
      <c r="B19" s="43" t="s">
        <v>88</v>
      </c>
      <c r="C19" s="44" t="s">
        <v>98</v>
      </c>
      <c r="D19" s="38">
        <v>1</v>
      </c>
      <c r="E19" s="42">
        <v>1</v>
      </c>
    </row>
    <row r="20" spans="2:5" x14ac:dyDescent="0.25">
      <c r="B20" s="45" t="s">
        <v>99</v>
      </c>
      <c r="C20" s="46">
        <v>1</v>
      </c>
      <c r="D20" s="38">
        <v>1</v>
      </c>
      <c r="E20" s="42">
        <v>1</v>
      </c>
    </row>
    <row r="21" spans="2:5" x14ac:dyDescent="0.25">
      <c r="B21" s="45" t="s">
        <v>99</v>
      </c>
      <c r="C21" s="46" t="s">
        <v>97</v>
      </c>
      <c r="D21" s="38">
        <v>1</v>
      </c>
      <c r="E21" s="42">
        <v>1</v>
      </c>
    </row>
    <row r="22" spans="2:5" x14ac:dyDescent="0.25">
      <c r="B22" s="45" t="s">
        <v>99</v>
      </c>
      <c r="C22" s="46" t="s">
        <v>98</v>
      </c>
      <c r="D22" s="38">
        <v>1</v>
      </c>
      <c r="E22" s="42">
        <v>1</v>
      </c>
    </row>
    <row r="23" spans="2:5" x14ac:dyDescent="0.25">
      <c r="B23" s="47" t="s">
        <v>90</v>
      </c>
      <c r="C23" s="48">
        <v>1</v>
      </c>
      <c r="D23" s="38">
        <v>1</v>
      </c>
      <c r="E23" s="42">
        <v>1</v>
      </c>
    </row>
    <row r="24" spans="2:5" x14ac:dyDescent="0.25">
      <c r="B24" s="47" t="s">
        <v>90</v>
      </c>
      <c r="C24" s="48" t="s">
        <v>97</v>
      </c>
      <c r="D24" s="38">
        <v>1</v>
      </c>
      <c r="E24" s="42">
        <v>1</v>
      </c>
    </row>
    <row r="25" spans="2:5" x14ac:dyDescent="0.25">
      <c r="B25" s="47" t="s">
        <v>90</v>
      </c>
      <c r="C25" s="48" t="s">
        <v>98</v>
      </c>
      <c r="D25" s="38">
        <v>1</v>
      </c>
      <c r="E25" s="42">
        <f t="shared" si="0"/>
        <v>1</v>
      </c>
    </row>
    <row r="26" spans="2:5" x14ac:dyDescent="0.25">
      <c r="B26" s="49" t="s">
        <v>91</v>
      </c>
      <c r="C26" s="50">
        <v>1</v>
      </c>
      <c r="D26" s="38">
        <v>1</v>
      </c>
      <c r="E26" s="42">
        <f t="shared" si="0"/>
        <v>1</v>
      </c>
    </row>
    <row r="27" spans="2:5" x14ac:dyDescent="0.25">
      <c r="B27" s="49" t="s">
        <v>91</v>
      </c>
      <c r="C27" s="50" t="s">
        <v>97</v>
      </c>
      <c r="D27" s="38">
        <v>1</v>
      </c>
      <c r="E27" s="42">
        <f t="shared" si="0"/>
        <v>1</v>
      </c>
    </row>
    <row r="28" spans="2:5" x14ac:dyDescent="0.25">
      <c r="B28" s="49" t="s">
        <v>91</v>
      </c>
      <c r="C28" s="50" t="s">
        <v>98</v>
      </c>
      <c r="D28" s="38">
        <v>1</v>
      </c>
      <c r="E28" s="42">
        <f t="shared" si="0"/>
        <v>1</v>
      </c>
    </row>
    <row r="29" spans="2:5" x14ac:dyDescent="0.25">
      <c r="B29" s="51" t="s">
        <v>100</v>
      </c>
      <c r="C29" s="52">
        <v>1</v>
      </c>
      <c r="D29" s="38">
        <v>1</v>
      </c>
      <c r="E29" s="42">
        <f t="shared" si="0"/>
        <v>1</v>
      </c>
    </row>
    <row r="30" spans="2:5" x14ac:dyDescent="0.25">
      <c r="B30" s="51" t="s">
        <v>100</v>
      </c>
      <c r="C30" s="52" t="s">
        <v>97</v>
      </c>
      <c r="D30" s="38">
        <v>1</v>
      </c>
      <c r="E30" s="42">
        <f t="shared" si="0"/>
        <v>1</v>
      </c>
    </row>
    <row r="31" spans="2:5" x14ac:dyDescent="0.25">
      <c r="B31" s="51" t="s">
        <v>100</v>
      </c>
      <c r="C31" s="52" t="s">
        <v>98</v>
      </c>
      <c r="D31" s="38">
        <v>1</v>
      </c>
      <c r="E31" s="42">
        <f t="shared" si="0"/>
        <v>1</v>
      </c>
    </row>
  </sheetData>
  <mergeCells count="4">
    <mergeCell ref="C3:D3"/>
    <mergeCell ref="E3:F3"/>
    <mergeCell ref="G3:H3"/>
    <mergeCell ref="C12:E12"/>
  </mergeCells>
  <pageMargins left="0.7" right="0.7" top="0.75" bottom="0.75" header="0.3" footer="0.3"/>
  <pageSetup paperSize="5" scale="94" fitToHeight="0" orientation="landscape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C00000"/>
  </sheetPr>
  <dimension ref="A1:H51"/>
  <sheetViews>
    <sheetView view="pageLayout" zoomScaleNormal="100" workbookViewId="0">
      <selection activeCell="F9" sqref="F9"/>
    </sheetView>
  </sheetViews>
  <sheetFormatPr defaultRowHeight="15" x14ac:dyDescent="0.25"/>
  <cols>
    <col min="1" max="1" width="14.140625" customWidth="1"/>
    <col min="2" max="2" width="8.85546875" customWidth="1"/>
    <col min="3" max="3" width="6.42578125" customWidth="1"/>
    <col min="4" max="4" width="15.28515625" customWidth="1"/>
    <col min="5" max="5" width="11" customWidth="1"/>
    <col min="6" max="6" width="11.42578125" customWidth="1"/>
    <col min="7" max="7" width="11.5703125" customWidth="1"/>
  </cols>
  <sheetData>
    <row r="1" spans="1:8" x14ac:dyDescent="0.25">
      <c r="A1" s="97" t="s">
        <v>185</v>
      </c>
      <c r="B1" s="217" t="str">
        <f ca="1">REPLACE(CELL("FILENAME",B1),1,SEARCH("]",CELL("FILENAME",B1)),"")</f>
        <v>var-160</v>
      </c>
      <c r="C1" s="217"/>
      <c r="D1" s="218"/>
    </row>
    <row r="2" spans="1:8" x14ac:dyDescent="0.25">
      <c r="A2" s="87" t="s">
        <v>186</v>
      </c>
      <c r="B2" s="219" t="str">
        <f ca="1">INDEX(MasterTable['# B.C],(_xlfn.AGGREGATE(15,6,(ROW(MasterTable['# B.C])-ROW(MasterTable[#Headers]))/(MasterTable[[VARIA ]:[VARIA ]]=$B$1),ROWS($B$2:B2))))</f>
        <v>M2073</v>
      </c>
      <c r="C2" s="219"/>
      <c r="D2" s="220"/>
    </row>
    <row r="3" spans="1:8" x14ac:dyDescent="0.25">
      <c r="A3" s="98" t="s">
        <v>187</v>
      </c>
      <c r="B3" s="221" t="str">
        <f ca="1">INDEX(MasterTable['# B.T],(_xlfn.AGGREGATE(15,6,(ROW(MasterTable['# B.T])-ROW(MasterTable[#Headers]))/(MasterTable[[VARIA ]:[VARIA ]]=$B$1),ROWS($B$3:B3))))</f>
        <v>2979/2980</v>
      </c>
      <c r="C3" s="221"/>
      <c r="D3" s="222"/>
      <c r="E3" s="96"/>
      <c r="F3" s="96"/>
    </row>
    <row r="4" spans="1:8" ht="15.75" thickBot="1" x14ac:dyDescent="0.3">
      <c r="A4" s="88" t="s">
        <v>188</v>
      </c>
      <c r="B4" s="223" t="str">
        <f ca="1">INDEX(MasterTable[NOM CONTACT],(_xlfn.AGGREGATE(15,6,(ROW(MasterTable[NOM CONTACT])-ROW(MasterTable[#Headers]))/(MasterTable[[VARIA ]:[VARIA ]]=$B$1),ROWS($B$4:B4))))</f>
        <v xml:space="preserve">Neves-Pelchat, Julien </v>
      </c>
      <c r="C4" s="223"/>
      <c r="D4" s="224"/>
    </row>
    <row r="5" spans="1:8" ht="11.25" customHeight="1" thickBot="1" x14ac:dyDescent="0.3"/>
    <row r="6" spans="1:8" ht="27.75" customHeight="1" x14ac:dyDescent="0.25">
      <c r="A6" s="228" t="s">
        <v>221</v>
      </c>
      <c r="B6" s="229"/>
      <c r="C6" s="230"/>
      <c r="D6" s="113" t="s">
        <v>222</v>
      </c>
      <c r="E6" s="114" t="s">
        <v>223</v>
      </c>
      <c r="F6" s="112" t="s">
        <v>224</v>
      </c>
      <c r="G6" s="142" t="s">
        <v>228</v>
      </c>
      <c r="H6" s="143" t="s">
        <v>229</v>
      </c>
    </row>
    <row r="7" spans="1:8" ht="11.25" customHeight="1" thickBot="1" x14ac:dyDescent="0.3">
      <c r="A7" s="110"/>
      <c r="B7" s="111"/>
      <c r="C7" s="111"/>
      <c r="D7" s="111"/>
      <c r="E7" s="111"/>
      <c r="F7" s="111" t="s">
        <v>64</v>
      </c>
      <c r="G7" s="111" t="s">
        <v>230</v>
      </c>
      <c r="H7" s="144"/>
    </row>
    <row r="8" spans="1:8" ht="17.25" customHeight="1" x14ac:dyDescent="0.25">
      <c r="A8" s="238" t="s">
        <v>226</v>
      </c>
      <c r="B8" s="239"/>
      <c r="C8" s="240"/>
      <c r="D8" s="115" t="s">
        <v>31</v>
      </c>
      <c r="E8" s="89" t="s">
        <v>9</v>
      </c>
      <c r="F8" s="131">
        <f ca="1">INDEX(MasterTable[1er],(_xlfn.AGGREGATE(15,6,(ROW(MasterTable[1er])-ROW(MasterTable[#Headers]))/(MasterTable[[VARIA ]:[VARIA ]]=$B$1),ROWS(F8:F8))))</f>
        <v>0</v>
      </c>
      <c r="G8" s="149">
        <f>RESUMÉ!E14</f>
        <v>1</v>
      </c>
      <c r="H8" s="145"/>
    </row>
    <row r="9" spans="1:8" x14ac:dyDescent="0.25">
      <c r="A9" s="205" t="s">
        <v>226</v>
      </c>
      <c r="B9" s="206"/>
      <c r="C9" s="207"/>
      <c r="D9" s="118" t="s">
        <v>31</v>
      </c>
      <c r="E9" s="90" t="s">
        <v>8</v>
      </c>
      <c r="F9" s="132">
        <f ca="1">INDEX(MasterTable[2 à 5],(_xlfn.AGGREGATE(15,6,(ROW(MasterTable[2 à 5])-ROW(MasterTable[#Headers]))/(MasterTable[[VARIA ]:[VARIA ]]=$B$1),ROWS(F9:F9))))</f>
        <v>0</v>
      </c>
      <c r="G9" s="148">
        <f>RESUMÉ!E15</f>
        <v>1</v>
      </c>
      <c r="H9" s="140"/>
    </row>
    <row r="10" spans="1:8" ht="16.5" customHeight="1" x14ac:dyDescent="0.25">
      <c r="A10" s="205" t="s">
        <v>226</v>
      </c>
      <c r="B10" s="206"/>
      <c r="C10" s="207"/>
      <c r="D10" s="116" t="s">
        <v>31</v>
      </c>
      <c r="E10" s="121" t="s">
        <v>7</v>
      </c>
      <c r="F10" s="133">
        <f ca="1">INDEX(MasterTable[6 à 10],(_xlfn.AGGREGATE(15,6,(ROW(MasterTable[6 à 10])-ROW(MasterTable[#Headers]))/(MasterTable[[VARIA ]:[VARIA ]]=$B$1),ROWS(F10:F10))))</f>
        <v>0</v>
      </c>
      <c r="G10" s="148">
        <f>RESUMÉ!E16</f>
        <v>1</v>
      </c>
      <c r="H10" s="140"/>
    </row>
    <row r="11" spans="1:8" ht="12.75" customHeight="1" x14ac:dyDescent="0.25">
      <c r="A11" s="208" t="s">
        <v>226</v>
      </c>
      <c r="B11" s="209"/>
      <c r="C11" s="210"/>
      <c r="D11" s="128" t="s">
        <v>30</v>
      </c>
      <c r="E11" s="90" t="s">
        <v>164</v>
      </c>
      <c r="F11" s="134">
        <f ca="1">INDEX(MasterTable[[1er ]],(_xlfn.AGGREGATE(15,6,(ROW(MasterTable[[1er ]])-ROW(MasterTable[#Headers]))/(MasterTable[[VARIA ]:[VARIA ]]=$B$1),ROWS(F11:F11))))</f>
        <v>0</v>
      </c>
      <c r="G11" s="148">
        <f>RESUMÉ!E17</f>
        <v>1</v>
      </c>
      <c r="H11" s="140"/>
    </row>
    <row r="12" spans="1:8" x14ac:dyDescent="0.25">
      <c r="A12" s="202" t="s">
        <v>226</v>
      </c>
      <c r="B12" s="203"/>
      <c r="C12" s="204"/>
      <c r="D12" s="119" t="s">
        <v>30</v>
      </c>
      <c r="E12" s="90" t="s">
        <v>165</v>
      </c>
      <c r="F12" s="132">
        <f ca="1">INDEX(MasterTable[[2 à 5 ]],(_xlfn.AGGREGATE(15,6,(ROW(MasterTable[[2 à 5 ]])-ROW(MasterTable[#Headers]))/(MasterTable[[VARIA ]:[VARIA ]]=$B$1),ROWS(F12:F12))))</f>
        <v>0</v>
      </c>
      <c r="G12" s="148">
        <f>RESUMÉ!E18</f>
        <v>1</v>
      </c>
      <c r="H12" s="140"/>
    </row>
    <row r="13" spans="1:8" ht="15.75" thickBot="1" x14ac:dyDescent="0.3">
      <c r="A13" s="238" t="s">
        <v>226</v>
      </c>
      <c r="B13" s="239"/>
      <c r="C13" s="240"/>
      <c r="D13" s="119" t="s">
        <v>30</v>
      </c>
      <c r="E13" s="121" t="s">
        <v>166</v>
      </c>
      <c r="F13" s="133">
        <f ca="1">INDEX(MasterTable[[6 à 10 ]],(_xlfn.AGGREGATE(15,6,(ROW(MasterTable[[6 à 10 ]])-ROW(MasterTable[#Headers]))/(MasterTable[[VARIA ]:[VARIA ]]=$B$1),ROWS(F13:F13))))</f>
        <v>0</v>
      </c>
      <c r="G13" s="148">
        <f>RESUMÉ!E19</f>
        <v>1</v>
      </c>
      <c r="H13" s="146"/>
    </row>
    <row r="14" spans="1:8" ht="15" customHeight="1" thickTop="1" x14ac:dyDescent="0.25">
      <c r="A14" s="211" t="s">
        <v>227</v>
      </c>
      <c r="B14" s="212"/>
      <c r="C14" s="213"/>
      <c r="D14" s="130" t="s">
        <v>31</v>
      </c>
      <c r="E14" s="122" t="s">
        <v>167</v>
      </c>
      <c r="F14" s="135">
        <f ca="1">INDEX(MasterTable[[1er  ]],(_xlfn.AGGREGATE(15,6,(ROW(MasterTable[[1er  ]])-ROW(MasterTable[#Headers]))/(MasterTable[[VARIA ]:[VARIA ]]=$B$1),ROWS(F14:F14))))</f>
        <v>0</v>
      </c>
      <c r="G14" s="148">
        <f>RESUMÉ!E20</f>
        <v>1</v>
      </c>
      <c r="H14" s="147"/>
    </row>
    <row r="15" spans="1:8" x14ac:dyDescent="0.25">
      <c r="A15" s="202" t="s">
        <v>227</v>
      </c>
      <c r="B15" s="203"/>
      <c r="C15" s="204"/>
      <c r="D15" s="120" t="s">
        <v>31</v>
      </c>
      <c r="E15" s="90" t="s">
        <v>168</v>
      </c>
      <c r="F15" s="132">
        <f ca="1">INDEX(MasterTable[[2 à 5  ]],(_xlfn.AGGREGATE(15,6,(ROW(MasterTable[[2 à 5  ]])-ROW(MasterTable[#Headers]))/(MasterTable[[VARIA ]:[VARIA ]]=$B$1),ROWS(F15:F15))))</f>
        <v>0</v>
      </c>
      <c r="G15" s="148">
        <f>RESUMÉ!E21</f>
        <v>1</v>
      </c>
      <c r="H15" s="140"/>
    </row>
    <row r="16" spans="1:8" x14ac:dyDescent="0.25">
      <c r="A16" s="205" t="s">
        <v>227</v>
      </c>
      <c r="B16" s="206"/>
      <c r="C16" s="207"/>
      <c r="D16" s="120" t="s">
        <v>31</v>
      </c>
      <c r="E16" s="121" t="s">
        <v>169</v>
      </c>
      <c r="F16" s="133">
        <f ca="1">INDEX(MasterTable[[6 à 10  ]],(_xlfn.AGGREGATE(15,6,(ROW(MasterTable[[6 à 10  ]])-ROW(MasterTable[#Headers]))/(MasterTable[[VARIA ]:[VARIA ]]=$B$1),ROWS(F16:F16))))</f>
        <v>0</v>
      </c>
      <c r="G16" s="148">
        <f>RESUMÉ!E22</f>
        <v>1</v>
      </c>
      <c r="H16" s="140"/>
    </row>
    <row r="17" spans="1:8" ht="15" customHeight="1" x14ac:dyDescent="0.25">
      <c r="A17" s="208" t="s">
        <v>227</v>
      </c>
      <c r="B17" s="209"/>
      <c r="C17" s="210"/>
      <c r="D17" s="128" t="s">
        <v>30</v>
      </c>
      <c r="E17" s="90" t="s">
        <v>170</v>
      </c>
      <c r="F17" s="134">
        <f ca="1">INDEX(MasterTable[[1er   ]],(_xlfn.AGGREGATE(15,6,(ROW(MasterTable[[1er   ]])-ROW(MasterTable[#Headers]))/(MasterTable[[VARIA ]:[VARIA ]]=$B$1),ROWS(F17:F17))))</f>
        <v>0</v>
      </c>
      <c r="G17" s="148">
        <f>RESUMÉ!E23</f>
        <v>1</v>
      </c>
      <c r="H17" s="140"/>
    </row>
    <row r="18" spans="1:8" x14ac:dyDescent="0.25">
      <c r="A18" s="202" t="s">
        <v>227</v>
      </c>
      <c r="B18" s="203"/>
      <c r="C18" s="204"/>
      <c r="D18" s="119" t="s">
        <v>30</v>
      </c>
      <c r="E18" s="90" t="s">
        <v>171</v>
      </c>
      <c r="F18" s="132">
        <f ca="1">INDEX(MasterTable[[2 à 5   ]],(_xlfn.AGGREGATE(15,6,(ROW(MasterTable[[2 à 5   ]])-ROW(MasterTable[#Headers]))/(MasterTable[[VARIA ]:[VARIA ]]=$B$1),ROWS(F18:F18))))</f>
        <v>0</v>
      </c>
      <c r="G18" s="148">
        <f>RESUMÉ!E24</f>
        <v>1</v>
      </c>
      <c r="H18" s="140"/>
    </row>
    <row r="19" spans="1:8" ht="15.75" thickBot="1" x14ac:dyDescent="0.3">
      <c r="A19" s="202" t="s">
        <v>227</v>
      </c>
      <c r="B19" s="203"/>
      <c r="C19" s="204"/>
      <c r="D19" s="125" t="s">
        <v>30</v>
      </c>
      <c r="E19" s="126" t="s">
        <v>172</v>
      </c>
      <c r="F19" s="136">
        <f ca="1">INDEX(MasterTable[[6 à 10   ]],(_xlfn.AGGREGATE(15,6,(ROW(MasterTable[[6 à 10   ]])-ROW(MasterTable[#Headers]))/(MasterTable[[VARIA ]:[VARIA ]]=$B$1),ROWS(F19:F19))))</f>
        <v>0</v>
      </c>
      <c r="G19" s="148">
        <f>RESUMÉ!E25</f>
        <v>1</v>
      </c>
      <c r="H19" s="140"/>
    </row>
    <row r="20" spans="1:8" ht="15" customHeight="1" thickTop="1" x14ac:dyDescent="0.25">
      <c r="A20" s="235" t="s">
        <v>225</v>
      </c>
      <c r="B20" s="236"/>
      <c r="C20" s="237"/>
      <c r="D20" s="116" t="s">
        <v>31</v>
      </c>
      <c r="E20" s="127" t="s">
        <v>173</v>
      </c>
      <c r="F20" s="137">
        <f ca="1">INDEX(MasterTable[[1er    ]],(_xlfn.AGGREGATE(15,6,(ROW(MasterTable[[1er    ]])-ROW(MasterTable[#Headers]))/(MasterTable[[VARIA ]:[VARIA ]]=$B$1),ROWS(F20:F20))))</f>
        <v>0</v>
      </c>
      <c r="G20" s="148">
        <f>RESUMÉ!E26</f>
        <v>1</v>
      </c>
      <c r="H20" s="140"/>
    </row>
    <row r="21" spans="1:8" x14ac:dyDescent="0.25">
      <c r="A21" s="246" t="s">
        <v>225</v>
      </c>
      <c r="B21" s="247"/>
      <c r="C21" s="248"/>
      <c r="D21" s="119" t="s">
        <v>31</v>
      </c>
      <c r="E21" s="90" t="s">
        <v>174</v>
      </c>
      <c r="F21" s="132">
        <f ca="1">INDEX(MasterTable[[2 à 5    ]],(_xlfn.AGGREGATE(15,6,(ROW(MasterTable[[2 à 5    ]])-ROW(MasterTable[#Headers]))/(MasterTable[[VARIA ]:[VARIA ]]=$B$1),ROWS(F21:F21))))</f>
        <v>0</v>
      </c>
      <c r="G21" s="148">
        <f>RESUMÉ!E27</f>
        <v>1</v>
      </c>
      <c r="H21" s="140"/>
    </row>
    <row r="22" spans="1:8" x14ac:dyDescent="0.25">
      <c r="A22" s="249" t="s">
        <v>225</v>
      </c>
      <c r="B22" s="250"/>
      <c r="C22" s="251"/>
      <c r="D22" s="129" t="s">
        <v>31</v>
      </c>
      <c r="E22" s="90" t="s">
        <v>178</v>
      </c>
      <c r="F22" s="138">
        <f ca="1">INDEX(MasterTable[[6 à 10    ]],(_xlfn.AGGREGATE(15,6,(ROW(MasterTable[[6 à 10    ]])-ROW(MasterTable[#Headers]))/(MasterTable[[VARIA ]:[VARIA ]]=$B$1),ROWS(F22:F22))))</f>
        <v>0</v>
      </c>
      <c r="G22" s="148">
        <f>RESUMÉ!E28</f>
        <v>1</v>
      </c>
      <c r="H22" s="140"/>
    </row>
    <row r="23" spans="1:8" ht="15" customHeight="1" x14ac:dyDescent="0.25">
      <c r="A23" s="252" t="s">
        <v>225</v>
      </c>
      <c r="B23" s="253"/>
      <c r="C23" s="254"/>
      <c r="D23" s="117" t="s">
        <v>30</v>
      </c>
      <c r="E23" s="127" t="s">
        <v>176</v>
      </c>
      <c r="F23" s="137">
        <f ca="1">INDEX(MasterTable[[1er     ]],(_xlfn.AGGREGATE(15,6,(ROW(MasterTable[[1er     ]])-ROW(MasterTable[#Headers]))/(MasterTable[[VARIA ]:[VARIA ]]=$B$1),ROWS(F23:F23))))</f>
        <v>0</v>
      </c>
      <c r="G23" s="148">
        <f>RESUMÉ!E29</f>
        <v>1</v>
      </c>
      <c r="H23" s="140"/>
    </row>
    <row r="24" spans="1:8" x14ac:dyDescent="0.25">
      <c r="A24" s="246" t="s">
        <v>225</v>
      </c>
      <c r="B24" s="247"/>
      <c r="C24" s="248"/>
      <c r="D24" s="119" t="s">
        <v>30</v>
      </c>
      <c r="E24" s="90" t="s">
        <v>177</v>
      </c>
      <c r="F24" s="132">
        <f ca="1">INDEX(MasterTable[[2 à 5     ]],(_xlfn.AGGREGATE(15,6,(ROW(MasterTable[[2 à 5     ]])-ROW(MasterTable[#Headers]))/(MasterTable[[VARIA ]:[VARIA ]]=$B$1),ROWS(F24:F24))))</f>
        <v>0</v>
      </c>
      <c r="G24" s="148">
        <f>RESUMÉ!E30</f>
        <v>1</v>
      </c>
      <c r="H24" s="140"/>
    </row>
    <row r="25" spans="1:8" ht="15.75" thickBot="1" x14ac:dyDescent="0.3">
      <c r="A25" s="243" t="s">
        <v>225</v>
      </c>
      <c r="B25" s="244"/>
      <c r="C25" s="245"/>
      <c r="D25" s="125" t="s">
        <v>30</v>
      </c>
      <c r="E25" s="126" t="s">
        <v>189</v>
      </c>
      <c r="F25" s="136">
        <f ca="1">INDEX(MasterTable[[6 à 10     ]],(_xlfn.AGGREGATE(15,6,(ROW(MasterTable[[6 à 10     ]])-ROW(MasterTable[#Headers]))/(MasterTable[[VARIA ]:[VARIA ]]=$B$1),ROWS(F25:F25))))</f>
        <v>0</v>
      </c>
      <c r="G25" s="148">
        <f>RESUMÉ!E31</f>
        <v>1</v>
      </c>
      <c r="H25" s="140"/>
    </row>
    <row r="26" spans="1:8" ht="15.75" thickTop="1" x14ac:dyDescent="0.25">
      <c r="A26" s="241" t="s">
        <v>190</v>
      </c>
      <c r="B26" s="242"/>
      <c r="C26" s="242"/>
      <c r="D26" s="123"/>
      <c r="E26" s="124" t="s">
        <v>191</v>
      </c>
      <c r="F26" s="137">
        <f ca="1">INDEX(MasterTable[Blanc ($/M)],(_xlfn.AGGREGATE(15,6,(ROW(MasterTable[Blanc ($/M)])-ROW(MasterTable[#Headers]))/(MasterTable[[VARIA ]:[VARIA ]]=$B$1),ROWS(F26:F26))))</f>
        <v>76</v>
      </c>
      <c r="G26" s="148">
        <f>RESUMÉ!E32</f>
        <v>0</v>
      </c>
      <c r="H26" s="140"/>
    </row>
    <row r="27" spans="1:8" x14ac:dyDescent="0.25">
      <c r="A27" s="231" t="s">
        <v>192</v>
      </c>
      <c r="B27" s="232"/>
      <c r="C27" s="232"/>
      <c r="D27" s="91"/>
      <c r="E27" s="92" t="s">
        <v>193</v>
      </c>
      <c r="F27" s="132">
        <f ca="1">INDEX(MasterTable[Vert ($/M)],(_xlfn.AGGREGATE(15,6,(ROW(MasterTable[Vert ($/M)])-ROW(MasterTable[#Headers]))/(MasterTable[[VARIA ]:[VARIA ]]=$B$1),ROWS(F27:F27))))</f>
        <v>0</v>
      </c>
      <c r="G27" s="148">
        <f>RESUMÉ!E33</f>
        <v>0</v>
      </c>
      <c r="H27" s="140"/>
    </row>
    <row r="28" spans="1:8" x14ac:dyDescent="0.25">
      <c r="A28" s="231" t="s">
        <v>194</v>
      </c>
      <c r="B28" s="232"/>
      <c r="C28" s="232"/>
      <c r="D28" s="91"/>
      <c r="E28" s="92" t="s">
        <v>27</v>
      </c>
      <c r="F28" s="132">
        <f ca="1">INDEX(MasterTable[Blanc],(_xlfn.AGGREGATE(15,6,(ROW(MasterTable[Blanc])-ROW(MasterTable[#Headers]))/(MasterTable[[VARIA ]:[VARIA ]]=$B$1),ROWS(F28:F28))))</f>
        <v>2</v>
      </c>
      <c r="G28" s="148">
        <f>RESUMÉ!E34</f>
        <v>0</v>
      </c>
      <c r="H28" s="140"/>
    </row>
    <row r="29" spans="1:8" x14ac:dyDescent="0.25">
      <c r="A29" s="231" t="s">
        <v>195</v>
      </c>
      <c r="B29" s="232"/>
      <c r="C29" s="232"/>
      <c r="D29" s="91"/>
      <c r="E29" s="92" t="s">
        <v>26</v>
      </c>
      <c r="F29" s="132">
        <f ca="1">INDEX(MasterTable[Noir],(_xlfn.AGGREGATE(15,6,(ROW(MasterTable[Noir])-ROW(MasterTable[#Headers]))/(MasterTable[[VARIA ]:[VARIA ]]=$B$1),ROWS(F29:F29))))</f>
        <v>2</v>
      </c>
      <c r="G29" s="148">
        <f>RESUMÉ!E35</f>
        <v>0</v>
      </c>
      <c r="H29" s="140"/>
    </row>
    <row r="30" spans="1:8" x14ac:dyDescent="0.25">
      <c r="A30" s="231" t="s">
        <v>196</v>
      </c>
      <c r="B30" s="232"/>
      <c r="C30" s="232"/>
      <c r="D30" s="91"/>
      <c r="E30" s="92" t="s">
        <v>25</v>
      </c>
      <c r="F30" s="132">
        <f ca="1">INDEX(MasterTable[Vert],(_xlfn.AGGREGATE(15,6,(ROW(MasterTable[Vert])-ROW(MasterTable[#Headers]))/(MasterTable[[VARIA ]:[VARIA ]]=$B$1),ROWS(F30:F30))))</f>
        <v>0</v>
      </c>
      <c r="G30" s="148">
        <f>RESUMÉ!E36</f>
        <v>0</v>
      </c>
      <c r="H30" s="140"/>
    </row>
    <row r="31" spans="1:8" x14ac:dyDescent="0.25">
      <c r="A31" s="231" t="s">
        <v>197</v>
      </c>
      <c r="B31" s="232"/>
      <c r="C31" s="232"/>
      <c r="D31" s="91"/>
      <c r="E31" s="92" t="s">
        <v>23</v>
      </c>
      <c r="F31" s="132">
        <f ca="1">INDEX(MasterTable[1 port],(_xlfn.AGGREGATE(15,6,(ROW(MasterTable[1 port])-ROW(MasterTable[#Headers]))/(MasterTable[[VARIA ]:[VARIA ]]=$B$1),ROWS(F31:F31))))</f>
        <v>0</v>
      </c>
      <c r="G31" s="148">
        <f>RESUMÉ!E37</f>
        <v>0</v>
      </c>
      <c r="H31" s="140"/>
    </row>
    <row r="32" spans="1:8" x14ac:dyDescent="0.25">
      <c r="A32" s="231" t="s">
        <v>198</v>
      </c>
      <c r="B32" s="232"/>
      <c r="C32" s="232"/>
      <c r="D32" s="91"/>
      <c r="E32" s="92" t="s">
        <v>22</v>
      </c>
      <c r="F32" s="132">
        <f ca="1">INDEX(MasterTable[2 port],(_xlfn.AGGREGATE(15,6,(ROW(MasterTable[2 port])-ROW(MasterTable[#Headers]))/(MasterTable[[VARIA ]:[VARIA ]]=$B$1),ROWS(F32:F32))))</f>
        <v>0</v>
      </c>
      <c r="G32" s="148">
        <f>RESUMÉ!E38</f>
        <v>0</v>
      </c>
      <c r="H32" s="140"/>
    </row>
    <row r="33" spans="1:8" x14ac:dyDescent="0.25">
      <c r="A33" s="231" t="s">
        <v>199</v>
      </c>
      <c r="B33" s="232"/>
      <c r="C33" s="232"/>
      <c r="D33" s="91"/>
      <c r="E33" s="92" t="s">
        <v>21</v>
      </c>
      <c r="F33" s="132">
        <f ca="1">INDEX(MasterTable[4 port],(_xlfn.AGGREGATE(15,6,(ROW(MasterTable[4 port])-ROW(MasterTable[#Headers]))/(MasterTable[[VARIA ]:[VARIA ]]=$B$1),ROWS(F33:F33))))</f>
        <v>0</v>
      </c>
      <c r="G33" s="148">
        <f>RESUMÉ!E39</f>
        <v>0</v>
      </c>
      <c r="H33" s="140"/>
    </row>
    <row r="34" spans="1:8" x14ac:dyDescent="0.25">
      <c r="A34" s="231" t="s">
        <v>200</v>
      </c>
      <c r="B34" s="232"/>
      <c r="C34" s="232"/>
      <c r="D34" s="91"/>
      <c r="E34" s="92" t="s">
        <v>24</v>
      </c>
      <c r="F34" s="132">
        <f ca="1">INDEX(MasterTable[6 port],(_xlfn.AGGREGATE(15,6,(ROW(MasterTable[6 port])-ROW(MasterTable[#Headers]))/(MasterTable[[VARIA ]:[VARIA ]]=$B$1),ROWS(F34:F34))))</f>
        <v>0</v>
      </c>
      <c r="G34" s="148">
        <f>RESUMÉ!E40</f>
        <v>0</v>
      </c>
      <c r="H34" s="140"/>
    </row>
    <row r="35" spans="1:8" x14ac:dyDescent="0.25">
      <c r="A35" s="231" t="s">
        <v>201</v>
      </c>
      <c r="B35" s="232"/>
      <c r="C35" s="232"/>
      <c r="D35" s="91"/>
      <c r="E35" s="92" t="s">
        <v>179</v>
      </c>
      <c r="F35" s="132">
        <f ca="1">INDEX(MasterTable[[1 port ]],(_xlfn.AGGREGATE(15,6,(ROW(MasterTable[[1 port ]])-ROW(MasterTable[#Headers]))/(MasterTable[[VARIA ]:[VARIA ]]=$B$1),ROWS(F35:F35))))</f>
        <v>0</v>
      </c>
      <c r="G35" s="148">
        <f>RESUMÉ!E41</f>
        <v>0</v>
      </c>
      <c r="H35" s="140"/>
    </row>
    <row r="36" spans="1:8" x14ac:dyDescent="0.25">
      <c r="A36" s="231" t="s">
        <v>202</v>
      </c>
      <c r="B36" s="232"/>
      <c r="C36" s="232"/>
      <c r="D36" s="91"/>
      <c r="E36" s="92" t="s">
        <v>180</v>
      </c>
      <c r="F36" s="132">
        <f ca="1">INDEX(MasterTable[[2 port ]],(_xlfn.AGGREGATE(15,6,(ROW(MasterTable[[2 port ]])-ROW(MasterTable[#Headers]))/(MasterTable[[VARIA ]:[VARIA ]]=$B$1),ROWS(F36:F36))))</f>
        <v>0</v>
      </c>
      <c r="G36" s="148">
        <f>RESUMÉ!E42</f>
        <v>0</v>
      </c>
      <c r="H36" s="140"/>
    </row>
    <row r="37" spans="1:8" x14ac:dyDescent="0.25">
      <c r="A37" s="231" t="s">
        <v>203</v>
      </c>
      <c r="B37" s="232"/>
      <c r="C37" s="232"/>
      <c r="D37" s="91"/>
      <c r="E37" s="92" t="s">
        <v>181</v>
      </c>
      <c r="F37" s="132">
        <f ca="1">INDEX(MasterTable[[4 port ]],(_xlfn.AGGREGATE(15,6,(ROW(MasterTable[[4 port ]])-ROW(MasterTable[#Headers]))/(MasterTable[[VARIA ]:[VARIA ]]=$B$1),ROWS(F37:F37))))</f>
        <v>0</v>
      </c>
      <c r="G37" s="148">
        <f>RESUMÉ!E43</f>
        <v>0</v>
      </c>
      <c r="H37" s="140"/>
    </row>
    <row r="38" spans="1:8" x14ac:dyDescent="0.25">
      <c r="A38" s="231" t="s">
        <v>204</v>
      </c>
      <c r="B38" s="232"/>
      <c r="C38" s="232"/>
      <c r="D38" s="91"/>
      <c r="E38" s="92" t="s">
        <v>20</v>
      </c>
      <c r="F38" s="132">
        <f ca="1">INDEX(MasterTable[48 port],(_xlfn.AGGREGATE(15,6,(ROW(MasterTable[48 port])-ROW(MasterTable[#Headers]))/(MasterTable[[VARIA ]:[VARIA ]]=$B$1),ROWS(F38:F38))))</f>
        <v>0</v>
      </c>
      <c r="G38" s="148">
        <f>RESUMÉ!E44</f>
        <v>0</v>
      </c>
      <c r="H38" s="140"/>
    </row>
    <row r="39" spans="1:8" x14ac:dyDescent="0.25">
      <c r="A39" s="231" t="s">
        <v>205</v>
      </c>
      <c r="B39" s="232"/>
      <c r="C39" s="232"/>
      <c r="D39" s="91"/>
      <c r="E39" s="92" t="s">
        <v>19</v>
      </c>
      <c r="F39" s="132">
        <f ca="1">INDEX(MasterTable[2''],(_xlfn.AGGREGATE(15,6,(ROW(MasterTable[2''])-ROW(MasterTable[#Headers]))/(MasterTable[[VARIA ]:[VARIA ]]=$B$1),ROWS(F39:F39))))</f>
        <v>0</v>
      </c>
      <c r="G39" s="148">
        <f>RESUMÉ!E45</f>
        <v>0</v>
      </c>
      <c r="H39" s="140"/>
    </row>
    <row r="40" spans="1:8" x14ac:dyDescent="0.25">
      <c r="A40" s="231" t="s">
        <v>206</v>
      </c>
      <c r="B40" s="232"/>
      <c r="C40" s="232"/>
      <c r="D40" s="91"/>
      <c r="E40" s="92" t="s">
        <v>18</v>
      </c>
      <c r="F40" s="132">
        <f ca="1">INDEX(MasterTable[4''],(_xlfn.AGGREGATE(15,6,(ROW(MasterTable[4''])-ROW(MasterTable[#Headers]))/(MasterTable[[VARIA ]:[VARIA ]]=$B$1),ROWS(F40:F40))))</f>
        <v>0</v>
      </c>
      <c r="G40" s="148">
        <f>RESUMÉ!E46</f>
        <v>0</v>
      </c>
      <c r="H40" s="140"/>
    </row>
    <row r="41" spans="1:8" x14ac:dyDescent="0.25">
      <c r="A41" s="231" t="s">
        <v>207</v>
      </c>
      <c r="B41" s="232"/>
      <c r="C41" s="232"/>
      <c r="D41" s="91"/>
      <c r="E41" s="92" t="s">
        <v>17</v>
      </c>
      <c r="F41" s="132">
        <f ca="1">INDEX(MasterTable[7''],(_xlfn.AGGREGATE(15,6,(ROW(MasterTable[7''])-ROW(MasterTable[#Headers]))/(MasterTable[[VARIA ]:[VARIA ]]=$B$1),ROWS(F41:F41))))</f>
        <v>0</v>
      </c>
      <c r="G41" s="148">
        <f>RESUMÉ!E47</f>
        <v>0</v>
      </c>
      <c r="H41" s="140"/>
    </row>
    <row r="42" spans="1:8" x14ac:dyDescent="0.25">
      <c r="A42" s="231" t="s">
        <v>208</v>
      </c>
      <c r="B42" s="232"/>
      <c r="C42" s="232"/>
      <c r="D42" s="91"/>
      <c r="E42" s="92" t="s">
        <v>16</v>
      </c>
      <c r="F42" s="132">
        <f ca="1">INDEX(MasterTable[10''],(_xlfn.AGGREGATE(15,6,(ROW(MasterTable[10''])-ROW(MasterTable[#Headers]))/(MasterTable[[VARIA ]:[VARIA ]]=$B$1),ROWS(F42:F42))))</f>
        <v>0</v>
      </c>
      <c r="G42" s="148">
        <f>RESUMÉ!E48</f>
        <v>0</v>
      </c>
      <c r="H42" s="140"/>
    </row>
    <row r="43" spans="1:8" x14ac:dyDescent="0.25">
      <c r="A43" s="231" t="s">
        <v>209</v>
      </c>
      <c r="B43" s="232"/>
      <c r="C43" s="232"/>
      <c r="D43" s="91"/>
      <c r="E43" s="92" t="s">
        <v>15</v>
      </c>
      <c r="F43" s="132">
        <f ca="1">INDEX(MasterTable[15''],(_xlfn.AGGREGATE(15,6,(ROW(MasterTable[15''])-ROW(MasterTable[#Headers]))/(MasterTable[[VARIA ]:[VARIA ]]=$B$1),ROWS(F43:F43))))</f>
        <v>0</v>
      </c>
      <c r="G43" s="148">
        <f>RESUMÉ!E49</f>
        <v>0</v>
      </c>
      <c r="H43" s="140"/>
    </row>
    <row r="44" spans="1:8" x14ac:dyDescent="0.25">
      <c r="A44" s="231" t="s">
        <v>210</v>
      </c>
      <c r="B44" s="232"/>
      <c r="C44" s="232"/>
      <c r="D44" s="91"/>
      <c r="E44" s="93" t="s">
        <v>14</v>
      </c>
      <c r="F44" s="132">
        <f ca="1">INDEX(MasterTable[REG],(_xlfn.AGGREGATE(15,6,(ROW(MasterTable[REG])-ROW(MasterTable[#Headers]))/(MasterTable[[VARIA ]:[VARIA ]]=$B$1),ROWS(F44:F44))))</f>
        <v>18</v>
      </c>
      <c r="G44" s="148">
        <f>RESUMÉ!E50</f>
        <v>0</v>
      </c>
      <c r="H44" s="140"/>
    </row>
    <row r="45" spans="1:8" x14ac:dyDescent="0.25">
      <c r="A45" s="231" t="s">
        <v>211</v>
      </c>
      <c r="B45" s="232"/>
      <c r="C45" s="232"/>
      <c r="D45" s="91"/>
      <c r="E45" s="93" t="s">
        <v>13</v>
      </c>
      <c r="F45" s="132">
        <f ca="1">INDEX(MasterTable[Overtime],(_xlfn.AGGREGATE(15,6,(ROW(MasterTable[Overtime])-ROW(MasterTable[#Headers]))/(MasterTable[[VARIA ]:[VARIA ]]=$B$1),ROWS(F45:F45))))</f>
        <v>0</v>
      </c>
      <c r="G45" s="148">
        <f>RESUMÉ!E51</f>
        <v>0</v>
      </c>
      <c r="H45" s="140"/>
    </row>
    <row r="46" spans="1:8" x14ac:dyDescent="0.25">
      <c r="A46" s="231" t="s">
        <v>212</v>
      </c>
      <c r="B46" s="232"/>
      <c r="C46" s="232"/>
      <c r="D46" s="91"/>
      <c r="E46" s="93" t="s">
        <v>12</v>
      </c>
      <c r="F46" s="132">
        <f ca="1">INDEX(MasterTable[Ferier],(_xlfn.AGGREGATE(15,6,(ROW(MasterTable[Ferier])-ROW(MasterTable[#Headers]))/(MasterTable[[VARIA ]:[VARIA ]]=$B$1),ROWS(F46:F46))))</f>
        <v>0</v>
      </c>
      <c r="G46" s="148">
        <f>RESUMÉ!E52</f>
        <v>0</v>
      </c>
      <c r="H46" s="140"/>
    </row>
    <row r="47" spans="1:8" x14ac:dyDescent="0.25">
      <c r="A47" s="231" t="s">
        <v>213</v>
      </c>
      <c r="B47" s="232"/>
      <c r="C47" s="232"/>
      <c r="D47" s="91"/>
      <c r="E47" s="93" t="s">
        <v>182</v>
      </c>
      <c r="F47" s="132">
        <f ca="1">INDEX(MasterTable[[REG ]],(_xlfn.AGGREGATE(15,6,(ROW(MasterTable[[REG ]])-ROW(MasterTable[#Headers]))/(MasterTable[[VARIA ]:[VARIA ]]=$B$1),ROWS(F47:F47))))</f>
        <v>0</v>
      </c>
      <c r="G47" s="148">
        <f>RESUMÉ!E53</f>
        <v>0</v>
      </c>
      <c r="H47" s="140"/>
    </row>
    <row r="48" spans="1:8" x14ac:dyDescent="0.25">
      <c r="A48" s="231" t="s">
        <v>214</v>
      </c>
      <c r="B48" s="232"/>
      <c r="C48" s="232"/>
      <c r="D48" s="91"/>
      <c r="E48" s="93" t="s">
        <v>183</v>
      </c>
      <c r="F48" s="132">
        <f ca="1">INDEX(MasterTable[[Overtime ]],(_xlfn.AGGREGATE(15,6,(ROW(MasterTable[[Overtime ]])-ROW(MasterTable[#Headers]))/(MasterTable[[VARIA ]:[VARIA ]]=$B$1),ROWS(F48:F48))))</f>
        <v>0</v>
      </c>
      <c r="G48" s="148">
        <f>RESUMÉ!E54</f>
        <v>0</v>
      </c>
      <c r="H48" s="140"/>
    </row>
    <row r="49" spans="1:8" ht="16.5" customHeight="1" x14ac:dyDescent="0.25">
      <c r="A49" s="233" t="s">
        <v>215</v>
      </c>
      <c r="B49" s="234"/>
      <c r="C49" s="234"/>
      <c r="D49" s="94"/>
      <c r="E49" s="109" t="s">
        <v>184</v>
      </c>
      <c r="F49" s="133">
        <f ca="1">INDEX(MasterTable[[Ferier ]],(_xlfn.AGGREGATE(15,6,(ROW(MasterTable[[Ferier ]])-ROW(MasterTable[#Headers]))/(MasterTable[[VARIA ]:[VARIA ]]=$B$1),ROWS(F49:F49))))</f>
        <v>0</v>
      </c>
      <c r="G49" s="148">
        <f>RESUMÉ!E55</f>
        <v>0</v>
      </c>
      <c r="H49" s="140"/>
    </row>
    <row r="50" spans="1:8" ht="16.5" customHeight="1" x14ac:dyDescent="0.25">
      <c r="A50" s="225" t="s">
        <v>219</v>
      </c>
      <c r="B50" s="226"/>
      <c r="C50" s="227"/>
      <c r="D50" s="94" t="s">
        <v>218</v>
      </c>
      <c r="E50" s="109" t="s">
        <v>220</v>
      </c>
      <c r="F50" s="133">
        <f ca="1">INDEX(MasterTable[Misc.],(_xlfn.AGGREGATE(15,6,(ROW(MasterTable[Misc.])-ROW(MasterTable[#Headers]))/(MasterTable[[VARIA ]:[VARIA ]]=$B$1),ROWS(F50:F50))))</f>
        <v>0</v>
      </c>
      <c r="G50" s="148">
        <f>RESUMÉ!E56</f>
        <v>0</v>
      </c>
      <c r="H50" s="140"/>
    </row>
    <row r="51" spans="1:8" ht="15.75" thickBot="1" x14ac:dyDescent="0.3">
      <c r="A51" s="214"/>
      <c r="B51" s="215"/>
      <c r="C51" s="215"/>
      <c r="D51" s="216"/>
      <c r="E51" s="95" t="s">
        <v>41</v>
      </c>
      <c r="F51" s="139">
        <f ca="1">INDEX(MasterTable[total ($)],(_xlfn.AGGREGATE(15,6,(ROW(MasterTable[total ($)])-ROW(MasterTable[#Headers]))/(MasterTable[[VARIA ]:[VARIA ]]=$B$1),ROWS(F51:F51))))</f>
        <v>1198.0795499999999</v>
      </c>
      <c r="G51" s="150">
        <f>RESUMÉ!E57</f>
        <v>0</v>
      </c>
      <c r="H51" s="141"/>
    </row>
  </sheetData>
  <mergeCells count="49">
    <mergeCell ref="A31:C31"/>
    <mergeCell ref="A19:C19"/>
    <mergeCell ref="A13:C13"/>
    <mergeCell ref="A8:C8"/>
    <mergeCell ref="A9:C9"/>
    <mergeCell ref="A26:C26"/>
    <mergeCell ref="A27:C27"/>
    <mergeCell ref="A28:C28"/>
    <mergeCell ref="A29:C29"/>
    <mergeCell ref="A30:C30"/>
    <mergeCell ref="A25:C25"/>
    <mergeCell ref="A21:C21"/>
    <mergeCell ref="A22:C22"/>
    <mergeCell ref="A23:C23"/>
    <mergeCell ref="A24:C24"/>
    <mergeCell ref="A17:C17"/>
    <mergeCell ref="A40:C40"/>
    <mergeCell ref="A41:C41"/>
    <mergeCell ref="A42:C42"/>
    <mergeCell ref="A43:C43"/>
    <mergeCell ref="A32:C32"/>
    <mergeCell ref="A33:C33"/>
    <mergeCell ref="A34:C34"/>
    <mergeCell ref="A35:C35"/>
    <mergeCell ref="A36:C36"/>
    <mergeCell ref="A37:C37"/>
    <mergeCell ref="A51:D51"/>
    <mergeCell ref="B1:D1"/>
    <mergeCell ref="B2:D2"/>
    <mergeCell ref="B3:D3"/>
    <mergeCell ref="B4:D4"/>
    <mergeCell ref="A50:C50"/>
    <mergeCell ref="A6:C6"/>
    <mergeCell ref="A44:C44"/>
    <mergeCell ref="A45:C45"/>
    <mergeCell ref="A46:C46"/>
    <mergeCell ref="A47:C47"/>
    <mergeCell ref="A48:C48"/>
    <mergeCell ref="A49:C49"/>
    <mergeCell ref="A38:C38"/>
    <mergeCell ref="A39:C39"/>
    <mergeCell ref="A20:C20"/>
    <mergeCell ref="A18:C18"/>
    <mergeCell ref="A10:C10"/>
    <mergeCell ref="A11:C11"/>
    <mergeCell ref="A12:C12"/>
    <mergeCell ref="A14:C14"/>
    <mergeCell ref="A15:C15"/>
    <mergeCell ref="A16:C16"/>
  </mergeCells>
  <pageMargins left="0.25" right="0.25" top="0.22916666666666666" bottom="0.10416666666666667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facturation</vt:lpstr>
      <vt:lpstr>LISTE DE PRIX</vt:lpstr>
      <vt:lpstr>RESUMÉ</vt:lpstr>
      <vt:lpstr>var-160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Teoli, Antonio</dc:creator>
  <cp:lastModifiedBy>Teoli, Antonio</cp:lastModifiedBy>
  <cp:lastPrinted>2017-11-20T13:19:40Z</cp:lastPrinted>
  <dcterms:created xsi:type="dcterms:W3CDTF">2017-10-03T15:54:20Z</dcterms:created>
  <dcterms:modified xsi:type="dcterms:W3CDTF">2017-11-21T19:22:49Z</dcterms:modified>
</cp:coreProperties>
</file>