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13_ncr:1_{3C420426-BBFA-4C6F-9073-A7E978BA7FD4}" xr6:coauthVersionLast="47" xr6:coauthVersionMax="47" xr10:uidLastSave="{00000000-0000-0000-0000-000000000000}"/>
  <bookViews>
    <workbookView xWindow="23880" yWindow="-120" windowWidth="29040" windowHeight="15720" xr2:uid="{0F9566ED-227C-4CFC-B1DE-E288361666A6}"/>
  </bookViews>
  <sheets>
    <sheet name="Simul" sheetId="1" r:id="rId1"/>
    <sheet name="Feuil1" sheetId="3" r:id="rId2"/>
    <sheet name="Feuil2" sheetId="2" state="hidden" r:id="rId3"/>
  </sheets>
  <calcPr calcId="191029"/>
  <pivotCaches>
    <pivotCache cacheId="53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3" i="1" l="1"/>
  <c r="C23" i="1"/>
  <c r="G23" i="1"/>
  <c r="H23" i="1" s="1"/>
  <c r="N23" i="1"/>
  <c r="O23" i="1" s="1"/>
  <c r="B24" i="1"/>
  <c r="C24" i="1"/>
  <c r="G24" i="1"/>
  <c r="I24" i="1" s="1"/>
  <c r="J24" i="1" s="1"/>
  <c r="H24" i="1"/>
  <c r="N24" i="1"/>
  <c r="O24" i="1"/>
  <c r="Q31" i="1"/>
  <c r="Q32" i="1"/>
  <c r="Q33" i="1"/>
  <c r="Q34" i="1"/>
  <c r="Q29" i="1"/>
  <c r="Q30" i="1"/>
  <c r="B20" i="1"/>
  <c r="C20" i="1"/>
  <c r="G20" i="1"/>
  <c r="I20" i="1" s="1"/>
  <c r="J20" i="1" s="1"/>
  <c r="N20" i="1"/>
  <c r="O20" i="1" s="1"/>
  <c r="B21" i="1"/>
  <c r="C21" i="1"/>
  <c r="G21" i="1"/>
  <c r="I21" i="1" s="1"/>
  <c r="J21" i="1" s="1"/>
  <c r="N21" i="1"/>
  <c r="O21" i="1" s="1"/>
  <c r="B22" i="1"/>
  <c r="C22" i="1"/>
  <c r="G22" i="1"/>
  <c r="I22" i="1" s="1"/>
  <c r="J22" i="1" s="1"/>
  <c r="N22" i="1"/>
  <c r="O22" i="1" s="1"/>
  <c r="H21" i="1" l="1"/>
  <c r="I23" i="1"/>
  <c r="J23" i="1" s="1"/>
  <c r="K23" i="1"/>
  <c r="K24" i="1"/>
  <c r="H22" i="1"/>
  <c r="K22" i="1" s="1"/>
  <c r="H20" i="1"/>
  <c r="K20" i="1" s="1"/>
  <c r="K21" i="1"/>
  <c r="U10" i="1" l="1"/>
  <c r="U11" i="1"/>
  <c r="U12" i="1"/>
  <c r="U13" i="1"/>
  <c r="U14" i="1"/>
  <c r="U15" i="1"/>
  <c r="U9" i="1"/>
  <c r="B19" i="1" l="1"/>
  <c r="C19" i="1"/>
  <c r="G19" i="1"/>
  <c r="H19" i="1" s="1"/>
  <c r="N19" i="1"/>
  <c r="O19" i="1" s="1"/>
  <c r="N18" i="1"/>
  <c r="O18" i="1" s="1"/>
  <c r="G18" i="1"/>
  <c r="C18" i="1"/>
  <c r="B18" i="1"/>
  <c r="D25" i="1"/>
  <c r="E25" i="1"/>
  <c r="F25" i="1"/>
  <c r="C13" i="1"/>
  <c r="B9" i="1"/>
  <c r="B10" i="1"/>
  <c r="B11" i="1"/>
  <c r="B12" i="1"/>
  <c r="B13" i="1"/>
  <c r="B14" i="1"/>
  <c r="B15" i="1"/>
  <c r="B16" i="1"/>
  <c r="B17" i="1"/>
  <c r="B8" i="1"/>
  <c r="C9" i="1"/>
  <c r="C10" i="1"/>
  <c r="C11" i="1"/>
  <c r="C12" i="1"/>
  <c r="C14" i="1"/>
  <c r="C15" i="1"/>
  <c r="C16" i="1"/>
  <c r="C17" i="1"/>
  <c r="C8" i="1"/>
  <c r="I19" i="1" l="1"/>
  <c r="J19" i="1" s="1"/>
  <c r="H18" i="1"/>
  <c r="I18" i="1"/>
  <c r="J18" i="1" s="1"/>
  <c r="C25" i="1"/>
  <c r="K19" i="1" l="1"/>
  <c r="K18" i="1"/>
  <c r="N9" i="1"/>
  <c r="O9" i="1" s="1"/>
  <c r="N10" i="1"/>
  <c r="O10" i="1" s="1"/>
  <c r="N11" i="1"/>
  <c r="O11" i="1" s="1"/>
  <c r="N12" i="1"/>
  <c r="O12" i="1" s="1"/>
  <c r="N13" i="1"/>
  <c r="O13" i="1" s="1"/>
  <c r="N14" i="1"/>
  <c r="N15" i="1"/>
  <c r="O15" i="1" s="1"/>
  <c r="N16" i="1"/>
  <c r="O16" i="1" s="1"/>
  <c r="N17" i="1"/>
  <c r="O17" i="1" s="1"/>
  <c r="N8" i="1"/>
  <c r="O8" i="1" s="1"/>
  <c r="H7" i="2"/>
  <c r="H8" i="2"/>
  <c r="H16" i="2"/>
  <c r="H19" i="2"/>
  <c r="H20" i="2"/>
  <c r="H28" i="2"/>
  <c r="H31" i="2"/>
  <c r="H32" i="2"/>
  <c r="H37" i="2"/>
  <c r="H38" i="2"/>
  <c r="H39" i="2"/>
  <c r="H40" i="2"/>
  <c r="H44" i="2"/>
  <c r="H49" i="2"/>
  <c r="H50" i="2"/>
  <c r="H51" i="2"/>
  <c r="H52" i="2"/>
  <c r="H54" i="2"/>
  <c r="H55" i="2"/>
  <c r="H56" i="2"/>
  <c r="H9" i="2"/>
  <c r="H13" i="2"/>
  <c r="H25" i="2"/>
  <c r="H27" i="2"/>
  <c r="H33" i="2"/>
  <c r="H23" i="2"/>
  <c r="H42" i="2"/>
  <c r="H43" i="2"/>
  <c r="H47" i="2"/>
  <c r="H5" i="2"/>
  <c r="H11" i="2"/>
  <c r="H12" i="2"/>
  <c r="H14" i="2"/>
  <c r="H15" i="2"/>
  <c r="H21" i="2"/>
  <c r="H24" i="2"/>
  <c r="H35" i="2"/>
  <c r="H36" i="2"/>
  <c r="H45" i="2"/>
  <c r="H48" i="2"/>
  <c r="H6" i="2"/>
  <c r="H10" i="2"/>
  <c r="H17" i="2"/>
  <c r="H18" i="2"/>
  <c r="H22" i="2"/>
  <c r="H26" i="2"/>
  <c r="H29" i="2"/>
  <c r="H30" i="2"/>
  <c r="H34" i="2"/>
  <c r="H41" i="2"/>
  <c r="H46" i="2"/>
  <c r="H53" i="2"/>
  <c r="G17" i="1"/>
  <c r="I17" i="1" s="1"/>
  <c r="J17" i="1" s="1"/>
  <c r="G16" i="1"/>
  <c r="H16" i="1" s="1"/>
  <c r="G15" i="1"/>
  <c r="I15" i="1" s="1"/>
  <c r="J15" i="1" s="1"/>
  <c r="G14" i="1"/>
  <c r="G13" i="1"/>
  <c r="H13" i="1" s="1"/>
  <c r="G12" i="1"/>
  <c r="I12" i="1" s="1"/>
  <c r="J12" i="1" s="1"/>
  <c r="G11" i="1"/>
  <c r="I11" i="1" s="1"/>
  <c r="J11" i="1" s="1"/>
  <c r="G10" i="1"/>
  <c r="G9" i="1"/>
  <c r="I9" i="1" s="1"/>
  <c r="J9" i="1" s="1"/>
  <c r="G8" i="1"/>
  <c r="I8" i="1" s="1"/>
  <c r="I14" i="1" l="1"/>
  <c r="G25" i="1"/>
  <c r="O14" i="1"/>
  <c r="O25" i="1" s="1"/>
  <c r="N25" i="1"/>
  <c r="H12" i="1"/>
  <c r="K12" i="1" s="1"/>
  <c r="H8" i="1"/>
  <c r="H9" i="1"/>
  <c r="K9" i="1" s="1"/>
  <c r="H17" i="1"/>
  <c r="K17" i="1" s="1"/>
  <c r="I16" i="1"/>
  <c r="J16" i="1" s="1"/>
  <c r="H10" i="1"/>
  <c r="I10" i="1"/>
  <c r="J8" i="1"/>
  <c r="I13" i="1"/>
  <c r="J13" i="1" s="1"/>
  <c r="H14" i="1"/>
  <c r="H15" i="1"/>
  <c r="K15" i="1" s="1"/>
  <c r="H11" i="1"/>
  <c r="K11" i="1" s="1"/>
  <c r="H25" i="1" l="1"/>
  <c r="J14" i="1"/>
  <c r="I25" i="1"/>
  <c r="J10" i="1"/>
  <c r="K16" i="1"/>
  <c r="K8" i="1"/>
  <c r="K13" i="1"/>
  <c r="J25" i="1" l="1"/>
  <c r="K14" i="1"/>
  <c r="K10" i="1"/>
  <c r="K25" i="1" l="1"/>
  <c r="L3" i="1" s="1"/>
  <c r="L4" i="1" s="1"/>
</calcChain>
</file>

<file path=xl/sharedStrings.xml><?xml version="1.0" encoding="utf-8"?>
<sst xmlns="http://schemas.openxmlformats.org/spreadsheetml/2006/main" count="250" uniqueCount="139">
  <si>
    <t>VAL BRUTE</t>
  </si>
  <si>
    <t>COM BRVM</t>
  </si>
  <si>
    <t>COM CB</t>
  </si>
  <si>
    <t>TVA</t>
  </si>
  <si>
    <t>NSBC</t>
  </si>
  <si>
    <t>SIB CI</t>
  </si>
  <si>
    <t>Montant à investir</t>
  </si>
  <si>
    <t>Montant investi</t>
  </si>
  <si>
    <t>Solde</t>
  </si>
  <si>
    <t>Div moyen sur 03 ans</t>
  </si>
  <si>
    <t>Montant à percevoir en 2023</t>
  </si>
  <si>
    <t>SIMULATION DIV.</t>
  </si>
  <si>
    <t>Div net 2019</t>
  </si>
  <si>
    <t>Div net 2020</t>
  </si>
  <si>
    <t>Div net 2021</t>
  </si>
  <si>
    <t>PALC</t>
  </si>
  <si>
    <t>SCRC</t>
  </si>
  <si>
    <t>SICC</t>
  </si>
  <si>
    <t>SOGC</t>
  </si>
  <si>
    <t>SPHC</t>
  </si>
  <si>
    <t>SECTEUR AGRICULTURE</t>
  </si>
  <si>
    <t>STAC</t>
  </si>
  <si>
    <t>AUTRE SECTEUR</t>
  </si>
  <si>
    <t>ABJC</t>
  </si>
  <si>
    <t>BNBC</t>
  </si>
  <si>
    <t>CFAC</t>
  </si>
  <si>
    <t>PRSC</t>
  </si>
  <si>
    <t>SHEC</t>
  </si>
  <si>
    <t>TTLC</t>
  </si>
  <si>
    <t>TTLS</t>
  </si>
  <si>
    <t>SECTEUR DISTRIBUTION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</si>
  <si>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</si>
  <si>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</si>
  <si>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</si>
  <si>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</si>
  <si>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</si>
  <si>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</si>
  <si>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</si>
  <si>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</si>
  <si>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</si>
  <si>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</si>
  <si>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ORGT</t>
  </si>
  <si>
    <t>SAFC</t>
  </si>
  <si>
    <t>SGBC</t>
  </si>
  <si>
    <t>SIBC</t>
  </si>
  <si>
    <t>SECTEUR FINANCE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</si>
  <si>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</si>
  <si>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</si>
  <si>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</si>
  <si>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</si>
  <si>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</si>
  <si>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</si>
  <si>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</si>
  <si>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</si>
  <si>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</si>
  <si>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TTRC</t>
  </si>
  <si>
    <t>UNLC</t>
  </si>
  <si>
    <t>UNXC</t>
  </si>
  <si>
    <t>CIEC</t>
  </si>
  <si>
    <t>ONTBF</t>
  </si>
  <si>
    <t>SDCC</t>
  </si>
  <si>
    <t>SNTS</t>
  </si>
  <si>
    <t>SERVICE PUBLIC</t>
  </si>
  <si>
    <t>SDSC</t>
  </si>
  <si>
    <t>SVOC</t>
  </si>
  <si>
    <t>SERVICE I0USTRIE</t>
  </si>
  <si>
    <t>BRVM-AGR</t>
  </si>
  <si>
    <t>BRVM-AUT</t>
  </si>
  <si>
    <t>BRVM-DIS</t>
  </si>
  <si>
    <t>BRVM-FIN</t>
  </si>
  <si>
    <t>BRVM-IND</t>
  </si>
  <si>
    <t>BRVM-SPU</t>
  </si>
  <si>
    <t>BRVM-TRP</t>
  </si>
  <si>
    <t>BRVM-I0</t>
  </si>
  <si>
    <t>Secteur</t>
  </si>
  <si>
    <t>AGR</t>
  </si>
  <si>
    <t>AUT</t>
  </si>
  <si>
    <t>DIS</t>
  </si>
  <si>
    <t>FIN</t>
  </si>
  <si>
    <t>IND</t>
  </si>
  <si>
    <t>SPU</t>
  </si>
  <si>
    <t>TRP</t>
  </si>
  <si>
    <t>Moyenne</t>
  </si>
  <si>
    <t>Palm CI</t>
  </si>
  <si>
    <t>Sucrivoire CI</t>
  </si>
  <si>
    <t>Sicor CI</t>
  </si>
  <si>
    <t>Sogb CI</t>
  </si>
  <si>
    <t>Saph CI</t>
  </si>
  <si>
    <t>Setao CI</t>
  </si>
  <si>
    <t>Servair abidjan  CI</t>
  </si>
  <si>
    <t>Bernabe CI</t>
  </si>
  <si>
    <t>Cfao motors CI</t>
  </si>
  <si>
    <t>Tractafric motors CI</t>
  </si>
  <si>
    <t>Total CI</t>
  </si>
  <si>
    <t>Total Sénégal</t>
  </si>
  <si>
    <t>Bici CI</t>
  </si>
  <si>
    <t>Bank of africa benin</t>
  </si>
  <si>
    <t>Bank of africa BF</t>
  </si>
  <si>
    <t>Bank of africa CI</t>
  </si>
  <si>
    <t>Bank of africa mali</t>
  </si>
  <si>
    <t>Bank of africa Niger</t>
  </si>
  <si>
    <t>Bank of africa SN</t>
  </si>
  <si>
    <t>Coris bank inter. BF</t>
  </si>
  <si>
    <t>Ecobank CI</t>
  </si>
  <si>
    <t>ETI Togo</t>
  </si>
  <si>
    <t>Nsia banque CI</t>
  </si>
  <si>
    <t>Oragroup Togo</t>
  </si>
  <si>
    <t>Safca CI</t>
  </si>
  <si>
    <t>Société générale CI</t>
  </si>
  <si>
    <t>Sicable CI</t>
  </si>
  <si>
    <t>Filtisac CI</t>
  </si>
  <si>
    <t>Nei-ceda CI</t>
  </si>
  <si>
    <t>Nestle CI</t>
  </si>
  <si>
    <t>Crown Siem CI</t>
  </si>
  <si>
    <t>Air liquide CI</t>
  </si>
  <si>
    <t>Solibra CI</t>
  </si>
  <si>
    <t>Smb CI</t>
  </si>
  <si>
    <t>Sitab CI</t>
  </si>
  <si>
    <t>Unilever CI</t>
  </si>
  <si>
    <t>Uniwax CI</t>
  </si>
  <si>
    <t>Cie CI</t>
  </si>
  <si>
    <t>Onatel BF</t>
  </si>
  <si>
    <t>Sode CI</t>
  </si>
  <si>
    <t>Sonatel Sénégal</t>
  </si>
  <si>
    <t>Bolloré trans. &amp; Log. CI</t>
  </si>
  <si>
    <t>Movis CI</t>
  </si>
  <si>
    <t>Total</t>
  </si>
  <si>
    <t>Étiquettes de lignes</t>
  </si>
  <si>
    <t>Total général</t>
  </si>
  <si>
    <t>Prix le plus haut sur 3 ans</t>
  </si>
  <si>
    <t>Quantité</t>
  </si>
  <si>
    <t>Prix d'achat</t>
  </si>
  <si>
    <t xml:space="preserve">MODELISATION ACHAT DES TITRES </t>
  </si>
  <si>
    <t>Montant net investi</t>
  </si>
  <si>
    <t>Somme de Montant net investi</t>
  </si>
  <si>
    <t>Prix le plus bas sur 3 ans</t>
  </si>
  <si>
    <t>Titres</t>
  </si>
  <si>
    <t>Nombre de Titres</t>
  </si>
  <si>
    <t>Symboles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</si>
</sst>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_-* #,##0\ _€_-;\-* #,##0\ _€_-;_-* &quot;-&quot;??\ _€_-;_-@_-"/>
    <numFmt numFmtId="166" formatCode="_-* #,##0_-;\-* #,##0_-;_-* &quot;-&quot;??_-;_-@_-"/>
    <numFmt numFmtId="168" formatCode="_(* #,##0_);_(* \(#,##0\);_(* &quot;-&quot;??_);_(@_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Futura Bk BT"/>
      <family val="2"/>
    </font>
    <font>
      <sz val="10"/>
      <color rgb="FF000000"/>
      <name val="Futura Bk BT"/>
      <family val="2"/>
    </font>
    <font>
      <sz val="10"/>
      <color theme="1"/>
      <name val="Futura Bk BT"/>
      <family val="2"/>
    </font>
    <font>
      <b/>
      <sz val="10"/>
      <color theme="1"/>
      <name val="Futura Bk BT"/>
      <family val="2"/>
    </font>
    <font>
      <sz val="11"/>
      <color theme="1"/>
      <name val="Futura Lt BT"/>
      <family val="2"/>
    </font>
    <font>
      <b/>
      <sz val="11"/>
      <color theme="1"/>
      <name val="Futura Lt BT"/>
      <family val="2"/>
    </font>
    <font>
      <b/>
      <sz val="16"/>
      <name val="Futura Lt BT"/>
      <family val="2"/>
    </font>
    <font>
      <b/>
      <sz val="11"/>
      <name val="Futura Lt BT"/>
      <family val="2"/>
    </font>
    <font>
      <sz val="11"/>
      <name val="Futura Lt BT"/>
      <family val="2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2" borderId="1" applyNumberFormat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164" fontId="4" fillId="0" borderId="7" xfId="1" applyFont="1" applyFill="1" applyBorder="1" applyAlignment="1">
      <alignment horizontal="center" vertical="center" wrapText="1"/>
    </xf>
    <xf numFmtId="164" fontId="4" fillId="0" borderId="3" xfId="1" applyFont="1" applyFill="1" applyBorder="1" applyAlignment="1">
      <alignment horizontal="center" vertical="center" wrapText="1"/>
    </xf>
    <xf numFmtId="164" fontId="4" fillId="6" borderId="7" xfId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49" fontId="4" fillId="4" borderId="4" xfId="0" applyNumberFormat="1" applyFont="1" applyFill="1" applyBorder="1" applyAlignment="1">
      <alignment horizontal="left" vertical="center" wrapText="1"/>
    </xf>
    <xf numFmtId="49" fontId="0" fillId="0" borderId="0" xfId="0" applyNumberFormat="1" applyAlignment="1">
      <alignment horizontal="left"/>
    </xf>
    <xf numFmtId="49" fontId="4" fillId="0" borderId="4" xfId="0" applyNumberFormat="1" applyFont="1" applyBorder="1" applyAlignment="1">
      <alignment horizontal="left" vertical="center" wrapText="1"/>
    </xf>
    <xf numFmtId="49" fontId="4" fillId="4" borderId="7" xfId="0" applyNumberFormat="1" applyFont="1" applyFill="1" applyBorder="1" applyAlignment="1">
      <alignment horizontal="left" vertical="center" wrapText="1"/>
    </xf>
    <xf numFmtId="49" fontId="4" fillId="4" borderId="3" xfId="0" applyNumberFormat="1" applyFont="1" applyFill="1" applyBorder="1" applyAlignment="1">
      <alignment horizontal="left" vertical="center" wrapText="1"/>
    </xf>
    <xf numFmtId="49" fontId="4" fillId="4" borderId="2" xfId="0" applyNumberFormat="1" applyFont="1" applyFill="1" applyBorder="1" applyAlignment="1">
      <alignment horizontal="left" vertical="center" wrapText="1"/>
    </xf>
    <xf numFmtId="49" fontId="4" fillId="0" borderId="7" xfId="0" applyNumberFormat="1" applyFont="1" applyBorder="1" applyAlignment="1">
      <alignment horizontal="left" vertical="center" wrapText="1"/>
    </xf>
    <xf numFmtId="1" fontId="3" fillId="4" borderId="4" xfId="1" applyNumberFormat="1" applyFont="1" applyFill="1" applyBorder="1" applyAlignment="1">
      <alignment horizontal="center" vertical="center" wrapText="1"/>
    </xf>
    <xf numFmtId="164" fontId="4" fillId="0" borderId="4" xfId="1" applyFont="1" applyFill="1" applyBorder="1" applyAlignment="1">
      <alignment horizontal="center" vertical="center" wrapText="1"/>
    </xf>
    <xf numFmtId="49" fontId="6" fillId="5" borderId="3" xfId="0" applyNumberFormat="1" applyFont="1" applyFill="1" applyBorder="1" applyAlignment="1">
      <alignment horizontal="left" vertical="center" wrapText="1"/>
    </xf>
    <xf numFmtId="164" fontId="5" fillId="5" borderId="3" xfId="1" applyFont="1" applyFill="1" applyBorder="1" applyAlignment="1">
      <alignment horizontal="center" wrapText="1"/>
    </xf>
    <xf numFmtId="49" fontId="6" fillId="5" borderId="7" xfId="0" applyNumberFormat="1" applyFont="1" applyFill="1" applyBorder="1" applyAlignment="1">
      <alignment horizontal="left" vertical="center" wrapText="1"/>
    </xf>
    <xf numFmtId="164" fontId="5" fillId="5" borderId="7" xfId="1" applyFont="1" applyFill="1" applyBorder="1" applyAlignment="1">
      <alignment horizontal="center" wrapText="1"/>
    </xf>
    <xf numFmtId="49" fontId="4" fillId="6" borderId="7" xfId="0" applyNumberFormat="1" applyFont="1" applyFill="1" applyBorder="1" applyAlignment="1">
      <alignment horizontal="left" vertical="center" wrapText="1"/>
    </xf>
    <xf numFmtId="0" fontId="5" fillId="5" borderId="7" xfId="0" applyFont="1" applyFill="1" applyBorder="1" applyAlignment="1">
      <alignment horizontal="center" wrapText="1"/>
    </xf>
    <xf numFmtId="1" fontId="3" fillId="4" borderId="0" xfId="1" applyNumberFormat="1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2" xfId="0" applyFont="1" applyBorder="1"/>
    <xf numFmtId="166" fontId="7" fillId="0" borderId="2" xfId="1" applyNumberFormat="1" applyFont="1" applyBorder="1"/>
    <xf numFmtId="0" fontId="9" fillId="3" borderId="2" xfId="2" applyFont="1" applyFill="1" applyBorder="1" applyAlignment="1">
      <alignment horizontal="center" vertical="center" wrapText="1"/>
    </xf>
    <xf numFmtId="0" fontId="9" fillId="3" borderId="5" xfId="2" applyFont="1" applyFill="1" applyBorder="1" applyAlignment="1">
      <alignment horizontal="center" vertical="center" wrapText="1"/>
    </xf>
    <xf numFmtId="0" fontId="9" fillId="3" borderId="6" xfId="2" applyFont="1" applyFill="1" applyBorder="1" applyAlignment="1">
      <alignment horizontal="center" vertical="center" wrapText="1"/>
    </xf>
    <xf numFmtId="2" fontId="10" fillId="3" borderId="10" xfId="2" applyNumberFormat="1" applyFont="1" applyFill="1" applyBorder="1" applyAlignment="1">
      <alignment horizontal="center" vertical="center"/>
    </xf>
    <xf numFmtId="2" fontId="10" fillId="3" borderId="7" xfId="2" applyNumberFormat="1" applyFont="1" applyFill="1" applyBorder="1" applyAlignment="1">
      <alignment horizontal="center" vertical="center"/>
    </xf>
    <xf numFmtId="165" fontId="10" fillId="3" borderId="3" xfId="1" applyNumberFormat="1" applyFont="1" applyFill="1" applyBorder="1" applyAlignment="1">
      <alignment vertical="center"/>
    </xf>
    <xf numFmtId="0" fontId="10" fillId="3" borderId="3" xfId="2" applyFont="1" applyFill="1" applyBorder="1" applyAlignment="1">
      <alignment horizontal="center" vertical="center"/>
    </xf>
    <xf numFmtId="0" fontId="10" fillId="3" borderId="3" xfId="2" applyFont="1" applyFill="1" applyBorder="1" applyAlignment="1">
      <alignment horizontal="center" vertical="center" wrapText="1"/>
    </xf>
    <xf numFmtId="0" fontId="10" fillId="3" borderId="9" xfId="2" applyFont="1" applyFill="1" applyBorder="1" applyAlignment="1">
      <alignment horizontal="center" vertical="center" wrapText="1"/>
    </xf>
    <xf numFmtId="2" fontId="7" fillId="0" borderId="6" xfId="0" applyNumberFormat="1" applyFont="1" applyBorder="1"/>
    <xf numFmtId="2" fontId="7" fillId="0" borderId="2" xfId="0" applyNumberFormat="1" applyFont="1" applyBorder="1"/>
    <xf numFmtId="165" fontId="11" fillId="0" borderId="2" xfId="1" applyNumberFormat="1" applyFont="1" applyBorder="1" applyAlignment="1"/>
    <xf numFmtId="0" fontId="7" fillId="0" borderId="2" xfId="0" applyFont="1" applyBorder="1"/>
    <xf numFmtId="165" fontId="7" fillId="0" borderId="2" xfId="1" applyNumberFormat="1" applyFont="1" applyBorder="1" applyAlignment="1">
      <alignment horizontal="center"/>
    </xf>
    <xf numFmtId="165" fontId="7" fillId="0" borderId="5" xfId="1" applyNumberFormat="1" applyFont="1" applyBorder="1" applyAlignment="1">
      <alignment horizontal="center"/>
    </xf>
    <xf numFmtId="0" fontId="7" fillId="0" borderId="0" xfId="0" pivotButton="1" applyFont="1"/>
    <xf numFmtId="165" fontId="7" fillId="0" borderId="2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9" fontId="7" fillId="0" borderId="0" xfId="3" applyFont="1"/>
    <xf numFmtId="165" fontId="11" fillId="0" borderId="2" xfId="1" applyNumberFormat="1" applyFont="1" applyFill="1" applyBorder="1" applyAlignment="1"/>
    <xf numFmtId="165" fontId="7" fillId="0" borderId="2" xfId="1" applyNumberFormat="1" applyFont="1" applyFill="1" applyBorder="1"/>
    <xf numFmtId="2" fontId="11" fillId="0" borderId="2" xfId="0" applyNumberFormat="1" applyFont="1" applyBorder="1"/>
    <xf numFmtId="165" fontId="11" fillId="0" borderId="2" xfId="1" applyNumberFormat="1" applyFont="1" applyFill="1" applyBorder="1" applyAlignment="1">
      <alignment horizontal="center" vertical="center"/>
    </xf>
    <xf numFmtId="165" fontId="11" fillId="0" borderId="2" xfId="1" applyNumberFormat="1" applyFont="1" applyBorder="1" applyAlignment="1">
      <alignment horizontal="center"/>
    </xf>
    <xf numFmtId="165" fontId="11" fillId="0" borderId="2" xfId="1" applyNumberFormat="1" applyFont="1" applyFill="1" applyBorder="1" applyAlignment="1">
      <alignment vertical="center"/>
    </xf>
    <xf numFmtId="0" fontId="7" fillId="0" borderId="11" xfId="0" applyFont="1" applyBorder="1"/>
    <xf numFmtId="165" fontId="7" fillId="0" borderId="8" xfId="0" applyNumberFormat="1" applyFont="1" applyBorder="1" applyAlignment="1">
      <alignment horizontal="center"/>
    </xf>
    <xf numFmtId="0" fontId="7" fillId="0" borderId="0" xfId="0" applyNumberFormat="1" applyFont="1"/>
    <xf numFmtId="168" fontId="7" fillId="0" borderId="0" xfId="0" applyNumberFormat="1" applyFont="1"/>
    <xf numFmtId="165" fontId="11" fillId="0" borderId="8" xfId="1" applyNumberFormat="1" applyFont="1" applyFill="1" applyBorder="1" applyAlignment="1">
      <alignment vertical="center"/>
    </xf>
  </cellXfs>
  <cellStyles count="4">
    <cellStyle name="Milliers" xfId="1" builtinId="3"/>
    <cellStyle name="Normal" xfId="0" builtinId="0"/>
    <cellStyle name="Pourcentage" xfId="3" builtinId="5"/>
    <cellStyle name="Vérification" xfId="2" builtinId="23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numFmt numFmtId="168" formatCode="_(* #,##0_);_(* \(#,##0\);_(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Futura Lt B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Futura Lt BT"/>
        <family val="2"/>
        <scheme val="none"/>
      </font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Futura Lt BT"/>
        <family val="2"/>
        <scheme val="none"/>
      </font>
      <numFmt numFmtId="2" formatCode="0.0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_(* #,##0_);_(* \(#,##0\);_(* &quot;-&quot;??_);_(@_)"/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font>
        <name val="Futura Lt BT"/>
        <scheme val="none"/>
      </font>
    </dxf>
    <dxf>
      <font>
        <strike val="0"/>
        <outline val="0"/>
        <shadow val="0"/>
        <u val="none"/>
        <vertAlign val="baseline"/>
        <name val="Futura Lt BT"/>
        <family val="2"/>
        <scheme val="none"/>
      </font>
    </dxf>
    <dxf>
      <font>
        <strike val="0"/>
        <outline val="0"/>
        <shadow val="0"/>
        <u val="none"/>
        <vertAlign val="baseline"/>
        <name val="Futura Lt BT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utura Lt BT"/>
        <family val="2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[Simulation nouveau portefeuille.xlsm]Simul!Achats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Futura Lt BT" panose="020B0402020204020303" pitchFamily="34" charset="0"/>
                <a:ea typeface="+mn-ea"/>
                <a:cs typeface="+mn-cs"/>
              </a:defRPr>
            </a:pPr>
            <a:r>
              <a:rPr lang="en-US" b="1"/>
              <a:t>Repartition par secteur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Futura Lt BT" panose="020B04020202040203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Futura Lt BT" panose="020B0402020204020303" pitchFamily="34" charset="0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Futura Lt BT" panose="020B0402020204020303" pitchFamily="34" charset="0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Simul!$N$28</c:f>
              <c:strCache>
                <c:ptCount val="1"/>
                <c:pt idx="0">
                  <c:v>Somme de Montant net investi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Futura Lt BT" panose="020B04020202040203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Simul!$M$29:$M$35</c:f>
              <c:strCache>
                <c:ptCount val="6"/>
                <c:pt idx="0">
                  <c:v>AGR</c:v>
                </c:pt>
                <c:pt idx="1">
                  <c:v>DIS</c:v>
                </c:pt>
                <c:pt idx="2">
                  <c:v>FIN</c:v>
                </c:pt>
                <c:pt idx="3">
                  <c:v>IND</c:v>
                </c:pt>
                <c:pt idx="4">
                  <c:v>SPU</c:v>
                </c:pt>
                <c:pt idx="5">
                  <c:v>TRP</c:v>
                </c:pt>
              </c:strCache>
            </c:strRef>
          </c:cat>
          <c:val>
            <c:numRef>
              <c:f>Simul!$N$29:$N$35</c:f>
              <c:numCache>
                <c:formatCode>_(* #\ ##0_);_(* \(#\ ##0\);_(* "-"??_);_(@_)</c:formatCode>
                <c:ptCount val="6"/>
                <c:pt idx="0">
                  <c:v>80695215.599999994</c:v>
                </c:pt>
                <c:pt idx="1">
                  <c:v>30340429.199999999</c:v>
                </c:pt>
                <c:pt idx="2">
                  <c:v>532501360</c:v>
                </c:pt>
                <c:pt idx="3">
                  <c:v>32395520</c:v>
                </c:pt>
                <c:pt idx="4">
                  <c:v>307757440</c:v>
                </c:pt>
                <c:pt idx="5">
                  <c:v>5314890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E06-44D7-B662-4FA702D9EC7A}"/>
            </c:ext>
          </c:extLst>
        </c:ser>
        <c:ser>
          <c:idx val="1"/>
          <c:order val="1"/>
          <c:tx>
            <c:strRef>
              <c:f>Simul!$O$28</c:f>
              <c:strCache>
                <c:ptCount val="1"/>
                <c:pt idx="0">
                  <c:v>Nombre de Titres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Simul!$M$29:$M$35</c:f>
              <c:strCache>
                <c:ptCount val="6"/>
                <c:pt idx="0">
                  <c:v>AGR</c:v>
                </c:pt>
                <c:pt idx="1">
                  <c:v>DIS</c:v>
                </c:pt>
                <c:pt idx="2">
                  <c:v>FIN</c:v>
                </c:pt>
                <c:pt idx="3">
                  <c:v>IND</c:v>
                </c:pt>
                <c:pt idx="4">
                  <c:v>SPU</c:v>
                </c:pt>
                <c:pt idx="5">
                  <c:v>TRP</c:v>
                </c:pt>
              </c:strCache>
            </c:strRef>
          </c:cat>
          <c:val>
            <c:numRef>
              <c:f>Simul!$O$29:$O$35</c:f>
              <c:numCache>
                <c:formatCode>General</c:formatCode>
                <c:ptCount val="6"/>
                <c:pt idx="0">
                  <c:v>3</c:v>
                </c:pt>
                <c:pt idx="1">
                  <c:v>3</c:v>
                </c:pt>
                <c:pt idx="2">
                  <c:v>5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E06-44D7-B662-4FA702D9EC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Futura Lt BT" panose="020B04020202040203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latin typeface="Futura Lt BT" panose="020B04020202040203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119061</xdr:colOff>
      <xdr:row>25</xdr:row>
      <xdr:rowOff>147636</xdr:rowOff>
    </xdr:from>
    <xdr:to>
      <xdr:col>11</xdr:col>
      <xdr:colOff>904874</xdr:colOff>
      <xdr:row>48</xdr:row>
      <xdr:rowOff>114300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BEC7C316-30E4-106A-02B0-1552B8CA32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bdoul Ouedraogo" refreshedDate="44862.710141203701" createdVersion="8" refreshedVersion="8" minRefreshableVersion="3" recordCount="17" xr:uid="{83B90331-FB73-4DD0-8832-ED887A7F1D92}">
  <cacheSource type="worksheet">
    <worksheetSource name="Achats"/>
  </cacheSource>
  <cacheFields count="14">
    <cacheField name="Titres" numFmtId="2">
      <sharedItems/>
    </cacheField>
    <cacheField name="Secteur" numFmtId="2">
      <sharedItems count="7">
        <s v="SPU"/>
        <s v="AGR"/>
        <s v="DIS"/>
        <s v="TRP"/>
        <s v="IND"/>
        <s v="FIN"/>
        <s v=" "/>
      </sharedItems>
    </cacheField>
    <cacheField name="SymboleS" numFmtId="2">
      <sharedItems containsBlank="1"/>
    </cacheField>
    <cacheField name="Quantité" numFmtId="165">
      <sharedItems containsString="0" containsBlank="1" containsNumber="1" containsInteger="1" minValue="1000" maxValue="50000"/>
    </cacheField>
    <cacheField name="Prix d'achat" numFmtId="0">
      <sharedItems containsString="0" containsBlank="1" containsNumber="1" containsInteger="1" minValue="1500" maxValue="14600"/>
    </cacheField>
    <cacheField name="VAL BRUTE" numFmtId="165">
      <sharedItems containsSemiMixedTypes="0" containsString="0" containsNumber="1" containsInteger="1" minValue="0" maxValue="450000000"/>
    </cacheField>
    <cacheField name="COM BRVM" numFmtId="165">
      <sharedItems containsSemiMixedTypes="0" containsString="0" containsNumber="1" containsInteger="1" minValue="0" maxValue="1350000"/>
    </cacheField>
    <cacheField name="COM CB" numFmtId="165">
      <sharedItems containsSemiMixedTypes="0" containsString="0" containsNumber="1" containsInteger="1" minValue="0" maxValue="3600000"/>
    </cacheField>
    <cacheField name="TVA" numFmtId="165">
      <sharedItems containsSemiMixedTypes="0" containsString="0" containsNumber="1" minValue="0" maxValue="612000"/>
    </cacheField>
    <cacheField name="Montant net investi" numFmtId="165">
      <sharedItems containsSemiMixedTypes="0" containsString="0" containsNumber="1" minValue="0" maxValue="455562000"/>
    </cacheField>
    <cacheField name="Prix le plus haut sur 3 ans" numFmtId="165">
      <sharedItems containsNonDate="0" containsString="0" containsBlank="1"/>
    </cacheField>
    <cacheField name="Prix le plus bas sur 3 ans" numFmtId="165">
      <sharedItems containsNonDate="0" containsString="0" containsBlank="1"/>
    </cacheField>
    <cacheField name="Div moyen sur 03 ans" numFmtId="165">
      <sharedItems containsMixedTypes="1" containsNumber="1" minValue="0" maxValue="1225"/>
    </cacheField>
    <cacheField name="Montant à percevoir en 2023" numFmtId="165">
      <sharedItems containsMixedTypes="1" containsNumber="1" minValue="0" maxValue="203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s v="Sonatel Sénégal"/>
    <x v="0"/>
    <s v="SNTS"/>
    <n v="10000"/>
    <n v="14600"/>
    <n v="146000000"/>
    <n v="438000"/>
    <n v="1168000"/>
    <n v="198560"/>
    <n v="147804560"/>
    <m/>
    <m/>
    <n v="1225"/>
    <n v="12250000"/>
  </r>
  <r>
    <s v="Palm CI"/>
    <x v="1"/>
    <s v="PALC"/>
    <n v="4000"/>
    <n v="9640"/>
    <n v="38560000"/>
    <n v="115680"/>
    <n v="308480"/>
    <n v="52441.600000000006"/>
    <n v="39036601.600000001"/>
    <m/>
    <m/>
    <n v="102.51"/>
    <n v="410040"/>
  </r>
  <r>
    <s v="Total CI"/>
    <x v="2"/>
    <s v="TTLC"/>
    <n v="6000"/>
    <n v="2345"/>
    <n v="14070000"/>
    <n v="42210"/>
    <n v="112560"/>
    <n v="19135.2"/>
    <n v="14243905.199999999"/>
    <m/>
    <m/>
    <n v="109.31399999999999"/>
    <n v="655884"/>
  </r>
  <r>
    <s v="Tractafric motors CI"/>
    <x v="2"/>
    <s v="PRSC"/>
    <n v="3000"/>
    <n v="3700"/>
    <n v="11100000"/>
    <n v="33300"/>
    <n v="88800"/>
    <n v="15096.000000000002"/>
    <n v="11237196"/>
    <m/>
    <m/>
    <n v="162.9"/>
    <n v="488700"/>
  </r>
  <r>
    <s v="Bolloré trans. &amp; Log. CI"/>
    <x v="3"/>
    <s v="SDSC"/>
    <n v="3000"/>
    <n v="1750"/>
    <n v="5250000"/>
    <n v="15750"/>
    <n v="42000"/>
    <n v="7140.0000000000009"/>
    <n v="5314890"/>
    <m/>
    <m/>
    <n v="100"/>
    <n v="300000"/>
  </r>
  <r>
    <s v="Sogb CI"/>
    <x v="1"/>
    <s v="SOGC"/>
    <n v="5000"/>
    <n v="6150"/>
    <n v="30750000"/>
    <n v="92250"/>
    <n v="246000"/>
    <n v="41820"/>
    <n v="31130070"/>
    <m/>
    <m/>
    <n v="250.00200000000001"/>
    <n v="1250010"/>
  </r>
  <r>
    <s v="Nestle CI"/>
    <x v="4"/>
    <s v="NTLC"/>
    <n v="5000"/>
    <n v="6400"/>
    <n v="32000000"/>
    <n v="96000"/>
    <n v="256000"/>
    <n v="43520"/>
    <n v="32395520"/>
    <m/>
    <m/>
    <n v="363.66399999999999"/>
    <n v="1818320"/>
  </r>
  <r>
    <s v="Onatel BF"/>
    <x v="0"/>
    <s v="ONTBF"/>
    <n v="40000"/>
    <n v="3950"/>
    <n v="158000000"/>
    <n v="474000"/>
    <n v="1264000"/>
    <n v="214880.00000000003"/>
    <n v="159952880"/>
    <m/>
    <m/>
    <n v="399.56349999999998"/>
    <n v="15982539.999999998"/>
  </r>
  <r>
    <s v="Saph CI"/>
    <x v="1"/>
    <s v="SPHC"/>
    <n v="2000"/>
    <n v="5200"/>
    <n v="10400000"/>
    <n v="31200"/>
    <n v="83200"/>
    <n v="14144.000000000002"/>
    <n v="10528544"/>
    <m/>
    <m/>
    <n v="132.30000000000001"/>
    <n v="264600"/>
  </r>
  <r>
    <s v="Total Sénégal"/>
    <x v="2"/>
    <s v="TTLS"/>
    <n v="2000"/>
    <n v="2400"/>
    <n v="4800000"/>
    <n v="14400"/>
    <n v="38400"/>
    <n v="6528.0000000000009"/>
    <n v="4859328"/>
    <m/>
    <m/>
    <n v="223.6"/>
    <n v="447200"/>
  </r>
  <r>
    <s v="Coris bank inter. BF"/>
    <x v="5"/>
    <s v="CBIBF"/>
    <n v="50000"/>
    <n v="9000"/>
    <n v="450000000"/>
    <n v="1350000"/>
    <n v="3600000"/>
    <n v="612000"/>
    <n v="455562000"/>
    <m/>
    <m/>
    <n v="406"/>
    <n v="20300000"/>
  </r>
  <r>
    <s v="Bank of africa mali"/>
    <x v="5"/>
    <s v="BOAM"/>
    <n v="10000"/>
    <n v="1500"/>
    <n v="15000000"/>
    <n v="45000"/>
    <n v="120000"/>
    <n v="20400"/>
    <n v="15185400"/>
    <m/>
    <m/>
    <n v="0"/>
    <n v="0"/>
  </r>
  <r>
    <s v="SIB CI"/>
    <x v="5"/>
    <s v="SIBC"/>
    <n v="5000"/>
    <n v="4700"/>
    <n v="23500000"/>
    <n v="70500"/>
    <n v="188000"/>
    <n v="31960.000000000004"/>
    <n v="23790460"/>
    <m/>
    <m/>
    <n v="360"/>
    <n v="1800000"/>
  </r>
  <r>
    <s v="Nsia banque CI"/>
    <x v="5"/>
    <s v="NSBC"/>
    <n v="5000"/>
    <n v="5000"/>
    <n v="25000000"/>
    <n v="75000"/>
    <n v="200000"/>
    <n v="34000"/>
    <n v="25309000"/>
    <m/>
    <m/>
    <n v="0"/>
    <n v="0"/>
  </r>
  <r>
    <s v="Société générale CI"/>
    <x v="5"/>
    <s v="SGBC"/>
    <n v="1000"/>
    <n v="12500"/>
    <n v="12500000"/>
    <n v="37500"/>
    <n v="100000"/>
    <n v="17000"/>
    <n v="12654500"/>
    <m/>
    <m/>
    <n v="364.5"/>
    <n v="364500"/>
  </r>
  <r>
    <s v=" "/>
    <x v="6"/>
    <m/>
    <m/>
    <m/>
    <n v="0"/>
    <n v="0"/>
    <n v="0"/>
    <n v="0"/>
    <n v="0"/>
    <m/>
    <m/>
    <s v=" "/>
    <s v=" "/>
  </r>
  <r>
    <s v=" "/>
    <x v="6"/>
    <m/>
    <m/>
    <m/>
    <n v="0"/>
    <n v="0"/>
    <n v="0"/>
    <n v="0"/>
    <n v="0"/>
    <m/>
    <m/>
    <s v=" "/>
    <s v="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5D35CD-789D-40CF-9AC9-670C74616626}" name="Achats" cacheId="53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1">
  <location ref="M28:O35" firstHeaderRow="0" firstDataRow="1" firstDataCol="1"/>
  <pivotFields count="14">
    <pivotField dataField="1" showAll="0"/>
    <pivotField axis="axisRow" showAll="0">
      <items count="8">
        <item h="1" x="6"/>
        <item x="1"/>
        <item x="2"/>
        <item x="5"/>
        <item x="4"/>
        <item x="0"/>
        <item x="3"/>
        <item t="default"/>
      </items>
    </pivotField>
    <pivotField showAll="0"/>
    <pivotField showAll="0"/>
    <pivotField showAll="0"/>
    <pivotField numFmtId="165" showAll="0"/>
    <pivotField numFmtId="165" showAll="0"/>
    <pivotField numFmtId="165" showAll="0"/>
    <pivotField numFmtId="165" showAll="0"/>
    <pivotField dataField="1" numFmtId="165" showAll="0"/>
    <pivotField showAll="0"/>
    <pivotField showAll="0"/>
    <pivotField showAll="0"/>
    <pivotField showAll="0"/>
  </pivotFields>
  <rowFields count="1">
    <field x="1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net investi" fld="9" baseField="0" baseItem="0" numFmtId="168"/>
    <dataField name="Nombre de Titres" fld="0" subtotal="count" baseField="0" baseItem="0"/>
  </dataFields>
  <formats count="7">
    <format dxfId="41">
      <pivotArea type="all" dataOnly="0" outline="0" fieldPosition="0"/>
    </format>
    <format dxfId="40">
      <pivotArea outline="0" collapsedLevelsAreSubtotals="1" fieldPosition="0"/>
    </format>
    <format dxfId="39">
      <pivotArea field="1" type="button" dataOnly="0" labelOnly="1" outline="0" axis="axisRow" fieldPosition="0"/>
    </format>
    <format dxfId="38">
      <pivotArea dataOnly="0" labelOnly="1" fieldPosition="0">
        <references count="1">
          <reference field="1" count="0"/>
        </references>
      </pivotArea>
    </format>
    <format dxfId="37">
      <pivotArea dataOnly="0" labelOnly="1" grandRow="1" outline="0" fieldPosition="0"/>
    </format>
    <format dxfId="3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</formats>
  <chartFormats count="2">
    <chartFormat chart="1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FA932B-D45E-45D3-9F71-5714FDF32B97}" name="Achats" displayName="Achats" ref="B7:O25" totalsRowCount="1" headerRowDxfId="44" dataDxfId="42" totalsRowDxfId="43" tableBorderDxfId="45" headerRowCellStyle="Vérification">
  <autoFilter ref="B7:O24" xr:uid="{CEFA932B-D45E-45D3-9F71-5714FDF32B97}"/>
  <tableColumns count="14">
    <tableColumn id="1" xr3:uid="{529899AA-53C7-4277-AD7D-336BE805AF38}" name="Titres" totalsRowLabel="Total" dataDxfId="34" totalsRowDxfId="13">
      <calculatedColumnFormula>IFERROR(VLOOKUP(D8,Feuil2!$B$5:$C$56,2,0)," ")</calculatedColumnFormula>
    </tableColumn>
    <tableColumn id="2" xr3:uid="{72376BCD-D2D7-4845-ADE9-2769A104B192}" name="Secteur" totalsRowFunction="sum" dataDxfId="33" totalsRowDxfId="12">
      <calculatedColumnFormula>IFERROR(VLOOKUP(D8,Feuil2!$B$5:$H$56,3,0)," ")</calculatedColumnFormula>
    </tableColumn>
    <tableColumn id="3" xr3:uid="{29758B07-421D-4B9A-B888-0E778D2ED267}" name="Symboles" totalsRowFunction="sum" dataDxfId="32" totalsRowDxfId="11"/>
    <tableColumn id="4" xr3:uid="{B4635B6E-98BE-4711-AEC0-5FEB9525B58B}" name="Quantité" totalsRowFunction="sum" dataDxfId="31" totalsRowDxfId="10"/>
    <tableColumn id="5" xr3:uid="{2150E746-5A34-45D9-B70C-9D0504DA5DBC}" name="Prix d'achat" totalsRowFunction="sum" dataDxfId="30" totalsRowDxfId="9" dataCellStyle="Milliers"/>
    <tableColumn id="6" xr3:uid="{BC4AF587-2B53-41C5-A6D4-C0CC810E9026}" name="VAL BRUTE" totalsRowFunction="sum" dataDxfId="29" totalsRowDxfId="8" dataCellStyle="Milliers">
      <calculatedColumnFormula>+E8*F8</calculatedColumnFormula>
    </tableColumn>
    <tableColumn id="7" xr3:uid="{0888CDEF-203E-4DE1-B01A-D0F7302B5060}" name="COM BRVM" totalsRowFunction="sum" dataDxfId="28" totalsRowDxfId="7" dataCellStyle="Milliers">
      <calculatedColumnFormula>+G8*0.3%</calculatedColumnFormula>
    </tableColumn>
    <tableColumn id="8" xr3:uid="{0DDAA244-A600-4BB7-83B9-D8869082192A}" name="COM CB" totalsRowFunction="sum" dataDxfId="27" totalsRowDxfId="6" dataCellStyle="Milliers">
      <calculatedColumnFormula>+G8*0.8%</calculatedColumnFormula>
    </tableColumn>
    <tableColumn id="9" xr3:uid="{9DBF4C32-F92B-4931-AE6F-7C7865601BA0}" name="TVA" totalsRowFunction="sum" dataDxfId="26" totalsRowDxfId="5" dataCellStyle="Milliers">
      <calculatedColumnFormula>+I8*17%</calculatedColumnFormula>
    </tableColumn>
    <tableColumn id="10" xr3:uid="{9D5E3F27-4AF4-4B5B-A44D-1118EF4DCA20}" name="Montant net investi" totalsRowFunction="sum" dataDxfId="25" totalsRowDxfId="4" dataCellStyle="Milliers">
      <calculatedColumnFormula>+G8+H8+I8+J8</calculatedColumnFormula>
    </tableColumn>
    <tableColumn id="14" xr3:uid="{97873F02-18CC-4DD6-AB68-67C1A301A30D}" name="Prix le plus haut sur 3 ans" dataDxfId="24" totalsRowDxfId="3" dataCellStyle="Milliers"/>
    <tableColumn id="13" xr3:uid="{FD4F2649-E05B-4659-A6FC-BB81249FBD02}" name="Prix le plus bas sur 3 ans" dataDxfId="23" totalsRowDxfId="2" dataCellStyle="Milliers"/>
    <tableColumn id="11" xr3:uid="{2A004A7D-AAD7-4D8A-AEDC-0C95B77BB9FC}" name="Div moyen sur 03 ans" totalsRowFunction="sum" dataDxfId="22" totalsRowDxfId="1" dataCellStyle="Milliers">
      <calculatedColumnFormula>IFERROR(VLOOKUP(D8,Feuil2!$B$5:$H$56,5,0)," ")</calculatedColumnFormula>
    </tableColumn>
    <tableColumn id="12" xr3:uid="{C8D1066C-AB7C-473A-94D9-3E47E5F6A589}" name="Montant à percevoir en 2023" totalsRowFunction="sum" dataDxfId="21" totalsRowDxfId="0" dataCellStyle="Milliers">
      <calculatedColumnFormula>IFERROR(E8*N8," 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75B02-C19D-44B4-B9F9-B3A9D1D0337A}">
  <sheetPr codeName="Feuil2"/>
  <dimension ref="B2:U45"/>
  <sheetViews>
    <sheetView showGridLines="0" tabSelected="1" topLeftCell="A13" zoomScaleNormal="100" workbookViewId="0">
      <selection activeCell="N43" sqref="N43"/>
    </sheetView>
  </sheetViews>
  <sheetFormatPr baseColWidth="10" defaultRowHeight="15" x14ac:dyDescent="0.25"/>
  <cols>
    <col min="1" max="1" width="6.28515625" style="21" customWidth="1"/>
    <col min="2" max="2" width="21" style="21" bestFit="1" customWidth="1"/>
    <col min="3" max="3" width="13" style="21" hidden="1" customWidth="1"/>
    <col min="4" max="4" width="11" style="21" bestFit="1" customWidth="1"/>
    <col min="5" max="5" width="16.85546875" style="21" customWidth="1"/>
    <col min="6" max="6" width="13.28515625" style="21" customWidth="1"/>
    <col min="7" max="7" width="24.28515625" style="21" hidden="1" customWidth="1"/>
    <col min="8" max="8" width="17.85546875" style="21" hidden="1" customWidth="1"/>
    <col min="9" max="9" width="23.28515625" style="21" hidden="1" customWidth="1"/>
    <col min="10" max="10" width="19" style="21" hidden="1" customWidth="1"/>
    <col min="11" max="11" width="21.28515625" style="21" customWidth="1"/>
    <col min="12" max="12" width="17.5703125" style="21" customWidth="1"/>
    <col min="13" max="13" width="23.28515625" style="21" bestFit="1" customWidth="1"/>
    <col min="14" max="14" width="32.42578125" style="21" bestFit="1" customWidth="1"/>
    <col min="15" max="15" width="18.85546875" style="21" bestFit="1" customWidth="1"/>
    <col min="16" max="16" width="12.5703125" style="21" bestFit="1" customWidth="1"/>
    <col min="17" max="17" width="21" style="21" bestFit="1" customWidth="1"/>
    <col min="18" max="18" width="16.28515625" style="21" bestFit="1" customWidth="1"/>
    <col min="19" max="19" width="24.42578125" style="21" bestFit="1" customWidth="1"/>
    <col min="20" max="16384" width="11.42578125" style="21"/>
  </cols>
  <sheetData>
    <row r="2" spans="2:21" x14ac:dyDescent="0.25">
      <c r="K2" s="22" t="s">
        <v>6</v>
      </c>
      <c r="L2" s="23">
        <v>1000000000</v>
      </c>
    </row>
    <row r="3" spans="2:21" x14ac:dyDescent="0.25">
      <c r="K3" s="22" t="s">
        <v>7</v>
      </c>
      <c r="L3" s="23">
        <f>+Achats[[#Totals],[Montant net investi]]</f>
        <v>1001963062.8</v>
      </c>
    </row>
    <row r="4" spans="2:21" x14ac:dyDescent="0.25">
      <c r="K4" s="22" t="s">
        <v>8</v>
      </c>
      <c r="L4" s="23">
        <f>L2-L3</f>
        <v>-1963062.7999999523</v>
      </c>
    </row>
    <row r="6" spans="2:21" ht="18.75" customHeight="1" x14ac:dyDescent="0.25">
      <c r="B6" s="24" t="s">
        <v>132</v>
      </c>
      <c r="C6" s="24"/>
      <c r="D6" s="24"/>
      <c r="E6" s="24"/>
      <c r="F6" s="24"/>
      <c r="G6" s="24"/>
      <c r="H6" s="24"/>
      <c r="I6" s="24"/>
      <c r="J6" s="24"/>
      <c r="K6" s="24"/>
      <c r="L6" s="25"/>
      <c r="M6" s="26"/>
      <c r="N6" s="24" t="s">
        <v>11</v>
      </c>
      <c r="O6" s="24"/>
    </row>
    <row r="7" spans="2:21" ht="47.25" customHeight="1" x14ac:dyDescent="0.25">
      <c r="B7" s="27" t="s">
        <v>136</v>
      </c>
      <c r="C7" s="28" t="s">
        <v>74</v>
      </c>
      <c r="D7" s="28" t="s">
        <v>138</v>
      </c>
      <c r="E7" s="29" t="s">
        <v>130</v>
      </c>
      <c r="F7" s="30" t="s">
        <v>131</v>
      </c>
      <c r="G7" s="30" t="s">
        <v>0</v>
      </c>
      <c r="H7" s="30" t="s">
        <v>1</v>
      </c>
      <c r="I7" s="30" t="s">
        <v>2</v>
      </c>
      <c r="J7" s="30" t="s">
        <v>3</v>
      </c>
      <c r="K7" s="31" t="s">
        <v>133</v>
      </c>
      <c r="L7" s="31" t="s">
        <v>129</v>
      </c>
      <c r="M7" s="31" t="s">
        <v>135</v>
      </c>
      <c r="N7" s="31" t="s">
        <v>9</v>
      </c>
      <c r="O7" s="32" t="s">
        <v>10</v>
      </c>
    </row>
    <row r="8" spans="2:21" x14ac:dyDescent="0.25">
      <c r="B8" s="33" t="str">
        <f>IFERROR(VLOOKUP(D8,Feuil2!$B$5:$C$56,2,0)," ")</f>
        <v>Sonatel Sénégal</v>
      </c>
      <c r="C8" s="34" t="str">
        <f>IFERROR(VLOOKUP(D8,Feuil2!$B$5:$H$56,3,0)," ")</f>
        <v>SPU</v>
      </c>
      <c r="D8" s="34" t="s">
        <v>61</v>
      </c>
      <c r="E8" s="35">
        <v>10000</v>
      </c>
      <c r="F8" s="36">
        <v>14600</v>
      </c>
      <c r="G8" s="37">
        <f>+E8*F8</f>
        <v>146000000</v>
      </c>
      <c r="H8" s="37">
        <f>+G8*0.3%</f>
        <v>438000</v>
      </c>
      <c r="I8" s="37">
        <f>+G8*0.8%</f>
        <v>1168000</v>
      </c>
      <c r="J8" s="37">
        <f>+I8*17%</f>
        <v>198560</v>
      </c>
      <c r="K8" s="37">
        <f>+G8+H8+I8+J8</f>
        <v>147804560</v>
      </c>
      <c r="L8" s="37"/>
      <c r="M8" s="37"/>
      <c r="N8" s="37">
        <f>IFERROR(VLOOKUP(D8,Feuil2!$B$5:$H$56,5,0)," ")</f>
        <v>1225</v>
      </c>
      <c r="O8" s="38">
        <f>IFERROR(E8*N8," ")</f>
        <v>12250000</v>
      </c>
    </row>
    <row r="9" spans="2:21" x14ac:dyDescent="0.25">
      <c r="B9" s="33" t="str">
        <f>IFERROR(VLOOKUP(D9,Feuil2!$B$5:$C$56,2,0)," ")</f>
        <v>Palm CI</v>
      </c>
      <c r="C9" s="34" t="str">
        <f>IFERROR(VLOOKUP(D9,Feuil2!$B$5:$H$56,3,0)," ")</f>
        <v>AGR</v>
      </c>
      <c r="D9" s="34" t="s">
        <v>15</v>
      </c>
      <c r="E9" s="35">
        <v>4000</v>
      </c>
      <c r="F9" s="40">
        <v>9640</v>
      </c>
      <c r="G9" s="37">
        <f>+E9*F9</f>
        <v>38560000</v>
      </c>
      <c r="H9" s="37">
        <f>+G9*0.3%</f>
        <v>115680</v>
      </c>
      <c r="I9" s="37">
        <f>+G9*0.8%</f>
        <v>308480</v>
      </c>
      <c r="J9" s="37">
        <f>+I9*17%</f>
        <v>52441.600000000006</v>
      </c>
      <c r="K9" s="37">
        <f>+G9+H9+I9+J9</f>
        <v>39036601.600000001</v>
      </c>
      <c r="L9" s="37"/>
      <c r="M9" s="37"/>
      <c r="N9" s="37">
        <f>IFERROR(VLOOKUP(D9,Feuil2!$B$5:$H$56,5,0)," ")</f>
        <v>102.51</v>
      </c>
      <c r="O9" s="38">
        <f t="shared" ref="O9:O17" si="0">IFERROR(E9*N9," ")</f>
        <v>410040</v>
      </c>
      <c r="U9" s="42" t="e">
        <f>O29/$O$36</f>
        <v>#DIV/0!</v>
      </c>
    </row>
    <row r="10" spans="2:21" x14ac:dyDescent="0.25">
      <c r="B10" s="33" t="str">
        <f>IFERROR(VLOOKUP(D10,Feuil2!$B$5:$C$56,2,0)," ")</f>
        <v>Total CI</v>
      </c>
      <c r="C10" s="34" t="str">
        <f>IFERROR(VLOOKUP(D10,Feuil2!$B$5:$H$56,3,0)," ")</f>
        <v>DIS</v>
      </c>
      <c r="D10" s="34" t="s">
        <v>28</v>
      </c>
      <c r="E10" s="43">
        <v>6000</v>
      </c>
      <c r="F10" s="36">
        <v>2345</v>
      </c>
      <c r="G10" s="37">
        <f>+E10*F10</f>
        <v>14070000</v>
      </c>
      <c r="H10" s="37">
        <f>+G10*0.3%</f>
        <v>42210</v>
      </c>
      <c r="I10" s="37">
        <f>+G10*0.8%</f>
        <v>112560</v>
      </c>
      <c r="J10" s="37">
        <f t="shared" ref="J10:J17" si="1">+I10*17%</f>
        <v>19135.2</v>
      </c>
      <c r="K10" s="37">
        <f t="shared" ref="K10:K17" si="2">+G10+H10+I10+J10</f>
        <v>14243905.199999999</v>
      </c>
      <c r="L10" s="37"/>
      <c r="M10" s="37"/>
      <c r="N10" s="37">
        <f>IFERROR(VLOOKUP(D10,Feuil2!$B$5:$H$56,5,0)," ")</f>
        <v>109.31399999999999</v>
      </c>
      <c r="O10" s="38">
        <f t="shared" si="0"/>
        <v>655884</v>
      </c>
      <c r="U10" s="42" t="e">
        <f>O30/$O$36</f>
        <v>#DIV/0!</v>
      </c>
    </row>
    <row r="11" spans="2:21" x14ac:dyDescent="0.25">
      <c r="B11" s="33" t="str">
        <f>IFERROR(VLOOKUP(D11,Feuil2!$B$5:$C$56,2,0)," ")</f>
        <v>Tractafric motors CI</v>
      </c>
      <c r="C11" s="34" t="str">
        <f>IFERROR(VLOOKUP(D11,Feuil2!$B$5:$H$56,3,0)," ")</f>
        <v>DIS</v>
      </c>
      <c r="D11" s="34" t="s">
        <v>26</v>
      </c>
      <c r="E11" s="43">
        <v>3000</v>
      </c>
      <c r="F11" s="44">
        <v>3700</v>
      </c>
      <c r="G11" s="37">
        <f>+E11*F11</f>
        <v>11100000</v>
      </c>
      <c r="H11" s="37">
        <f>+G11*0.3%</f>
        <v>33300</v>
      </c>
      <c r="I11" s="37">
        <f>+G11*0.8%</f>
        <v>88800</v>
      </c>
      <c r="J11" s="37">
        <f t="shared" si="1"/>
        <v>15096.000000000002</v>
      </c>
      <c r="K11" s="37">
        <f t="shared" si="2"/>
        <v>11237196</v>
      </c>
      <c r="L11" s="37"/>
      <c r="M11" s="37"/>
      <c r="N11" s="37">
        <f>IFERROR(VLOOKUP(D11,Feuil2!$B$5:$H$56,5,0)," ")</f>
        <v>162.9</v>
      </c>
      <c r="O11" s="38">
        <f t="shared" si="0"/>
        <v>488700</v>
      </c>
      <c r="U11" s="42" t="e">
        <f>O31/$O$36</f>
        <v>#DIV/0!</v>
      </c>
    </row>
    <row r="12" spans="2:21" x14ac:dyDescent="0.25">
      <c r="B12" s="33" t="str">
        <f>IFERROR(VLOOKUP(D12,Feuil2!$B$5:$C$56,2,0)," ")</f>
        <v>Bolloré trans. &amp; Log. CI</v>
      </c>
      <c r="C12" s="34" t="str">
        <f>IFERROR(VLOOKUP(D12,Feuil2!$B$5:$H$56,3,0)," ")</f>
        <v>TRP</v>
      </c>
      <c r="D12" s="34" t="s">
        <v>63</v>
      </c>
      <c r="E12" s="43">
        <v>3000</v>
      </c>
      <c r="F12" s="44">
        <v>1750</v>
      </c>
      <c r="G12" s="37">
        <f t="shared" ref="G12:G17" si="3">+E12*F12</f>
        <v>5250000</v>
      </c>
      <c r="H12" s="37">
        <f t="shared" ref="H12:H17" si="4">+G12*0.3%</f>
        <v>15750</v>
      </c>
      <c r="I12" s="37">
        <f t="shared" ref="I12:I17" si="5">+G12*0.8%</f>
        <v>42000</v>
      </c>
      <c r="J12" s="37">
        <f t="shared" si="1"/>
        <v>7140.0000000000009</v>
      </c>
      <c r="K12" s="37">
        <f t="shared" si="2"/>
        <v>5314890</v>
      </c>
      <c r="L12" s="37"/>
      <c r="M12" s="37"/>
      <c r="N12" s="37">
        <f>IFERROR(VLOOKUP(D12,Feuil2!$B$5:$H$56,5,0)," ")</f>
        <v>100</v>
      </c>
      <c r="O12" s="38">
        <f t="shared" si="0"/>
        <v>300000</v>
      </c>
      <c r="U12" s="42" t="e">
        <f>O32/$O$36</f>
        <v>#DIV/0!</v>
      </c>
    </row>
    <row r="13" spans="2:21" x14ac:dyDescent="0.25">
      <c r="B13" s="33" t="str">
        <f>IFERROR(VLOOKUP(D13,Feuil2!$B$5:$C$56,2,0)," ")</f>
        <v>Sogb CI</v>
      </c>
      <c r="C13" s="34" t="str">
        <f>IFERROR(VLOOKUP(D13,Feuil2!$B$5:$H$56,3,0)," ")</f>
        <v>AGR</v>
      </c>
      <c r="D13" s="34" t="s">
        <v>18</v>
      </c>
      <c r="E13" s="43">
        <v>5000</v>
      </c>
      <c r="F13" s="44">
        <v>6150</v>
      </c>
      <c r="G13" s="37">
        <f t="shared" si="3"/>
        <v>30750000</v>
      </c>
      <c r="H13" s="37">
        <f t="shared" si="4"/>
        <v>92250</v>
      </c>
      <c r="I13" s="37">
        <f t="shared" si="5"/>
        <v>246000</v>
      </c>
      <c r="J13" s="37">
        <f t="shared" si="1"/>
        <v>41820</v>
      </c>
      <c r="K13" s="37">
        <f t="shared" si="2"/>
        <v>31130070</v>
      </c>
      <c r="L13" s="37"/>
      <c r="M13" s="37"/>
      <c r="N13" s="37">
        <f>IFERROR(VLOOKUP(D13,Feuil2!$B$5:$H$56,5,0)," ")</f>
        <v>250.00200000000001</v>
      </c>
      <c r="O13" s="38">
        <f t="shared" si="0"/>
        <v>1250010</v>
      </c>
      <c r="U13" s="42" t="e">
        <f>O33/$O$36</f>
        <v>#DIV/0!</v>
      </c>
    </row>
    <row r="14" spans="2:21" x14ac:dyDescent="0.25">
      <c r="B14" s="33" t="str">
        <f>IFERROR(VLOOKUP(D14,Feuil2!$B$5:$C$56,2,0)," ")</f>
        <v>Nestle CI</v>
      </c>
      <c r="C14" s="34" t="str">
        <f>IFERROR(VLOOKUP(D14,Feuil2!$B$5:$H$56,3,0)," ")</f>
        <v>IND</v>
      </c>
      <c r="D14" s="34" t="s">
        <v>49</v>
      </c>
      <c r="E14" s="43">
        <v>7000</v>
      </c>
      <c r="F14" s="44">
        <v>6400</v>
      </c>
      <c r="G14" s="37">
        <f t="shared" si="3"/>
        <v>44800000</v>
      </c>
      <c r="H14" s="37">
        <f t="shared" si="4"/>
        <v>134400</v>
      </c>
      <c r="I14" s="37">
        <f t="shared" si="5"/>
        <v>358400</v>
      </c>
      <c r="J14" s="37">
        <f t="shared" si="1"/>
        <v>60928.000000000007</v>
      </c>
      <c r="K14" s="37">
        <f t="shared" si="2"/>
        <v>45353728</v>
      </c>
      <c r="L14" s="37"/>
      <c r="M14" s="37"/>
      <c r="N14" s="37">
        <f>IFERROR(VLOOKUP(D14,Feuil2!$B$5:$H$56,5,0)," ")</f>
        <v>363.66399999999999</v>
      </c>
      <c r="O14" s="38">
        <f t="shared" si="0"/>
        <v>2545648</v>
      </c>
      <c r="U14" s="42" t="e">
        <f>O34/$O$36</f>
        <v>#DIV/0!</v>
      </c>
    </row>
    <row r="15" spans="2:21" x14ac:dyDescent="0.25">
      <c r="B15" s="33" t="str">
        <f>IFERROR(VLOOKUP(D15,Feuil2!$B$5:$C$56,2,0)," ")</f>
        <v>Onatel BF</v>
      </c>
      <c r="C15" s="34" t="str">
        <f>IFERROR(VLOOKUP(D15,Feuil2!$B$5:$H$56,3,0)," ")</f>
        <v>SPU</v>
      </c>
      <c r="D15" s="45" t="s">
        <v>59</v>
      </c>
      <c r="E15" s="35">
        <v>40000</v>
      </c>
      <c r="F15" s="46">
        <v>3950</v>
      </c>
      <c r="G15" s="47">
        <f t="shared" si="3"/>
        <v>158000000</v>
      </c>
      <c r="H15" s="47">
        <f t="shared" si="4"/>
        <v>474000</v>
      </c>
      <c r="I15" s="47">
        <f t="shared" si="5"/>
        <v>1264000</v>
      </c>
      <c r="J15" s="37">
        <f t="shared" si="1"/>
        <v>214880.00000000003</v>
      </c>
      <c r="K15" s="47">
        <f t="shared" si="2"/>
        <v>159952880</v>
      </c>
      <c r="L15" s="47"/>
      <c r="M15" s="47"/>
      <c r="N15" s="37">
        <f>IFERROR(VLOOKUP(D15,Feuil2!$B$5:$H$56,5,0)," ")</f>
        <v>399.56349999999998</v>
      </c>
      <c r="O15" s="38">
        <f t="shared" si="0"/>
        <v>15982539.999999998</v>
      </c>
      <c r="U15" s="42" t="e">
        <f>O35/$O$36</f>
        <v>#DIV/0!</v>
      </c>
    </row>
    <row r="16" spans="2:21" x14ac:dyDescent="0.25">
      <c r="B16" s="33" t="str">
        <f>IFERROR(VLOOKUP(D16,Feuil2!$B$5:$C$56,2,0)," ")</f>
        <v>Saph CI</v>
      </c>
      <c r="C16" s="34" t="str">
        <f>IFERROR(VLOOKUP(D16,Feuil2!$B$5:$H$56,3,0)," ")</f>
        <v>AGR</v>
      </c>
      <c r="D16" s="45" t="s">
        <v>19</v>
      </c>
      <c r="E16" s="35">
        <v>2000</v>
      </c>
      <c r="F16" s="46">
        <v>5200</v>
      </c>
      <c r="G16" s="47">
        <f t="shared" si="3"/>
        <v>10400000</v>
      </c>
      <c r="H16" s="47">
        <f t="shared" si="4"/>
        <v>31200</v>
      </c>
      <c r="I16" s="47">
        <f t="shared" si="5"/>
        <v>83200</v>
      </c>
      <c r="J16" s="37">
        <f t="shared" si="1"/>
        <v>14144.000000000002</v>
      </c>
      <c r="K16" s="47">
        <f t="shared" si="2"/>
        <v>10528544</v>
      </c>
      <c r="L16" s="47"/>
      <c r="M16" s="47"/>
      <c r="N16" s="37">
        <f>IFERROR(VLOOKUP(D16,Feuil2!$B$5:$H$56,5,0)," ")</f>
        <v>132.30000000000001</v>
      </c>
      <c r="O16" s="38">
        <f t="shared" si="0"/>
        <v>264600</v>
      </c>
    </row>
    <row r="17" spans="2:17" x14ac:dyDescent="0.25">
      <c r="B17" s="33" t="str">
        <f>IFERROR(VLOOKUP(D17,Feuil2!$B$5:$C$56,2,0)," ")</f>
        <v>Total Sénégal</v>
      </c>
      <c r="C17" s="34" t="str">
        <f>IFERROR(VLOOKUP(D17,Feuil2!$B$5:$H$56,3,0)," ")</f>
        <v>DIS</v>
      </c>
      <c r="D17" s="45" t="s">
        <v>29</v>
      </c>
      <c r="E17" s="43">
        <v>2000</v>
      </c>
      <c r="F17" s="46">
        <v>2400</v>
      </c>
      <c r="G17" s="47">
        <f t="shared" si="3"/>
        <v>4800000</v>
      </c>
      <c r="H17" s="47">
        <f t="shared" si="4"/>
        <v>14400</v>
      </c>
      <c r="I17" s="47">
        <f t="shared" si="5"/>
        <v>38400</v>
      </c>
      <c r="J17" s="37">
        <f t="shared" si="1"/>
        <v>6528.0000000000009</v>
      </c>
      <c r="K17" s="47">
        <f t="shared" si="2"/>
        <v>4859328</v>
      </c>
      <c r="L17" s="47"/>
      <c r="M17" s="47"/>
      <c r="N17" s="37">
        <f>IFERROR(VLOOKUP(D17,Feuil2!$B$5:$H$56,5,0)," ")</f>
        <v>223.6</v>
      </c>
      <c r="O17" s="38">
        <f t="shared" si="0"/>
        <v>447200</v>
      </c>
    </row>
    <row r="18" spans="2:17" x14ac:dyDescent="0.25">
      <c r="B18" s="33" t="str">
        <f>IFERROR(VLOOKUP(D18,Feuil2!$B$5:$C$56,2,0)," ")</f>
        <v>Coris bank inter. BF</v>
      </c>
      <c r="C18" s="34" t="str">
        <f>IFERROR(VLOOKUP(D18,Feuil2!$B$5:$H$56,3,0)," ")</f>
        <v>FIN</v>
      </c>
      <c r="D18" s="45" t="s">
        <v>38</v>
      </c>
      <c r="E18" s="48">
        <v>50000</v>
      </c>
      <c r="F18" s="46">
        <v>9000</v>
      </c>
      <c r="G18" s="47">
        <f t="shared" ref="G18" si="6">+E18*F18</f>
        <v>450000000</v>
      </c>
      <c r="H18" s="47">
        <f t="shared" ref="H18" si="7">+G18*0.3%</f>
        <v>1350000</v>
      </c>
      <c r="I18" s="47">
        <f t="shared" ref="I18" si="8">+G18*0.8%</f>
        <v>3600000</v>
      </c>
      <c r="J18" s="37">
        <f t="shared" ref="J18" si="9">+I18*17%</f>
        <v>612000</v>
      </c>
      <c r="K18" s="47">
        <f t="shared" ref="K18" si="10">+G18+H18+I18+J18</f>
        <v>455562000</v>
      </c>
      <c r="L18" s="47"/>
      <c r="M18" s="47"/>
      <c r="N18" s="37">
        <f>IFERROR(VLOOKUP(D18,Feuil2!$B$5:$H$56,5,0)," ")</f>
        <v>406</v>
      </c>
      <c r="O18" s="38">
        <f t="shared" ref="O18" si="11">IFERROR(E18*N18," ")</f>
        <v>20300000</v>
      </c>
    </row>
    <row r="19" spans="2:17" x14ac:dyDescent="0.25">
      <c r="B19" s="33" t="str">
        <f>IFERROR(VLOOKUP(D19,Feuil2!$B$5:$C$56,2,0)," ")</f>
        <v>Bank of africa mali</v>
      </c>
      <c r="C19" s="34" t="str">
        <f>IFERROR(VLOOKUP(D19,Feuil2!$B$5:$H$56,3,0)," ")</f>
        <v>FIN</v>
      </c>
      <c r="D19" s="45" t="s">
        <v>35</v>
      </c>
      <c r="E19" s="48">
        <v>10000</v>
      </c>
      <c r="F19" s="46">
        <v>1500</v>
      </c>
      <c r="G19" s="47">
        <f>+E19*F19</f>
        <v>15000000</v>
      </c>
      <c r="H19" s="47">
        <f>+G19*0.3%</f>
        <v>45000</v>
      </c>
      <c r="I19" s="47">
        <f>+G19*0.8%</f>
        <v>120000</v>
      </c>
      <c r="J19" s="37">
        <f>+I19*17%</f>
        <v>20400</v>
      </c>
      <c r="K19" s="47">
        <f>+G19+H19+I19+J19</f>
        <v>15185400</v>
      </c>
      <c r="L19" s="47"/>
      <c r="M19" s="47"/>
      <c r="N19" s="37">
        <f>IFERROR(VLOOKUP(D19,Feuil2!$B$5:$H$56,5,0)," ")</f>
        <v>0</v>
      </c>
      <c r="O19" s="38">
        <f>IFERROR(E19*N19," ")</f>
        <v>0</v>
      </c>
    </row>
    <row r="20" spans="2:17" x14ac:dyDescent="0.25">
      <c r="B20" s="33" t="str">
        <f>IFERROR(VLOOKUP(D20,Feuil2!$B$5:$C$56,2,0)," ")</f>
        <v>SIB CI</v>
      </c>
      <c r="C20" s="34" t="str">
        <f>IFERROR(VLOOKUP(D20,Feuil2!$B$5:$H$56,3,0)," ")</f>
        <v>FIN</v>
      </c>
      <c r="D20" s="45" t="s">
        <v>44</v>
      </c>
      <c r="E20" s="53">
        <v>5000</v>
      </c>
      <c r="F20" s="46">
        <v>4700</v>
      </c>
      <c r="G20" s="47">
        <f>+E20*F20</f>
        <v>23500000</v>
      </c>
      <c r="H20" s="47">
        <f>+G20*0.3%</f>
        <v>70500</v>
      </c>
      <c r="I20" s="47">
        <f>+G20*0.8%</f>
        <v>188000</v>
      </c>
      <c r="J20" s="37">
        <f>+I20*17%</f>
        <v>31960.000000000004</v>
      </c>
      <c r="K20" s="47">
        <f>+G20+H20+I20+J20</f>
        <v>23790460</v>
      </c>
      <c r="L20" s="47"/>
      <c r="M20" s="47"/>
      <c r="N20" s="37">
        <f>IFERROR(VLOOKUP(D20,Feuil2!$B$5:$H$56,5,0)," ")</f>
        <v>360</v>
      </c>
      <c r="O20" s="38">
        <f>IFERROR(E20*N20," ")</f>
        <v>1800000</v>
      </c>
    </row>
    <row r="21" spans="2:17" x14ac:dyDescent="0.25">
      <c r="B21" s="33" t="str">
        <f>IFERROR(VLOOKUP(D21,Feuil2!$B$5:$C$56,2,0)," ")</f>
        <v>Nsia banque CI</v>
      </c>
      <c r="C21" s="34" t="str">
        <f>IFERROR(VLOOKUP(D21,Feuil2!$B$5:$H$56,3,0)," ")</f>
        <v>FIN</v>
      </c>
      <c r="D21" s="45" t="s">
        <v>4</v>
      </c>
      <c r="E21" s="53">
        <v>5000</v>
      </c>
      <c r="F21" s="46">
        <v>5000</v>
      </c>
      <c r="G21" s="47">
        <f>+E21*F21</f>
        <v>25000000</v>
      </c>
      <c r="H21" s="47">
        <f>+G21*0.3%</f>
        <v>75000</v>
      </c>
      <c r="I21" s="47">
        <f>+G21*0.8%</f>
        <v>200000</v>
      </c>
      <c r="J21" s="37">
        <f>+I21*17%</f>
        <v>34000</v>
      </c>
      <c r="K21" s="47">
        <f>+G21+H21+I21+J21</f>
        <v>25309000</v>
      </c>
      <c r="L21" s="47"/>
      <c r="M21" s="47"/>
      <c r="N21" s="37">
        <f>IFERROR(VLOOKUP(D21,Feuil2!$B$5:$H$56,5,0)," ")</f>
        <v>0</v>
      </c>
      <c r="O21" s="38">
        <f>IFERROR(E21*N21," ")</f>
        <v>0</v>
      </c>
    </row>
    <row r="22" spans="2:17" x14ac:dyDescent="0.25">
      <c r="B22" s="33" t="str">
        <f>IFERROR(VLOOKUP(D22,Feuil2!$B$5:$C$56,2,0)," ")</f>
        <v>Société générale CI</v>
      </c>
      <c r="C22" s="34" t="str">
        <f>IFERROR(VLOOKUP(D22,Feuil2!$B$5:$H$56,3,0)," ")</f>
        <v>FIN</v>
      </c>
      <c r="D22" s="45" t="s">
        <v>43</v>
      </c>
      <c r="E22" s="53">
        <v>1000</v>
      </c>
      <c r="F22" s="46">
        <v>12500</v>
      </c>
      <c r="G22" s="47">
        <f>+E22*F22</f>
        <v>12500000</v>
      </c>
      <c r="H22" s="47">
        <f>+G22*0.3%</f>
        <v>37500</v>
      </c>
      <c r="I22" s="47">
        <f>+G22*0.8%</f>
        <v>100000</v>
      </c>
      <c r="J22" s="37">
        <f>+I22*17%</f>
        <v>17000</v>
      </c>
      <c r="K22" s="47">
        <f>+G22+H22+I22+J22</f>
        <v>12654500</v>
      </c>
      <c r="L22" s="47"/>
      <c r="M22" s="47"/>
      <c r="N22" s="37">
        <f>IFERROR(VLOOKUP(D22,Feuil2!$B$5:$H$56,5,0)," ")</f>
        <v>364.5</v>
      </c>
      <c r="O22" s="38">
        <f>IFERROR(E22*N22," ")</f>
        <v>364500</v>
      </c>
    </row>
    <row r="23" spans="2:17" x14ac:dyDescent="0.25">
      <c r="B23" s="33" t="str">
        <f>IFERROR(VLOOKUP(D23,Feuil2!$B$5:$C$56,2,0)," ")</f>
        <v xml:space="preserve"> </v>
      </c>
      <c r="C23" s="34" t="str">
        <f>IFERROR(VLOOKUP(D23,Feuil2!$B$5:$H$56,3,0)," ")</f>
        <v xml:space="preserve"> </v>
      </c>
      <c r="D23" s="45"/>
      <c r="E23" s="53"/>
      <c r="F23" s="46"/>
      <c r="G23" s="47">
        <f>+E23*F23</f>
        <v>0</v>
      </c>
      <c r="H23" s="47">
        <f>+G23*0.3%</f>
        <v>0</v>
      </c>
      <c r="I23" s="47">
        <f>+G23*0.8%</f>
        <v>0</v>
      </c>
      <c r="J23" s="37">
        <f>+I23*17%</f>
        <v>0</v>
      </c>
      <c r="K23" s="47">
        <f>+G23+H23+I23+J23</f>
        <v>0</v>
      </c>
      <c r="L23" s="47"/>
      <c r="M23" s="47"/>
      <c r="N23" s="37" t="str">
        <f>IFERROR(VLOOKUP(D23,Feuil2!$B$5:$H$56,5,0)," ")</f>
        <v xml:space="preserve"> </v>
      </c>
      <c r="O23" s="38" t="str">
        <f>IFERROR(E23*N23," ")</f>
        <v xml:space="preserve"> </v>
      </c>
    </row>
    <row r="24" spans="2:17" x14ac:dyDescent="0.25">
      <c r="B24" s="33" t="str">
        <f>IFERROR(VLOOKUP(D24,Feuil2!$B$5:$C$56,2,0)," ")</f>
        <v xml:space="preserve"> </v>
      </c>
      <c r="C24" s="34" t="str">
        <f>IFERROR(VLOOKUP(D24,Feuil2!$B$5:$H$56,3,0)," ")</f>
        <v xml:space="preserve"> </v>
      </c>
      <c r="D24" s="45"/>
      <c r="E24" s="53"/>
      <c r="F24" s="46"/>
      <c r="G24" s="47">
        <f>+E24*F24</f>
        <v>0</v>
      </c>
      <c r="H24" s="47">
        <f>+G24*0.3%</f>
        <v>0</v>
      </c>
      <c r="I24" s="47">
        <f>+G24*0.8%</f>
        <v>0</v>
      </c>
      <c r="J24" s="37">
        <f>+I24*17%</f>
        <v>0</v>
      </c>
      <c r="K24" s="47">
        <f>+G24+H24+I24+J24</f>
        <v>0</v>
      </c>
      <c r="L24" s="47"/>
      <c r="M24" s="47"/>
      <c r="N24" s="37" t="str">
        <f>IFERROR(VLOOKUP(D24,Feuil2!$B$5:$H$56,5,0)," ")</f>
        <v xml:space="preserve"> </v>
      </c>
      <c r="O24" s="38" t="str">
        <f>IFERROR(E24*N24," ")</f>
        <v xml:space="preserve"> </v>
      </c>
    </row>
    <row r="25" spans="2:17" x14ac:dyDescent="0.25">
      <c r="B25" s="49" t="s">
        <v>126</v>
      </c>
      <c r="C25" s="50">
        <f>SUBTOTAL(109,Achats[Secteur])</f>
        <v>0</v>
      </c>
      <c r="D25" s="50">
        <f>SUBTOTAL(109,Achats[Symboles])</f>
        <v>0</v>
      </c>
      <c r="E25" s="50">
        <f>SUBTOTAL(109,Achats[Quantité])</f>
        <v>153000</v>
      </c>
      <c r="F25" s="50">
        <f>SUBTOTAL(109,Achats[Prix d''achat])</f>
        <v>88835</v>
      </c>
      <c r="G25" s="50">
        <f>SUBTOTAL(109,Achats[VAL BRUTE])</f>
        <v>989730000</v>
      </c>
      <c r="H25" s="50">
        <f>SUBTOTAL(109,Achats[COM BRVM])</f>
        <v>2969190</v>
      </c>
      <c r="I25" s="50">
        <f>SUBTOTAL(109,Achats[COM CB])</f>
        <v>7917840</v>
      </c>
      <c r="J25" s="50">
        <f>SUBTOTAL(109,Achats[TVA])</f>
        <v>1346032.8</v>
      </c>
      <c r="K25" s="50">
        <f>SUBTOTAL(109,Achats[Montant net investi])</f>
        <v>1001963062.8</v>
      </c>
      <c r="L25" s="50"/>
      <c r="M25" s="50"/>
      <c r="N25" s="50">
        <f>SUBTOTAL(109,Achats[Div moyen sur 03 ans])</f>
        <v>4199.3535000000011</v>
      </c>
      <c r="O25" s="50">
        <f>SUBTOTAL(109,Achats[Montant à percevoir en 2023])</f>
        <v>57059122</v>
      </c>
    </row>
    <row r="28" spans="2:17" x14ac:dyDescent="0.25">
      <c r="M28" s="39" t="s">
        <v>127</v>
      </c>
      <c r="N28" s="21" t="s">
        <v>134</v>
      </c>
      <c r="O28" s="21" t="s">
        <v>137</v>
      </c>
    </row>
    <row r="29" spans="2:17" x14ac:dyDescent="0.25">
      <c r="M29" s="41" t="s">
        <v>75</v>
      </c>
      <c r="N29" s="52">
        <v>80695215.599999994</v>
      </c>
      <c r="O29" s="51">
        <v>3</v>
      </c>
      <c r="Q29" s="42">
        <f>N29/$N$35</f>
        <v>8.1592335172427907E-2</v>
      </c>
    </row>
    <row r="30" spans="2:17" x14ac:dyDescent="0.25">
      <c r="M30" s="41" t="s">
        <v>77</v>
      </c>
      <c r="N30" s="52">
        <v>30340429.199999999</v>
      </c>
      <c r="O30" s="51">
        <v>3</v>
      </c>
      <c r="Q30" s="42">
        <f>N30/$N$35</f>
        <v>3.0677735354631346E-2</v>
      </c>
    </row>
    <row r="31" spans="2:17" x14ac:dyDescent="0.25">
      <c r="M31" s="41" t="s">
        <v>78</v>
      </c>
      <c r="N31" s="52">
        <v>532501360</v>
      </c>
      <c r="O31" s="51">
        <v>5</v>
      </c>
      <c r="Q31" s="42">
        <f>N31/$N$35</f>
        <v>0.53842138126580208</v>
      </c>
    </row>
    <row r="32" spans="2:17" x14ac:dyDescent="0.25">
      <c r="M32" s="41" t="s">
        <v>79</v>
      </c>
      <c r="N32" s="52">
        <v>32395520</v>
      </c>
      <c r="O32" s="51">
        <v>1</v>
      </c>
      <c r="Q32" s="42">
        <f>N32/$N$35</f>
        <v>3.275567338499176E-2</v>
      </c>
    </row>
    <row r="33" spans="13:17" x14ac:dyDescent="0.25">
      <c r="M33" s="41" t="s">
        <v>80</v>
      </c>
      <c r="N33" s="52">
        <v>307757440</v>
      </c>
      <c r="O33" s="51">
        <v>2</v>
      </c>
      <c r="Q33" s="42">
        <f>N33/$N$35</f>
        <v>0.31117889715742175</v>
      </c>
    </row>
    <row r="34" spans="13:17" x14ac:dyDescent="0.25">
      <c r="M34" s="41" t="s">
        <v>81</v>
      </c>
      <c r="N34" s="52">
        <v>5314890</v>
      </c>
      <c r="O34" s="51">
        <v>1</v>
      </c>
      <c r="Q34" s="42">
        <f>N34/$N$35</f>
        <v>5.3739776647252109E-3</v>
      </c>
    </row>
    <row r="35" spans="13:17" x14ac:dyDescent="0.25">
      <c r="M35" s="41" t="s">
        <v>128</v>
      </c>
      <c r="N35" s="52">
        <v>989004854.79999995</v>
      </c>
      <c r="O35" s="51">
        <v>15</v>
      </c>
      <c r="Q35" s="42"/>
    </row>
    <row r="36" spans="13:17" x14ac:dyDescent="0.25">
      <c r="M36"/>
      <c r="N36"/>
      <c r="O36"/>
      <c r="Q36" s="42"/>
    </row>
    <row r="37" spans="13:17" x14ac:dyDescent="0.25">
      <c r="M37"/>
      <c r="N37"/>
      <c r="O37"/>
    </row>
    <row r="38" spans="13:17" x14ac:dyDescent="0.25">
      <c r="M38"/>
      <c r="N38"/>
      <c r="O38"/>
    </row>
    <row r="39" spans="13:17" x14ac:dyDescent="0.25">
      <c r="M39"/>
      <c r="N39"/>
      <c r="O39"/>
    </row>
    <row r="40" spans="13:17" x14ac:dyDescent="0.25">
      <c r="M40"/>
      <c r="N40"/>
      <c r="O40"/>
    </row>
    <row r="41" spans="13:17" x14ac:dyDescent="0.25">
      <c r="M41"/>
      <c r="N41"/>
      <c r="O41"/>
    </row>
    <row r="42" spans="13:17" x14ac:dyDescent="0.25">
      <c r="M42"/>
      <c r="N42"/>
      <c r="O42"/>
    </row>
    <row r="43" spans="13:17" x14ac:dyDescent="0.25">
      <c r="M43"/>
      <c r="N43"/>
      <c r="O43"/>
    </row>
    <row r="44" spans="13:17" x14ac:dyDescent="0.25">
      <c r="M44"/>
      <c r="N44"/>
      <c r="O44"/>
    </row>
    <row r="45" spans="13:17" x14ac:dyDescent="0.25">
      <c r="M45"/>
      <c r="N45"/>
      <c r="O45"/>
    </row>
  </sheetData>
  <mergeCells count="3">
    <mergeCell ref="N6:O6"/>
    <mergeCell ref="B6:K6"/>
    <mergeCell ref="L6:M6"/>
  </mergeCell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3DE70-BC30-4C88-92BF-8DDA29A43A35}">
  <sheetPr codeName="Feuil1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59AD6C-5CE5-492F-B3E5-7D1D4ABE5232}">
  <sheetPr codeName="Feuil3"/>
  <dimension ref="B3:L57"/>
  <sheetViews>
    <sheetView workbookViewId="0">
      <selection activeCell="C54" sqref="C54"/>
    </sheetView>
  </sheetViews>
  <sheetFormatPr baseColWidth="10" defaultRowHeight="15" x14ac:dyDescent="0.25"/>
  <cols>
    <col min="2" max="3" width="14.28515625" style="6" customWidth="1"/>
    <col min="4" max="4" width="7.42578125" style="6" customWidth="1"/>
  </cols>
  <sheetData>
    <row r="3" spans="2:12" x14ac:dyDescent="0.25">
      <c r="E3" s="4">
        <v>2020</v>
      </c>
      <c r="F3" s="4">
        <v>2021</v>
      </c>
      <c r="G3" s="4">
        <v>2022</v>
      </c>
    </row>
    <row r="4" spans="2:12" ht="25.5" x14ac:dyDescent="0.25">
      <c r="E4" s="12" t="s">
        <v>12</v>
      </c>
      <c r="F4" s="12" t="s">
        <v>13</v>
      </c>
      <c r="G4" s="12" t="s">
        <v>14</v>
      </c>
      <c r="H4" s="20" t="s">
        <v>82</v>
      </c>
    </row>
    <row r="5" spans="2:12" x14ac:dyDescent="0.25">
      <c r="B5" s="7" t="s">
        <v>15</v>
      </c>
      <c r="C5" s="7" t="s">
        <v>83</v>
      </c>
      <c r="D5" s="7" t="s">
        <v>75</v>
      </c>
      <c r="E5" s="13">
        <v>0</v>
      </c>
      <c r="F5" s="13">
        <v>102.51</v>
      </c>
      <c r="G5" s="13">
        <v>1236.3399999999999</v>
      </c>
      <c r="H5" s="13">
        <f>IFERROR(AVERAGEIF(E5:G5,"&lt;&gt;0")," ")</f>
        <v>669.42499999999995</v>
      </c>
      <c r="K5" t="s">
        <v>15</v>
      </c>
      <c r="L5">
        <v>1236.3399999999999</v>
      </c>
    </row>
    <row r="6" spans="2:12" x14ac:dyDescent="0.25">
      <c r="B6" s="8" t="s">
        <v>16</v>
      </c>
      <c r="C6" s="8" t="s">
        <v>84</v>
      </c>
      <c r="D6" s="11" t="s">
        <v>75</v>
      </c>
      <c r="E6" s="1">
        <v>0</v>
      </c>
      <c r="F6" s="1">
        <v>40.5</v>
      </c>
      <c r="G6" s="1">
        <v>0</v>
      </c>
      <c r="H6" s="1">
        <f t="shared" ref="H6:H56" si="0">IFERROR(AVERAGEIF(E6:G6,"&lt;&gt;0")," ")</f>
        <v>40.5</v>
      </c>
      <c r="K6" t="s">
        <v>16</v>
      </c>
      <c r="L6">
        <v>0</v>
      </c>
    </row>
    <row r="7" spans="2:12" x14ac:dyDescent="0.25">
      <c r="B7" s="8" t="s">
        <v>17</v>
      </c>
      <c r="C7" s="8" t="s">
        <v>85</v>
      </c>
      <c r="D7" s="11" t="s">
        <v>75</v>
      </c>
      <c r="E7" s="1">
        <v>0</v>
      </c>
      <c r="F7" s="1">
        <v>0</v>
      </c>
      <c r="G7" s="1">
        <v>0</v>
      </c>
      <c r="H7" s="1" t="str">
        <f t="shared" si="0"/>
        <v xml:space="preserve"> </v>
      </c>
      <c r="K7" t="s">
        <v>17</v>
      </c>
    </row>
    <row r="8" spans="2:12" x14ac:dyDescent="0.25">
      <c r="B8" s="8" t="s">
        <v>18</v>
      </c>
      <c r="C8" s="8" t="s">
        <v>86</v>
      </c>
      <c r="D8" s="11" t="s">
        <v>75</v>
      </c>
      <c r="E8" s="1">
        <v>126</v>
      </c>
      <c r="F8" s="1">
        <v>250.00200000000001</v>
      </c>
      <c r="G8" s="1">
        <v>541.79</v>
      </c>
      <c r="H8" s="1">
        <f t="shared" si="0"/>
        <v>305.93066666666664</v>
      </c>
      <c r="K8" t="s">
        <v>18</v>
      </c>
      <c r="L8">
        <v>541.79</v>
      </c>
    </row>
    <row r="9" spans="2:12" x14ac:dyDescent="0.25">
      <c r="B9" s="9" t="s">
        <v>19</v>
      </c>
      <c r="C9" s="8" t="s">
        <v>87</v>
      </c>
      <c r="D9" s="11" t="s">
        <v>75</v>
      </c>
      <c r="E9" s="1">
        <v>0</v>
      </c>
      <c r="F9" s="1">
        <v>132.30000000000001</v>
      </c>
      <c r="G9" s="1">
        <v>365.4</v>
      </c>
      <c r="H9" s="1">
        <f t="shared" si="0"/>
        <v>248.85</v>
      </c>
      <c r="K9" t="s">
        <v>19</v>
      </c>
      <c r="L9">
        <v>365.4</v>
      </c>
    </row>
    <row r="10" spans="2:12" ht="25.5" customHeight="1" x14ac:dyDescent="0.25">
      <c r="B10" s="14" t="s">
        <v>20</v>
      </c>
      <c r="C10" s="14" t="s">
        <v>66</v>
      </c>
      <c r="D10" s="14"/>
      <c r="E10" s="15">
        <v>1</v>
      </c>
      <c r="F10" s="15">
        <v>4</v>
      </c>
      <c r="G10" s="15" t="e">
        <v>#N/A</v>
      </c>
      <c r="H10" s="15" t="str">
        <f t="shared" si="0"/>
        <v xml:space="preserve"> </v>
      </c>
      <c r="K10" t="s">
        <v>66</v>
      </c>
      <c r="L10">
        <v>3</v>
      </c>
    </row>
    <row r="11" spans="2:12" x14ac:dyDescent="0.25">
      <c r="B11" s="10" t="s">
        <v>21</v>
      </c>
      <c r="C11" s="8" t="s">
        <v>88</v>
      </c>
      <c r="D11" s="8" t="s">
        <v>76</v>
      </c>
      <c r="E11" s="1">
        <v>0</v>
      </c>
      <c r="F11" s="1">
        <v>66.150000000000006</v>
      </c>
      <c r="G11" s="1">
        <v>66.150000000000006</v>
      </c>
      <c r="H11" s="1">
        <f t="shared" si="0"/>
        <v>66.150000000000006</v>
      </c>
      <c r="K11" t="s">
        <v>21</v>
      </c>
      <c r="L11">
        <v>66.150000000000006</v>
      </c>
    </row>
    <row r="12" spans="2:12" ht="25.5" x14ac:dyDescent="0.25">
      <c r="B12" s="16" t="s">
        <v>22</v>
      </c>
      <c r="C12" s="16" t="s">
        <v>67</v>
      </c>
      <c r="D12" s="16"/>
      <c r="E12" s="17">
        <v>0</v>
      </c>
      <c r="F12" s="17">
        <v>1</v>
      </c>
      <c r="G12" s="17" t="e">
        <v>#N/A</v>
      </c>
      <c r="H12" s="17" t="str">
        <f t="shared" si="0"/>
        <v xml:space="preserve"> </v>
      </c>
      <c r="K12" t="s">
        <v>67</v>
      </c>
      <c r="L12">
        <v>1</v>
      </c>
    </row>
    <row r="13" spans="2:12" ht="25.5" x14ac:dyDescent="0.25">
      <c r="B13" s="7" t="s">
        <v>23</v>
      </c>
      <c r="C13" s="11" t="s">
        <v>89</v>
      </c>
      <c r="D13" s="11" t="s">
        <v>77</v>
      </c>
      <c r="E13" s="1">
        <v>0</v>
      </c>
      <c r="F13" s="1">
        <v>0</v>
      </c>
      <c r="G13" s="1">
        <v>58</v>
      </c>
      <c r="H13" s="1">
        <f t="shared" si="0"/>
        <v>58</v>
      </c>
      <c r="K13" t="s">
        <v>23</v>
      </c>
      <c r="L13">
        <v>58</v>
      </c>
    </row>
    <row r="14" spans="2:12" x14ac:dyDescent="0.25">
      <c r="B14" s="11" t="s">
        <v>24</v>
      </c>
      <c r="C14" s="11" t="s">
        <v>90</v>
      </c>
      <c r="D14" s="11" t="s">
        <v>77</v>
      </c>
      <c r="E14" s="1">
        <v>0</v>
      </c>
      <c r="F14" s="1">
        <v>0</v>
      </c>
      <c r="G14" s="1">
        <v>0</v>
      </c>
      <c r="H14" s="1" t="str">
        <f t="shared" si="0"/>
        <v xml:space="preserve"> </v>
      </c>
      <c r="K14" t="s">
        <v>24</v>
      </c>
      <c r="L14">
        <v>0</v>
      </c>
    </row>
    <row r="15" spans="2:12" x14ac:dyDescent="0.25">
      <c r="B15" s="11" t="s">
        <v>25</v>
      </c>
      <c r="C15" s="11" t="s">
        <v>91</v>
      </c>
      <c r="D15" s="11" t="s">
        <v>77</v>
      </c>
      <c r="E15" s="1">
        <v>26.073</v>
      </c>
      <c r="F15" s="1">
        <v>22.15</v>
      </c>
      <c r="G15" s="1">
        <v>69.47</v>
      </c>
      <c r="H15" s="1">
        <f t="shared" si="0"/>
        <v>39.231000000000002</v>
      </c>
      <c r="K15" t="s">
        <v>25</v>
      </c>
      <c r="L15">
        <v>69.47</v>
      </c>
    </row>
    <row r="16" spans="2:12" ht="25.5" x14ac:dyDescent="0.25">
      <c r="B16" s="8" t="s">
        <v>26</v>
      </c>
      <c r="C16" s="8" t="s">
        <v>92</v>
      </c>
      <c r="D16" s="11" t="s">
        <v>77</v>
      </c>
      <c r="E16" s="1">
        <v>159.30000000000001</v>
      </c>
      <c r="F16" s="1">
        <v>162.9</v>
      </c>
      <c r="G16" s="1">
        <v>175.86</v>
      </c>
      <c r="H16" s="1">
        <f t="shared" si="0"/>
        <v>166.02</v>
      </c>
      <c r="K16" t="s">
        <v>26</v>
      </c>
      <c r="L16">
        <v>175.86</v>
      </c>
    </row>
    <row r="17" spans="2:12" x14ac:dyDescent="0.25">
      <c r="B17" s="8" t="s">
        <v>27</v>
      </c>
      <c r="C17" s="8"/>
      <c r="D17" s="11" t="s">
        <v>77</v>
      </c>
      <c r="E17" s="1">
        <v>64</v>
      </c>
      <c r="F17" s="1">
        <v>0</v>
      </c>
      <c r="G17" s="1">
        <v>28.57</v>
      </c>
      <c r="H17" s="1">
        <f t="shared" si="0"/>
        <v>46.284999999999997</v>
      </c>
      <c r="K17" t="s">
        <v>27</v>
      </c>
      <c r="L17">
        <v>28.57</v>
      </c>
    </row>
    <row r="18" spans="2:12" x14ac:dyDescent="0.25">
      <c r="B18" s="8" t="s">
        <v>28</v>
      </c>
      <c r="C18" s="8" t="s">
        <v>93</v>
      </c>
      <c r="D18" s="11" t="s">
        <v>77</v>
      </c>
      <c r="E18" s="1">
        <v>113.5125</v>
      </c>
      <c r="F18" s="1">
        <v>109.31399999999999</v>
      </c>
      <c r="G18" s="1">
        <v>23.701499999999999</v>
      </c>
      <c r="H18" s="1">
        <f t="shared" si="0"/>
        <v>82.176000000000002</v>
      </c>
      <c r="K18" t="s">
        <v>28</v>
      </c>
      <c r="L18">
        <v>23.701499999999999</v>
      </c>
    </row>
    <row r="19" spans="2:12" x14ac:dyDescent="0.25">
      <c r="B19" s="9" t="s">
        <v>29</v>
      </c>
      <c r="C19" s="8" t="s">
        <v>94</v>
      </c>
      <c r="D19" s="11" t="s">
        <v>77</v>
      </c>
      <c r="E19" s="1">
        <v>105</v>
      </c>
      <c r="F19" s="1">
        <v>223.6</v>
      </c>
      <c r="G19" s="1">
        <v>187.3</v>
      </c>
      <c r="H19" s="1">
        <f t="shared" si="0"/>
        <v>171.9666666666667</v>
      </c>
      <c r="K19" t="s">
        <v>29</v>
      </c>
      <c r="L19">
        <v>187.3</v>
      </c>
    </row>
    <row r="20" spans="2:12" ht="38.25" x14ac:dyDescent="0.25">
      <c r="B20" s="16" t="s">
        <v>30</v>
      </c>
      <c r="C20" s="16" t="s">
        <v>68</v>
      </c>
      <c r="D20" s="16"/>
      <c r="E20" s="17">
        <v>5</v>
      </c>
      <c r="F20" s="17">
        <v>4</v>
      </c>
      <c r="G20" s="17" t="e">
        <v>#N/A</v>
      </c>
      <c r="H20" s="17" t="str">
        <f t="shared" si="0"/>
        <v xml:space="preserve"> </v>
      </c>
      <c r="K20" t="s">
        <v>68</v>
      </c>
      <c r="L20">
        <v>6</v>
      </c>
    </row>
    <row r="21" spans="2:12" x14ac:dyDescent="0.25">
      <c r="B21" s="5" t="s">
        <v>31</v>
      </c>
      <c r="C21" s="8" t="s">
        <v>95</v>
      </c>
      <c r="D21" s="8" t="s">
        <v>78</v>
      </c>
      <c r="E21" s="1">
        <v>0</v>
      </c>
      <c r="F21" s="1">
        <v>50</v>
      </c>
      <c r="G21" s="1">
        <v>518.4</v>
      </c>
      <c r="H21" s="1">
        <f t="shared" si="0"/>
        <v>284.2</v>
      </c>
      <c r="K21" t="s">
        <v>31</v>
      </c>
      <c r="L21">
        <v>518.4</v>
      </c>
    </row>
    <row r="22" spans="2:12" ht="25.5" x14ac:dyDescent="0.25">
      <c r="B22" s="8" t="s">
        <v>32</v>
      </c>
      <c r="C22" s="8" t="s">
        <v>96</v>
      </c>
      <c r="D22" s="8" t="s">
        <v>78</v>
      </c>
      <c r="E22" s="1">
        <v>436</v>
      </c>
      <c r="F22" s="1">
        <v>436</v>
      </c>
      <c r="G22" s="1">
        <v>546</v>
      </c>
      <c r="H22" s="1">
        <f t="shared" si="0"/>
        <v>472.66666666666669</v>
      </c>
      <c r="K22" t="s">
        <v>32</v>
      </c>
      <c r="L22">
        <v>546</v>
      </c>
    </row>
    <row r="23" spans="2:12" ht="25.5" x14ac:dyDescent="0.25">
      <c r="B23" s="8" t="s">
        <v>33</v>
      </c>
      <c r="C23" s="8" t="s">
        <v>97</v>
      </c>
      <c r="D23" s="8" t="s">
        <v>78</v>
      </c>
      <c r="E23" s="1">
        <v>370</v>
      </c>
      <c r="F23" s="1">
        <v>370</v>
      </c>
      <c r="G23" s="1">
        <v>448</v>
      </c>
      <c r="H23" s="1">
        <f t="shared" si="0"/>
        <v>396</v>
      </c>
      <c r="K23" t="s">
        <v>33</v>
      </c>
      <c r="L23">
        <v>448</v>
      </c>
    </row>
    <row r="24" spans="2:12" ht="25.5" x14ac:dyDescent="0.25">
      <c r="B24" s="8" t="s">
        <v>34</v>
      </c>
      <c r="C24" s="8" t="s">
        <v>98</v>
      </c>
      <c r="D24" s="8" t="s">
        <v>78</v>
      </c>
      <c r="E24" s="1">
        <v>315</v>
      </c>
      <c r="F24" s="1">
        <v>315</v>
      </c>
      <c r="G24" s="1">
        <v>374</v>
      </c>
      <c r="H24" s="1">
        <f t="shared" si="0"/>
        <v>334.66666666666669</v>
      </c>
      <c r="K24" t="s">
        <v>34</v>
      </c>
      <c r="L24">
        <v>374</v>
      </c>
    </row>
    <row r="25" spans="2:12" ht="25.5" x14ac:dyDescent="0.25">
      <c r="B25" s="8" t="s">
        <v>35</v>
      </c>
      <c r="C25" s="8" t="s">
        <v>99</v>
      </c>
      <c r="D25" s="8" t="s">
        <v>78</v>
      </c>
      <c r="E25" s="1">
        <v>0</v>
      </c>
      <c r="F25" s="1">
        <v>0</v>
      </c>
      <c r="G25" s="1">
        <v>0</v>
      </c>
      <c r="H25" s="1" t="str">
        <f t="shared" si="0"/>
        <v xml:space="preserve"> </v>
      </c>
      <c r="K25" t="s">
        <v>35</v>
      </c>
      <c r="L25">
        <v>0</v>
      </c>
    </row>
    <row r="26" spans="2:12" ht="25.5" x14ac:dyDescent="0.25">
      <c r="B26" s="8" t="s">
        <v>36</v>
      </c>
      <c r="C26" s="8" t="s">
        <v>100</v>
      </c>
      <c r="D26" s="8" t="s">
        <v>78</v>
      </c>
      <c r="E26" s="1">
        <v>429.66</v>
      </c>
      <c r="F26" s="1">
        <v>429.66</v>
      </c>
      <c r="G26" s="1">
        <v>567.29999999999995</v>
      </c>
      <c r="H26" s="1">
        <f t="shared" si="0"/>
        <v>475.53999999999996</v>
      </c>
      <c r="K26" t="s">
        <v>36</v>
      </c>
      <c r="L26">
        <v>567.29999999999995</v>
      </c>
    </row>
    <row r="27" spans="2:12" ht="25.5" x14ac:dyDescent="0.25">
      <c r="B27" s="8" t="s">
        <v>37</v>
      </c>
      <c r="C27" s="8" t="s">
        <v>101</v>
      </c>
      <c r="D27" s="8" t="s">
        <v>78</v>
      </c>
      <c r="E27" s="1">
        <v>160</v>
      </c>
      <c r="F27" s="1">
        <v>161.01</v>
      </c>
      <c r="G27" s="1">
        <v>161</v>
      </c>
      <c r="H27" s="1">
        <f t="shared" si="0"/>
        <v>160.66999999999999</v>
      </c>
      <c r="K27" t="s">
        <v>37</v>
      </c>
      <c r="L27">
        <v>161</v>
      </c>
    </row>
    <row r="28" spans="2:12" ht="25.5" x14ac:dyDescent="0.25">
      <c r="B28" s="8" t="s">
        <v>38</v>
      </c>
      <c r="C28" s="8" t="s">
        <v>102</v>
      </c>
      <c r="D28" s="8" t="s">
        <v>78</v>
      </c>
      <c r="E28" s="1">
        <v>420</v>
      </c>
      <c r="F28" s="1">
        <v>406</v>
      </c>
      <c r="G28" s="1">
        <v>448</v>
      </c>
      <c r="H28" s="1">
        <f t="shared" si="0"/>
        <v>424.66666666666669</v>
      </c>
      <c r="K28" t="s">
        <v>38</v>
      </c>
      <c r="L28">
        <v>448</v>
      </c>
    </row>
    <row r="29" spans="2:12" x14ac:dyDescent="0.25">
      <c r="B29" s="8" t="s">
        <v>39</v>
      </c>
      <c r="C29" s="8" t="s">
        <v>103</v>
      </c>
      <c r="D29" s="8" t="s">
        <v>78</v>
      </c>
      <c r="E29" s="1">
        <v>352.8</v>
      </c>
      <c r="F29" s="1">
        <v>294.3</v>
      </c>
      <c r="G29" s="1">
        <v>420.3</v>
      </c>
      <c r="H29" s="1">
        <f t="shared" si="0"/>
        <v>355.8</v>
      </c>
      <c r="K29" t="s">
        <v>39</v>
      </c>
      <c r="L29">
        <v>420.3</v>
      </c>
    </row>
    <row r="30" spans="2:12" x14ac:dyDescent="0.25">
      <c r="B30" s="11" t="s">
        <v>40</v>
      </c>
      <c r="C30" s="11" t="s">
        <v>104</v>
      </c>
      <c r="D30" s="8" t="s">
        <v>78</v>
      </c>
      <c r="E30" s="1">
        <v>0</v>
      </c>
      <c r="F30" s="1">
        <v>0</v>
      </c>
      <c r="G30" s="1">
        <v>0.9</v>
      </c>
      <c r="H30" s="1">
        <f t="shared" si="0"/>
        <v>0.9</v>
      </c>
      <c r="K30" t="s">
        <v>40</v>
      </c>
      <c r="L30">
        <v>0.9</v>
      </c>
    </row>
    <row r="31" spans="2:12" x14ac:dyDescent="0.25">
      <c r="B31" s="8" t="s">
        <v>4</v>
      </c>
      <c r="C31" s="8" t="s">
        <v>105</v>
      </c>
      <c r="D31" s="8" t="s">
        <v>78</v>
      </c>
      <c r="E31" s="1">
        <v>77.686663789999997</v>
      </c>
      <c r="F31" s="1">
        <v>0</v>
      </c>
      <c r="G31" s="1">
        <v>0</v>
      </c>
      <c r="H31" s="1">
        <f t="shared" si="0"/>
        <v>77.686663789999997</v>
      </c>
      <c r="K31" t="s">
        <v>4</v>
      </c>
      <c r="L31">
        <v>0</v>
      </c>
    </row>
    <row r="32" spans="2:12" x14ac:dyDescent="0.25">
      <c r="B32" s="8" t="s">
        <v>41</v>
      </c>
      <c r="C32" s="8" t="s">
        <v>106</v>
      </c>
      <c r="D32" s="8" t="s">
        <v>78</v>
      </c>
      <c r="E32" s="1">
        <v>59.52</v>
      </c>
      <c r="F32" s="1">
        <v>0</v>
      </c>
      <c r="G32" s="1">
        <v>0</v>
      </c>
      <c r="H32" s="1">
        <f t="shared" si="0"/>
        <v>59.52</v>
      </c>
      <c r="K32" t="s">
        <v>41</v>
      </c>
      <c r="L32">
        <v>0</v>
      </c>
    </row>
    <row r="33" spans="2:12" x14ac:dyDescent="0.25">
      <c r="B33" s="8" t="s">
        <v>42</v>
      </c>
      <c r="C33" s="8" t="s">
        <v>107</v>
      </c>
      <c r="D33" s="8" t="s">
        <v>78</v>
      </c>
      <c r="E33" s="1">
        <v>0</v>
      </c>
      <c r="F33" s="1">
        <v>0</v>
      </c>
      <c r="G33" s="1">
        <v>0</v>
      </c>
      <c r="H33" s="1" t="str">
        <f t="shared" si="0"/>
        <v xml:space="preserve"> </v>
      </c>
      <c r="K33" t="s">
        <v>42</v>
      </c>
      <c r="L33">
        <v>0</v>
      </c>
    </row>
    <row r="34" spans="2:12" ht="25.5" x14ac:dyDescent="0.25">
      <c r="B34" s="8" t="s">
        <v>43</v>
      </c>
      <c r="C34" s="8" t="s">
        <v>108</v>
      </c>
      <c r="D34" s="8" t="s">
        <v>78</v>
      </c>
      <c r="E34" s="1">
        <v>270</v>
      </c>
      <c r="F34" s="1">
        <v>364.5</v>
      </c>
      <c r="G34" s="1">
        <v>1004.93</v>
      </c>
      <c r="H34" s="1">
        <f t="shared" si="0"/>
        <v>546.47666666666657</v>
      </c>
      <c r="K34" t="s">
        <v>43</v>
      </c>
      <c r="L34">
        <v>1004.93</v>
      </c>
    </row>
    <row r="35" spans="2:12" x14ac:dyDescent="0.25">
      <c r="B35" s="9" t="s">
        <v>44</v>
      </c>
      <c r="C35" s="8" t="s">
        <v>5</v>
      </c>
      <c r="D35" s="8" t="s">
        <v>78</v>
      </c>
      <c r="E35" s="2">
        <v>270</v>
      </c>
      <c r="F35" s="1">
        <v>360</v>
      </c>
      <c r="G35" s="1">
        <v>450</v>
      </c>
      <c r="H35" s="1">
        <f t="shared" si="0"/>
        <v>360</v>
      </c>
      <c r="K35" t="s">
        <v>44</v>
      </c>
      <c r="L35">
        <v>450</v>
      </c>
    </row>
    <row r="36" spans="2:12" ht="25.5" x14ac:dyDescent="0.25">
      <c r="B36" s="16" t="s">
        <v>45</v>
      </c>
      <c r="C36" s="16" t="s">
        <v>69</v>
      </c>
      <c r="D36" s="16"/>
      <c r="E36" s="17">
        <v>11</v>
      </c>
      <c r="F36" s="17">
        <v>10</v>
      </c>
      <c r="G36" s="17" t="e">
        <v>#N/A</v>
      </c>
      <c r="H36" s="17" t="str">
        <f t="shared" si="0"/>
        <v xml:space="preserve"> </v>
      </c>
      <c r="K36" t="s">
        <v>69</v>
      </c>
      <c r="L36">
        <v>11</v>
      </c>
    </row>
    <row r="37" spans="2:12" x14ac:dyDescent="0.25">
      <c r="B37" s="7" t="s">
        <v>46</v>
      </c>
      <c r="C37" s="11" t="s">
        <v>109</v>
      </c>
      <c r="D37" s="11" t="s">
        <v>79</v>
      </c>
      <c r="E37" s="1">
        <v>75</v>
      </c>
      <c r="F37" s="1">
        <v>133</v>
      </c>
      <c r="G37" s="1">
        <v>69</v>
      </c>
      <c r="H37" s="1">
        <f t="shared" si="0"/>
        <v>92.333333333333329</v>
      </c>
      <c r="K37" t="s">
        <v>46</v>
      </c>
      <c r="L37">
        <v>69</v>
      </c>
    </row>
    <row r="38" spans="2:12" x14ac:dyDescent="0.25">
      <c r="B38" s="8" t="s">
        <v>47</v>
      </c>
      <c r="C38" s="8" t="s">
        <v>110</v>
      </c>
      <c r="D38" s="8" t="s">
        <v>79</v>
      </c>
      <c r="E38" s="1">
        <v>120.15</v>
      </c>
      <c r="F38" s="1">
        <v>235</v>
      </c>
      <c r="G38" s="1">
        <v>0</v>
      </c>
      <c r="H38" s="1">
        <f t="shared" si="0"/>
        <v>177.57499999999999</v>
      </c>
      <c r="K38" t="s">
        <v>47</v>
      </c>
      <c r="L38">
        <v>0</v>
      </c>
    </row>
    <row r="39" spans="2:12" x14ac:dyDescent="0.25">
      <c r="B39" s="8" t="s">
        <v>48</v>
      </c>
      <c r="C39" s="8" t="s">
        <v>111</v>
      </c>
      <c r="D39" s="8" t="s">
        <v>79</v>
      </c>
      <c r="E39" s="1">
        <v>0</v>
      </c>
      <c r="F39" s="1">
        <v>0</v>
      </c>
      <c r="G39" s="1">
        <v>0</v>
      </c>
      <c r="H39" s="1" t="str">
        <f t="shared" si="0"/>
        <v xml:space="preserve"> </v>
      </c>
      <c r="K39" t="s">
        <v>48</v>
      </c>
      <c r="L39">
        <v>0</v>
      </c>
    </row>
    <row r="40" spans="2:12" x14ac:dyDescent="0.25">
      <c r="B40" s="8" t="s">
        <v>49</v>
      </c>
      <c r="C40" s="8" t="s">
        <v>112</v>
      </c>
      <c r="D40" s="8" t="s">
        <v>79</v>
      </c>
      <c r="E40" s="1">
        <v>0</v>
      </c>
      <c r="F40" s="1">
        <v>363.66399999999999</v>
      </c>
      <c r="G40" s="1">
        <v>856.8</v>
      </c>
      <c r="H40" s="1">
        <f t="shared" si="0"/>
        <v>610.23199999999997</v>
      </c>
      <c r="K40" t="s">
        <v>49</v>
      </c>
      <c r="L40">
        <v>856.8</v>
      </c>
    </row>
    <row r="41" spans="2:12" x14ac:dyDescent="0.25">
      <c r="B41" s="8" t="s">
        <v>50</v>
      </c>
      <c r="C41" s="8" t="s">
        <v>113</v>
      </c>
      <c r="D41" s="8" t="s">
        <v>79</v>
      </c>
      <c r="E41" s="1">
        <v>0</v>
      </c>
      <c r="F41" s="1">
        <v>14.4</v>
      </c>
      <c r="G41" s="1">
        <v>0</v>
      </c>
      <c r="H41" s="1">
        <f t="shared" si="0"/>
        <v>14.4</v>
      </c>
      <c r="K41" t="s">
        <v>50</v>
      </c>
      <c r="L41">
        <v>0</v>
      </c>
    </row>
    <row r="42" spans="2:12" x14ac:dyDescent="0.25">
      <c r="B42" s="8" t="s">
        <v>51</v>
      </c>
      <c r="C42" s="8" t="s">
        <v>114</v>
      </c>
      <c r="D42" s="8" t="s">
        <v>79</v>
      </c>
      <c r="E42" s="1">
        <v>0</v>
      </c>
      <c r="F42" s="1">
        <v>0</v>
      </c>
      <c r="G42" s="1">
        <v>0</v>
      </c>
      <c r="H42" s="1" t="str">
        <f t="shared" si="0"/>
        <v xml:space="preserve"> </v>
      </c>
      <c r="K42" t="s">
        <v>51</v>
      </c>
    </row>
    <row r="43" spans="2:12" x14ac:dyDescent="0.25">
      <c r="B43" s="8" t="s">
        <v>52</v>
      </c>
      <c r="C43" s="8" t="s">
        <v>115</v>
      </c>
      <c r="D43" s="8" t="s">
        <v>79</v>
      </c>
      <c r="E43" s="1">
        <v>0</v>
      </c>
      <c r="F43" s="1">
        <v>2736</v>
      </c>
      <c r="G43" s="1">
        <v>4050</v>
      </c>
      <c r="H43" s="1">
        <f t="shared" si="0"/>
        <v>3393</v>
      </c>
      <c r="K43" t="s">
        <v>52</v>
      </c>
      <c r="L43">
        <v>4050</v>
      </c>
    </row>
    <row r="44" spans="2:12" x14ac:dyDescent="0.25">
      <c r="B44" s="8" t="s">
        <v>53</v>
      </c>
      <c r="C44" s="8" t="s">
        <v>116</v>
      </c>
      <c r="D44" s="8" t="s">
        <v>79</v>
      </c>
      <c r="E44" s="1">
        <v>0</v>
      </c>
      <c r="F44" s="1">
        <v>810</v>
      </c>
      <c r="G44" s="1">
        <v>719.98</v>
      </c>
      <c r="H44" s="1">
        <f t="shared" si="0"/>
        <v>764.99</v>
      </c>
      <c r="K44" t="s">
        <v>53</v>
      </c>
      <c r="L44">
        <v>719.98</v>
      </c>
    </row>
    <row r="45" spans="2:12" x14ac:dyDescent="0.25">
      <c r="B45" s="8" t="s">
        <v>54</v>
      </c>
      <c r="C45" s="8" t="s">
        <v>117</v>
      </c>
      <c r="D45" s="8" t="s">
        <v>79</v>
      </c>
      <c r="E45" s="1">
        <v>0</v>
      </c>
      <c r="F45" s="1">
        <v>436.12299999999999</v>
      </c>
      <c r="G45" s="1">
        <v>445.11700000000002</v>
      </c>
      <c r="H45" s="1">
        <f t="shared" si="0"/>
        <v>440.62</v>
      </c>
      <c r="K45" t="s">
        <v>54</v>
      </c>
      <c r="L45">
        <v>445.11700000000002</v>
      </c>
    </row>
    <row r="46" spans="2:12" x14ac:dyDescent="0.25">
      <c r="B46" s="18" t="s">
        <v>55</v>
      </c>
      <c r="C46" s="18" t="s">
        <v>118</v>
      </c>
      <c r="D46" s="18" t="s">
        <v>79</v>
      </c>
      <c r="E46" s="3">
        <v>0</v>
      </c>
      <c r="F46" s="3">
        <v>0</v>
      </c>
      <c r="G46" s="3" t="e">
        <v>#N/A</v>
      </c>
      <c r="H46" s="3" t="str">
        <f t="shared" si="0"/>
        <v xml:space="preserve"> </v>
      </c>
      <c r="K46" t="s">
        <v>56</v>
      </c>
      <c r="L46">
        <v>0</v>
      </c>
    </row>
    <row r="47" spans="2:12" x14ac:dyDescent="0.25">
      <c r="B47" s="8" t="s">
        <v>56</v>
      </c>
      <c r="C47" s="8" t="s">
        <v>118</v>
      </c>
      <c r="D47" s="8" t="s">
        <v>79</v>
      </c>
      <c r="E47" s="1">
        <v>0</v>
      </c>
      <c r="F47" s="1">
        <v>0</v>
      </c>
      <c r="G47" s="1">
        <v>0</v>
      </c>
      <c r="H47" s="1" t="str">
        <f t="shared" si="0"/>
        <v xml:space="preserve"> </v>
      </c>
      <c r="K47" t="s">
        <v>57</v>
      </c>
      <c r="L47">
        <v>60.75</v>
      </c>
    </row>
    <row r="48" spans="2:12" x14ac:dyDescent="0.25">
      <c r="B48" s="9" t="s">
        <v>57</v>
      </c>
      <c r="C48" s="8" t="s">
        <v>119</v>
      </c>
      <c r="D48" s="8" t="s">
        <v>79</v>
      </c>
      <c r="E48" s="1">
        <v>0</v>
      </c>
      <c r="F48" s="1">
        <v>18</v>
      </c>
      <c r="G48" s="1">
        <v>60.75</v>
      </c>
      <c r="H48" s="1">
        <f t="shared" si="0"/>
        <v>39.375</v>
      </c>
      <c r="K48" t="s">
        <v>73</v>
      </c>
      <c r="L48">
        <v>6</v>
      </c>
    </row>
    <row r="49" spans="2:12" ht="25.5" x14ac:dyDescent="0.25">
      <c r="B49" s="16" t="s">
        <v>65</v>
      </c>
      <c r="C49" s="16" t="s">
        <v>70</v>
      </c>
      <c r="D49" s="16"/>
      <c r="E49" s="17">
        <v>2</v>
      </c>
      <c r="F49" s="17">
        <v>8</v>
      </c>
      <c r="G49" s="17" t="e">
        <v>#N/A</v>
      </c>
      <c r="H49" s="17" t="str">
        <f t="shared" si="0"/>
        <v xml:space="preserve"> </v>
      </c>
      <c r="K49" t="s">
        <v>58</v>
      </c>
      <c r="L49">
        <v>153.16</v>
      </c>
    </row>
    <row r="50" spans="2:12" x14ac:dyDescent="0.25">
      <c r="B50" s="7" t="s">
        <v>58</v>
      </c>
      <c r="C50" s="11" t="s">
        <v>120</v>
      </c>
      <c r="D50" s="11" t="s">
        <v>80</v>
      </c>
      <c r="E50" s="1">
        <v>104.98</v>
      </c>
      <c r="F50" s="1">
        <v>167.14</v>
      </c>
      <c r="G50" s="1">
        <v>153.16</v>
      </c>
      <c r="H50" s="1">
        <f t="shared" si="0"/>
        <v>141.76</v>
      </c>
      <c r="K50" t="s">
        <v>59</v>
      </c>
      <c r="L50">
        <v>417.58</v>
      </c>
    </row>
    <row r="51" spans="2:12" x14ac:dyDescent="0.25">
      <c r="B51" s="8" t="s">
        <v>59</v>
      </c>
      <c r="C51" s="11" t="s">
        <v>121</v>
      </c>
      <c r="D51" s="11" t="s">
        <v>80</v>
      </c>
      <c r="E51" s="1">
        <v>387.08</v>
      </c>
      <c r="F51" s="1">
        <v>399.56349999999998</v>
      </c>
      <c r="G51" s="1">
        <v>417.58</v>
      </c>
      <c r="H51" s="1">
        <f t="shared" si="0"/>
        <v>401.40783333333326</v>
      </c>
      <c r="K51" t="s">
        <v>60</v>
      </c>
      <c r="L51">
        <v>420</v>
      </c>
    </row>
    <row r="52" spans="2:12" x14ac:dyDescent="0.25">
      <c r="B52" s="8" t="s">
        <v>60</v>
      </c>
      <c r="C52" s="11" t="s">
        <v>122</v>
      </c>
      <c r="D52" s="11" t="s">
        <v>80</v>
      </c>
      <c r="E52" s="1">
        <v>292.5</v>
      </c>
      <c r="F52" s="1">
        <v>337.5</v>
      </c>
      <c r="G52" s="1">
        <v>420</v>
      </c>
      <c r="H52" s="1">
        <f t="shared" si="0"/>
        <v>350</v>
      </c>
      <c r="K52" t="s">
        <v>61</v>
      </c>
      <c r="L52">
        <v>1400</v>
      </c>
    </row>
    <row r="53" spans="2:12" x14ac:dyDescent="0.25">
      <c r="B53" s="9" t="s">
        <v>61</v>
      </c>
      <c r="C53" s="11" t="s">
        <v>123</v>
      </c>
      <c r="D53" s="11" t="s">
        <v>80</v>
      </c>
      <c r="E53" s="1">
        <v>1225</v>
      </c>
      <c r="F53" s="1">
        <v>1225</v>
      </c>
      <c r="G53" s="1">
        <v>1400</v>
      </c>
      <c r="H53" s="1">
        <f t="shared" si="0"/>
        <v>1283.3333333333333</v>
      </c>
      <c r="K53" t="s">
        <v>71</v>
      </c>
      <c r="L53">
        <v>4</v>
      </c>
    </row>
    <row r="54" spans="2:12" ht="25.5" x14ac:dyDescent="0.25">
      <c r="B54" s="16" t="s">
        <v>62</v>
      </c>
      <c r="C54" s="16" t="s">
        <v>71</v>
      </c>
      <c r="D54" s="16"/>
      <c r="E54" s="19">
        <v>4</v>
      </c>
      <c r="F54" s="19">
        <v>4</v>
      </c>
      <c r="G54" s="19" t="e">
        <v>#N/A</v>
      </c>
      <c r="H54" s="19" t="str">
        <f t="shared" si="0"/>
        <v xml:space="preserve"> </v>
      </c>
      <c r="K54" t="s">
        <v>63</v>
      </c>
      <c r="L54">
        <v>130</v>
      </c>
    </row>
    <row r="55" spans="2:12" ht="25.5" x14ac:dyDescent="0.25">
      <c r="B55" s="5" t="s">
        <v>63</v>
      </c>
      <c r="C55" s="8" t="s">
        <v>124</v>
      </c>
      <c r="D55" s="8" t="s">
        <v>81</v>
      </c>
      <c r="E55" s="1">
        <v>100</v>
      </c>
      <c r="F55" s="1">
        <v>100</v>
      </c>
      <c r="G55" s="1">
        <v>130</v>
      </c>
      <c r="H55" s="1">
        <f t="shared" si="0"/>
        <v>110</v>
      </c>
      <c r="K55" t="s">
        <v>64</v>
      </c>
    </row>
    <row r="56" spans="2:12" x14ac:dyDescent="0.25">
      <c r="B56" s="9" t="s">
        <v>64</v>
      </c>
      <c r="C56" s="9" t="s">
        <v>125</v>
      </c>
      <c r="D56" s="9" t="s">
        <v>81</v>
      </c>
      <c r="E56" s="2"/>
      <c r="F56" s="2">
        <v>0</v>
      </c>
      <c r="G56" s="2">
        <v>0</v>
      </c>
      <c r="H56" s="2" t="str">
        <f t="shared" si="0"/>
        <v xml:space="preserve"> </v>
      </c>
      <c r="K56" t="s">
        <v>72</v>
      </c>
    </row>
    <row r="57" spans="2:12" x14ac:dyDescent="0.25">
      <c r="C5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Simul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2022-10-18T14:09:32Z</dcterms:created>
  <dcterms:modified xsi:type="dcterms:W3CDTF">2022-10-28T17:09:08Z</dcterms:modified>
</cp:coreProperties>
</file>