
<file path=[Content_Types].xml><?xml version="1.0" encoding="utf-8"?>
<Types xmlns="http://schemas.openxmlformats.org/package/2006/content-types">
  <Default Extension="bin" ContentType="application/vnd.ms-office.vbaProject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ouedraogo\Desktop\"/>
    </mc:Choice>
  </mc:AlternateContent>
  <xr:revisionPtr revIDLastSave="0" documentId="13_ncr:1_{77CF90E1-F13D-4610-9006-232E65AA0A36}" xr6:coauthVersionLast="47" xr6:coauthVersionMax="47" xr10:uidLastSave="{00000000-0000-0000-0000-000000000000}"/>
  <bookViews>
    <workbookView xWindow="-120" yWindow="-120" windowWidth="24240" windowHeight="13020" xr2:uid="{0F9566ED-227C-4CFC-B1DE-E288361666A6}"/>
  </bookViews>
  <sheets>
    <sheet name="Simul" sheetId="1" r:id="rId1"/>
    <sheet name="Feuil2" sheetId="2" state="hidden" r:id="rId2"/>
  </sheets>
  <definedNames>
    <definedName name="_xlcn.WorksheetConnection_Simulationnouveauportefeuille.xlsxTableau11" hidden="1">Tableau1[]</definedName>
  </definedNames>
  <calcPr calcId="191029"/>
  <pivotCaches>
    <pivotCache cacheId="61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Simulation nouveau portefeuille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7" i="1" l="1"/>
  <c r="C17" i="1"/>
  <c r="G17" i="1"/>
  <c r="H17" i="1" s="1"/>
  <c r="L17" i="1"/>
  <c r="M17" i="1" s="1"/>
  <c r="B18" i="1"/>
  <c r="C18" i="1"/>
  <c r="G18" i="1"/>
  <c r="H18" i="1" s="1"/>
  <c r="L18" i="1"/>
  <c r="M18" i="1"/>
  <c r="L16" i="1"/>
  <c r="M16" i="1" s="1"/>
  <c r="G16" i="1"/>
  <c r="C16" i="1"/>
  <c r="B16" i="1"/>
  <c r="S8" i="1"/>
  <c r="S9" i="1"/>
  <c r="S10" i="1"/>
  <c r="S11" i="1"/>
  <c r="S12" i="1"/>
  <c r="S7" i="1"/>
  <c r="D20" i="1"/>
  <c r="E20" i="1"/>
  <c r="F20" i="1"/>
  <c r="C11" i="1"/>
  <c r="B7" i="1"/>
  <c r="B8" i="1"/>
  <c r="B9" i="1"/>
  <c r="B10" i="1"/>
  <c r="B11" i="1"/>
  <c r="B12" i="1"/>
  <c r="B13" i="1"/>
  <c r="B14" i="1"/>
  <c r="B15" i="1"/>
  <c r="B19" i="1"/>
  <c r="B6" i="1"/>
  <c r="C7" i="1"/>
  <c r="C8" i="1"/>
  <c r="C9" i="1"/>
  <c r="C10" i="1"/>
  <c r="C12" i="1"/>
  <c r="C13" i="1"/>
  <c r="C14" i="1"/>
  <c r="C15" i="1"/>
  <c r="C19" i="1"/>
  <c r="C6" i="1"/>
  <c r="I17" i="1" l="1"/>
  <c r="J17" i="1" s="1"/>
  <c r="I18" i="1"/>
  <c r="J18" i="1" s="1"/>
  <c r="H16" i="1"/>
  <c r="I16" i="1"/>
  <c r="J16" i="1" s="1"/>
  <c r="C20" i="1"/>
  <c r="K17" i="1" l="1"/>
  <c r="K16" i="1"/>
  <c r="K18" i="1"/>
  <c r="L7" i="1"/>
  <c r="M7" i="1" s="1"/>
  <c r="L8" i="1"/>
  <c r="M8" i="1" s="1"/>
  <c r="L9" i="1"/>
  <c r="M9" i="1" s="1"/>
  <c r="L10" i="1"/>
  <c r="M10" i="1" s="1"/>
  <c r="L11" i="1"/>
  <c r="M11" i="1" s="1"/>
  <c r="L12" i="1"/>
  <c r="L13" i="1"/>
  <c r="M13" i="1" s="1"/>
  <c r="L14" i="1"/>
  <c r="M14" i="1" s="1"/>
  <c r="L15" i="1"/>
  <c r="M15" i="1" s="1"/>
  <c r="L19" i="1"/>
  <c r="M19" i="1" s="1"/>
  <c r="L6" i="1"/>
  <c r="M6" i="1" s="1"/>
  <c r="H7" i="2"/>
  <c r="H8" i="2"/>
  <c r="H16" i="2"/>
  <c r="H19" i="2"/>
  <c r="H20" i="2"/>
  <c r="H28" i="2"/>
  <c r="H31" i="2"/>
  <c r="H32" i="2"/>
  <c r="H37" i="2"/>
  <c r="H38" i="2"/>
  <c r="H39" i="2"/>
  <c r="H40" i="2"/>
  <c r="H44" i="2"/>
  <c r="H49" i="2"/>
  <c r="H50" i="2"/>
  <c r="H51" i="2"/>
  <c r="H52" i="2"/>
  <c r="H54" i="2"/>
  <c r="H55" i="2"/>
  <c r="H56" i="2"/>
  <c r="H9" i="2"/>
  <c r="H13" i="2"/>
  <c r="H25" i="2"/>
  <c r="H27" i="2"/>
  <c r="H33" i="2"/>
  <c r="H23" i="2"/>
  <c r="H42" i="2"/>
  <c r="H43" i="2"/>
  <c r="H47" i="2"/>
  <c r="H5" i="2"/>
  <c r="H11" i="2"/>
  <c r="H12" i="2"/>
  <c r="H14" i="2"/>
  <c r="H15" i="2"/>
  <c r="H21" i="2"/>
  <c r="H24" i="2"/>
  <c r="H35" i="2"/>
  <c r="H36" i="2"/>
  <c r="H45" i="2"/>
  <c r="H48" i="2"/>
  <c r="H6" i="2"/>
  <c r="H10" i="2"/>
  <c r="H17" i="2"/>
  <c r="H18" i="2"/>
  <c r="H22" i="2"/>
  <c r="H26" i="2"/>
  <c r="H29" i="2"/>
  <c r="H30" i="2"/>
  <c r="H34" i="2"/>
  <c r="H41" i="2"/>
  <c r="H46" i="2"/>
  <c r="H53" i="2"/>
  <c r="G19" i="1"/>
  <c r="I19" i="1" s="1"/>
  <c r="J19" i="1" s="1"/>
  <c r="G15" i="1"/>
  <c r="I15" i="1" s="1"/>
  <c r="J15" i="1" s="1"/>
  <c r="G14" i="1"/>
  <c r="H14" i="1" s="1"/>
  <c r="G13" i="1"/>
  <c r="I13" i="1" s="1"/>
  <c r="J13" i="1" s="1"/>
  <c r="G12" i="1"/>
  <c r="G11" i="1"/>
  <c r="H11" i="1" s="1"/>
  <c r="G10" i="1"/>
  <c r="I10" i="1" s="1"/>
  <c r="J10" i="1" s="1"/>
  <c r="G9" i="1"/>
  <c r="I9" i="1" s="1"/>
  <c r="J9" i="1" s="1"/>
  <c r="G8" i="1"/>
  <c r="G7" i="1"/>
  <c r="I7" i="1" s="1"/>
  <c r="J7" i="1" s="1"/>
  <c r="G6" i="1"/>
  <c r="I6" i="1" s="1"/>
  <c r="I12" i="1" l="1"/>
  <c r="G20" i="1"/>
  <c r="M12" i="1"/>
  <c r="M20" i="1" s="1"/>
  <c r="L20" i="1"/>
  <c r="H10" i="1"/>
  <c r="K10" i="1" s="1"/>
  <c r="H19" i="1"/>
  <c r="K19" i="1" s="1"/>
  <c r="H6" i="1"/>
  <c r="H7" i="1"/>
  <c r="K7" i="1" s="1"/>
  <c r="H15" i="1"/>
  <c r="K15" i="1" s="1"/>
  <c r="I14" i="1"/>
  <c r="J14" i="1" s="1"/>
  <c r="H8" i="1"/>
  <c r="I8" i="1"/>
  <c r="J6" i="1"/>
  <c r="I11" i="1"/>
  <c r="J11" i="1" s="1"/>
  <c r="H12" i="1"/>
  <c r="H13" i="1"/>
  <c r="K13" i="1" s="1"/>
  <c r="H9" i="1"/>
  <c r="K9" i="1" s="1"/>
  <c r="H20" i="1" l="1"/>
  <c r="J12" i="1"/>
  <c r="I20" i="1"/>
  <c r="J8" i="1"/>
  <c r="K14" i="1"/>
  <c r="K6" i="1"/>
  <c r="K11" i="1"/>
  <c r="J20" i="1" l="1"/>
  <c r="K12" i="1"/>
  <c r="K8" i="1"/>
  <c r="K20" i="1" l="1"/>
  <c r="P3" i="1" s="1"/>
  <c r="P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3855ED-95DA-4C96-B06F-605F0123EA71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1B2E8BFE-D898-4568-B0A4-B8748A90B944}" name="WorksheetConnection_Simulation nouveau portefeuille.xlsx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Simulationnouveauportefeuille.xlsxTableau11"/>
        </x15:connection>
      </ext>
    </extLst>
  </connection>
</connections>
</file>

<file path=xl/sharedStrings.xml><?xml version="1.0" encoding="utf-8"?>
<sst xmlns="http://schemas.openxmlformats.org/spreadsheetml/2006/main" count="244" uniqueCount="137">
  <si>
    <t xml:space="preserve">MODELISATION ACHAT DE TITRES </t>
  </si>
  <si>
    <t>TITRE</t>
  </si>
  <si>
    <t>QUANTITE</t>
  </si>
  <si>
    <t>PRIX</t>
  </si>
  <si>
    <t>VAL BRUTE</t>
  </si>
  <si>
    <t>COM BRVM</t>
  </si>
  <si>
    <t>COM CB</t>
  </si>
  <si>
    <t>TVA</t>
  </si>
  <si>
    <t>MONTANT NET</t>
  </si>
  <si>
    <t>NSBC</t>
  </si>
  <si>
    <t>SIB CI</t>
  </si>
  <si>
    <t>Montant à investir</t>
  </si>
  <si>
    <t>Montant investi</t>
  </si>
  <si>
    <t>Solde</t>
  </si>
  <si>
    <t>Div moyen sur 03 ans</t>
  </si>
  <si>
    <t>Montant à percevoir en 2023</t>
  </si>
  <si>
    <t>SIMULATION DIV.</t>
  </si>
  <si>
    <t>Div net 2019</t>
  </si>
  <si>
    <t>Div net 2020</t>
  </si>
  <si>
    <t>Div net 2021</t>
  </si>
  <si>
    <t>PALC</t>
  </si>
  <si>
    <t>SCRC</t>
  </si>
  <si>
    <t>SICC</t>
  </si>
  <si>
    <t>SOGC</t>
  </si>
  <si>
    <t>SPHC</t>
  </si>
  <si>
    <t>SECTEUR AGRICULTURE</t>
  </si>
  <si>
    <t>STAC</t>
  </si>
  <si>
    <t>AUTRE SECTEUR</t>
  </si>
  <si>
    <t>ABJC</t>
  </si>
  <si>
    <t>BNBC</t>
  </si>
  <si>
    <t>CFAC</t>
  </si>
  <si>
    <t>PRSC</t>
  </si>
  <si>
    <t>SHEC</t>
  </si>
  <si>
    <t>TTLC</t>
  </si>
  <si>
    <t>TTLS</t>
  </si>
  <si>
    <t>SECTEUR DISTRIBUTION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</si>
  <si>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</si>
  <si>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</si>
  <si>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</si>
  <si>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</si>
  <si>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</si>
  <si>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</si>
  <si>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</si>
  <si>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</si>
  <si>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</si>
  <si>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</si>
  <si>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ORGT</t>
  </si>
  <si>
    <t>SAFC</t>
  </si>
  <si>
    <t>SGBC</t>
  </si>
  <si>
    <t>SIBC</t>
  </si>
  <si>
    <t>SECTEUR FINANCE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</si>
  <si>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</si>
  <si>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</si>
  <si>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</si>
  <si>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</si>
  <si>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</si>
  <si>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</si>
  <si>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</si>
  <si>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</si>
  <si>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</si>
  <si>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TTRC</t>
  </si>
  <si>
    <t>UNLC</t>
  </si>
  <si>
    <t>UNXC</t>
  </si>
  <si>
    <t>CIEC</t>
  </si>
  <si>
    <t>ONTBF</t>
  </si>
  <si>
    <t>SDCC</t>
  </si>
  <si>
    <t>SNTS</t>
  </si>
  <si>
    <t>SERVICE PUBLIC</t>
  </si>
  <si>
    <t>SDSC</t>
  </si>
  <si>
    <t>SVOC</t>
  </si>
  <si>
    <t>SERVICE I0USTRIE</t>
  </si>
  <si>
    <t>SYMBOLE</t>
  </si>
  <si>
    <t>BRVM-AGR</t>
  </si>
  <si>
    <t>BRVM-AUT</t>
  </si>
  <si>
    <t>BRVM-DIS</t>
  </si>
  <si>
    <t>BRVM-FIN</t>
  </si>
  <si>
    <t>BRVM-IND</t>
  </si>
  <si>
    <t>BRVM-SPU</t>
  </si>
  <si>
    <t>BRVM-TRP</t>
  </si>
  <si>
    <t>BRVM-I0</t>
  </si>
  <si>
    <t>Secteur</t>
  </si>
  <si>
    <t>AGR</t>
  </si>
  <si>
    <t>AUT</t>
  </si>
  <si>
    <t>DIS</t>
  </si>
  <si>
    <t>FIN</t>
  </si>
  <si>
    <t>IND</t>
  </si>
  <si>
    <t>SPU</t>
  </si>
  <si>
    <t>TRP</t>
  </si>
  <si>
    <t>Moyenne</t>
  </si>
  <si>
    <t>Palm CI</t>
  </si>
  <si>
    <t>Sucrivoire CI</t>
  </si>
  <si>
    <t>Sicor CI</t>
  </si>
  <si>
    <t>Sogb CI</t>
  </si>
  <si>
    <t>Saph CI</t>
  </si>
  <si>
    <t>Setao CI</t>
  </si>
  <si>
    <t>Servair abidjan  CI</t>
  </si>
  <si>
    <t>Bernabe CI</t>
  </si>
  <si>
    <t>Cfao motors CI</t>
  </si>
  <si>
    <t>Tractafric motors CI</t>
  </si>
  <si>
    <t>Total CI</t>
  </si>
  <si>
    <t>Total Sénégal</t>
  </si>
  <si>
    <t>Bici CI</t>
  </si>
  <si>
    <t>Bank of africa benin</t>
  </si>
  <si>
    <t>Bank of africa BF</t>
  </si>
  <si>
    <t>Bank of africa CI</t>
  </si>
  <si>
    <t>Bank of africa mali</t>
  </si>
  <si>
    <t>Bank of africa Niger</t>
  </si>
  <si>
    <t>Bank of africa SN</t>
  </si>
  <si>
    <t>Coris bank inter. BF</t>
  </si>
  <si>
    <t>Ecobank CI</t>
  </si>
  <si>
    <t>ETI Togo</t>
  </si>
  <si>
    <t>Nsia banque CI</t>
  </si>
  <si>
    <t>Oragroup Togo</t>
  </si>
  <si>
    <t>Safca CI</t>
  </si>
  <si>
    <t>Société générale CI</t>
  </si>
  <si>
    <t>Sicable CI</t>
  </si>
  <si>
    <t>Filtisac CI</t>
  </si>
  <si>
    <t>Nei-ceda CI</t>
  </si>
  <si>
    <t>Nestle CI</t>
  </si>
  <si>
    <t>Crown Siem CI</t>
  </si>
  <si>
    <t>Air liquide CI</t>
  </si>
  <si>
    <t>Solibra CI</t>
  </si>
  <si>
    <t>Smb CI</t>
  </si>
  <si>
    <t>Sitab CI</t>
  </si>
  <si>
    <t>Unilever CI</t>
  </si>
  <si>
    <t>Uniwax CI</t>
  </si>
  <si>
    <t>Cie CI</t>
  </si>
  <si>
    <t>Onatel BF</t>
  </si>
  <si>
    <t>Sode CI</t>
  </si>
  <si>
    <t>Sonatel Sénégal</t>
  </si>
  <si>
    <t>Bolloré trans. &amp; Log. CI</t>
  </si>
  <si>
    <t>Movis CI</t>
  </si>
  <si>
    <t>Total</t>
  </si>
  <si>
    <t>Étiquettes de lignes</t>
  </si>
  <si>
    <t>Total général</t>
  </si>
  <si>
    <t>Somme de MONTANT NET</t>
  </si>
  <si>
    <t>Nombre de 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</si>
</sst>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_-* #,##0\ _€_-;\-* #,##0\ _€_-;_-* &quot;-&quot;??\ _€_-;_-@_-"/>
    <numFmt numFmtId="166" formatCode="_-* #,##0_-;\-* #,##0_-;_-* &quot;-&quot;??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Futura Bk BT"/>
      <family val="2"/>
    </font>
    <font>
      <sz val="10"/>
      <color rgb="FF000000"/>
      <name val="Futura Bk BT"/>
      <family val="2"/>
    </font>
    <font>
      <sz val="10"/>
      <color theme="1"/>
      <name val="Futura Bk BT"/>
      <family val="2"/>
    </font>
    <font>
      <b/>
      <sz val="10"/>
      <color theme="1"/>
      <name val="Futura Bk BT"/>
      <family val="2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2" borderId="1" applyNumberFormat="0" applyAlignment="0" applyProtection="0"/>
    <xf numFmtId="9" fontId="1" fillId="0" borderId="0" applyFont="0" applyFill="0" applyBorder="0" applyAlignment="0" applyProtection="0"/>
  </cellStyleXfs>
  <cellXfs count="49">
    <xf numFmtId="0" fontId="0" fillId="0" borderId="0" xfId="0"/>
    <xf numFmtId="165" fontId="6" fillId="0" borderId="2" xfId="1" applyNumberFormat="1" applyFont="1" applyBorder="1" applyAlignment="1"/>
    <xf numFmtId="0" fontId="0" fillId="0" borderId="2" xfId="0" applyBorder="1"/>
    <xf numFmtId="165" fontId="0" fillId="0" borderId="2" xfId="1" applyNumberFormat="1" applyFont="1" applyFill="1" applyBorder="1" applyAlignment="1">
      <alignment horizontal="center" vertical="center"/>
    </xf>
    <xf numFmtId="165" fontId="0" fillId="0" borderId="2" xfId="1" applyNumberFormat="1" applyFont="1" applyBorder="1" applyAlignment="1">
      <alignment horizontal="center"/>
    </xf>
    <xf numFmtId="165" fontId="6" fillId="0" borderId="2" xfId="1" applyNumberFormat="1" applyFont="1" applyFill="1" applyBorder="1" applyAlignment="1"/>
    <xf numFmtId="165" fontId="0" fillId="0" borderId="2" xfId="1" applyNumberFormat="1" applyFont="1" applyFill="1" applyBorder="1"/>
    <xf numFmtId="165" fontId="6" fillId="0" borderId="2" xfId="1" applyNumberFormat="1" applyFont="1" applyFill="1" applyBorder="1" applyAlignment="1">
      <alignment horizontal="center" vertical="center"/>
    </xf>
    <xf numFmtId="165" fontId="6" fillId="0" borderId="2" xfId="1" applyNumberFormat="1" applyFont="1" applyBorder="1" applyAlignment="1">
      <alignment horizontal="center"/>
    </xf>
    <xf numFmtId="2" fontId="0" fillId="0" borderId="2" xfId="0" applyNumberFormat="1" applyBorder="1"/>
    <xf numFmtId="2" fontId="6" fillId="0" borderId="2" xfId="0" applyNumberFormat="1" applyFont="1" applyBorder="1"/>
    <xf numFmtId="165" fontId="6" fillId="0" borderId="2" xfId="1" applyNumberFormat="1" applyFont="1" applyFill="1" applyBorder="1" applyAlignment="1">
      <alignment vertical="center"/>
    </xf>
    <xf numFmtId="164" fontId="8" fillId="0" borderId="7" xfId="1" applyFont="1" applyFill="1" applyBorder="1" applyAlignment="1">
      <alignment horizontal="center" vertical="center" wrapText="1"/>
    </xf>
    <xf numFmtId="164" fontId="8" fillId="0" borderId="3" xfId="1" applyFont="1" applyFill="1" applyBorder="1" applyAlignment="1">
      <alignment horizontal="center" vertical="center" wrapText="1"/>
    </xf>
    <xf numFmtId="164" fontId="8" fillId="6" borderId="7" xfId="1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49" fontId="8" fillId="4" borderId="4" xfId="0" applyNumberFormat="1" applyFont="1" applyFill="1" applyBorder="1" applyAlignment="1">
      <alignment horizontal="left" vertical="center" wrapText="1"/>
    </xf>
    <xf numFmtId="49" fontId="0" fillId="0" borderId="0" xfId="0" applyNumberFormat="1" applyAlignment="1">
      <alignment horizontal="left"/>
    </xf>
    <xf numFmtId="49" fontId="8" fillId="0" borderId="4" xfId="0" applyNumberFormat="1" applyFont="1" applyBorder="1" applyAlignment="1">
      <alignment horizontal="left" vertical="center" wrapText="1"/>
    </xf>
    <xf numFmtId="49" fontId="8" fillId="4" borderId="7" xfId="0" applyNumberFormat="1" applyFont="1" applyFill="1" applyBorder="1" applyAlignment="1">
      <alignment horizontal="left" vertical="center" wrapText="1"/>
    </xf>
    <xf numFmtId="49" fontId="8" fillId="4" borderId="3" xfId="0" applyNumberFormat="1" applyFont="1" applyFill="1" applyBorder="1" applyAlignment="1">
      <alignment horizontal="left" vertical="center" wrapText="1"/>
    </xf>
    <xf numFmtId="49" fontId="8" fillId="4" borderId="2" xfId="0" applyNumberFormat="1" applyFont="1" applyFill="1" applyBorder="1" applyAlignment="1">
      <alignment horizontal="left" vertical="center" wrapText="1"/>
    </xf>
    <xf numFmtId="49" fontId="8" fillId="0" borderId="7" xfId="0" applyNumberFormat="1" applyFont="1" applyBorder="1" applyAlignment="1">
      <alignment horizontal="left" vertical="center" wrapText="1"/>
    </xf>
    <xf numFmtId="1" fontId="7" fillId="4" borderId="4" xfId="1" applyNumberFormat="1" applyFont="1" applyFill="1" applyBorder="1" applyAlignment="1">
      <alignment horizontal="center" vertical="center" wrapText="1"/>
    </xf>
    <xf numFmtId="164" fontId="8" fillId="0" borderId="4" xfId="1" applyFont="1" applyFill="1" applyBorder="1" applyAlignment="1">
      <alignment horizontal="center" vertical="center" wrapText="1"/>
    </xf>
    <xf numFmtId="49" fontId="10" fillId="5" borderId="3" xfId="0" applyNumberFormat="1" applyFont="1" applyFill="1" applyBorder="1" applyAlignment="1">
      <alignment horizontal="left" vertical="center" wrapText="1"/>
    </xf>
    <xf numFmtId="164" fontId="9" fillId="5" borderId="3" xfId="1" applyFont="1" applyFill="1" applyBorder="1" applyAlignment="1">
      <alignment horizontal="center" wrapText="1"/>
    </xf>
    <xf numFmtId="49" fontId="10" fillId="5" borderId="7" xfId="0" applyNumberFormat="1" applyFont="1" applyFill="1" applyBorder="1" applyAlignment="1">
      <alignment horizontal="left" vertical="center" wrapText="1"/>
    </xf>
    <xf numFmtId="164" fontId="9" fillId="5" borderId="7" xfId="1" applyFont="1" applyFill="1" applyBorder="1" applyAlignment="1">
      <alignment horizontal="center" wrapText="1"/>
    </xf>
    <xf numFmtId="49" fontId="8" fillId="6" borderId="7" xfId="0" applyNumberFormat="1" applyFont="1" applyFill="1" applyBorder="1" applyAlignment="1">
      <alignment horizontal="left" vertical="center" wrapText="1"/>
    </xf>
    <xf numFmtId="0" fontId="9" fillId="5" borderId="7" xfId="0" applyFont="1" applyFill="1" applyBorder="1" applyAlignment="1">
      <alignment horizontal="center" wrapText="1"/>
    </xf>
    <xf numFmtId="1" fontId="7" fillId="4" borderId="0" xfId="1" applyNumberFormat="1" applyFont="1" applyFill="1" applyBorder="1" applyAlignment="1">
      <alignment horizontal="center" vertical="center" wrapText="1"/>
    </xf>
    <xf numFmtId="2" fontId="0" fillId="0" borderId="6" xfId="0" applyNumberFormat="1" applyBorder="1"/>
    <xf numFmtId="165" fontId="0" fillId="0" borderId="5" xfId="1" applyNumberFormat="1" applyFont="1" applyBorder="1" applyAlignment="1">
      <alignment horizontal="center"/>
    </xf>
    <xf numFmtId="2" fontId="5" fillId="3" borderId="10" xfId="2" applyNumberFormat="1" applyFont="1" applyFill="1" applyBorder="1" applyAlignment="1">
      <alignment horizontal="center" vertical="center"/>
    </xf>
    <xf numFmtId="2" fontId="5" fillId="3" borderId="7" xfId="2" applyNumberFormat="1" applyFont="1" applyFill="1" applyBorder="1" applyAlignment="1">
      <alignment horizontal="center" vertical="center"/>
    </xf>
    <xf numFmtId="165" fontId="5" fillId="3" borderId="3" xfId="1" applyNumberFormat="1" applyFont="1" applyFill="1" applyBorder="1" applyAlignment="1">
      <alignment vertical="center"/>
    </xf>
    <xf numFmtId="0" fontId="5" fillId="3" borderId="3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 wrapText="1"/>
    </xf>
    <xf numFmtId="0" fontId="5" fillId="3" borderId="9" xfId="2" applyFont="1" applyFill="1" applyBorder="1" applyAlignment="1">
      <alignment horizontal="center" vertical="center" wrapText="1"/>
    </xf>
    <xf numFmtId="0" fontId="0" fillId="0" borderId="11" xfId="0" applyBorder="1"/>
    <xf numFmtId="165" fontId="0" fillId="0" borderId="8" xfId="0" applyNumberFormat="1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2" xfId="1" applyNumberFormat="1" applyFont="1" applyBorder="1"/>
    <xf numFmtId="0" fontId="3" fillId="0" borderId="2" xfId="0" applyFont="1" applyBorder="1"/>
    <xf numFmtId="166" fontId="0" fillId="0" borderId="0" xfId="0" applyNumberFormat="1"/>
    <xf numFmtId="0" fontId="4" fillId="3" borderId="2" xfId="2" applyFont="1" applyFill="1" applyBorder="1" applyAlignment="1">
      <alignment horizontal="center" vertical="center" wrapText="1"/>
    </xf>
    <xf numFmtId="9" fontId="0" fillId="0" borderId="0" xfId="3" applyFont="1"/>
  </cellXfs>
  <cellStyles count="4">
    <cellStyle name="Milliers" xfId="1" builtinId="3"/>
    <cellStyle name="Normal" xfId="0" builtinId="0"/>
    <cellStyle name="Pourcentage" xfId="3" builtinId="5"/>
    <cellStyle name="Vérification" xfId="2" builtinId="23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border diagonalUp="0" diagonalDown="0" outline="0">
        <left/>
        <right style="thin">
          <color indexed="64"/>
        </right>
        <top/>
        <bottom/>
      </border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_-* #,##0_-;\-* #,##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[Simulation nouveau portefeuille.xlsm]Simul!TCD1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Simul!$P$6</c:f>
              <c:strCache>
                <c:ptCount val="1"/>
                <c:pt idx="0">
                  <c:v>Nombre de TITRE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628-4974-8710-9C95DA303C8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628-4974-8710-9C95DA303C8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628-4974-8710-9C95DA303C8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0628-4974-8710-9C95DA303C8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0628-4974-8710-9C95DA303C8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Simul!$O$7:$O$14</c:f>
              <c:strCache>
                <c:ptCount val="7"/>
                <c:pt idx="1">
                  <c:v>AGR</c:v>
                </c:pt>
                <c:pt idx="2">
                  <c:v>DIS</c:v>
                </c:pt>
                <c:pt idx="3">
                  <c:v>FIN</c:v>
                </c:pt>
                <c:pt idx="4">
                  <c:v>IND</c:v>
                </c:pt>
                <c:pt idx="5">
                  <c:v>SPU</c:v>
                </c:pt>
                <c:pt idx="6">
                  <c:v>TRP</c:v>
                </c:pt>
              </c:strCache>
            </c:strRef>
          </c:cat>
          <c:val>
            <c:numRef>
              <c:f>Simul!$P$7:$P$14</c:f>
              <c:numCache>
                <c:formatCode>_-* #\ ##0_-;\-* #\ ##0_-;_-* "-"??_-;_-@_-</c:formatCode>
                <c:ptCount val="7"/>
                <c:pt idx="0">
                  <c:v>1</c:v>
                </c:pt>
                <c:pt idx="1">
                  <c:v>3</c:v>
                </c:pt>
                <c:pt idx="2">
                  <c:v>3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A4-4121-809F-424FCD1F5BFC}"/>
            </c:ext>
          </c:extLst>
        </c:ser>
        <c:ser>
          <c:idx val="1"/>
          <c:order val="1"/>
          <c:tx>
            <c:strRef>
              <c:f>Simul!$Q$6</c:f>
              <c:strCache>
                <c:ptCount val="1"/>
                <c:pt idx="0">
                  <c:v>Somme de MONTANT NET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0628-4974-8710-9C95DA303C8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0628-4974-8710-9C95DA303C8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0628-4974-8710-9C95DA303C8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0628-4974-8710-9C95DA303C8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0628-4974-8710-9C95DA303C8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Simul!$O$7:$O$14</c:f>
              <c:strCache>
                <c:ptCount val="7"/>
                <c:pt idx="1">
                  <c:v>AGR</c:v>
                </c:pt>
                <c:pt idx="2">
                  <c:v>DIS</c:v>
                </c:pt>
                <c:pt idx="3">
                  <c:v>FIN</c:v>
                </c:pt>
                <c:pt idx="4">
                  <c:v>IND</c:v>
                </c:pt>
                <c:pt idx="5">
                  <c:v>SPU</c:v>
                </c:pt>
                <c:pt idx="6">
                  <c:v>TRP</c:v>
                </c:pt>
              </c:strCache>
            </c:strRef>
          </c:cat>
          <c:val>
            <c:numRef>
              <c:f>Simul!$Q$7:$Q$14</c:f>
              <c:numCache>
                <c:formatCode>_-* #\ ##0_-;\-* #\ ##0_-;_-* "-"??_-;_-@_-</c:formatCode>
                <c:ptCount val="7"/>
                <c:pt idx="0">
                  <c:v>0</c:v>
                </c:pt>
                <c:pt idx="1">
                  <c:v>80695215.599999994</c:v>
                </c:pt>
                <c:pt idx="2">
                  <c:v>30340429.199999999</c:v>
                </c:pt>
                <c:pt idx="3">
                  <c:v>911124000</c:v>
                </c:pt>
                <c:pt idx="4">
                  <c:v>32395520</c:v>
                </c:pt>
                <c:pt idx="5">
                  <c:v>77698630</c:v>
                </c:pt>
                <c:pt idx="6">
                  <c:v>17716300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CA4-4121-809F-424FCD1F5B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142875</xdr:colOff>
      <xdr:row>14</xdr:row>
      <xdr:rowOff>138112</xdr:rowOff>
    </xdr:from>
    <xdr:to>
      <xdr:col>17</xdr:col>
      <xdr:colOff>600075</xdr:colOff>
      <xdr:row>35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DF0DED8-B5B9-3BDB-BDB2-15E548CF80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Abdoul Ouedraogo" refreshedDate="44862.620943402777" backgroundQuery="1" createdVersion="8" refreshedVersion="8" minRefreshableVersion="3" recordCount="0" supportSubquery="1" supportAdvancedDrill="1" xr:uid="{282F7017-AE95-4AAD-BF73-61E7BDEAEC75}">
  <cacheSource type="external" connectionId="1"/>
  <cacheFields count="3">
    <cacheField name="[Tableau1].[Secteur].[Secteur]" caption="Secteur" numFmtId="0" hierarchy="1" level="1">
      <sharedItems count="7">
        <s v=""/>
        <s v="AGR"/>
        <s v="DIS"/>
        <s v="FIN"/>
        <s v="IND"/>
        <s v="SPU"/>
        <s v="TRP"/>
      </sharedItems>
    </cacheField>
    <cacheField name="[Measures].[Somme de MONTANT NET]" caption="Somme de MONTANT NET" numFmtId="0" hierarchy="14" level="32767"/>
    <cacheField name="[Measures].[Nombre de TITRE]" caption="Nombre de TITRE" numFmtId="0" hierarchy="15" level="32767"/>
  </cacheFields>
  <cacheHierarchies count="16">
    <cacheHierarchy uniqueName="[Tableau1].[TITRE]" caption="TITRE" attribute="1" defaultMemberUniqueName="[Tableau1].[TITRE].[All]" allUniqueName="[Tableau1].[TITRE].[All]" dimensionUniqueName="[Tableau1]" displayFolder="" count="0" memberValueDatatype="130" unbalanced="0"/>
    <cacheHierarchy uniqueName="[Tableau1].[Secteur]" caption="Secteur" attribute="1" defaultMemberUniqueName="[Tableau1].[Secteur].[All]" allUniqueName="[Tableau1].[Secteur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SYMBOLE]" caption="SYMBOLE" attribute="1" defaultMemberUniqueName="[Tableau1].[SYMBOLE].[All]" allUniqueName="[Tableau1].[SYMBOLE].[All]" dimensionUniqueName="[Tableau1]" displayFolder="" count="0" memberValueDatatype="130" unbalanced="0"/>
    <cacheHierarchy uniqueName="[Tableau1].[QUANTITE]" caption="QUANTITE" attribute="1" defaultMemberUniqueName="[Tableau1].[QUANTITE].[All]" allUniqueName="[Tableau1].[QUANTITE].[All]" dimensionUniqueName="[Tableau1]" displayFolder="" count="0" memberValueDatatype="20" unbalanced="0"/>
    <cacheHierarchy uniqueName="[Tableau1].[PRIX]" caption="PRIX" attribute="1" defaultMemberUniqueName="[Tableau1].[PRIX].[All]" allUniqueName="[Tableau1].[PRIX].[All]" dimensionUniqueName="[Tableau1]" displayFolder="" count="0" memberValueDatatype="20" unbalanced="0"/>
    <cacheHierarchy uniqueName="[Tableau1].[VAL BRUTE]" caption="VAL BRUTE" attribute="1" defaultMemberUniqueName="[Tableau1].[VAL BRUTE].[All]" allUniqueName="[Tableau1].[VAL BRUTE].[All]" dimensionUniqueName="[Tableau1]" displayFolder="" count="0" memberValueDatatype="20" unbalanced="0"/>
    <cacheHierarchy uniqueName="[Tableau1].[COM BRVM]" caption="COM BRVM" attribute="1" defaultMemberUniqueName="[Tableau1].[COM BRVM].[All]" allUniqueName="[Tableau1].[COM BRVM].[All]" dimensionUniqueName="[Tableau1]" displayFolder="" count="0" memberValueDatatype="20" unbalanced="0"/>
    <cacheHierarchy uniqueName="[Tableau1].[COM CB]" caption="COM CB" attribute="1" defaultMemberUniqueName="[Tableau1].[COM CB].[All]" allUniqueName="[Tableau1].[COM CB].[All]" dimensionUniqueName="[Tableau1]" displayFolder="" count="0" memberValueDatatype="20" unbalanced="0"/>
    <cacheHierarchy uniqueName="[Tableau1].[TVA]" caption="TVA" attribute="1" defaultMemberUniqueName="[Tableau1].[TVA].[All]" allUniqueName="[Tableau1].[TVA].[All]" dimensionUniqueName="[Tableau1]" displayFolder="" count="0" memberValueDatatype="5" unbalanced="0"/>
    <cacheHierarchy uniqueName="[Tableau1].[MONTANT NET]" caption="MONTANT NET" attribute="1" defaultMemberUniqueName="[Tableau1].[MONTANT NET].[All]" allUniqueName="[Tableau1].[MONTANT NET].[All]" dimensionUniqueName="[Tableau1]" displayFolder="" count="0" memberValueDatatype="5" unbalanced="0"/>
    <cacheHierarchy uniqueName="[Tableau1].[Div moyen sur 03 ans]" caption="Div moyen sur 03 ans" attribute="1" defaultMemberUniqueName="[Tableau1].[Div moyen sur 03 ans].[All]" allUniqueName="[Tableau1].[Div moyen sur 03 ans].[All]" dimensionUniqueName="[Tableau1]" displayFolder="" count="0" memberValueDatatype="130" unbalanced="0"/>
    <cacheHierarchy uniqueName="[Tableau1].[Montant à percevoir en 2023]" caption="Montant à percevoir en 2023" attribute="1" defaultMemberUniqueName="[Tableau1].[Montant à percevoir en 2023].[All]" allUniqueName="[Tableau1].[Montant à percevoir en 2023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MONTANT NET]" caption="Somme de MONTANT NET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TITRE]" caption="Nombre de TITR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ADA120-6DC8-4779-8D83-B8BFE91D26AC}" name="TCD1" cacheId="6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">
  <location ref="O6:Q14" firstHeaderRow="0" firstDataRow="1" firstDataCol="1"/>
  <pivotFields count="3">
    <pivotField axis="axisRow" allDrilled="1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TITRE" fld="2" subtotal="count" baseField="0" baseItem="0"/>
    <dataField name="Somme de MONTANT NET" fld="1" baseField="0" baseItem="0" numFmtId="166"/>
  </dataFields>
  <formats count="1">
    <format dxfId="30">
      <pivotArea outline="0" collapsedLevelsAreSubtotals="1" fieldPosition="0"/>
    </format>
  </formats>
  <chartFormats count="1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7">
      <pivotArea type="data" outline="0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chartFormat>
    <chartFormat chart="1" format="8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1" format="9">
      <pivotArea type="data" outline="0" fieldPosition="0">
        <references count="2">
          <reference field="4294967294" count="1" selected="0">
            <x v="1"/>
          </reference>
          <reference field="0" count="1" selected="0">
            <x v="4"/>
          </reference>
        </references>
      </pivotArea>
    </chartFormat>
    <chartFormat chart="1" format="10">
      <pivotArea type="data" outline="0" fieldPosition="0">
        <references count="2">
          <reference field="4294967294" count="1" selected="0">
            <x v="1"/>
          </reference>
          <reference field="0" count="1" selected="0">
            <x v="5"/>
          </reference>
        </references>
      </pivotArea>
    </chartFormat>
    <chartFormat chart="1" format="11">
      <pivotArea type="data" outline="0" fieldPosition="0">
        <references count="2">
          <reference field="4294967294" count="1" selected="0">
            <x v="1"/>
          </reference>
          <reference field="0" count="1" selected="0">
            <x v="6"/>
          </reference>
        </references>
      </pivotArea>
    </chartFormat>
  </chartFormats>
  <pivotHierarchies count="1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Simulation nouveau portefeuille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FA932B-D45E-45D3-9F71-5714FDF32B97}" name="Tableau1" displayName="Tableau1" ref="B5:M20" totalsRowCount="1" headerRowDxfId="29" tableBorderDxfId="28" headerRowCellStyle="Vérification">
  <autoFilter ref="B5:M19" xr:uid="{CEFA932B-D45E-45D3-9F71-5714FDF32B97}"/>
  <tableColumns count="12">
    <tableColumn id="1" xr3:uid="{529899AA-53C7-4277-AD7D-336BE805AF38}" name="TITRE" totalsRowLabel="Total" dataDxfId="27" totalsRowDxfId="11">
      <calculatedColumnFormula>IFERROR(VLOOKUP(D6,Feuil2!$B$5:$C$56,2,0)," ")</calculatedColumnFormula>
    </tableColumn>
    <tableColumn id="2" xr3:uid="{72376BCD-D2D7-4845-ADE9-2769A104B192}" name="Secteur" totalsRowFunction="sum" dataDxfId="26" totalsRowDxfId="10">
      <calculatedColumnFormula>IFERROR(VLOOKUP(D6,Feuil2!$B$5:$H$56,3,0)," ")</calculatedColumnFormula>
    </tableColumn>
    <tableColumn id="3" xr3:uid="{29758B07-421D-4B9A-B888-0E778D2ED267}" name="SYMBOLE" totalsRowFunction="sum" dataDxfId="25" totalsRowDxfId="9"/>
    <tableColumn id="4" xr3:uid="{B4635B6E-98BE-4711-AEC0-5FEB9525B58B}" name="QUANTITE" totalsRowFunction="sum" totalsRowDxfId="8"/>
    <tableColumn id="5" xr3:uid="{2150E746-5A34-45D9-B70C-9D0504DA5DBC}" name="PRIX" totalsRowFunction="sum" dataDxfId="24" totalsRowDxfId="7" dataCellStyle="Milliers"/>
    <tableColumn id="6" xr3:uid="{BC4AF587-2B53-41C5-A6D4-C0CC810E9026}" name="VAL BRUTE" totalsRowFunction="sum" dataDxfId="23" totalsRowDxfId="6" dataCellStyle="Milliers">
      <calculatedColumnFormula>+E6*F6</calculatedColumnFormula>
    </tableColumn>
    <tableColumn id="7" xr3:uid="{0888CDEF-203E-4DE1-B01A-D0F7302B5060}" name="COM BRVM" totalsRowFunction="sum" dataDxfId="22" totalsRowDxfId="5" dataCellStyle="Milliers">
      <calculatedColumnFormula>+G6*0.3%</calculatedColumnFormula>
    </tableColumn>
    <tableColumn id="8" xr3:uid="{0DDAA244-A600-4BB7-83B9-D8869082192A}" name="COM CB" totalsRowFunction="sum" dataDxfId="21" totalsRowDxfId="4" dataCellStyle="Milliers">
      <calculatedColumnFormula>+G6*0.8%</calculatedColumnFormula>
    </tableColumn>
    <tableColumn id="9" xr3:uid="{9DBF4C32-F92B-4931-AE6F-7C7865601BA0}" name="TVA" totalsRowFunction="sum" dataDxfId="20" totalsRowDxfId="3" dataCellStyle="Milliers">
      <calculatedColumnFormula>+I6*17%</calculatedColumnFormula>
    </tableColumn>
    <tableColumn id="10" xr3:uid="{9D5E3F27-4AF4-4B5B-A44D-1118EF4DCA20}" name="MONTANT NET" totalsRowFunction="sum" dataDxfId="19" totalsRowDxfId="2" dataCellStyle="Milliers">
      <calculatedColumnFormula>+G6+H6+I6+J6</calculatedColumnFormula>
    </tableColumn>
    <tableColumn id="11" xr3:uid="{2A004A7D-AAD7-4D8A-AEDC-0C95B77BB9FC}" name="Div moyen sur 03 ans" totalsRowFunction="sum" dataDxfId="18" totalsRowDxfId="1" dataCellStyle="Milliers">
      <calculatedColumnFormula>IFERROR(VLOOKUP(D6,Feuil2!$B$5:$H$56,5,0)," ")</calculatedColumnFormula>
    </tableColumn>
    <tableColumn id="12" xr3:uid="{C8D1066C-AB7C-473A-94D9-3E47E5F6A589}" name="Montant à percevoir en 2023" totalsRowFunction="sum" dataDxfId="17" totalsRowDxfId="0" dataCellStyle="Milliers">
      <calculatedColumnFormula>IFERROR(E6*L6," 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75B02-C19D-44B4-B9F9-B3A9D1D0337A}">
  <sheetPr codeName="Feuil2"/>
  <dimension ref="B2:S20"/>
  <sheetViews>
    <sheetView showGridLines="0" tabSelected="1" workbookViewId="0">
      <selection activeCell="K15" sqref="K15"/>
    </sheetView>
  </sheetViews>
  <sheetFormatPr baseColWidth="10" defaultRowHeight="15" x14ac:dyDescent="0.25"/>
  <cols>
    <col min="2" max="2" width="21" bestFit="1" customWidth="1"/>
    <col min="3" max="3" width="13" hidden="1" customWidth="1"/>
    <col min="4" max="4" width="11" bestFit="1" customWidth="1"/>
    <col min="5" max="5" width="13.85546875" bestFit="1" customWidth="1"/>
    <col min="6" max="6" width="9.5703125" bestFit="1" customWidth="1"/>
    <col min="7" max="7" width="15.140625" bestFit="1" customWidth="1"/>
    <col min="8" max="8" width="15.85546875" bestFit="1" customWidth="1"/>
    <col min="9" max="9" width="12.7109375" bestFit="1" customWidth="1"/>
    <col min="10" max="10" width="13.85546875" customWidth="1"/>
    <col min="11" max="11" width="15.140625" bestFit="1" customWidth="1"/>
    <col min="12" max="12" width="15" bestFit="1" customWidth="1"/>
    <col min="13" max="13" width="21.28515625" bestFit="1" customWidth="1"/>
    <col min="14" max="14" width="12.5703125" bestFit="1" customWidth="1"/>
    <col min="15" max="15" width="21" bestFit="1" customWidth="1"/>
    <col min="16" max="16" width="16.28515625" bestFit="1" customWidth="1"/>
    <col min="17" max="17" width="24.42578125" bestFit="1" customWidth="1"/>
  </cols>
  <sheetData>
    <row r="2" spans="2:19" x14ac:dyDescent="0.25">
      <c r="O2" s="45" t="s">
        <v>11</v>
      </c>
      <c r="P2" s="44">
        <v>250000000</v>
      </c>
    </row>
    <row r="3" spans="2:19" x14ac:dyDescent="0.25">
      <c r="O3" s="45" t="s">
        <v>12</v>
      </c>
      <c r="P3" s="44">
        <f>+Tableau1[[#Totals],[MONTANT NET]]</f>
        <v>1149970094.8</v>
      </c>
    </row>
    <row r="4" spans="2:19" ht="18.75" customHeight="1" x14ac:dyDescent="0.25">
      <c r="B4" s="47" t="s">
        <v>0</v>
      </c>
      <c r="C4" s="47"/>
      <c r="D4" s="47"/>
      <c r="E4" s="47"/>
      <c r="F4" s="47"/>
      <c r="G4" s="47"/>
      <c r="H4" s="47"/>
      <c r="I4" s="47"/>
      <c r="J4" s="47"/>
      <c r="K4" s="47"/>
      <c r="L4" s="47" t="s">
        <v>16</v>
      </c>
      <c r="M4" s="47"/>
      <c r="O4" s="45" t="s">
        <v>13</v>
      </c>
      <c r="P4" s="44">
        <f>P2-P3</f>
        <v>-899970094.79999995</v>
      </c>
    </row>
    <row r="5" spans="2:19" ht="30.75" customHeight="1" x14ac:dyDescent="0.25">
      <c r="B5" s="34" t="s">
        <v>1</v>
      </c>
      <c r="C5" s="35" t="s">
        <v>80</v>
      </c>
      <c r="D5" s="35" t="s">
        <v>71</v>
      </c>
      <c r="E5" s="36" t="s">
        <v>2</v>
      </c>
      <c r="F5" s="37" t="s">
        <v>3</v>
      </c>
      <c r="G5" s="37" t="s">
        <v>4</v>
      </c>
      <c r="H5" s="37" t="s">
        <v>5</v>
      </c>
      <c r="I5" s="37" t="s">
        <v>6</v>
      </c>
      <c r="J5" s="37" t="s">
        <v>7</v>
      </c>
      <c r="K5" s="38" t="s">
        <v>8</v>
      </c>
      <c r="L5" s="38" t="s">
        <v>14</v>
      </c>
      <c r="M5" s="39" t="s">
        <v>15</v>
      </c>
    </row>
    <row r="6" spans="2:19" x14ac:dyDescent="0.25">
      <c r="B6" s="32" t="str">
        <f>IFERROR(VLOOKUP(D6,Feuil2!$B$5:$C$56,2,0)," ")</f>
        <v>Sonatel Sénégal</v>
      </c>
      <c r="C6" s="9" t="str">
        <f>IFERROR(VLOOKUP(D6,Feuil2!$B$5:$H$56,3,0)," ")</f>
        <v>SPU</v>
      </c>
      <c r="D6" s="9" t="s">
        <v>66</v>
      </c>
      <c r="E6" s="1">
        <v>4000</v>
      </c>
      <c r="F6" s="2">
        <v>14600</v>
      </c>
      <c r="G6" s="4">
        <f>+E6*F6</f>
        <v>58400000</v>
      </c>
      <c r="H6" s="4">
        <f>+G6*0.3%</f>
        <v>175200</v>
      </c>
      <c r="I6" s="4">
        <f>+G6*0.8%</f>
        <v>467200</v>
      </c>
      <c r="J6" s="4">
        <f>+I6*17%</f>
        <v>79424</v>
      </c>
      <c r="K6" s="4">
        <f>+G6+H6+I6+J6</f>
        <v>59121824</v>
      </c>
      <c r="L6" s="4">
        <f>IFERROR(VLOOKUP(D6,Feuil2!$B$5:$H$56,5,0)," ")</f>
        <v>1225</v>
      </c>
      <c r="M6" s="33">
        <f>IFERROR(E6*L6," ")</f>
        <v>4900000</v>
      </c>
      <c r="O6" s="42" t="s">
        <v>133</v>
      </c>
      <c r="P6" t="s">
        <v>136</v>
      </c>
      <c r="Q6" t="s">
        <v>135</v>
      </c>
    </row>
    <row r="7" spans="2:19" x14ac:dyDescent="0.25">
      <c r="B7" s="32" t="str">
        <f>IFERROR(VLOOKUP(D7,Feuil2!$B$5:$C$56,2,0)," ")</f>
        <v>Palm CI</v>
      </c>
      <c r="C7" s="9" t="str">
        <f>IFERROR(VLOOKUP(D7,Feuil2!$B$5:$H$56,3,0)," ")</f>
        <v>AGR</v>
      </c>
      <c r="D7" s="9" t="s">
        <v>20</v>
      </c>
      <c r="E7" s="1">
        <v>4000</v>
      </c>
      <c r="F7" s="3">
        <v>9640</v>
      </c>
      <c r="G7" s="4">
        <f>+E7*F7</f>
        <v>38560000</v>
      </c>
      <c r="H7" s="4">
        <f>+G7*0.3%</f>
        <v>115680</v>
      </c>
      <c r="I7" s="4">
        <f>+G7*0.8%</f>
        <v>308480</v>
      </c>
      <c r="J7" s="4">
        <f>+I7*17%</f>
        <v>52441.600000000006</v>
      </c>
      <c r="K7" s="4">
        <f>+G7+H7+I7+J7</f>
        <v>39036601.600000001</v>
      </c>
      <c r="L7" s="4">
        <f>IFERROR(VLOOKUP(D7,Feuil2!$B$5:$H$56,5,0)," ")</f>
        <v>102.51</v>
      </c>
      <c r="M7" s="33">
        <f t="shared" ref="M7:M19" si="0">IFERROR(E7*L7," ")</f>
        <v>410040</v>
      </c>
      <c r="O7" s="43"/>
      <c r="P7" s="46">
        <v>1</v>
      </c>
      <c r="Q7" s="46">
        <v>0</v>
      </c>
      <c r="S7" s="48">
        <f>Q7/$Q$13</f>
        <v>0</v>
      </c>
    </row>
    <row r="8" spans="2:19" x14ac:dyDescent="0.25">
      <c r="B8" s="32" t="str">
        <f>IFERROR(VLOOKUP(D8,Feuil2!$B$5:$C$56,2,0)," ")</f>
        <v>Total CI</v>
      </c>
      <c r="C8" s="9" t="str">
        <f>IFERROR(VLOOKUP(D8,Feuil2!$B$5:$H$56,3,0)," ")</f>
        <v>DIS</v>
      </c>
      <c r="D8" s="9" t="s">
        <v>33</v>
      </c>
      <c r="E8" s="5">
        <v>6000</v>
      </c>
      <c r="F8" s="2">
        <v>2345</v>
      </c>
      <c r="G8" s="4">
        <f>+E8*F8</f>
        <v>14070000</v>
      </c>
      <c r="H8" s="4">
        <f>+G8*0.3%</f>
        <v>42210</v>
      </c>
      <c r="I8" s="4">
        <f>+G8*0.8%</f>
        <v>112560</v>
      </c>
      <c r="J8" s="4">
        <f t="shared" ref="J8:J19" si="1">+I8*17%</f>
        <v>19135.2</v>
      </c>
      <c r="K8" s="4">
        <f t="shared" ref="K8:K19" si="2">+G8+H8+I8+J8</f>
        <v>14243905.199999999</v>
      </c>
      <c r="L8" s="4">
        <f>IFERROR(VLOOKUP(D8,Feuil2!$B$5:$H$56,5,0)," ")</f>
        <v>109.31399999999999</v>
      </c>
      <c r="M8" s="33">
        <f t="shared" si="0"/>
        <v>655884</v>
      </c>
      <c r="O8" s="43" t="s">
        <v>81</v>
      </c>
      <c r="P8" s="46">
        <v>3</v>
      </c>
      <c r="Q8" s="46">
        <v>80695215.599999994</v>
      </c>
      <c r="S8" s="48">
        <f t="shared" ref="S8:S12" si="3">Q8/$Q$13</f>
        <v>4.5548571428571423</v>
      </c>
    </row>
    <row r="9" spans="2:19" x14ac:dyDescent="0.25">
      <c r="B9" s="32" t="str">
        <f>IFERROR(VLOOKUP(D9,Feuil2!$B$5:$C$56,2,0)," ")</f>
        <v>Tractafric motors CI</v>
      </c>
      <c r="C9" s="9" t="str">
        <f>IFERROR(VLOOKUP(D9,Feuil2!$B$5:$H$56,3,0)," ")</f>
        <v>DIS</v>
      </c>
      <c r="D9" s="9" t="s">
        <v>31</v>
      </c>
      <c r="E9" s="5">
        <v>3000</v>
      </c>
      <c r="F9" s="6">
        <v>3700</v>
      </c>
      <c r="G9" s="4">
        <f>+E9*F9</f>
        <v>11100000</v>
      </c>
      <c r="H9" s="4">
        <f>+G9*0.3%</f>
        <v>33300</v>
      </c>
      <c r="I9" s="4">
        <f>+G9*0.8%</f>
        <v>88800</v>
      </c>
      <c r="J9" s="4">
        <f t="shared" si="1"/>
        <v>15096.000000000002</v>
      </c>
      <c r="K9" s="4">
        <f t="shared" si="2"/>
        <v>11237196</v>
      </c>
      <c r="L9" s="4">
        <f>IFERROR(VLOOKUP(D9,Feuil2!$B$5:$H$56,5,0)," ")</f>
        <v>162.9</v>
      </c>
      <c r="M9" s="33">
        <f t="shared" si="0"/>
        <v>488700</v>
      </c>
      <c r="O9" s="43" t="s">
        <v>83</v>
      </c>
      <c r="P9" s="46">
        <v>3</v>
      </c>
      <c r="Q9" s="46">
        <v>30340429.199999999</v>
      </c>
      <c r="S9" s="48">
        <f t="shared" si="3"/>
        <v>1.7125714285714286</v>
      </c>
    </row>
    <row r="10" spans="2:19" x14ac:dyDescent="0.25">
      <c r="B10" s="32" t="str">
        <f>IFERROR(VLOOKUP(D10,Feuil2!$B$5:$C$56,2,0)," ")</f>
        <v>Bolloré trans. &amp; Log. CI</v>
      </c>
      <c r="C10" s="9" t="str">
        <f>IFERROR(VLOOKUP(D10,Feuil2!$B$5:$H$56,3,0)," ")</f>
        <v>TRP</v>
      </c>
      <c r="D10" s="9" t="s">
        <v>68</v>
      </c>
      <c r="E10" s="5">
        <v>10000</v>
      </c>
      <c r="F10" s="6">
        <v>1750</v>
      </c>
      <c r="G10" s="4">
        <f t="shared" ref="G10:G19" si="4">+E10*F10</f>
        <v>17500000</v>
      </c>
      <c r="H10" s="4">
        <f t="shared" ref="H10:H19" si="5">+G10*0.3%</f>
        <v>52500</v>
      </c>
      <c r="I10" s="4">
        <f t="shared" ref="I10:I19" si="6">+G10*0.8%</f>
        <v>140000</v>
      </c>
      <c r="J10" s="4">
        <f t="shared" si="1"/>
        <v>23800</v>
      </c>
      <c r="K10" s="4">
        <f t="shared" si="2"/>
        <v>17716300</v>
      </c>
      <c r="L10" s="4">
        <f>IFERROR(VLOOKUP(D10,Feuil2!$B$5:$H$56,5,0)," ")</f>
        <v>100</v>
      </c>
      <c r="M10" s="33">
        <f t="shared" si="0"/>
        <v>1000000</v>
      </c>
      <c r="O10" s="43" t="s">
        <v>84</v>
      </c>
      <c r="P10" s="46">
        <v>1</v>
      </c>
      <c r="Q10" s="46">
        <v>911124000</v>
      </c>
      <c r="S10" s="48">
        <f t="shared" si="3"/>
        <v>51.428571428571431</v>
      </c>
    </row>
    <row r="11" spans="2:19" x14ac:dyDescent="0.25">
      <c r="B11" s="32" t="str">
        <f>IFERROR(VLOOKUP(D11,Feuil2!$B$5:$C$56,2,0)," ")</f>
        <v>Sogb CI</v>
      </c>
      <c r="C11" s="9" t="str">
        <f>IFERROR(VLOOKUP(D11,Feuil2!$B$5:$H$56,3,0)," ")</f>
        <v>AGR</v>
      </c>
      <c r="D11" s="9" t="s">
        <v>23</v>
      </c>
      <c r="E11" s="5">
        <v>5000</v>
      </c>
      <c r="F11" s="6">
        <v>6150</v>
      </c>
      <c r="G11" s="4">
        <f t="shared" si="4"/>
        <v>30750000</v>
      </c>
      <c r="H11" s="4">
        <f t="shared" si="5"/>
        <v>92250</v>
      </c>
      <c r="I11" s="4">
        <f t="shared" si="6"/>
        <v>246000</v>
      </c>
      <c r="J11" s="4">
        <f t="shared" si="1"/>
        <v>41820</v>
      </c>
      <c r="K11" s="4">
        <f t="shared" si="2"/>
        <v>31130070</v>
      </c>
      <c r="L11" s="4">
        <f>IFERROR(VLOOKUP(D11,Feuil2!$B$5:$H$56,5,0)," ")</f>
        <v>250.00200000000001</v>
      </c>
      <c r="M11" s="33">
        <f t="shared" si="0"/>
        <v>1250010</v>
      </c>
      <c r="O11" s="43" t="s">
        <v>85</v>
      </c>
      <c r="P11" s="46">
        <v>1</v>
      </c>
      <c r="Q11" s="46">
        <v>32395520</v>
      </c>
      <c r="S11" s="48">
        <f t="shared" si="3"/>
        <v>1.8285714285714285</v>
      </c>
    </row>
    <row r="12" spans="2:19" x14ac:dyDescent="0.25">
      <c r="B12" s="32" t="str">
        <f>IFERROR(VLOOKUP(D12,Feuil2!$B$5:$C$56,2,0)," ")</f>
        <v>Nestle CI</v>
      </c>
      <c r="C12" s="9" t="str">
        <f>IFERROR(VLOOKUP(D12,Feuil2!$B$5:$H$56,3,0)," ")</f>
        <v>IND</v>
      </c>
      <c r="D12" s="9" t="s">
        <v>54</v>
      </c>
      <c r="E12" s="5">
        <v>5000</v>
      </c>
      <c r="F12" s="6">
        <v>6400</v>
      </c>
      <c r="G12" s="4">
        <f t="shared" si="4"/>
        <v>32000000</v>
      </c>
      <c r="H12" s="4">
        <f t="shared" si="5"/>
        <v>96000</v>
      </c>
      <c r="I12" s="4">
        <f t="shared" si="6"/>
        <v>256000</v>
      </c>
      <c r="J12" s="4">
        <f t="shared" si="1"/>
        <v>43520</v>
      </c>
      <c r="K12" s="4">
        <f t="shared" si="2"/>
        <v>32395520</v>
      </c>
      <c r="L12" s="4">
        <f>IFERROR(VLOOKUP(D12,Feuil2!$B$5:$H$56,5,0)," ")</f>
        <v>363.66399999999999</v>
      </c>
      <c r="M12" s="33">
        <f t="shared" si="0"/>
        <v>1818320</v>
      </c>
      <c r="O12" s="43" t="s">
        <v>86</v>
      </c>
      <c r="P12" s="46">
        <v>2</v>
      </c>
      <c r="Q12" s="46">
        <v>77698630</v>
      </c>
      <c r="S12" s="48">
        <f t="shared" si="3"/>
        <v>4.3857142857142861</v>
      </c>
    </row>
    <row r="13" spans="2:19" x14ac:dyDescent="0.25">
      <c r="B13" s="32" t="str">
        <f>IFERROR(VLOOKUP(D13,Feuil2!$B$5:$C$56,2,0)," ")</f>
        <v>Onatel BF</v>
      </c>
      <c r="C13" s="9" t="str">
        <f>IFERROR(VLOOKUP(D13,Feuil2!$B$5:$H$56,3,0)," ")</f>
        <v>SPU</v>
      </c>
      <c r="D13" s="10" t="s">
        <v>64</v>
      </c>
      <c r="E13" s="1">
        <v>5000</v>
      </c>
      <c r="F13" s="7">
        <v>3670</v>
      </c>
      <c r="G13" s="8">
        <f t="shared" si="4"/>
        <v>18350000</v>
      </c>
      <c r="H13" s="8">
        <f t="shared" si="5"/>
        <v>55050</v>
      </c>
      <c r="I13" s="8">
        <f t="shared" si="6"/>
        <v>146800</v>
      </c>
      <c r="J13" s="4">
        <f t="shared" si="1"/>
        <v>24956</v>
      </c>
      <c r="K13" s="8">
        <f t="shared" si="2"/>
        <v>18576806</v>
      </c>
      <c r="L13" s="4">
        <f>IFERROR(VLOOKUP(D13,Feuil2!$B$5:$H$56,5,0)," ")</f>
        <v>399.56349999999998</v>
      </c>
      <c r="M13" s="33">
        <f t="shared" si="0"/>
        <v>1997817.4999999998</v>
      </c>
      <c r="O13" s="43" t="s">
        <v>87</v>
      </c>
      <c r="P13" s="46">
        <v>1</v>
      </c>
      <c r="Q13" s="46">
        <v>17716300</v>
      </c>
    </row>
    <row r="14" spans="2:19" x14ac:dyDescent="0.25">
      <c r="B14" s="32" t="str">
        <f>IFERROR(VLOOKUP(D14,Feuil2!$B$5:$C$56,2,0)," ")</f>
        <v>Saph CI</v>
      </c>
      <c r="C14" s="9" t="str">
        <f>IFERROR(VLOOKUP(D14,Feuil2!$B$5:$H$56,3,0)," ")</f>
        <v>AGR</v>
      </c>
      <c r="D14" s="10" t="s">
        <v>24</v>
      </c>
      <c r="E14" s="1">
        <v>2000</v>
      </c>
      <c r="F14" s="7">
        <v>5200</v>
      </c>
      <c r="G14" s="8">
        <f t="shared" si="4"/>
        <v>10400000</v>
      </c>
      <c r="H14" s="8">
        <f t="shared" si="5"/>
        <v>31200</v>
      </c>
      <c r="I14" s="8">
        <f t="shared" si="6"/>
        <v>83200</v>
      </c>
      <c r="J14" s="4">
        <f t="shared" si="1"/>
        <v>14144.000000000002</v>
      </c>
      <c r="K14" s="8">
        <f t="shared" si="2"/>
        <v>10528544</v>
      </c>
      <c r="L14" s="4">
        <f>IFERROR(VLOOKUP(D14,Feuil2!$B$5:$H$56,5,0)," ")</f>
        <v>132.30000000000001</v>
      </c>
      <c r="M14" s="33">
        <f t="shared" si="0"/>
        <v>264600</v>
      </c>
      <c r="O14" s="43" t="s">
        <v>134</v>
      </c>
      <c r="P14" s="46">
        <v>12</v>
      </c>
      <c r="Q14" s="46">
        <v>1149970094.8</v>
      </c>
    </row>
    <row r="15" spans="2:19" x14ac:dyDescent="0.25">
      <c r="B15" s="32" t="str">
        <f>IFERROR(VLOOKUP(D15,Feuil2!$B$5:$C$56,2,0)," ")</f>
        <v>Total Sénégal</v>
      </c>
      <c r="C15" s="9" t="str">
        <f>IFERROR(VLOOKUP(D15,Feuil2!$B$5:$H$56,3,0)," ")</f>
        <v>DIS</v>
      </c>
      <c r="D15" s="10" t="s">
        <v>34</v>
      </c>
      <c r="E15" s="5">
        <v>2000</v>
      </c>
      <c r="F15" s="7">
        <v>2400</v>
      </c>
      <c r="G15" s="8">
        <f t="shared" si="4"/>
        <v>4800000</v>
      </c>
      <c r="H15" s="8">
        <f t="shared" si="5"/>
        <v>14400</v>
      </c>
      <c r="I15" s="8">
        <f t="shared" si="6"/>
        <v>38400</v>
      </c>
      <c r="J15" s="4">
        <f t="shared" si="1"/>
        <v>6528.0000000000009</v>
      </c>
      <c r="K15" s="8">
        <f t="shared" si="2"/>
        <v>4859328</v>
      </c>
      <c r="L15" s="4">
        <f>IFERROR(VLOOKUP(D15,Feuil2!$B$5:$H$56,5,0)," ")</f>
        <v>223.6</v>
      </c>
      <c r="M15" s="33">
        <f t="shared" si="0"/>
        <v>447200</v>
      </c>
    </row>
    <row r="16" spans="2:19" x14ac:dyDescent="0.25">
      <c r="B16" s="32" t="str">
        <f>IFERROR(VLOOKUP(D16,Feuil2!$B$5:$C$56,2,0)," ")</f>
        <v>Coris bank inter. BF</v>
      </c>
      <c r="C16" s="9" t="str">
        <f>IFERROR(VLOOKUP(D16,Feuil2!$B$5:$H$56,3,0)," ")</f>
        <v>FIN</v>
      </c>
      <c r="D16" s="10" t="s">
        <v>43</v>
      </c>
      <c r="E16" s="11">
        <v>100000</v>
      </c>
      <c r="F16" s="7">
        <v>9000</v>
      </c>
      <c r="G16" s="8">
        <f t="shared" ref="G16" si="7">+E16*F16</f>
        <v>900000000</v>
      </c>
      <c r="H16" s="8">
        <f t="shared" ref="H16" si="8">+G16*0.3%</f>
        <v>2700000</v>
      </c>
      <c r="I16" s="8">
        <f t="shared" ref="I16" si="9">+G16*0.8%</f>
        <v>7200000</v>
      </c>
      <c r="J16" s="4">
        <f t="shared" ref="J16" si="10">+I16*17%</f>
        <v>1224000</v>
      </c>
      <c r="K16" s="8">
        <f t="shared" ref="K16" si="11">+G16+H16+I16+J16</f>
        <v>911124000</v>
      </c>
      <c r="L16" s="4">
        <f>IFERROR(VLOOKUP(D16,Feuil2!$B$5:$H$56,5,0)," ")</f>
        <v>406</v>
      </c>
      <c r="M16" s="33">
        <f t="shared" ref="M16" si="12">IFERROR(E16*L16," ")</f>
        <v>40600000</v>
      </c>
    </row>
    <row r="17" spans="2:13" x14ac:dyDescent="0.25">
      <c r="B17" s="32" t="str">
        <f>IFERROR(VLOOKUP(D17,Feuil2!$B$5:$C$56,2,0)," ")</f>
        <v xml:space="preserve"> </v>
      </c>
      <c r="C17" s="9" t="str">
        <f>IFERROR(VLOOKUP(D17,Feuil2!$B$5:$H$56,3,0)," ")</f>
        <v xml:space="preserve"> </v>
      </c>
      <c r="D17" s="10"/>
      <c r="E17" s="11"/>
      <c r="F17" s="7"/>
      <c r="G17" s="8">
        <f>+E17*F17</f>
        <v>0</v>
      </c>
      <c r="H17" s="8">
        <f>+G17*0.3%</f>
        <v>0</v>
      </c>
      <c r="I17" s="8">
        <f>+G17*0.8%</f>
        <v>0</v>
      </c>
      <c r="J17" s="4">
        <f>+I17*17%</f>
        <v>0</v>
      </c>
      <c r="K17" s="8">
        <f>+G17+H17+I17+J17</f>
        <v>0</v>
      </c>
      <c r="L17" s="4" t="str">
        <f>IFERROR(VLOOKUP(D17,Feuil2!$B$5:$H$56,5,0)," ")</f>
        <v xml:space="preserve"> </v>
      </c>
      <c r="M17" s="33" t="str">
        <f>IFERROR(E17*L17," ")</f>
        <v xml:space="preserve"> </v>
      </c>
    </row>
    <row r="18" spans="2:13" x14ac:dyDescent="0.25">
      <c r="B18" s="32" t="str">
        <f>IFERROR(VLOOKUP(D18,Feuil2!$B$5:$C$56,2,0)," ")</f>
        <v xml:space="preserve"> </v>
      </c>
      <c r="C18" s="9" t="str">
        <f>IFERROR(VLOOKUP(D18,Feuil2!$B$5:$H$56,3,0)," ")</f>
        <v xml:space="preserve"> </v>
      </c>
      <c r="D18" s="10"/>
      <c r="E18" s="11"/>
      <c r="F18" s="7"/>
      <c r="G18" s="8">
        <f>+E18*F18</f>
        <v>0</v>
      </c>
      <c r="H18" s="8">
        <f>+G18*0.3%</f>
        <v>0</v>
      </c>
      <c r="I18" s="8">
        <f>+G18*0.8%</f>
        <v>0</v>
      </c>
      <c r="J18" s="4">
        <f>+I18*17%</f>
        <v>0</v>
      </c>
      <c r="K18" s="8">
        <f>+G18+H18+I18+J18</f>
        <v>0</v>
      </c>
      <c r="L18" s="4" t="str">
        <f>IFERROR(VLOOKUP(D18,Feuil2!$B$5:$H$56,5,0)," ")</f>
        <v xml:space="preserve"> </v>
      </c>
      <c r="M18" s="33" t="str">
        <f>IFERROR(E18*L18," ")</f>
        <v xml:space="preserve"> </v>
      </c>
    </row>
    <row r="19" spans="2:13" x14ac:dyDescent="0.25">
      <c r="B19" s="32" t="str">
        <f>IFERROR(VLOOKUP(D19,Feuil2!$B$5:$C$56,2,0)," ")</f>
        <v xml:space="preserve"> </v>
      </c>
      <c r="C19" s="9" t="str">
        <f>IFERROR(VLOOKUP(D19,Feuil2!$B$5:$H$56,3,0)," ")</f>
        <v xml:space="preserve"> </v>
      </c>
      <c r="D19" s="10"/>
      <c r="E19" s="11"/>
      <c r="F19" s="7"/>
      <c r="G19" s="8">
        <f t="shared" si="4"/>
        <v>0</v>
      </c>
      <c r="H19" s="8">
        <f t="shared" si="5"/>
        <v>0</v>
      </c>
      <c r="I19" s="8">
        <f t="shared" si="6"/>
        <v>0</v>
      </c>
      <c r="J19" s="4">
        <f t="shared" si="1"/>
        <v>0</v>
      </c>
      <c r="K19" s="8">
        <f t="shared" si="2"/>
        <v>0</v>
      </c>
      <c r="L19" s="4" t="str">
        <f>IFERROR(VLOOKUP(D19,Feuil2!$B$5:$H$56,5,0)," ")</f>
        <v xml:space="preserve"> </v>
      </c>
      <c r="M19" s="33" t="str">
        <f t="shared" si="0"/>
        <v xml:space="preserve"> </v>
      </c>
    </row>
    <row r="20" spans="2:13" x14ac:dyDescent="0.25">
      <c r="B20" s="40" t="s">
        <v>132</v>
      </c>
      <c r="C20" s="41">
        <f>SUBTOTAL(109,Tableau1[Secteur])</f>
        <v>0</v>
      </c>
      <c r="D20" s="41">
        <f>SUBTOTAL(109,Tableau1[SYMBOLE])</f>
        <v>0</v>
      </c>
      <c r="E20" s="41">
        <f>SUBTOTAL(109,Tableau1[QUANTITE])</f>
        <v>146000</v>
      </c>
      <c r="F20" s="41">
        <f>SUBTOTAL(109,Tableau1[PRIX])</f>
        <v>64855</v>
      </c>
      <c r="G20" s="41">
        <f>SUBTOTAL(109,Tableau1[VAL BRUTE])</f>
        <v>1135930000</v>
      </c>
      <c r="H20" s="41">
        <f>SUBTOTAL(109,Tableau1[COM BRVM])</f>
        <v>3407790</v>
      </c>
      <c r="I20" s="41">
        <f>SUBTOTAL(109,Tableau1[COM CB])</f>
        <v>9087440</v>
      </c>
      <c r="J20" s="41">
        <f>SUBTOTAL(109,Tableau1[TVA])</f>
        <v>1544864.8</v>
      </c>
      <c r="K20" s="41">
        <f>SUBTOTAL(109,Tableau1[MONTANT NET])</f>
        <v>1149970094.8</v>
      </c>
      <c r="L20" s="41">
        <f>SUBTOTAL(109,Tableau1[Div moyen sur 03 ans])</f>
        <v>3474.8535000000006</v>
      </c>
      <c r="M20" s="41">
        <f>SUBTOTAL(109,Tableau1[Montant à percevoir en 2023])</f>
        <v>53832571.5</v>
      </c>
    </row>
  </sheetData>
  <mergeCells count="2">
    <mergeCell ref="L4:M4"/>
    <mergeCell ref="B4:K4"/>
  </mergeCell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59AD6C-5CE5-492F-B3E5-7D1D4ABE5232}">
  <sheetPr codeName="Feuil3"/>
  <dimension ref="B3:L57"/>
  <sheetViews>
    <sheetView workbookViewId="0">
      <selection activeCell="C54" sqref="C54"/>
    </sheetView>
  </sheetViews>
  <sheetFormatPr baseColWidth="10" defaultRowHeight="15" x14ac:dyDescent="0.25"/>
  <cols>
    <col min="2" max="3" width="14.28515625" style="17" customWidth="1"/>
    <col min="4" max="4" width="7.42578125" style="17" customWidth="1"/>
  </cols>
  <sheetData>
    <row r="3" spans="2:12" x14ac:dyDescent="0.25">
      <c r="E3" s="15">
        <v>2020</v>
      </c>
      <c r="F3" s="15">
        <v>2021</v>
      </c>
      <c r="G3" s="15">
        <v>2022</v>
      </c>
    </row>
    <row r="4" spans="2:12" ht="25.5" x14ac:dyDescent="0.25">
      <c r="E4" s="23" t="s">
        <v>17</v>
      </c>
      <c r="F4" s="23" t="s">
        <v>18</v>
      </c>
      <c r="G4" s="23" t="s">
        <v>19</v>
      </c>
      <c r="H4" s="31" t="s">
        <v>88</v>
      </c>
    </row>
    <row r="5" spans="2:12" x14ac:dyDescent="0.25">
      <c r="B5" s="18" t="s">
        <v>20</v>
      </c>
      <c r="C5" s="18" t="s">
        <v>89</v>
      </c>
      <c r="D5" s="18" t="s">
        <v>81</v>
      </c>
      <c r="E5" s="24">
        <v>0</v>
      </c>
      <c r="F5" s="24">
        <v>102.51</v>
      </c>
      <c r="G5" s="24">
        <v>1236.3399999999999</v>
      </c>
      <c r="H5" s="24">
        <f>IFERROR(AVERAGEIF(E5:G5,"&lt;&gt;0")," ")</f>
        <v>669.42499999999995</v>
      </c>
      <c r="K5" t="s">
        <v>20</v>
      </c>
      <c r="L5">
        <v>1236.3399999999999</v>
      </c>
    </row>
    <row r="6" spans="2:12" x14ac:dyDescent="0.25">
      <c r="B6" s="19" t="s">
        <v>21</v>
      </c>
      <c r="C6" s="19" t="s">
        <v>90</v>
      </c>
      <c r="D6" s="22" t="s">
        <v>81</v>
      </c>
      <c r="E6" s="12">
        <v>0</v>
      </c>
      <c r="F6" s="12">
        <v>40.5</v>
      </c>
      <c r="G6" s="12">
        <v>0</v>
      </c>
      <c r="H6" s="12">
        <f t="shared" ref="H6:H56" si="0">IFERROR(AVERAGEIF(E6:G6,"&lt;&gt;0")," ")</f>
        <v>40.5</v>
      </c>
      <c r="K6" t="s">
        <v>21</v>
      </c>
      <c r="L6">
        <v>0</v>
      </c>
    </row>
    <row r="7" spans="2:12" x14ac:dyDescent="0.25">
      <c r="B7" s="19" t="s">
        <v>22</v>
      </c>
      <c r="C7" s="19" t="s">
        <v>91</v>
      </c>
      <c r="D7" s="22" t="s">
        <v>81</v>
      </c>
      <c r="E7" s="12">
        <v>0</v>
      </c>
      <c r="F7" s="12">
        <v>0</v>
      </c>
      <c r="G7" s="12">
        <v>0</v>
      </c>
      <c r="H7" s="12" t="str">
        <f t="shared" si="0"/>
        <v xml:space="preserve"> </v>
      </c>
      <c r="K7" t="s">
        <v>22</v>
      </c>
    </row>
    <row r="8" spans="2:12" x14ac:dyDescent="0.25">
      <c r="B8" s="19" t="s">
        <v>23</v>
      </c>
      <c r="C8" s="19" t="s">
        <v>92</v>
      </c>
      <c r="D8" s="22" t="s">
        <v>81</v>
      </c>
      <c r="E8" s="12">
        <v>126</v>
      </c>
      <c r="F8" s="12">
        <v>250.00200000000001</v>
      </c>
      <c r="G8" s="12">
        <v>541.79</v>
      </c>
      <c r="H8" s="12">
        <f t="shared" si="0"/>
        <v>305.93066666666664</v>
      </c>
      <c r="K8" t="s">
        <v>23</v>
      </c>
      <c r="L8">
        <v>541.79</v>
      </c>
    </row>
    <row r="9" spans="2:12" x14ac:dyDescent="0.25">
      <c r="B9" s="20" t="s">
        <v>24</v>
      </c>
      <c r="C9" s="19" t="s">
        <v>93</v>
      </c>
      <c r="D9" s="22" t="s">
        <v>81</v>
      </c>
      <c r="E9" s="12">
        <v>0</v>
      </c>
      <c r="F9" s="12">
        <v>132.30000000000001</v>
      </c>
      <c r="G9" s="12">
        <v>365.4</v>
      </c>
      <c r="H9" s="12">
        <f t="shared" si="0"/>
        <v>248.85</v>
      </c>
      <c r="K9" t="s">
        <v>24</v>
      </c>
      <c r="L9">
        <v>365.4</v>
      </c>
    </row>
    <row r="10" spans="2:12" ht="25.5" customHeight="1" x14ac:dyDescent="0.25">
      <c r="B10" s="25" t="s">
        <v>25</v>
      </c>
      <c r="C10" s="25" t="s">
        <v>72</v>
      </c>
      <c r="D10" s="25"/>
      <c r="E10" s="26">
        <v>1</v>
      </c>
      <c r="F10" s="26">
        <v>4</v>
      </c>
      <c r="G10" s="26" t="e">
        <v>#N/A</v>
      </c>
      <c r="H10" s="26" t="str">
        <f t="shared" si="0"/>
        <v xml:space="preserve"> </v>
      </c>
      <c r="K10" t="s">
        <v>72</v>
      </c>
      <c r="L10">
        <v>3</v>
      </c>
    </row>
    <row r="11" spans="2:12" x14ac:dyDescent="0.25">
      <c r="B11" s="21" t="s">
        <v>26</v>
      </c>
      <c r="C11" s="19" t="s">
        <v>94</v>
      </c>
      <c r="D11" s="19" t="s">
        <v>82</v>
      </c>
      <c r="E11" s="12">
        <v>0</v>
      </c>
      <c r="F11" s="12">
        <v>66.150000000000006</v>
      </c>
      <c r="G11" s="12">
        <v>66.150000000000006</v>
      </c>
      <c r="H11" s="12">
        <f t="shared" si="0"/>
        <v>66.150000000000006</v>
      </c>
      <c r="K11" t="s">
        <v>26</v>
      </c>
      <c r="L11">
        <v>66.150000000000006</v>
      </c>
    </row>
    <row r="12" spans="2:12" ht="25.5" x14ac:dyDescent="0.25">
      <c r="B12" s="27" t="s">
        <v>27</v>
      </c>
      <c r="C12" s="27" t="s">
        <v>73</v>
      </c>
      <c r="D12" s="27"/>
      <c r="E12" s="28">
        <v>0</v>
      </c>
      <c r="F12" s="28">
        <v>1</v>
      </c>
      <c r="G12" s="28" t="e">
        <v>#N/A</v>
      </c>
      <c r="H12" s="28" t="str">
        <f t="shared" si="0"/>
        <v xml:space="preserve"> </v>
      </c>
      <c r="K12" t="s">
        <v>73</v>
      </c>
      <c r="L12">
        <v>1</v>
      </c>
    </row>
    <row r="13" spans="2:12" ht="25.5" x14ac:dyDescent="0.25">
      <c r="B13" s="18" t="s">
        <v>28</v>
      </c>
      <c r="C13" s="22" t="s">
        <v>95</v>
      </c>
      <c r="D13" s="22" t="s">
        <v>83</v>
      </c>
      <c r="E13" s="12">
        <v>0</v>
      </c>
      <c r="F13" s="12">
        <v>0</v>
      </c>
      <c r="G13" s="12">
        <v>58</v>
      </c>
      <c r="H13" s="12">
        <f t="shared" si="0"/>
        <v>58</v>
      </c>
      <c r="K13" t="s">
        <v>28</v>
      </c>
      <c r="L13">
        <v>58</v>
      </c>
    </row>
    <row r="14" spans="2:12" x14ac:dyDescent="0.25">
      <c r="B14" s="22" t="s">
        <v>29</v>
      </c>
      <c r="C14" s="22" t="s">
        <v>96</v>
      </c>
      <c r="D14" s="22" t="s">
        <v>83</v>
      </c>
      <c r="E14" s="12">
        <v>0</v>
      </c>
      <c r="F14" s="12">
        <v>0</v>
      </c>
      <c r="G14" s="12">
        <v>0</v>
      </c>
      <c r="H14" s="12" t="str">
        <f t="shared" si="0"/>
        <v xml:space="preserve"> </v>
      </c>
      <c r="K14" t="s">
        <v>29</v>
      </c>
      <c r="L14">
        <v>0</v>
      </c>
    </row>
    <row r="15" spans="2:12" x14ac:dyDescent="0.25">
      <c r="B15" s="22" t="s">
        <v>30</v>
      </c>
      <c r="C15" s="22" t="s">
        <v>97</v>
      </c>
      <c r="D15" s="22" t="s">
        <v>83</v>
      </c>
      <c r="E15" s="12">
        <v>26.073</v>
      </c>
      <c r="F15" s="12">
        <v>22.15</v>
      </c>
      <c r="G15" s="12">
        <v>69.47</v>
      </c>
      <c r="H15" s="12">
        <f t="shared" si="0"/>
        <v>39.231000000000002</v>
      </c>
      <c r="K15" t="s">
        <v>30</v>
      </c>
      <c r="L15">
        <v>69.47</v>
      </c>
    </row>
    <row r="16" spans="2:12" ht="25.5" x14ac:dyDescent="0.25">
      <c r="B16" s="19" t="s">
        <v>31</v>
      </c>
      <c r="C16" s="19" t="s">
        <v>98</v>
      </c>
      <c r="D16" s="22" t="s">
        <v>83</v>
      </c>
      <c r="E16" s="12">
        <v>159.30000000000001</v>
      </c>
      <c r="F16" s="12">
        <v>162.9</v>
      </c>
      <c r="G16" s="12">
        <v>175.86</v>
      </c>
      <c r="H16" s="12">
        <f t="shared" si="0"/>
        <v>166.02</v>
      </c>
      <c r="K16" t="s">
        <v>31</v>
      </c>
      <c r="L16">
        <v>175.86</v>
      </c>
    </row>
    <row r="17" spans="2:12" x14ac:dyDescent="0.25">
      <c r="B17" s="19" t="s">
        <v>32</v>
      </c>
      <c r="C17" s="19"/>
      <c r="D17" s="22" t="s">
        <v>83</v>
      </c>
      <c r="E17" s="12">
        <v>64</v>
      </c>
      <c r="F17" s="12">
        <v>0</v>
      </c>
      <c r="G17" s="12">
        <v>28.57</v>
      </c>
      <c r="H17" s="12">
        <f t="shared" si="0"/>
        <v>46.284999999999997</v>
      </c>
      <c r="K17" t="s">
        <v>32</v>
      </c>
      <c r="L17">
        <v>28.57</v>
      </c>
    </row>
    <row r="18" spans="2:12" x14ac:dyDescent="0.25">
      <c r="B18" s="19" t="s">
        <v>33</v>
      </c>
      <c r="C18" s="19" t="s">
        <v>99</v>
      </c>
      <c r="D18" s="22" t="s">
        <v>83</v>
      </c>
      <c r="E18" s="12">
        <v>113.5125</v>
      </c>
      <c r="F18" s="12">
        <v>109.31399999999999</v>
      </c>
      <c r="G18" s="12">
        <v>23.701499999999999</v>
      </c>
      <c r="H18" s="12">
        <f t="shared" si="0"/>
        <v>82.176000000000002</v>
      </c>
      <c r="K18" t="s">
        <v>33</v>
      </c>
      <c r="L18">
        <v>23.701499999999999</v>
      </c>
    </row>
    <row r="19" spans="2:12" x14ac:dyDescent="0.25">
      <c r="B19" s="20" t="s">
        <v>34</v>
      </c>
      <c r="C19" s="19" t="s">
        <v>100</v>
      </c>
      <c r="D19" s="22" t="s">
        <v>83</v>
      </c>
      <c r="E19" s="12">
        <v>105</v>
      </c>
      <c r="F19" s="12">
        <v>223.6</v>
      </c>
      <c r="G19" s="12">
        <v>187.3</v>
      </c>
      <c r="H19" s="12">
        <f t="shared" si="0"/>
        <v>171.9666666666667</v>
      </c>
      <c r="K19" t="s">
        <v>34</v>
      </c>
      <c r="L19">
        <v>187.3</v>
      </c>
    </row>
    <row r="20" spans="2:12" ht="38.25" x14ac:dyDescent="0.25">
      <c r="B20" s="27" t="s">
        <v>35</v>
      </c>
      <c r="C20" s="27" t="s">
        <v>74</v>
      </c>
      <c r="D20" s="27"/>
      <c r="E20" s="28">
        <v>5</v>
      </c>
      <c r="F20" s="28">
        <v>4</v>
      </c>
      <c r="G20" s="28" t="e">
        <v>#N/A</v>
      </c>
      <c r="H20" s="28" t="str">
        <f t="shared" si="0"/>
        <v xml:space="preserve"> </v>
      </c>
      <c r="K20" t="s">
        <v>74</v>
      </c>
      <c r="L20">
        <v>6</v>
      </c>
    </row>
    <row r="21" spans="2:12" x14ac:dyDescent="0.25">
      <c r="B21" s="16" t="s">
        <v>36</v>
      </c>
      <c r="C21" s="19" t="s">
        <v>101</v>
      </c>
      <c r="D21" s="19" t="s">
        <v>84</v>
      </c>
      <c r="E21" s="12">
        <v>0</v>
      </c>
      <c r="F21" s="12">
        <v>50</v>
      </c>
      <c r="G21" s="12">
        <v>518.4</v>
      </c>
      <c r="H21" s="12">
        <f t="shared" si="0"/>
        <v>284.2</v>
      </c>
      <c r="K21" t="s">
        <v>36</v>
      </c>
      <c r="L21">
        <v>518.4</v>
      </c>
    </row>
    <row r="22" spans="2:12" ht="25.5" x14ac:dyDescent="0.25">
      <c r="B22" s="19" t="s">
        <v>37</v>
      </c>
      <c r="C22" s="19" t="s">
        <v>102</v>
      </c>
      <c r="D22" s="19" t="s">
        <v>84</v>
      </c>
      <c r="E22" s="12">
        <v>436</v>
      </c>
      <c r="F22" s="12">
        <v>436</v>
      </c>
      <c r="G22" s="12">
        <v>546</v>
      </c>
      <c r="H22" s="12">
        <f t="shared" si="0"/>
        <v>472.66666666666669</v>
      </c>
      <c r="K22" t="s">
        <v>37</v>
      </c>
      <c r="L22">
        <v>546</v>
      </c>
    </row>
    <row r="23" spans="2:12" ht="25.5" x14ac:dyDescent="0.25">
      <c r="B23" s="19" t="s">
        <v>38</v>
      </c>
      <c r="C23" s="19" t="s">
        <v>103</v>
      </c>
      <c r="D23" s="19" t="s">
        <v>84</v>
      </c>
      <c r="E23" s="12">
        <v>370</v>
      </c>
      <c r="F23" s="12">
        <v>370</v>
      </c>
      <c r="G23" s="12">
        <v>448</v>
      </c>
      <c r="H23" s="12">
        <f t="shared" si="0"/>
        <v>396</v>
      </c>
      <c r="K23" t="s">
        <v>38</v>
      </c>
      <c r="L23">
        <v>448</v>
      </c>
    </row>
    <row r="24" spans="2:12" ht="25.5" x14ac:dyDescent="0.25">
      <c r="B24" s="19" t="s">
        <v>39</v>
      </c>
      <c r="C24" s="19" t="s">
        <v>104</v>
      </c>
      <c r="D24" s="19" t="s">
        <v>84</v>
      </c>
      <c r="E24" s="12">
        <v>315</v>
      </c>
      <c r="F24" s="12">
        <v>315</v>
      </c>
      <c r="G24" s="12">
        <v>374</v>
      </c>
      <c r="H24" s="12">
        <f t="shared" si="0"/>
        <v>334.66666666666669</v>
      </c>
      <c r="K24" t="s">
        <v>39</v>
      </c>
      <c r="L24">
        <v>374</v>
      </c>
    </row>
    <row r="25" spans="2:12" ht="25.5" x14ac:dyDescent="0.25">
      <c r="B25" s="19" t="s">
        <v>40</v>
      </c>
      <c r="C25" s="19" t="s">
        <v>105</v>
      </c>
      <c r="D25" s="19" t="s">
        <v>84</v>
      </c>
      <c r="E25" s="12">
        <v>0</v>
      </c>
      <c r="F25" s="12">
        <v>0</v>
      </c>
      <c r="G25" s="12">
        <v>0</v>
      </c>
      <c r="H25" s="12" t="str">
        <f t="shared" si="0"/>
        <v xml:space="preserve"> </v>
      </c>
      <c r="K25" t="s">
        <v>40</v>
      </c>
      <c r="L25">
        <v>0</v>
      </c>
    </row>
    <row r="26" spans="2:12" ht="25.5" x14ac:dyDescent="0.25">
      <c r="B26" s="19" t="s">
        <v>41</v>
      </c>
      <c r="C26" s="19" t="s">
        <v>106</v>
      </c>
      <c r="D26" s="19" t="s">
        <v>84</v>
      </c>
      <c r="E26" s="12">
        <v>429.66</v>
      </c>
      <c r="F26" s="12">
        <v>429.66</v>
      </c>
      <c r="G26" s="12">
        <v>567.29999999999995</v>
      </c>
      <c r="H26" s="12">
        <f t="shared" si="0"/>
        <v>475.53999999999996</v>
      </c>
      <c r="K26" t="s">
        <v>41</v>
      </c>
      <c r="L26">
        <v>567.29999999999995</v>
      </c>
    </row>
    <row r="27" spans="2:12" ht="25.5" x14ac:dyDescent="0.25">
      <c r="B27" s="19" t="s">
        <v>42</v>
      </c>
      <c r="C27" s="19" t="s">
        <v>107</v>
      </c>
      <c r="D27" s="19" t="s">
        <v>84</v>
      </c>
      <c r="E27" s="12">
        <v>160</v>
      </c>
      <c r="F27" s="12">
        <v>161.01</v>
      </c>
      <c r="G27" s="12">
        <v>161</v>
      </c>
      <c r="H27" s="12">
        <f t="shared" si="0"/>
        <v>160.66999999999999</v>
      </c>
      <c r="K27" t="s">
        <v>42</v>
      </c>
      <c r="L27">
        <v>161</v>
      </c>
    </row>
    <row r="28" spans="2:12" ht="25.5" x14ac:dyDescent="0.25">
      <c r="B28" s="19" t="s">
        <v>43</v>
      </c>
      <c r="C28" s="19" t="s">
        <v>108</v>
      </c>
      <c r="D28" s="19" t="s">
        <v>84</v>
      </c>
      <c r="E28" s="12">
        <v>420</v>
      </c>
      <c r="F28" s="12">
        <v>406</v>
      </c>
      <c r="G28" s="12">
        <v>448</v>
      </c>
      <c r="H28" s="12">
        <f t="shared" si="0"/>
        <v>424.66666666666669</v>
      </c>
      <c r="K28" t="s">
        <v>43</v>
      </c>
      <c r="L28">
        <v>448</v>
      </c>
    </row>
    <row r="29" spans="2:12" x14ac:dyDescent="0.25">
      <c r="B29" s="19" t="s">
        <v>44</v>
      </c>
      <c r="C29" s="19" t="s">
        <v>109</v>
      </c>
      <c r="D29" s="19" t="s">
        <v>84</v>
      </c>
      <c r="E29" s="12">
        <v>352.8</v>
      </c>
      <c r="F29" s="12">
        <v>294.3</v>
      </c>
      <c r="G29" s="12">
        <v>420.3</v>
      </c>
      <c r="H29" s="12">
        <f t="shared" si="0"/>
        <v>355.8</v>
      </c>
      <c r="K29" t="s">
        <v>44</v>
      </c>
      <c r="L29">
        <v>420.3</v>
      </c>
    </row>
    <row r="30" spans="2:12" x14ac:dyDescent="0.25">
      <c r="B30" s="22" t="s">
        <v>45</v>
      </c>
      <c r="C30" s="22" t="s">
        <v>110</v>
      </c>
      <c r="D30" s="19" t="s">
        <v>84</v>
      </c>
      <c r="E30" s="12">
        <v>0</v>
      </c>
      <c r="F30" s="12">
        <v>0</v>
      </c>
      <c r="G30" s="12">
        <v>0.9</v>
      </c>
      <c r="H30" s="12">
        <f t="shared" si="0"/>
        <v>0.9</v>
      </c>
      <c r="K30" t="s">
        <v>45</v>
      </c>
      <c r="L30">
        <v>0.9</v>
      </c>
    </row>
    <row r="31" spans="2:12" x14ac:dyDescent="0.25">
      <c r="B31" s="19" t="s">
        <v>9</v>
      </c>
      <c r="C31" s="19" t="s">
        <v>111</v>
      </c>
      <c r="D31" s="19" t="s">
        <v>84</v>
      </c>
      <c r="E31" s="12">
        <v>77.686663789999997</v>
      </c>
      <c r="F31" s="12">
        <v>0</v>
      </c>
      <c r="G31" s="12">
        <v>0</v>
      </c>
      <c r="H31" s="12">
        <f t="shared" si="0"/>
        <v>77.686663789999997</v>
      </c>
      <c r="K31" t="s">
        <v>9</v>
      </c>
      <c r="L31">
        <v>0</v>
      </c>
    </row>
    <row r="32" spans="2:12" x14ac:dyDescent="0.25">
      <c r="B32" s="19" t="s">
        <v>46</v>
      </c>
      <c r="C32" s="19" t="s">
        <v>112</v>
      </c>
      <c r="D32" s="19" t="s">
        <v>84</v>
      </c>
      <c r="E32" s="12">
        <v>59.52</v>
      </c>
      <c r="F32" s="12">
        <v>0</v>
      </c>
      <c r="G32" s="12">
        <v>0</v>
      </c>
      <c r="H32" s="12">
        <f t="shared" si="0"/>
        <v>59.52</v>
      </c>
      <c r="K32" t="s">
        <v>46</v>
      </c>
      <c r="L32">
        <v>0</v>
      </c>
    </row>
    <row r="33" spans="2:12" x14ac:dyDescent="0.25">
      <c r="B33" s="19" t="s">
        <v>47</v>
      </c>
      <c r="C33" s="19" t="s">
        <v>113</v>
      </c>
      <c r="D33" s="19" t="s">
        <v>84</v>
      </c>
      <c r="E33" s="12">
        <v>0</v>
      </c>
      <c r="F33" s="12">
        <v>0</v>
      </c>
      <c r="G33" s="12">
        <v>0</v>
      </c>
      <c r="H33" s="12" t="str">
        <f t="shared" si="0"/>
        <v xml:space="preserve"> </v>
      </c>
      <c r="K33" t="s">
        <v>47</v>
      </c>
      <c r="L33">
        <v>0</v>
      </c>
    </row>
    <row r="34" spans="2:12" ht="25.5" x14ac:dyDescent="0.25">
      <c r="B34" s="19" t="s">
        <v>48</v>
      </c>
      <c r="C34" s="19" t="s">
        <v>114</v>
      </c>
      <c r="D34" s="19" t="s">
        <v>84</v>
      </c>
      <c r="E34" s="12">
        <v>270</v>
      </c>
      <c r="F34" s="12">
        <v>364.5</v>
      </c>
      <c r="G34" s="12">
        <v>1004.93</v>
      </c>
      <c r="H34" s="12">
        <f t="shared" si="0"/>
        <v>546.47666666666657</v>
      </c>
      <c r="K34" t="s">
        <v>48</v>
      </c>
      <c r="L34">
        <v>1004.93</v>
      </c>
    </row>
    <row r="35" spans="2:12" x14ac:dyDescent="0.25">
      <c r="B35" s="20" t="s">
        <v>49</v>
      </c>
      <c r="C35" s="19" t="s">
        <v>10</v>
      </c>
      <c r="D35" s="19" t="s">
        <v>84</v>
      </c>
      <c r="E35" s="13">
        <v>270</v>
      </c>
      <c r="F35" s="12">
        <v>360</v>
      </c>
      <c r="G35" s="12">
        <v>450</v>
      </c>
      <c r="H35" s="12">
        <f t="shared" si="0"/>
        <v>360</v>
      </c>
      <c r="K35" t="s">
        <v>49</v>
      </c>
      <c r="L35">
        <v>450</v>
      </c>
    </row>
    <row r="36" spans="2:12" ht="25.5" x14ac:dyDescent="0.25">
      <c r="B36" s="27" t="s">
        <v>50</v>
      </c>
      <c r="C36" s="27" t="s">
        <v>75</v>
      </c>
      <c r="D36" s="27"/>
      <c r="E36" s="28">
        <v>11</v>
      </c>
      <c r="F36" s="28">
        <v>10</v>
      </c>
      <c r="G36" s="28" t="e">
        <v>#N/A</v>
      </c>
      <c r="H36" s="28" t="str">
        <f t="shared" si="0"/>
        <v xml:space="preserve"> </v>
      </c>
      <c r="K36" t="s">
        <v>75</v>
      </c>
      <c r="L36">
        <v>11</v>
      </c>
    </row>
    <row r="37" spans="2:12" x14ac:dyDescent="0.25">
      <c r="B37" s="18" t="s">
        <v>51</v>
      </c>
      <c r="C37" s="22" t="s">
        <v>115</v>
      </c>
      <c r="D37" s="22" t="s">
        <v>85</v>
      </c>
      <c r="E37" s="12">
        <v>75</v>
      </c>
      <c r="F37" s="12">
        <v>133</v>
      </c>
      <c r="G37" s="12">
        <v>69</v>
      </c>
      <c r="H37" s="12">
        <f t="shared" si="0"/>
        <v>92.333333333333329</v>
      </c>
      <c r="K37" t="s">
        <v>51</v>
      </c>
      <c r="L37">
        <v>69</v>
      </c>
    </row>
    <row r="38" spans="2:12" x14ac:dyDescent="0.25">
      <c r="B38" s="19" t="s">
        <v>52</v>
      </c>
      <c r="C38" s="19" t="s">
        <v>116</v>
      </c>
      <c r="D38" s="19" t="s">
        <v>85</v>
      </c>
      <c r="E38" s="12">
        <v>120.15</v>
      </c>
      <c r="F38" s="12">
        <v>235</v>
      </c>
      <c r="G38" s="12">
        <v>0</v>
      </c>
      <c r="H38" s="12">
        <f t="shared" si="0"/>
        <v>177.57499999999999</v>
      </c>
      <c r="K38" t="s">
        <v>52</v>
      </c>
      <c r="L38">
        <v>0</v>
      </c>
    </row>
    <row r="39" spans="2:12" x14ac:dyDescent="0.25">
      <c r="B39" s="19" t="s">
        <v>53</v>
      </c>
      <c r="C39" s="19" t="s">
        <v>117</v>
      </c>
      <c r="D39" s="19" t="s">
        <v>85</v>
      </c>
      <c r="E39" s="12">
        <v>0</v>
      </c>
      <c r="F39" s="12">
        <v>0</v>
      </c>
      <c r="G39" s="12">
        <v>0</v>
      </c>
      <c r="H39" s="12" t="str">
        <f t="shared" si="0"/>
        <v xml:space="preserve"> </v>
      </c>
      <c r="K39" t="s">
        <v>53</v>
      </c>
      <c r="L39">
        <v>0</v>
      </c>
    </row>
    <row r="40" spans="2:12" x14ac:dyDescent="0.25">
      <c r="B40" s="19" t="s">
        <v>54</v>
      </c>
      <c r="C40" s="19" t="s">
        <v>118</v>
      </c>
      <c r="D40" s="19" t="s">
        <v>85</v>
      </c>
      <c r="E40" s="12">
        <v>0</v>
      </c>
      <c r="F40" s="12">
        <v>363.66399999999999</v>
      </c>
      <c r="G40" s="12">
        <v>856.8</v>
      </c>
      <c r="H40" s="12">
        <f t="shared" si="0"/>
        <v>610.23199999999997</v>
      </c>
      <c r="K40" t="s">
        <v>54</v>
      </c>
      <c r="L40">
        <v>856.8</v>
      </c>
    </row>
    <row r="41" spans="2:12" x14ac:dyDescent="0.25">
      <c r="B41" s="19" t="s">
        <v>55</v>
      </c>
      <c r="C41" s="19" t="s">
        <v>119</v>
      </c>
      <c r="D41" s="19" t="s">
        <v>85</v>
      </c>
      <c r="E41" s="12">
        <v>0</v>
      </c>
      <c r="F41" s="12">
        <v>14.4</v>
      </c>
      <c r="G41" s="12">
        <v>0</v>
      </c>
      <c r="H41" s="12">
        <f t="shared" si="0"/>
        <v>14.4</v>
      </c>
      <c r="K41" t="s">
        <v>55</v>
      </c>
      <c r="L41">
        <v>0</v>
      </c>
    </row>
    <row r="42" spans="2:12" x14ac:dyDescent="0.25">
      <c r="B42" s="19" t="s">
        <v>56</v>
      </c>
      <c r="C42" s="19" t="s">
        <v>120</v>
      </c>
      <c r="D42" s="19" t="s">
        <v>85</v>
      </c>
      <c r="E42" s="12">
        <v>0</v>
      </c>
      <c r="F42" s="12">
        <v>0</v>
      </c>
      <c r="G42" s="12">
        <v>0</v>
      </c>
      <c r="H42" s="12" t="str">
        <f t="shared" si="0"/>
        <v xml:space="preserve"> </v>
      </c>
      <c r="K42" t="s">
        <v>56</v>
      </c>
    </row>
    <row r="43" spans="2:12" x14ac:dyDescent="0.25">
      <c r="B43" s="19" t="s">
        <v>57</v>
      </c>
      <c r="C43" s="19" t="s">
        <v>121</v>
      </c>
      <c r="D43" s="19" t="s">
        <v>85</v>
      </c>
      <c r="E43" s="12">
        <v>0</v>
      </c>
      <c r="F43" s="12">
        <v>2736</v>
      </c>
      <c r="G43" s="12">
        <v>4050</v>
      </c>
      <c r="H43" s="12">
        <f t="shared" si="0"/>
        <v>3393</v>
      </c>
      <c r="K43" t="s">
        <v>57</v>
      </c>
      <c r="L43">
        <v>4050</v>
      </c>
    </row>
    <row r="44" spans="2:12" x14ac:dyDescent="0.25">
      <c r="B44" s="19" t="s">
        <v>58</v>
      </c>
      <c r="C44" s="19" t="s">
        <v>122</v>
      </c>
      <c r="D44" s="19" t="s">
        <v>85</v>
      </c>
      <c r="E44" s="12">
        <v>0</v>
      </c>
      <c r="F44" s="12">
        <v>810</v>
      </c>
      <c r="G44" s="12">
        <v>719.98</v>
      </c>
      <c r="H44" s="12">
        <f t="shared" si="0"/>
        <v>764.99</v>
      </c>
      <c r="K44" t="s">
        <v>58</v>
      </c>
      <c r="L44">
        <v>719.98</v>
      </c>
    </row>
    <row r="45" spans="2:12" x14ac:dyDescent="0.25">
      <c r="B45" s="19" t="s">
        <v>59</v>
      </c>
      <c r="C45" s="19" t="s">
        <v>123</v>
      </c>
      <c r="D45" s="19" t="s">
        <v>85</v>
      </c>
      <c r="E45" s="12">
        <v>0</v>
      </c>
      <c r="F45" s="12">
        <v>436.12299999999999</v>
      </c>
      <c r="G45" s="12">
        <v>445.11700000000002</v>
      </c>
      <c r="H45" s="12">
        <f t="shared" si="0"/>
        <v>440.62</v>
      </c>
      <c r="K45" t="s">
        <v>59</v>
      </c>
      <c r="L45">
        <v>445.11700000000002</v>
      </c>
    </row>
    <row r="46" spans="2:12" x14ac:dyDescent="0.25">
      <c r="B46" s="29" t="s">
        <v>60</v>
      </c>
      <c r="C46" s="29" t="s">
        <v>124</v>
      </c>
      <c r="D46" s="29" t="s">
        <v>85</v>
      </c>
      <c r="E46" s="14">
        <v>0</v>
      </c>
      <c r="F46" s="14">
        <v>0</v>
      </c>
      <c r="G46" s="14" t="e">
        <v>#N/A</v>
      </c>
      <c r="H46" s="14" t="str">
        <f t="shared" si="0"/>
        <v xml:space="preserve"> </v>
      </c>
      <c r="K46" t="s">
        <v>61</v>
      </c>
      <c r="L46">
        <v>0</v>
      </c>
    </row>
    <row r="47" spans="2:12" x14ac:dyDescent="0.25">
      <c r="B47" s="19" t="s">
        <v>61</v>
      </c>
      <c r="C47" s="19" t="s">
        <v>124</v>
      </c>
      <c r="D47" s="19" t="s">
        <v>85</v>
      </c>
      <c r="E47" s="12">
        <v>0</v>
      </c>
      <c r="F47" s="12">
        <v>0</v>
      </c>
      <c r="G47" s="12">
        <v>0</v>
      </c>
      <c r="H47" s="12" t="str">
        <f t="shared" si="0"/>
        <v xml:space="preserve"> </v>
      </c>
      <c r="K47" t="s">
        <v>62</v>
      </c>
      <c r="L47">
        <v>60.75</v>
      </c>
    </row>
    <row r="48" spans="2:12" x14ac:dyDescent="0.25">
      <c r="B48" s="20" t="s">
        <v>62</v>
      </c>
      <c r="C48" s="19" t="s">
        <v>125</v>
      </c>
      <c r="D48" s="19" t="s">
        <v>85</v>
      </c>
      <c r="E48" s="12">
        <v>0</v>
      </c>
      <c r="F48" s="12">
        <v>18</v>
      </c>
      <c r="G48" s="12">
        <v>60.75</v>
      </c>
      <c r="H48" s="12">
        <f t="shared" si="0"/>
        <v>39.375</v>
      </c>
      <c r="K48" t="s">
        <v>79</v>
      </c>
      <c r="L48">
        <v>6</v>
      </c>
    </row>
    <row r="49" spans="2:12" ht="25.5" x14ac:dyDescent="0.25">
      <c r="B49" s="27" t="s">
        <v>70</v>
      </c>
      <c r="C49" s="27" t="s">
        <v>76</v>
      </c>
      <c r="D49" s="27"/>
      <c r="E49" s="28">
        <v>2</v>
      </c>
      <c r="F49" s="28">
        <v>8</v>
      </c>
      <c r="G49" s="28" t="e">
        <v>#N/A</v>
      </c>
      <c r="H49" s="28" t="str">
        <f t="shared" si="0"/>
        <v xml:space="preserve"> </v>
      </c>
      <c r="K49" t="s">
        <v>63</v>
      </c>
      <c r="L49">
        <v>153.16</v>
      </c>
    </row>
    <row r="50" spans="2:12" x14ac:dyDescent="0.25">
      <c r="B50" s="18" t="s">
        <v>63</v>
      </c>
      <c r="C50" s="22" t="s">
        <v>126</v>
      </c>
      <c r="D50" s="22" t="s">
        <v>86</v>
      </c>
      <c r="E50" s="12">
        <v>104.98</v>
      </c>
      <c r="F50" s="12">
        <v>167.14</v>
      </c>
      <c r="G50" s="12">
        <v>153.16</v>
      </c>
      <c r="H50" s="12">
        <f t="shared" si="0"/>
        <v>141.76</v>
      </c>
      <c r="K50" t="s">
        <v>64</v>
      </c>
      <c r="L50">
        <v>417.58</v>
      </c>
    </row>
    <row r="51" spans="2:12" x14ac:dyDescent="0.25">
      <c r="B51" s="19" t="s">
        <v>64</v>
      </c>
      <c r="C51" s="22" t="s">
        <v>127</v>
      </c>
      <c r="D51" s="22" t="s">
        <v>86</v>
      </c>
      <c r="E51" s="12">
        <v>387.08</v>
      </c>
      <c r="F51" s="12">
        <v>399.56349999999998</v>
      </c>
      <c r="G51" s="12">
        <v>417.58</v>
      </c>
      <c r="H51" s="12">
        <f t="shared" si="0"/>
        <v>401.40783333333326</v>
      </c>
      <c r="K51" t="s">
        <v>65</v>
      </c>
      <c r="L51">
        <v>420</v>
      </c>
    </row>
    <row r="52" spans="2:12" x14ac:dyDescent="0.25">
      <c r="B52" s="19" t="s">
        <v>65</v>
      </c>
      <c r="C52" s="22" t="s">
        <v>128</v>
      </c>
      <c r="D52" s="22" t="s">
        <v>86</v>
      </c>
      <c r="E52" s="12">
        <v>292.5</v>
      </c>
      <c r="F52" s="12">
        <v>337.5</v>
      </c>
      <c r="G52" s="12">
        <v>420</v>
      </c>
      <c r="H52" s="12">
        <f t="shared" si="0"/>
        <v>350</v>
      </c>
      <c r="K52" t="s">
        <v>66</v>
      </c>
      <c r="L52">
        <v>1400</v>
      </c>
    </row>
    <row r="53" spans="2:12" x14ac:dyDescent="0.25">
      <c r="B53" s="20" t="s">
        <v>66</v>
      </c>
      <c r="C53" s="22" t="s">
        <v>129</v>
      </c>
      <c r="D53" s="22" t="s">
        <v>86</v>
      </c>
      <c r="E53" s="12">
        <v>1225</v>
      </c>
      <c r="F53" s="12">
        <v>1225</v>
      </c>
      <c r="G53" s="12">
        <v>1400</v>
      </c>
      <c r="H53" s="12">
        <f t="shared" si="0"/>
        <v>1283.3333333333333</v>
      </c>
      <c r="K53" t="s">
        <v>77</v>
      </c>
      <c r="L53">
        <v>4</v>
      </c>
    </row>
    <row r="54" spans="2:12" ht="25.5" x14ac:dyDescent="0.25">
      <c r="B54" s="27" t="s">
        <v>67</v>
      </c>
      <c r="C54" s="27" t="s">
        <v>77</v>
      </c>
      <c r="D54" s="27"/>
      <c r="E54" s="30">
        <v>4</v>
      </c>
      <c r="F54" s="30">
        <v>4</v>
      </c>
      <c r="G54" s="30" t="e">
        <v>#N/A</v>
      </c>
      <c r="H54" s="30" t="str">
        <f t="shared" si="0"/>
        <v xml:space="preserve"> </v>
      </c>
      <c r="K54" t="s">
        <v>68</v>
      </c>
      <c r="L54">
        <v>130</v>
      </c>
    </row>
    <row r="55" spans="2:12" ht="25.5" x14ac:dyDescent="0.25">
      <c r="B55" s="16" t="s">
        <v>68</v>
      </c>
      <c r="C55" s="19" t="s">
        <v>130</v>
      </c>
      <c r="D55" s="19" t="s">
        <v>87</v>
      </c>
      <c r="E55" s="12">
        <v>100</v>
      </c>
      <c r="F55" s="12">
        <v>100</v>
      </c>
      <c r="G55" s="12">
        <v>130</v>
      </c>
      <c r="H55" s="12">
        <f t="shared" si="0"/>
        <v>110</v>
      </c>
      <c r="K55" t="s">
        <v>69</v>
      </c>
    </row>
    <row r="56" spans="2:12" x14ac:dyDescent="0.25">
      <c r="B56" s="20" t="s">
        <v>69</v>
      </c>
      <c r="C56" s="20" t="s">
        <v>131</v>
      </c>
      <c r="D56" s="20" t="s">
        <v>87</v>
      </c>
      <c r="E56" s="13"/>
      <c r="F56" s="13">
        <v>0</v>
      </c>
      <c r="G56" s="13">
        <v>0</v>
      </c>
      <c r="H56" s="13" t="str">
        <f t="shared" si="0"/>
        <v xml:space="preserve"> </v>
      </c>
      <c r="K56" t="s">
        <v>78</v>
      </c>
    </row>
    <row r="57" spans="2:12" x14ac:dyDescent="0.25">
      <c r="C57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Simul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Abdoul Ouedraogo</cp:lastModifiedBy>
  <dcterms:created xsi:type="dcterms:W3CDTF">2022-10-18T14:09:32Z</dcterms:created>
  <dcterms:modified xsi:type="dcterms:W3CDTF">2022-10-28T15:01:47Z</dcterms:modified>
</cp:coreProperties>
</file>