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D:\dt\Auriane\PERSO\"/>
    </mc:Choice>
  </mc:AlternateContent>
  <xr:revisionPtr revIDLastSave="0" documentId="13_ncr:1_{E6D97AA8-4555-46DD-8F77-7FDFB6CC1536}" xr6:coauthVersionLast="47" xr6:coauthVersionMax="47" xr10:uidLastSave="{00000000-0000-0000-0000-000000000000}"/>
  <bookViews>
    <workbookView xWindow="-23148" yWindow="-108" windowWidth="23256" windowHeight="13176" firstSheet="1" activeTab="2" xr2:uid="{FD76B39C-E2F3-45BE-8700-F5F488FFCE47}"/>
  </bookViews>
  <sheets>
    <sheet name="Listes" sheetId="1" state="hidden" r:id="rId1"/>
    <sheet name="Graphique" sheetId="4" r:id="rId2"/>
    <sheet name="Janvier" sheetId="2" r:id="rId3"/>
    <sheet name="Février" sheetId="5" r:id="rId4"/>
    <sheet name="Mars" sheetId="7" r:id="rId5"/>
    <sheet name="Avril" sheetId="8" r:id="rId6"/>
    <sheet name="Mai" sheetId="9" r:id="rId7"/>
    <sheet name="Juin" sheetId="10" r:id="rId8"/>
    <sheet name="Juillet" sheetId="11" r:id="rId9"/>
    <sheet name="Août" sheetId="12" r:id="rId10"/>
    <sheet name="Septembre" sheetId="13" r:id="rId11"/>
    <sheet name="Octobre" sheetId="14" r:id="rId12"/>
    <sheet name="Novembre" sheetId="15" r:id="rId13"/>
    <sheet name="Décembre" sheetId="16" r:id="rId14"/>
  </sheets>
  <definedNames>
    <definedName name="_xleta.SUMIF" hidden="1" xlm="1">#NAME?</definedName>
    <definedName name="famille">Listes!$A$1:$A$25</definedName>
    <definedName name="montant">Listes!$G$1:$G$2</definedName>
    <definedName name="Moyen">Listes!$E$1:$E$6</definedName>
    <definedName name="Qui">Listes!$C$1:$C$3</definedName>
  </definedNames>
  <calcPr calcId="191029"/>
  <pivotCaches>
    <pivotCache cacheId="6" r:id="rId1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16" l="1"/>
  <c r="L14" i="16" s="1"/>
  <c r="J13" i="16"/>
  <c r="L13" i="16" s="1"/>
  <c r="J12" i="16"/>
  <c r="L12" i="16" s="1"/>
  <c r="J11" i="16"/>
  <c r="L11" i="16" s="1"/>
  <c r="J13" i="15"/>
  <c r="L13" i="15" s="1"/>
  <c r="J12" i="15"/>
  <c r="L12" i="15" s="1"/>
  <c r="J11" i="15"/>
  <c r="L11" i="15" s="1"/>
  <c r="J10" i="15"/>
  <c r="L10" i="15" s="1"/>
  <c r="J13" i="14"/>
  <c r="L13" i="14" s="1"/>
  <c r="J12" i="14"/>
  <c r="L12" i="14" s="1"/>
  <c r="J11" i="14"/>
  <c r="L11" i="14" s="1"/>
  <c r="J10" i="14"/>
  <c r="L10" i="14" s="1"/>
  <c r="J13" i="13"/>
  <c r="L13" i="13" s="1"/>
  <c r="J12" i="13"/>
  <c r="L12" i="13" s="1"/>
  <c r="J11" i="13"/>
  <c r="L11" i="13" s="1"/>
  <c r="J10" i="13"/>
  <c r="L10" i="13" s="1"/>
  <c r="J13" i="12"/>
  <c r="L13" i="12" s="1"/>
  <c r="J12" i="12"/>
  <c r="L12" i="12" s="1"/>
  <c r="J11" i="12"/>
  <c r="L11" i="12" s="1"/>
  <c r="J10" i="12"/>
  <c r="L10" i="12" s="1"/>
  <c r="J14" i="11"/>
  <c r="L14" i="11" s="1"/>
  <c r="J13" i="11"/>
  <c r="L13" i="11" s="1"/>
  <c r="J12" i="11"/>
  <c r="L12" i="11" s="1"/>
  <c r="J11" i="11"/>
  <c r="L11" i="11" s="1"/>
  <c r="L13" i="10"/>
  <c r="J13" i="10"/>
  <c r="J12" i="10"/>
  <c r="L12" i="10" s="1"/>
  <c r="J11" i="10"/>
  <c r="L11" i="10" s="1"/>
  <c r="J10" i="10"/>
  <c r="L10" i="10" s="1"/>
  <c r="J14" i="9"/>
  <c r="L14" i="9" s="1"/>
  <c r="J13" i="9"/>
  <c r="L13" i="9" s="1"/>
  <c r="J12" i="9"/>
  <c r="L12" i="9" s="1"/>
  <c r="J11" i="9"/>
  <c r="L11" i="9" s="1"/>
  <c r="J13" i="8"/>
  <c r="L13" i="8" s="1"/>
  <c r="J12" i="8"/>
  <c r="L12" i="8" s="1"/>
  <c r="J11" i="8"/>
  <c r="L11" i="8" s="1"/>
  <c r="J10" i="8"/>
  <c r="L10" i="8" s="1"/>
  <c r="L13" i="7"/>
  <c r="J13" i="7"/>
  <c r="J12" i="7"/>
  <c r="L12" i="7" s="1"/>
  <c r="J11" i="7"/>
  <c r="L11" i="7" s="1"/>
  <c r="J10" i="7"/>
  <c r="L10" i="7" s="1"/>
  <c r="J13" i="5"/>
  <c r="L13" i="5" s="1"/>
  <c r="J12" i="5"/>
  <c r="L12" i="5" s="1"/>
  <c r="J11" i="5"/>
  <c r="L11" i="5" s="1"/>
  <c r="J10" i="5"/>
  <c r="L10" i="5" s="1"/>
  <c r="J14" i="2"/>
  <c r="J4" i="2"/>
  <c r="J4" i="5" l="1"/>
  <c r="L14" i="2" l="1"/>
  <c r="J13" i="2"/>
  <c r="L13" i="2" s="1"/>
  <c r="J12" i="2"/>
  <c r="L12" i="2" s="1"/>
  <c r="J11" i="2"/>
  <c r="L11" i="2" s="1"/>
  <c r="E3" i="2"/>
  <c r="E2" i="2"/>
  <c r="E1" i="2" l="1"/>
  <c r="J6" i="2" s="1"/>
  <c r="J5" i="2" l="1"/>
  <c r="A13" i="16"/>
  <c r="A13" i="15"/>
  <c r="A13" i="14"/>
  <c r="J4" i="14"/>
  <c r="A13" i="13"/>
  <c r="A13" i="12"/>
  <c r="A13" i="11"/>
  <c r="A13" i="10"/>
  <c r="A13" i="9"/>
  <c r="A13" i="8"/>
  <c r="A13" i="7"/>
  <c r="J4" i="16"/>
  <c r="J4" i="15"/>
  <c r="J4" i="13"/>
  <c r="J4" i="12"/>
  <c r="J4" i="11"/>
  <c r="J4" i="10"/>
  <c r="J4" i="9"/>
  <c r="J4" i="8"/>
  <c r="J4" i="7"/>
  <c r="A13" i="5" l="1"/>
  <c r="A15" i="2"/>
  <c r="B2" i="5" l="1"/>
  <c r="B1" i="5"/>
  <c r="E1" i="5" s="1"/>
  <c r="J5" i="5" l="1"/>
  <c r="B1" i="7" s="1"/>
  <c r="J6" i="5"/>
  <c r="B2" i="7" s="1"/>
  <c r="E1" i="7" l="1"/>
  <c r="J5" i="7" l="1"/>
  <c r="B1" i="8" s="1"/>
  <c r="J6" i="7"/>
  <c r="B2" i="8" s="1"/>
  <c r="E1" i="8" l="1"/>
  <c r="J5" i="8" s="1"/>
  <c r="B1" i="9" s="1"/>
  <c r="J6" i="8" l="1"/>
  <c r="B2" i="9" s="1"/>
  <c r="E1" i="9" s="1"/>
  <c r="J5" i="9" l="1"/>
  <c r="B1" i="10" s="1"/>
  <c r="J6" i="9"/>
  <c r="B2" i="10" s="1"/>
  <c r="E1" i="10" l="1"/>
  <c r="J6" i="10" s="1"/>
  <c r="B2" i="11" s="1"/>
  <c r="J5" i="10" l="1"/>
  <c r="B1" i="11" s="1"/>
  <c r="E1" i="11" s="1"/>
  <c r="J6" i="11" s="1"/>
  <c r="B2" i="12" s="1"/>
  <c r="J5" i="11" l="1"/>
  <c r="B1" i="12" s="1"/>
  <c r="E1" i="12" s="1"/>
  <c r="J6" i="12" s="1"/>
  <c r="B2" i="13" s="1"/>
  <c r="J5" i="12" l="1"/>
  <c r="B1" i="13" s="1"/>
  <c r="E1" i="13" s="1"/>
  <c r="J6" i="13" s="1"/>
  <c r="B2" i="14" s="1"/>
  <c r="J5" i="13" l="1"/>
  <c r="B1" i="14" s="1"/>
  <c r="E1" i="14" s="1"/>
  <c r="J6" i="14" s="1"/>
  <c r="B2" i="15" s="1"/>
  <c r="J5" i="14" l="1"/>
  <c r="B1" i="15" s="1"/>
  <c r="E1" i="15" s="1"/>
  <c r="J5" i="15" s="1"/>
  <c r="B1" i="16" s="1"/>
  <c r="J6" i="15" l="1"/>
  <c r="B2" i="16" s="1"/>
  <c r="E1" i="16" s="1"/>
  <c r="J6" i="16" s="1"/>
  <c r="J5" i="16" l="1"/>
</calcChain>
</file>

<file path=xl/sharedStrings.xml><?xml version="1.0" encoding="utf-8"?>
<sst xmlns="http://schemas.openxmlformats.org/spreadsheetml/2006/main" count="2472" uniqueCount="87">
  <si>
    <t>Loyer</t>
  </si>
  <si>
    <t>Courses</t>
  </si>
  <si>
    <t>Essence</t>
  </si>
  <si>
    <t>Restos</t>
  </si>
  <si>
    <t>Vêtements</t>
  </si>
  <si>
    <t>Café boulot</t>
  </si>
  <si>
    <t>Tabac</t>
  </si>
  <si>
    <t>Voiture</t>
  </si>
  <si>
    <t>Virement</t>
  </si>
  <si>
    <t>Cadeau</t>
  </si>
  <si>
    <t>Cantine</t>
  </si>
  <si>
    <t>Nounou</t>
  </si>
  <si>
    <t>Maison</t>
  </si>
  <si>
    <t>Impôts</t>
  </si>
  <si>
    <t>Téléphonie</t>
  </si>
  <si>
    <t>Electricité</t>
  </si>
  <si>
    <t>Eau</t>
  </si>
  <si>
    <t>TV</t>
  </si>
  <si>
    <t>Musique</t>
  </si>
  <si>
    <t>Crédit</t>
  </si>
  <si>
    <t>Assurances</t>
  </si>
  <si>
    <t>Santé</t>
  </si>
  <si>
    <t>Bien-être</t>
  </si>
  <si>
    <t>Jade</t>
  </si>
  <si>
    <t>Loisirs</t>
  </si>
  <si>
    <t>Salaire</t>
  </si>
  <si>
    <t>Julien</t>
  </si>
  <si>
    <t>Auriane</t>
  </si>
  <si>
    <t>Couple</t>
  </si>
  <si>
    <t>Famille</t>
  </si>
  <si>
    <t>Qui</t>
  </si>
  <si>
    <t>Quoi</t>
  </si>
  <si>
    <t>Montant</t>
  </si>
  <si>
    <t>Auto + VPR</t>
  </si>
  <si>
    <t>Forfait J</t>
  </si>
  <si>
    <t>Forfait A</t>
  </si>
  <si>
    <t>Internet</t>
  </si>
  <si>
    <t>Canal +</t>
  </si>
  <si>
    <t>Netflix</t>
  </si>
  <si>
    <t>Disney +</t>
  </si>
  <si>
    <t>Moyen</t>
  </si>
  <si>
    <t>Paypal</t>
  </si>
  <si>
    <t>Prélèvement</t>
  </si>
  <si>
    <t>Chèque</t>
  </si>
  <si>
    <t>CB</t>
  </si>
  <si>
    <t>Espèces</t>
  </si>
  <si>
    <t>Séolis</t>
  </si>
  <si>
    <t>Sertad</t>
  </si>
  <si>
    <t>Manue forfait L</t>
  </si>
  <si>
    <t>Spotify</t>
  </si>
  <si>
    <t>Conso A</t>
  </si>
  <si>
    <t>Pandacraft</t>
  </si>
  <si>
    <t>Centre anti poux</t>
  </si>
  <si>
    <t>Date</t>
  </si>
  <si>
    <t>Reste global</t>
  </si>
  <si>
    <t>Salaires</t>
  </si>
  <si>
    <t>Reste Julien</t>
  </si>
  <si>
    <t>Reste Auriane</t>
  </si>
  <si>
    <t>Solde</t>
  </si>
  <si>
    <t>Débit</t>
  </si>
  <si>
    <t>Intermarché</t>
  </si>
  <si>
    <t>Cigarettes</t>
  </si>
  <si>
    <t>Grandland</t>
  </si>
  <si>
    <t>MAAF</t>
  </si>
  <si>
    <t>Fiée des Lois</t>
  </si>
  <si>
    <t>Proprio</t>
  </si>
  <si>
    <t>Solde précédent Julien</t>
  </si>
  <si>
    <t>Solde précédent Auriane</t>
  </si>
  <si>
    <t>Noël + anniv papa</t>
  </si>
  <si>
    <t>Étiquettes de lignes</t>
  </si>
  <si>
    <t>Total général</t>
  </si>
  <si>
    <t>Somme de Montant</t>
  </si>
  <si>
    <t>(Tous)</t>
  </si>
  <si>
    <t>Epargne</t>
  </si>
  <si>
    <t>Center Parcs</t>
  </si>
  <si>
    <t>13ème mois</t>
  </si>
  <si>
    <t>Compte rouge</t>
  </si>
  <si>
    <t>Dépensé</t>
  </si>
  <si>
    <t>Prévu</t>
  </si>
  <si>
    <t>Reste</t>
  </si>
  <si>
    <t>Avance crédit impôts</t>
  </si>
  <si>
    <t>Cantine et garderie</t>
  </si>
  <si>
    <t>Chèque Noël Mamie</t>
  </si>
  <si>
    <t>Anniv Julien</t>
  </si>
  <si>
    <t>Del Arte</t>
  </si>
  <si>
    <t>Vivaro</t>
  </si>
  <si>
    <t>Revenus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</si>
</sst>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164" fontId="0" fillId="0" borderId="0" xfId="0" applyNumberFormat="1" applyAlignment="1">
      <alignment horizontal="left" indent="1"/>
    </xf>
    <xf numFmtId="0" fontId="0" fillId="0" borderId="0" xfId="0" quotePrefix="1" applyAlignment="1">
      <alignment horizontal="left" indent="1"/>
    </xf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  <xf numFmtId="164" fontId="0" fillId="0" borderId="1" xfId="1" applyNumberFormat="1" applyFont="1" applyBorder="1"/>
    <xf numFmtId="0" fontId="2" fillId="2" borderId="3" xfId="0" applyFont="1" applyFill="1" applyBorder="1" applyAlignment="1">
      <alignment horizontal="left" indent="1"/>
    </xf>
    <xf numFmtId="0" fontId="2" fillId="2" borderId="2" xfId="0" applyFont="1" applyFill="1" applyBorder="1" applyAlignment="1">
      <alignment horizontal="left" indent="1"/>
    </xf>
    <xf numFmtId="0" fontId="2" fillId="2" borderId="4" xfId="0" applyFont="1" applyFill="1" applyBorder="1" applyAlignment="1">
      <alignment horizontal="left" indent="1"/>
    </xf>
    <xf numFmtId="0" fontId="2" fillId="2" borderId="5" xfId="0" applyFont="1" applyFill="1" applyBorder="1" applyAlignment="1">
      <alignment horizontal="left" indent="1"/>
    </xf>
    <xf numFmtId="0" fontId="2" fillId="2" borderId="6" xfId="0" applyFont="1" applyFill="1" applyBorder="1" applyAlignment="1">
      <alignment horizontal="left" indent="1"/>
    </xf>
    <xf numFmtId="164" fontId="0" fillId="0" borderId="7" xfId="0" applyNumberFormat="1" applyBorder="1" applyAlignment="1">
      <alignment horizontal="left" indent="1"/>
    </xf>
    <xf numFmtId="164" fontId="3" fillId="0" borderId="0" xfId="0" applyNumberFormat="1" applyFont="1" applyAlignment="1">
      <alignment horizontal="left" indent="1"/>
    </xf>
    <xf numFmtId="0" fontId="2" fillId="2" borderId="0" xfId="0" applyFont="1" applyFill="1" applyBorder="1" applyAlignment="1">
      <alignment horizontal="left" indent="1"/>
    </xf>
    <xf numFmtId="0" fontId="4" fillId="0" borderId="1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190"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font>
        <b val="0"/>
        <i val="0"/>
        <strike/>
      </font>
      <fill>
        <patternFill>
          <bgColor theme="0" tint="-0.14996795556505021"/>
        </patternFill>
      </fill>
    </dxf>
    <dxf>
      <numFmt numFmtId="164" formatCode="_-* #,##0.00\ [$€-40C]_-;\-* #,##0.00\ [$€-40C]_-;_-* &quot;-&quot;??\ [$€-40C]_-;_-@_-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9" formatCode="dd/mm/yyyy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9" formatCode="dd/mm/yyyy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9" formatCode="dd/mm/yyyy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9" formatCode="dd/mm/yyyy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9" formatCode="dd/mm/yyyy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9" formatCode="dd/mm/yyyy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9" formatCode="dd/mm/yyyy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9" formatCode="dd/mm/yyyy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9" formatCode="dd/mm/yyyy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9" formatCode="dd/mm/yyyy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9" formatCode="dd/mm/yyyy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9" formatCode="dd/mm/yyyy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E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[Budget_2026_NewVersion.xlsm]Graphique!Tableau croisé dynamique1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tx>
            <c:strRef>
              <c:f>Graphique!$B$4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Graphique!$A$5:$A$24</c:f>
              <c:strCache>
                <c:ptCount val="19"/>
                <c:pt idx="0">
                  <c:v>Nounou</c:v>
                </c:pt>
                <c:pt idx="1">
                  <c:v>Musique</c:v>
                </c:pt>
                <c:pt idx="2">
                  <c:v>Restos</c:v>
                </c:pt>
                <c:pt idx="3">
                  <c:v>Cantine</c:v>
                </c:pt>
                <c:pt idx="4">
                  <c:v>TV</c:v>
                </c:pt>
                <c:pt idx="5">
                  <c:v>Jade</c:v>
                </c:pt>
                <c:pt idx="6">
                  <c:v>Téléphonie</c:v>
                </c:pt>
                <c:pt idx="7">
                  <c:v>Assurances</c:v>
                </c:pt>
                <c:pt idx="8">
                  <c:v>Loisirs</c:v>
                </c:pt>
                <c:pt idx="9">
                  <c:v>Electricité</c:v>
                </c:pt>
                <c:pt idx="10">
                  <c:v>Cadeau</c:v>
                </c:pt>
                <c:pt idx="11">
                  <c:v>Tabac</c:v>
                </c:pt>
                <c:pt idx="12">
                  <c:v>Impôts</c:v>
                </c:pt>
                <c:pt idx="13">
                  <c:v>Essence</c:v>
                </c:pt>
                <c:pt idx="14">
                  <c:v>Courses</c:v>
                </c:pt>
                <c:pt idx="15">
                  <c:v>Eau</c:v>
                </c:pt>
                <c:pt idx="16">
                  <c:v>Crédit</c:v>
                </c:pt>
                <c:pt idx="17">
                  <c:v>Loyer</c:v>
                </c:pt>
                <c:pt idx="18">
                  <c:v>Virement</c:v>
                </c:pt>
              </c:strCache>
            </c:strRef>
          </c:cat>
          <c:val>
            <c:numRef>
              <c:f>Graphique!$B$5:$B$24</c:f>
              <c:numCache>
                <c:formatCode>General</c:formatCode>
                <c:ptCount val="19"/>
                <c:pt idx="1">
                  <c:v>12.14</c:v>
                </c:pt>
                <c:pt idx="2">
                  <c:v>30</c:v>
                </c:pt>
                <c:pt idx="3">
                  <c:v>38.25</c:v>
                </c:pt>
                <c:pt idx="4">
                  <c:v>61.980000000000004</c:v>
                </c:pt>
                <c:pt idx="5">
                  <c:v>62.25</c:v>
                </c:pt>
                <c:pt idx="6">
                  <c:v>96.97</c:v>
                </c:pt>
                <c:pt idx="7">
                  <c:v>128.08000000000001</c:v>
                </c:pt>
                <c:pt idx="8">
                  <c:v>167</c:v>
                </c:pt>
                <c:pt idx="9">
                  <c:v>195</c:v>
                </c:pt>
                <c:pt idx="10">
                  <c:v>200</c:v>
                </c:pt>
                <c:pt idx="11">
                  <c:v>200</c:v>
                </c:pt>
                <c:pt idx="12">
                  <c:v>224</c:v>
                </c:pt>
                <c:pt idx="13">
                  <c:v>360</c:v>
                </c:pt>
                <c:pt idx="14">
                  <c:v>415.24</c:v>
                </c:pt>
                <c:pt idx="15">
                  <c:v>440</c:v>
                </c:pt>
                <c:pt idx="16">
                  <c:v>503.44</c:v>
                </c:pt>
                <c:pt idx="17">
                  <c:v>700</c:v>
                </c:pt>
                <c:pt idx="18">
                  <c:v>780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13-48F0-ACDE-49E19DFB5D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17869760"/>
        <c:axId val="717867360"/>
        <c:axId val="0"/>
      </c:bar3DChart>
      <c:catAx>
        <c:axId val="7178697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7867360"/>
        <c:crosses val="autoZero"/>
        <c:auto val="1"/>
        <c:lblAlgn val="ctr"/>
        <c:lblOffset val="100"/>
        <c:noMultiLvlLbl val="0"/>
      </c:catAx>
      <c:valAx>
        <c:axId val="717867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7869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289560</xdr:colOff>
      <xdr:row>1</xdr:row>
      <xdr:rowOff>114300</xdr:rowOff>
    </xdr:from>
    <xdr:to>
      <xdr:col>11</xdr:col>
      <xdr:colOff>624840</xdr:colOff>
      <xdr:row>25</xdr:row>
      <xdr:rowOff>144780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37B304B-D74C-27DF-2BCF-FC149F537A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024190" refreshedDate="46013.655979282405" createdVersion="8" refreshedVersion="8" minRefreshableVersion="3" recordCount="41" xr:uid="{A38778F4-8456-44A2-AE17-BFAA42CCC49B}">
  <cacheSource type="worksheet">
    <worksheetSource name="Budget_Janvier"/>
  </cacheSource>
  <cacheFields count="7">
    <cacheField name="Date" numFmtId="14">
      <sharedItems containsSemiMixedTypes="0" containsNonDate="0" containsDate="1" containsString="0" minDate="2025-12-17T00:00:00" maxDate="2026-12-25T00:00:00"/>
    </cacheField>
    <cacheField name="Famille" numFmtId="0">
      <sharedItems count="20">
        <s v="Virement"/>
        <s v="Courses"/>
        <s v="Salaire"/>
        <s v="Cadeau"/>
        <s v="Crédit"/>
        <s v="Impôts"/>
        <s v="Tabac"/>
        <s v="Essence"/>
        <s v="Téléphonie"/>
        <s v="Nounou"/>
        <s v="Loisirs"/>
        <s v="TV"/>
        <s v="Loyer"/>
        <s v="Electricité"/>
        <s v="Jade"/>
        <s v="Cantine"/>
        <s v="Assurances"/>
        <s v="Eau"/>
        <s v="Musique"/>
        <s v="Restos"/>
      </sharedItems>
    </cacheField>
    <cacheField name="Quoi" numFmtId="0">
      <sharedItems/>
    </cacheField>
    <cacheField name="Qui" numFmtId="0">
      <sharedItems count="3">
        <s v="Couple"/>
        <s v="Julien"/>
        <s v="Auriane"/>
      </sharedItems>
    </cacheField>
    <cacheField name="Moyen" numFmtId="0">
      <sharedItems/>
    </cacheField>
    <cacheField name="Solde" numFmtId="0">
      <sharedItems count="2">
        <s v="Débit"/>
        <s v="Crédit"/>
      </sharedItems>
    </cacheField>
    <cacheField name="Montant" numFmtId="164">
      <sharedItems containsString="0" containsBlank="1" containsNumber="1" minValue="6.49" maxValue="2535.070000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">
  <r>
    <d v="2025-12-17T00:00:00"/>
    <x v="0"/>
    <s v="Compte rouge"/>
    <x v="0"/>
    <s v="Virement"/>
    <x v="0"/>
    <n v="780"/>
  </r>
  <r>
    <d v="2025-12-22T00:00:00"/>
    <x v="1"/>
    <s v="Intermarché"/>
    <x v="0"/>
    <s v="CB"/>
    <x v="0"/>
    <n v="85.24"/>
  </r>
  <r>
    <d v="2025-12-22T00:00:00"/>
    <x v="2"/>
    <s v="MAAF"/>
    <x v="0"/>
    <s v="Virement"/>
    <x v="1"/>
    <n v="2535.0700000000002"/>
  </r>
  <r>
    <d v="2025-12-25T00:00:00"/>
    <x v="3"/>
    <s v="Noël + anniv papa"/>
    <x v="0"/>
    <s v="Virement"/>
    <x v="0"/>
    <n v="200"/>
  </r>
  <r>
    <d v="2025-12-27T00:00:00"/>
    <x v="4"/>
    <s v="Voiture"/>
    <x v="0"/>
    <s v="Prélèvement"/>
    <x v="0"/>
    <n v="353.44"/>
  </r>
  <r>
    <d v="2025-12-27T00:00:00"/>
    <x v="5"/>
    <s v="Revenus 2024"/>
    <x v="0"/>
    <s v="Prélèvement"/>
    <x v="0"/>
    <n v="224"/>
  </r>
  <r>
    <d v="2025-12-27T00:00:00"/>
    <x v="6"/>
    <s v="Cigarettes"/>
    <x v="0"/>
    <s v="CB"/>
    <x v="0"/>
    <n v="50"/>
  </r>
  <r>
    <d v="2025-12-27T00:00:00"/>
    <x v="7"/>
    <s v="Grandland"/>
    <x v="0"/>
    <s v="CB"/>
    <x v="0"/>
    <n v="80"/>
  </r>
  <r>
    <d v="2025-12-27T00:00:00"/>
    <x v="7"/>
    <s v="Vivaro"/>
    <x v="0"/>
    <s v="CB"/>
    <x v="0"/>
    <n v="100"/>
  </r>
  <r>
    <d v="2025-12-28T00:00:00"/>
    <x v="8"/>
    <s v="Internet"/>
    <x v="0"/>
    <s v="Prélèvement"/>
    <x v="0"/>
    <n v="42.99"/>
  </r>
  <r>
    <d v="2025-12-31T00:00:00"/>
    <x v="2"/>
    <s v="Fiée des Lois"/>
    <x v="0"/>
    <s v="Virement"/>
    <x v="1"/>
    <n v="2000"/>
  </r>
  <r>
    <d v="2025-12-31T00:00:00"/>
    <x v="2"/>
    <s v="13ème mois"/>
    <x v="1"/>
    <s v="Virement"/>
    <x v="1"/>
    <n v="1000"/>
  </r>
  <r>
    <d v="2026-01-01T00:00:00"/>
    <x v="9"/>
    <s v="Jade"/>
    <x v="0"/>
    <s v="Virement"/>
    <x v="0"/>
    <m/>
  </r>
  <r>
    <d v="2026-01-01T00:00:00"/>
    <x v="10"/>
    <s v="Center Parcs"/>
    <x v="2"/>
    <s v="Prélèvement"/>
    <x v="0"/>
    <n v="167"/>
  </r>
  <r>
    <d v="2026-01-01T00:00:00"/>
    <x v="3"/>
    <s v="Chèque Noël Mamie"/>
    <x v="2"/>
    <s v="Chèque"/>
    <x v="1"/>
    <n v="150"/>
  </r>
  <r>
    <d v="2026-01-02T00:00:00"/>
    <x v="4"/>
    <s v="Conso A"/>
    <x v="0"/>
    <s v="Prélèvement"/>
    <x v="0"/>
    <n v="150"/>
  </r>
  <r>
    <d v="2026-01-03T00:00:00"/>
    <x v="11"/>
    <s v="Netflix"/>
    <x v="0"/>
    <s v="Paypal"/>
    <x v="0"/>
    <n v="7.99"/>
  </r>
  <r>
    <d v="2026-01-03T00:00:00"/>
    <x v="1"/>
    <s v="Intermarché"/>
    <x v="0"/>
    <s v="CB"/>
    <x v="0"/>
    <n v="110"/>
  </r>
  <r>
    <d v="2026-01-03T00:00:00"/>
    <x v="6"/>
    <s v="Cigarettes"/>
    <x v="0"/>
    <s v="CB"/>
    <x v="0"/>
    <n v="50"/>
  </r>
  <r>
    <d v="2026-01-04T00:00:00"/>
    <x v="11"/>
    <s v="Canal +"/>
    <x v="0"/>
    <s v="Prélèvement"/>
    <x v="0"/>
    <n v="47.5"/>
  </r>
  <r>
    <d v="2026-01-05T00:00:00"/>
    <x v="12"/>
    <s v="Proprio"/>
    <x v="0"/>
    <s v="Prélèvement"/>
    <x v="0"/>
    <n v="700"/>
  </r>
  <r>
    <d v="2026-01-05T00:00:00"/>
    <x v="8"/>
    <s v="Forfait J"/>
    <x v="0"/>
    <s v="Prélèvement"/>
    <x v="0"/>
    <n v="26.99"/>
  </r>
  <r>
    <d v="2026-01-05T00:00:00"/>
    <x v="13"/>
    <s v="Séolis"/>
    <x v="0"/>
    <s v="Prélèvement"/>
    <x v="0"/>
    <n v="195"/>
  </r>
  <r>
    <d v="2026-01-05T00:00:00"/>
    <x v="14"/>
    <s v="Pandacraft"/>
    <x v="0"/>
    <s v="Prélèvement"/>
    <x v="0"/>
    <n v="9"/>
  </r>
  <r>
    <d v="2026-01-05T00:00:00"/>
    <x v="14"/>
    <s v="Centre anti poux"/>
    <x v="0"/>
    <s v="Prélèvement"/>
    <x v="0"/>
    <n v="15"/>
  </r>
  <r>
    <d v="2026-01-06T00:00:00"/>
    <x v="15"/>
    <s v="Jade"/>
    <x v="0"/>
    <s v="Prélèvement"/>
    <x v="0"/>
    <n v="38.25"/>
  </r>
  <r>
    <d v="2026-01-06T00:00:00"/>
    <x v="14"/>
    <s v="Cantine et garderie"/>
    <x v="0"/>
    <s v="Prélèvement"/>
    <x v="0"/>
    <n v="38.25"/>
  </r>
  <r>
    <d v="2026-01-10T00:00:00"/>
    <x v="16"/>
    <s v="Auto + VPR"/>
    <x v="0"/>
    <s v="Prélèvement"/>
    <x v="0"/>
    <n v="128.08000000000001"/>
  </r>
  <r>
    <d v="2026-01-10T00:00:00"/>
    <x v="17"/>
    <s v="Sertad"/>
    <x v="0"/>
    <s v="Prélèvement"/>
    <x v="0"/>
    <n v="440"/>
  </r>
  <r>
    <d v="2026-01-10T00:00:00"/>
    <x v="8"/>
    <s v="Manue forfait L"/>
    <x v="0"/>
    <s v="Virement"/>
    <x v="0"/>
    <n v="15"/>
  </r>
  <r>
    <d v="2026-01-10T00:00:00"/>
    <x v="1"/>
    <s v="Intermarché"/>
    <x v="0"/>
    <s v="CB"/>
    <x v="0"/>
    <n v="110"/>
  </r>
  <r>
    <d v="2026-01-10T00:00:00"/>
    <x v="6"/>
    <s v="Cigarettes"/>
    <x v="0"/>
    <s v="CB"/>
    <x v="0"/>
    <n v="50"/>
  </r>
  <r>
    <d v="2026-01-10T00:00:00"/>
    <x v="7"/>
    <s v="Grandland"/>
    <x v="0"/>
    <s v="CB"/>
    <x v="0"/>
    <n v="80"/>
  </r>
  <r>
    <d v="2026-01-10T00:00:00"/>
    <x v="7"/>
    <s v="Vivaro"/>
    <x v="0"/>
    <s v="CB"/>
    <x v="0"/>
    <n v="100"/>
  </r>
  <r>
    <d v="2026-01-13T00:00:00"/>
    <x v="11"/>
    <s v="Disney +"/>
    <x v="0"/>
    <s v="Paypal"/>
    <x v="0"/>
    <n v="6.49"/>
  </r>
  <r>
    <d v="2026-01-14T00:00:00"/>
    <x v="8"/>
    <s v="Forfait A"/>
    <x v="0"/>
    <s v="Prélèvement"/>
    <x v="0"/>
    <n v="11.99"/>
  </r>
  <r>
    <d v="2026-01-15T00:00:00"/>
    <x v="5"/>
    <s v="Avance crédit impôts"/>
    <x v="0"/>
    <s v="Virement"/>
    <x v="1"/>
    <n v="96"/>
  </r>
  <r>
    <d v="2026-01-17T00:00:00"/>
    <x v="1"/>
    <s v="Intermarché"/>
    <x v="0"/>
    <s v="CB"/>
    <x v="0"/>
    <n v="110"/>
  </r>
  <r>
    <d v="2026-01-17T00:00:00"/>
    <x v="6"/>
    <s v="Cigarettes"/>
    <x v="0"/>
    <s v="CB"/>
    <x v="0"/>
    <n v="50"/>
  </r>
  <r>
    <d v="2026-01-21T00:00:00"/>
    <x v="18"/>
    <s v="Spotify"/>
    <x v="0"/>
    <s v="Paypal"/>
    <x v="0"/>
    <n v="12.14"/>
  </r>
  <r>
    <d v="2026-12-24T00:00:00"/>
    <x v="19"/>
    <s v="Del Arte"/>
    <x v="0"/>
    <s v="CB"/>
    <x v="0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ACD97D-4CF6-49DD-865D-7F85C478EBD4}" name="Tableau croisé dynamique1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">
  <location ref="A4:B24" firstHeaderRow="1" firstDataRow="1" firstDataCol="1" rowPageCount="2" colPageCount="1"/>
  <pivotFields count="7">
    <pivotField numFmtId="14" showAll="0"/>
    <pivotField axis="axisRow" showAll="0" sortType="ascending">
      <items count="21">
        <item x="11"/>
        <item x="8"/>
        <item x="6"/>
        <item x="2"/>
        <item x="9"/>
        <item x="18"/>
        <item x="12"/>
        <item x="10"/>
        <item x="14"/>
        <item x="5"/>
        <item x="7"/>
        <item x="13"/>
        <item x="17"/>
        <item x="4"/>
        <item x="1"/>
        <item x="15"/>
        <item x="3"/>
        <item x="16"/>
        <item x="0"/>
        <item x="1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axis="axisPage" showAll="0">
      <items count="4">
        <item x="0"/>
        <item x="1"/>
        <item x="2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dataField="1" showAll="0"/>
  </pivotFields>
  <rowFields count="1">
    <field x="1"/>
  </rowFields>
  <rowItems count="20">
    <i>
      <x v="4"/>
    </i>
    <i>
      <x v="5"/>
    </i>
    <i>
      <x v="19"/>
    </i>
    <i>
      <x v="15"/>
    </i>
    <i>
      <x/>
    </i>
    <i>
      <x v="8"/>
    </i>
    <i>
      <x v="1"/>
    </i>
    <i>
      <x v="17"/>
    </i>
    <i>
      <x v="7"/>
    </i>
    <i>
      <x v="11"/>
    </i>
    <i>
      <x v="16"/>
    </i>
    <i>
      <x v="2"/>
    </i>
    <i>
      <x v="9"/>
    </i>
    <i>
      <x v="10"/>
    </i>
    <i>
      <x v="14"/>
    </i>
    <i>
      <x v="12"/>
    </i>
    <i>
      <x v="13"/>
    </i>
    <i>
      <x v="6"/>
    </i>
    <i>
      <x v="18"/>
    </i>
    <i t="grand">
      <x/>
    </i>
  </rowItems>
  <colItems count="1">
    <i/>
  </colItems>
  <pageFields count="2">
    <pageField fld="3" hier="-1"/>
    <pageField fld="5" item="1" hier="-1"/>
  </pageFields>
  <dataFields count="1">
    <dataField name="Somme de Montant" fld="6" baseField="1" baseItem="8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D40183-122F-4F68-AF6B-EE1169E30D79}" name="Budget_Janvier" displayName="Budget_Janvier" ref="A4:G45" totalsRowShown="0" headerRowDxfId="189" dataDxfId="188">
  <autoFilter ref="A4:G45" xr:uid="{71D40183-122F-4F68-AF6B-EE1169E30D79}"/>
  <sortState xmlns:xlrd2="http://schemas.microsoft.com/office/spreadsheetml/2017/richdata2" ref="A5:G45">
    <sortCondition ref="A4:A45"/>
  </sortState>
  <tableColumns count="7">
    <tableColumn id="1" xr3:uid="{B5F78964-ACB3-462F-B49E-51FCB72BF7D9}" name="Date" dataDxfId="187"/>
    <tableColumn id="2" xr3:uid="{2D0FE7B0-454F-4D3C-A48C-0F2873610879}" name="Famille" dataDxfId="186"/>
    <tableColumn id="3" xr3:uid="{2ECA0138-C4EC-4C21-A17C-3C578E494BD4}" name="Quoi" dataDxfId="185"/>
    <tableColumn id="4" xr3:uid="{B349B294-33A5-4A39-8ACC-1A593061DAF2}" name="Qui" dataDxfId="184"/>
    <tableColumn id="5" xr3:uid="{92AF594B-A1C2-4AAE-BE58-10855E3FA026}" name="Moyen" dataDxfId="183"/>
    <tableColumn id="6" xr3:uid="{4FBF7F74-4D5B-4933-A4F9-6A447327B96C}" name="Solde" dataDxfId="182"/>
    <tableColumn id="7" xr3:uid="{C84CB086-C883-4ADC-A286-487292D4B119}" name="Montant" dataDxfId="18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7BB9E6-058C-4C4C-AD17-E965A13579D0}" name="Budget_Fevrier" displayName="Budget_Fevrier" ref="A4:G42" totalsRowShown="0" headerRowDxfId="180" dataDxfId="179">
  <autoFilter ref="A4:G42" xr:uid="{71D40183-122F-4F68-AF6B-EE1169E30D79}"/>
  <sortState xmlns:xlrd2="http://schemas.microsoft.com/office/spreadsheetml/2017/richdata2" ref="A5:G40">
    <sortCondition ref="A5:A40"/>
  </sortState>
  <tableColumns count="7">
    <tableColumn id="1" xr3:uid="{1C0F10C7-9BF6-4882-8D5E-116E3A47A64A}" name="Date" dataDxfId="178"/>
    <tableColumn id="2" xr3:uid="{13033EFA-83A6-453A-8780-71E8C3AFCD07}" name="Famille" dataDxfId="177"/>
    <tableColumn id="3" xr3:uid="{50A4E2FD-4E11-4AD4-9C4F-3A348CFD8DFC}" name="Quoi" dataDxfId="176"/>
    <tableColumn id="4" xr3:uid="{9B464EEB-6975-442E-AE3E-566877609D5C}" name="Qui" dataDxfId="175"/>
    <tableColumn id="5" xr3:uid="{F657C251-6FEB-4114-B544-7884C95E7EB4}" name="Moyen" dataDxfId="174"/>
    <tableColumn id="6" xr3:uid="{6D0104FF-87AC-4F42-837E-D701C14B2632}" name="Solde" dataDxfId="173"/>
    <tableColumn id="7" xr3:uid="{C76F310A-094E-4B15-8DD9-8FB937B86D4F}" name="Montant" dataDxfId="17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C76D57D-0FC0-4363-9B30-45DEE810D32D}" name="Budget34" displayName="Budget34" ref="A4:G39" totalsRowShown="0" headerRowDxfId="171" dataDxfId="170">
  <autoFilter ref="A4:G39" xr:uid="{71D40183-122F-4F68-AF6B-EE1169E30D79}"/>
  <sortState xmlns:xlrd2="http://schemas.microsoft.com/office/spreadsheetml/2017/richdata2" ref="A5:G39">
    <sortCondition ref="A5:A39"/>
  </sortState>
  <tableColumns count="7">
    <tableColumn id="1" xr3:uid="{5538784F-7919-4C2A-BC13-FC9FB7D602FD}" name="Date" dataDxfId="169"/>
    <tableColumn id="2" xr3:uid="{B41D0A19-9EE6-4FA6-9EC0-6D6DF6462747}" name="Famille" dataDxfId="168"/>
    <tableColumn id="3" xr3:uid="{A061368B-8489-4488-9CCB-8AF986F33B1F}" name="Quoi" dataDxfId="167"/>
    <tableColumn id="4" xr3:uid="{C62A4D85-A38A-4B94-8B16-A737F89B9119}" name="Qui" dataDxfId="166"/>
    <tableColumn id="5" xr3:uid="{501CADF0-41C4-41AF-A52A-C7DC4721EDD5}" name="Moyen" dataDxfId="165"/>
    <tableColumn id="6" xr3:uid="{731157C1-AE4D-440E-9C9D-AF18C70835AF}" name="Solde" dataDxfId="164"/>
    <tableColumn id="7" xr3:uid="{D324381B-BFD7-44E0-B944-B41F4DE473AC}" name="Montant" dataDxfId="16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F888F5D-0985-46A0-879F-8DDED614E1AE}" name="Budget345" displayName="Budget345" ref="A4:G39" totalsRowShown="0" headerRowDxfId="162" dataDxfId="161">
  <autoFilter ref="A4:G39" xr:uid="{71D40183-122F-4F68-AF6B-EE1169E30D79}"/>
  <sortState xmlns:xlrd2="http://schemas.microsoft.com/office/spreadsheetml/2017/richdata2" ref="A5:G39">
    <sortCondition ref="A5:A39"/>
  </sortState>
  <tableColumns count="7">
    <tableColumn id="1" xr3:uid="{63674C46-1A3D-49E3-B873-5D021636B9B3}" name="Date" dataDxfId="160"/>
    <tableColumn id="2" xr3:uid="{55994652-F9DD-4FC0-9144-7D2219FA69F1}" name="Famille" dataDxfId="159"/>
    <tableColumn id="3" xr3:uid="{8BA64C6A-6190-4AC4-9B35-C87C99D40A39}" name="Quoi" dataDxfId="158"/>
    <tableColumn id="4" xr3:uid="{D7EAF95C-A5A8-433A-B769-F5A5B8EB6D0F}" name="Qui" dataDxfId="157"/>
    <tableColumn id="5" xr3:uid="{3239D04F-94CC-48C7-B08C-B8A033DB5191}" name="Moyen" dataDxfId="156"/>
    <tableColumn id="6" xr3:uid="{10AF5021-A2DB-403E-9121-94F0E2FA73F8}" name="Solde" dataDxfId="155"/>
    <tableColumn id="7" xr3:uid="{84A01A8E-A79F-4167-BC1B-2747120D54DF}" name="Montant" dataDxfId="15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DFAE27E-BE06-4860-B9F4-AAC76288BC9A}" name="Budget3456" displayName="Budget3456" ref="A4:G39" totalsRowShown="0" headerRowDxfId="153" dataDxfId="152">
  <autoFilter ref="A4:G39" xr:uid="{71D40183-122F-4F68-AF6B-EE1169E30D79}"/>
  <sortState xmlns:xlrd2="http://schemas.microsoft.com/office/spreadsheetml/2017/richdata2" ref="A5:G39">
    <sortCondition ref="A5:A39"/>
  </sortState>
  <tableColumns count="7">
    <tableColumn id="1" xr3:uid="{3246F37F-FA5D-4C63-909E-0CD5500F2956}" name="Date" dataDxfId="151"/>
    <tableColumn id="2" xr3:uid="{2D284C96-C8D5-40FA-9CA0-4BAA050E005C}" name="Famille" dataDxfId="150"/>
    <tableColumn id="3" xr3:uid="{1F0B3EEC-1E36-436A-B046-AB93AC17D982}" name="Quoi" dataDxfId="149"/>
    <tableColumn id="4" xr3:uid="{2E429A81-6278-43E8-B60D-B84BAFA7AD16}" name="Qui" dataDxfId="148"/>
    <tableColumn id="5" xr3:uid="{76F40427-2863-4ACF-9D50-1C63A059D643}" name="Moyen" dataDxfId="147"/>
    <tableColumn id="6" xr3:uid="{10844872-A266-4947-9004-FAF2A17DA45A}" name="Solde" dataDxfId="146"/>
    <tableColumn id="7" xr3:uid="{D3A6AF81-C91D-4450-9305-E04EF58F2A9B}" name="Montant" dataDxfId="14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07863EE-9608-4300-ACB5-5D76ACAC3523}" name="Budget34567" displayName="Budget34567" ref="A4:G39" totalsRowShown="0" headerRowDxfId="144" dataDxfId="143">
  <autoFilter ref="A4:G39" xr:uid="{71D40183-122F-4F68-AF6B-EE1169E30D79}"/>
  <sortState xmlns:xlrd2="http://schemas.microsoft.com/office/spreadsheetml/2017/richdata2" ref="A5:G39">
    <sortCondition ref="A5:A39"/>
  </sortState>
  <tableColumns count="7">
    <tableColumn id="1" xr3:uid="{057E541E-C542-4A0C-85A2-B348C19AEB78}" name="Date" dataDxfId="142"/>
    <tableColumn id="2" xr3:uid="{50D5E2C2-461F-4C8B-B403-9515027D02E4}" name="Famille" dataDxfId="141"/>
    <tableColumn id="3" xr3:uid="{D8284571-A2CD-41C2-B0FB-2C84937E6BF4}" name="Quoi" dataDxfId="140"/>
    <tableColumn id="4" xr3:uid="{473BD1B4-D6E6-48B9-BC34-C4963367AA30}" name="Qui" dataDxfId="139"/>
    <tableColumn id="5" xr3:uid="{A42C30BD-C489-4886-B0F4-28433BF047AE}" name="Moyen" dataDxfId="138"/>
    <tableColumn id="6" xr3:uid="{BA87EAE3-2C08-4344-B9D2-F13F44CCAAFE}" name="Solde" dataDxfId="137"/>
    <tableColumn id="7" xr3:uid="{6489CE5B-7EC6-43D4-9447-7A71849D5942}" name="Montant" dataDxfId="13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F8F009B-BFA3-4321-B1AC-669D00CEAB17}" name="Budget345678" displayName="Budget345678" ref="A4:G39" totalsRowShown="0" headerRowDxfId="135" dataDxfId="134">
  <autoFilter ref="A4:G39" xr:uid="{71D40183-122F-4F68-AF6B-EE1169E30D79}"/>
  <sortState xmlns:xlrd2="http://schemas.microsoft.com/office/spreadsheetml/2017/richdata2" ref="A5:G39">
    <sortCondition ref="A5:A39"/>
  </sortState>
  <tableColumns count="7">
    <tableColumn id="1" xr3:uid="{8C11319C-2E30-4EDC-9FA8-30FC0E8084B2}" name="Date" dataDxfId="133"/>
    <tableColumn id="2" xr3:uid="{195F93F9-BD12-4091-B2B6-CE594782A778}" name="Famille" dataDxfId="132"/>
    <tableColumn id="3" xr3:uid="{8A0F2358-43A8-477D-A275-D238B1B5CA00}" name="Quoi" dataDxfId="131"/>
    <tableColumn id="4" xr3:uid="{4AB185DE-50AC-4965-9A57-BFD380BE8676}" name="Qui" dataDxfId="130"/>
    <tableColumn id="5" xr3:uid="{1D42BA49-320E-43B9-8F8E-44E853590118}" name="Moyen" dataDxfId="129"/>
    <tableColumn id="6" xr3:uid="{5888021E-C159-4C15-AAC2-8BBE00739F9C}" name="Solde" dataDxfId="128"/>
    <tableColumn id="7" xr3:uid="{A1E933ED-F8D3-495F-B5E7-5A042F4D9A5D}" name="Montant" dataDxfId="12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0766830-C8B8-41E5-A167-DE6A04FA069C}" name="Budget3456789" displayName="Budget3456789" ref="A4:G39" totalsRowShown="0" headerRowDxfId="126" dataDxfId="125">
  <autoFilter ref="A4:G39" xr:uid="{71D40183-122F-4F68-AF6B-EE1169E30D79}"/>
  <sortState xmlns:xlrd2="http://schemas.microsoft.com/office/spreadsheetml/2017/richdata2" ref="A5:G39">
    <sortCondition ref="A5:A39"/>
  </sortState>
  <tableColumns count="7">
    <tableColumn id="1" xr3:uid="{F60A57DA-8F9F-42AA-A78B-96384662295C}" name="Date" dataDxfId="124"/>
    <tableColumn id="2" xr3:uid="{AD3D8EAD-F118-43F5-B4B8-33794A50C161}" name="Famille" dataDxfId="123"/>
    <tableColumn id="3" xr3:uid="{B4FF7224-164C-4C28-94CA-0133A122E84E}" name="Quoi" dataDxfId="122"/>
    <tableColumn id="4" xr3:uid="{0EB99C59-94F6-4159-B05A-302A315BA869}" name="Qui" dataDxfId="121"/>
    <tableColumn id="5" xr3:uid="{5891D391-D376-442B-9AFF-DBD87E7892A5}" name="Moyen" dataDxfId="120"/>
    <tableColumn id="6" xr3:uid="{528924F0-1F13-492D-8CF6-17A4B40D85CD}" name="Solde" dataDxfId="119"/>
    <tableColumn id="7" xr3:uid="{6BC98BE5-8D8A-46CB-8115-DD4930D84007}" name="Montant" dataDxfId="11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053BAB4-C30D-47D9-8797-29CEF7C26189}" name="Budget345678910" displayName="Budget345678910" ref="A4:G39" totalsRowShown="0" headerRowDxfId="117" dataDxfId="116">
  <autoFilter ref="A4:G39" xr:uid="{71D40183-122F-4F68-AF6B-EE1169E30D79}"/>
  <sortState xmlns:xlrd2="http://schemas.microsoft.com/office/spreadsheetml/2017/richdata2" ref="A5:G39">
    <sortCondition ref="A5:A39"/>
  </sortState>
  <tableColumns count="7">
    <tableColumn id="1" xr3:uid="{431EF8C0-6040-4C9F-9B5D-9275AC0BDC39}" name="Date" dataDxfId="115"/>
    <tableColumn id="2" xr3:uid="{F368B93F-D2DB-4DD0-BF84-CEEBCFF8D1F2}" name="Famille" dataDxfId="114"/>
    <tableColumn id="3" xr3:uid="{C710A5CB-63DF-4EE9-ABD7-15272B399655}" name="Quoi" dataDxfId="113"/>
    <tableColumn id="4" xr3:uid="{6213B38A-9697-46B9-9E61-C68225E42764}" name="Qui" dataDxfId="112"/>
    <tableColumn id="5" xr3:uid="{645D7DA7-0084-4B4E-881F-33EE7C920658}" name="Moyen" dataDxfId="111"/>
    <tableColumn id="6" xr3:uid="{3908DA18-3CF2-4262-94D8-424813A97A8B}" name="Solde" dataDxfId="110"/>
    <tableColumn id="7" xr3:uid="{A541649E-9537-4E71-B755-74AF2D2C5976}" name="Montant" dataDxfId="10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87ECB43-5887-4E37-9CDA-9E1FE316D849}" name="Budget34567891014" displayName="Budget34567891014" ref="A4:G39" totalsRowShown="0" headerRowDxfId="108" dataDxfId="107">
  <autoFilter ref="A4:G39" xr:uid="{287ECB43-5887-4E37-9CDA-9E1FE316D849}"/>
  <sortState xmlns:xlrd2="http://schemas.microsoft.com/office/spreadsheetml/2017/richdata2" ref="A5:G39">
    <sortCondition ref="A5:A39"/>
  </sortState>
  <tableColumns count="7">
    <tableColumn id="1" xr3:uid="{ED6D355B-07DE-45BC-A11A-C50F75A4B99C}" name="Date" dataDxfId="106"/>
    <tableColumn id="2" xr3:uid="{C5AC5AE2-4C42-4FF5-9552-3CC94D4B0CAE}" name="Famille" dataDxfId="105"/>
    <tableColumn id="3" xr3:uid="{114D2B90-072B-484C-ADEB-943444CD5B35}" name="Quoi" dataDxfId="104"/>
    <tableColumn id="4" xr3:uid="{03B658B7-3404-48DC-8FB8-C33B95A1FA4B}" name="Qui" dataDxfId="103"/>
    <tableColumn id="5" xr3:uid="{1F1992F7-B412-4E88-9D3D-2A893DAB231F}" name="Moyen" dataDxfId="102"/>
    <tableColumn id="6" xr3:uid="{65B45F6E-012C-4D0C-895B-DAAC4EA74303}" name="Solde" dataDxfId="101"/>
    <tableColumn id="7" xr3:uid="{4C51EC4D-2192-4361-8CC8-F527CA7BF799}" name="Montant" dataDxfId="10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862E74A-53B5-4E0D-8A6C-2FC28FA29E8C}" name="Budget3456789101112" displayName="Budget3456789101112" ref="A4:G39" totalsRowShown="0" headerRowDxfId="99" dataDxfId="98">
  <autoFilter ref="A4:G39" xr:uid="{71D40183-122F-4F68-AF6B-EE1169E30D79}"/>
  <sortState xmlns:xlrd2="http://schemas.microsoft.com/office/spreadsheetml/2017/richdata2" ref="A5:G39">
    <sortCondition ref="A5:A39"/>
  </sortState>
  <tableColumns count="7">
    <tableColumn id="1" xr3:uid="{5521C43A-65D3-4810-AE2F-512CEAC8BE39}" name="Date" dataDxfId="97"/>
    <tableColumn id="2" xr3:uid="{97908E2F-2AA4-46BC-BF3D-92EF3033CF9F}" name="Famille" dataDxfId="96"/>
    <tableColumn id="3" xr3:uid="{8CFB400D-2090-488A-9546-3DF932E18803}" name="Quoi" dataDxfId="95"/>
    <tableColumn id="4" xr3:uid="{3800B4EA-E2A9-4B38-9D08-D980909A78AA}" name="Qui" dataDxfId="94"/>
    <tableColumn id="5" xr3:uid="{E1269138-8ADD-4BEB-93BB-4F890BC4CC0F}" name="Moyen" dataDxfId="93"/>
    <tableColumn id="6" xr3:uid="{B9B6392A-2C5A-414F-B700-53C0646C147D}" name="Solde" dataDxfId="92"/>
    <tableColumn id="7" xr3:uid="{D02D0A67-0EB8-405A-A5F1-37E0B4FE1877}" name="Montant" dataDxfId="9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F22D491F-0049-478F-8BD9-BDEC1F9C3CA7}" name="Budget345678910111213" displayName="Budget345678910111213" ref="A4:G39" totalsRowShown="0" headerRowDxfId="90" dataDxfId="89">
  <autoFilter ref="A4:G39" xr:uid="{71D40183-122F-4F68-AF6B-EE1169E30D79}"/>
  <sortState xmlns:xlrd2="http://schemas.microsoft.com/office/spreadsheetml/2017/richdata2" ref="A5:G39">
    <sortCondition ref="A5:A39"/>
  </sortState>
  <tableColumns count="7">
    <tableColumn id="1" xr3:uid="{FC7A7A81-F070-4C95-8E26-B4825F5AF4BB}" name="Date" dataDxfId="88"/>
    <tableColumn id="2" xr3:uid="{F2B3B0FB-84B0-4B51-B608-44E3DA1651F4}" name="Famille" dataDxfId="87"/>
    <tableColumn id="3" xr3:uid="{6B716BE0-B231-4233-A5A8-95DFC3BBF944}" name="Quoi" dataDxfId="86"/>
    <tableColumn id="4" xr3:uid="{8A6644DC-8216-4499-BD80-5FE032D5B9F5}" name="Qui" dataDxfId="85"/>
    <tableColumn id="5" xr3:uid="{2DFC5749-9778-43A3-B386-072E09594BE1}" name="Moyen" dataDxfId="84"/>
    <tableColumn id="6" xr3:uid="{FEC586C6-F750-4B35-B90B-17E1D9130D20}" name="Solde" dataDxfId="83"/>
    <tableColumn id="7" xr3:uid="{13D254E1-A299-4839-A397-5E79FAE4DB0C}" name="Montant" dataDxfId="8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75135-A970-4700-9875-B6BBC812DCA9}">
  <sheetPr codeName="Feuil2"/>
  <dimension ref="A1:G26"/>
  <sheetViews>
    <sheetView workbookViewId="0">
      <selection activeCell="G3" sqref="G3"/>
    </sheetView>
  </sheetViews>
  <sheetFormatPr baseColWidth="10" defaultRowHeight="14.4" x14ac:dyDescent="0.3"/>
  <sheetData>
    <row r="1" spans="1:7" x14ac:dyDescent="0.3">
      <c r="A1" t="s">
        <v>20</v>
      </c>
      <c r="C1" t="s">
        <v>26</v>
      </c>
      <c r="E1" t="s">
        <v>44</v>
      </c>
      <c r="G1" t="s">
        <v>19</v>
      </c>
    </row>
    <row r="2" spans="1:7" x14ac:dyDescent="0.3">
      <c r="A2" t="s">
        <v>22</v>
      </c>
      <c r="C2" t="s">
        <v>27</v>
      </c>
      <c r="E2" t="s">
        <v>43</v>
      </c>
      <c r="G2" t="s">
        <v>59</v>
      </c>
    </row>
    <row r="3" spans="1:7" x14ac:dyDescent="0.3">
      <c r="A3" t="s">
        <v>9</v>
      </c>
      <c r="C3" t="s">
        <v>28</v>
      </c>
      <c r="E3" t="s">
        <v>45</v>
      </c>
    </row>
    <row r="4" spans="1:7" x14ac:dyDescent="0.3">
      <c r="A4" t="s">
        <v>5</v>
      </c>
      <c r="E4" t="s">
        <v>41</v>
      </c>
    </row>
    <row r="5" spans="1:7" x14ac:dyDescent="0.3">
      <c r="A5" t="s">
        <v>10</v>
      </c>
      <c r="E5" t="s">
        <v>42</v>
      </c>
    </row>
    <row r="6" spans="1:7" x14ac:dyDescent="0.3">
      <c r="A6" t="s">
        <v>1</v>
      </c>
      <c r="E6" t="s">
        <v>8</v>
      </c>
    </row>
    <row r="7" spans="1:7" x14ac:dyDescent="0.3">
      <c r="A7" t="s">
        <v>19</v>
      </c>
    </row>
    <row r="8" spans="1:7" x14ac:dyDescent="0.3">
      <c r="A8" t="s">
        <v>16</v>
      </c>
    </row>
    <row r="9" spans="1:7" x14ac:dyDescent="0.3">
      <c r="A9" t="s">
        <v>15</v>
      </c>
    </row>
    <row r="10" spans="1:7" x14ac:dyDescent="0.3">
      <c r="A10" t="s">
        <v>2</v>
      </c>
    </row>
    <row r="11" spans="1:7" x14ac:dyDescent="0.3">
      <c r="A11" t="s">
        <v>13</v>
      </c>
    </row>
    <row r="12" spans="1:7" x14ac:dyDescent="0.3">
      <c r="A12" t="s">
        <v>23</v>
      </c>
    </row>
    <row r="13" spans="1:7" x14ac:dyDescent="0.3">
      <c r="A13" t="s">
        <v>24</v>
      </c>
    </row>
    <row r="14" spans="1:7" x14ac:dyDescent="0.3">
      <c r="A14" t="s">
        <v>0</v>
      </c>
    </row>
    <row r="15" spans="1:7" x14ac:dyDescent="0.3">
      <c r="A15" t="s">
        <v>12</v>
      </c>
    </row>
    <row r="16" spans="1:7" x14ac:dyDescent="0.3">
      <c r="A16" t="s">
        <v>18</v>
      </c>
    </row>
    <row r="17" spans="1:1" x14ac:dyDescent="0.3">
      <c r="A17" t="s">
        <v>11</v>
      </c>
    </row>
    <row r="18" spans="1:1" x14ac:dyDescent="0.3">
      <c r="A18" t="s">
        <v>3</v>
      </c>
    </row>
    <row r="19" spans="1:1" x14ac:dyDescent="0.3">
      <c r="A19" t="s">
        <v>25</v>
      </c>
    </row>
    <row r="20" spans="1:1" x14ac:dyDescent="0.3">
      <c r="A20" t="s">
        <v>21</v>
      </c>
    </row>
    <row r="21" spans="1:1" x14ac:dyDescent="0.3">
      <c r="A21" t="s">
        <v>6</v>
      </c>
    </row>
    <row r="22" spans="1:1" x14ac:dyDescent="0.3">
      <c r="A22" t="s">
        <v>14</v>
      </c>
    </row>
    <row r="23" spans="1:1" x14ac:dyDescent="0.3">
      <c r="A23" t="s">
        <v>17</v>
      </c>
    </row>
    <row r="24" spans="1:1" x14ac:dyDescent="0.3">
      <c r="A24" t="s">
        <v>4</v>
      </c>
    </row>
    <row r="25" spans="1:1" x14ac:dyDescent="0.3">
      <c r="A25" t="s">
        <v>8</v>
      </c>
    </row>
    <row r="26" spans="1:1" x14ac:dyDescent="0.3">
      <c r="A26" t="s">
        <v>7</v>
      </c>
    </row>
  </sheetData>
  <sortState xmlns:xlrd2="http://schemas.microsoft.com/office/spreadsheetml/2017/richdata2" ref="E1:E6">
    <sortCondition ref="E1:E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DBD73-B26A-4AF8-8CD2-D72A98A76A8B}">
  <sheetPr codeName="Feuil4"/>
  <dimension ref="A1:B24"/>
  <sheetViews>
    <sheetView workbookViewId="0">
      <selection activeCell="M10" sqref="M10"/>
    </sheetView>
  </sheetViews>
  <sheetFormatPr baseColWidth="10" defaultRowHeight="14.4" x14ac:dyDescent="0.3"/>
  <cols>
    <col min="1" max="1" width="19.5546875" bestFit="1" customWidth="1"/>
    <col min="2" max="2" width="17.109375" bestFit="1" customWidth="1"/>
  </cols>
  <sheetData>
    <row r="1" spans="1:2" x14ac:dyDescent="0.3">
      <c r="A1" s="8" t="s">
        <v>30</v>
      </c>
      <c r="B1" t="s">
        <v>72</v>
      </c>
    </row>
    <row r="2" spans="1:2" x14ac:dyDescent="0.3">
      <c r="A2" s="8" t="s">
        <v>58</v>
      </c>
      <c r="B2" t="s">
        <v>59</v>
      </c>
    </row>
    <row r="4" spans="1:2" x14ac:dyDescent="0.3">
      <c r="A4" s="8" t="s">
        <v>69</v>
      </c>
      <c r="B4" t="s">
        <v>71</v>
      </c>
    </row>
    <row r="5" spans="1:2" x14ac:dyDescent="0.3">
      <c r="A5" s="7" t="s">
        <v>11</v>
      </c>
      <c r="B5" s="9"/>
    </row>
    <row r="6" spans="1:2" x14ac:dyDescent="0.3">
      <c r="A6" s="7" t="s">
        <v>18</v>
      </c>
      <c r="B6" s="9">
        <v>12.14</v>
      </c>
    </row>
    <row r="7" spans="1:2" x14ac:dyDescent="0.3">
      <c r="A7" s="7" t="s">
        <v>3</v>
      </c>
      <c r="B7" s="9">
        <v>30</v>
      </c>
    </row>
    <row r="8" spans="1:2" x14ac:dyDescent="0.3">
      <c r="A8" s="7" t="s">
        <v>10</v>
      </c>
      <c r="B8" s="9">
        <v>38.25</v>
      </c>
    </row>
    <row r="9" spans="1:2" x14ac:dyDescent="0.3">
      <c r="A9" s="7" t="s">
        <v>17</v>
      </c>
      <c r="B9" s="9">
        <v>61.980000000000004</v>
      </c>
    </row>
    <row r="10" spans="1:2" x14ac:dyDescent="0.3">
      <c r="A10" s="7" t="s">
        <v>23</v>
      </c>
      <c r="B10" s="9">
        <v>62.25</v>
      </c>
    </row>
    <row r="11" spans="1:2" x14ac:dyDescent="0.3">
      <c r="A11" s="7" t="s">
        <v>14</v>
      </c>
      <c r="B11" s="9">
        <v>96.97</v>
      </c>
    </row>
    <row r="12" spans="1:2" x14ac:dyDescent="0.3">
      <c r="A12" s="7" t="s">
        <v>20</v>
      </c>
      <c r="B12" s="9">
        <v>128.08000000000001</v>
      </c>
    </row>
    <row r="13" spans="1:2" x14ac:dyDescent="0.3">
      <c r="A13" s="7" t="s">
        <v>24</v>
      </c>
      <c r="B13" s="9">
        <v>167</v>
      </c>
    </row>
    <row r="14" spans="1:2" x14ac:dyDescent="0.3">
      <c r="A14" s="7" t="s">
        <v>15</v>
      </c>
      <c r="B14" s="9">
        <v>195</v>
      </c>
    </row>
    <row r="15" spans="1:2" x14ac:dyDescent="0.3">
      <c r="A15" s="7" t="s">
        <v>9</v>
      </c>
      <c r="B15" s="9">
        <v>200</v>
      </c>
    </row>
    <row r="16" spans="1:2" x14ac:dyDescent="0.3">
      <c r="A16" s="7" t="s">
        <v>6</v>
      </c>
      <c r="B16" s="9">
        <v>200</v>
      </c>
    </row>
    <row r="17" spans="1:2" x14ac:dyDescent="0.3">
      <c r="A17" s="7" t="s">
        <v>13</v>
      </c>
      <c r="B17" s="9">
        <v>224</v>
      </c>
    </row>
    <row r="18" spans="1:2" x14ac:dyDescent="0.3">
      <c r="A18" s="7" t="s">
        <v>2</v>
      </c>
      <c r="B18" s="9">
        <v>360</v>
      </c>
    </row>
    <row r="19" spans="1:2" x14ac:dyDescent="0.3">
      <c r="A19" s="7" t="s">
        <v>1</v>
      </c>
      <c r="B19" s="9">
        <v>415.24</v>
      </c>
    </row>
    <row r="20" spans="1:2" x14ac:dyDescent="0.3">
      <c r="A20" s="7" t="s">
        <v>16</v>
      </c>
      <c r="B20" s="9">
        <v>440</v>
      </c>
    </row>
    <row r="21" spans="1:2" x14ac:dyDescent="0.3">
      <c r="A21" s="7" t="s">
        <v>19</v>
      </c>
      <c r="B21" s="9">
        <v>503.44</v>
      </c>
    </row>
    <row r="22" spans="1:2" x14ac:dyDescent="0.3">
      <c r="A22" s="7" t="s">
        <v>0</v>
      </c>
      <c r="B22" s="9">
        <v>700</v>
      </c>
    </row>
    <row r="23" spans="1:2" x14ac:dyDescent="0.3">
      <c r="A23" s="7" t="s">
        <v>8</v>
      </c>
      <c r="B23" s="9">
        <v>780</v>
      </c>
    </row>
    <row r="24" spans="1:2" x14ac:dyDescent="0.3">
      <c r="A24" s="7" t="s">
        <v>70</v>
      </c>
      <c r="B24" s="9">
        <v>4614.3500000000004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D8661-96AF-4623-9E06-E3FD2BC97D5C}">
  <sheetPr codeName="Feuil1"/>
  <dimension ref="A1:L47"/>
  <sheetViews>
    <sheetView showGridLines="0" tabSelected="1" workbookViewId="0">
      <selection activeCell="I22" sqref="I22"/>
    </sheetView>
  </sheetViews>
  <sheetFormatPr baseColWidth="10" defaultRowHeight="14.4" x14ac:dyDescent="0.3"/>
  <cols>
    <col min="1" max="1" width="22.5546875" style="2" bestFit="1" customWidth="1"/>
    <col min="2" max="2" width="16.109375" style="2" customWidth="1"/>
    <col min="3" max="3" width="18.77734375" style="2" bestFit="1" customWidth="1"/>
    <col min="4" max="4" width="9.33203125" style="2" customWidth="1"/>
    <col min="5" max="6" width="14.44140625" style="3" customWidth="1"/>
    <col min="9" max="9" width="15.21875" customWidth="1"/>
  </cols>
  <sheetData>
    <row r="1" spans="1:12" x14ac:dyDescent="0.3">
      <c r="A1" s="14" t="s">
        <v>66</v>
      </c>
      <c r="B1" s="16">
        <v>0</v>
      </c>
      <c r="D1" s="14" t="s">
        <v>55</v>
      </c>
      <c r="E1" s="16">
        <f>SUMIFS(G:G,B:B,"Salaire",D:D,"Couple")</f>
        <v>4535.07</v>
      </c>
      <c r="G1" s="5"/>
    </row>
    <row r="2" spans="1:12" x14ac:dyDescent="0.3">
      <c r="A2" s="15" t="s">
        <v>67</v>
      </c>
      <c r="B2" s="16">
        <v>0</v>
      </c>
      <c r="C2"/>
      <c r="D2" s="17" t="s">
        <v>27</v>
      </c>
      <c r="E2" s="17">
        <f>SUMIFS(G:G,B:B,"Salaire",C:C,"MAAF")</f>
        <v>2535.0700000000002</v>
      </c>
      <c r="F2"/>
      <c r="G2" s="6"/>
    </row>
    <row r="3" spans="1:12" x14ac:dyDescent="0.3">
      <c r="A3"/>
      <c r="B3"/>
      <c r="C3"/>
      <c r="D3" s="17" t="s">
        <v>26</v>
      </c>
      <c r="E3" s="17">
        <f>SUMIFS(G:G,B:B,"Salaire",C:C,"Fiée des Lois")</f>
        <v>2000</v>
      </c>
      <c r="F3"/>
    </row>
    <row r="4" spans="1:12" x14ac:dyDescent="0.3">
      <c r="A4" t="s">
        <v>53</v>
      </c>
      <c r="B4" s="1" t="s">
        <v>29</v>
      </c>
      <c r="C4" s="1" t="s">
        <v>31</v>
      </c>
      <c r="D4" s="1" t="s">
        <v>30</v>
      </c>
      <c r="E4" s="1" t="s">
        <v>40</v>
      </c>
      <c r="F4" s="1" t="s">
        <v>58</v>
      </c>
      <c r="G4" s="1" t="s">
        <v>32</v>
      </c>
      <c r="I4" s="12" t="s">
        <v>54</v>
      </c>
      <c r="J4" s="10">
        <f>SUMIFS(G5:G45,F5:F45,"Crédit",D5:D45,"Couple")-SUMIFS(G5:G45,F5:F45,"Débit",D5:D45,"Couple")</f>
        <v>183.72000000000025</v>
      </c>
    </row>
    <row r="5" spans="1:12" x14ac:dyDescent="0.3">
      <c r="A5" s="5">
        <v>46008</v>
      </c>
      <c r="B5" s="2" t="s">
        <v>8</v>
      </c>
      <c r="C5" s="2" t="s">
        <v>76</v>
      </c>
      <c r="D5" s="2" t="s">
        <v>28</v>
      </c>
      <c r="E5" s="2" t="s">
        <v>8</v>
      </c>
      <c r="F5" s="2" t="s">
        <v>59</v>
      </c>
      <c r="G5" s="3">
        <v>780</v>
      </c>
      <c r="I5" s="13" t="s">
        <v>56</v>
      </c>
      <c r="J5" s="10">
        <f>((E3/$E$1)*$J$4)-SUMIFS(G$5:G$1048576,D$5:D$1048576,"Julien",$F$5:$F$1048576,"Débit")+SUMIFS($G$5:$G$1048576,$D$5:$D$1048576,"Julien",$F$5:$F$1048576,"Crédit")+$B$1</f>
        <v>1081.0219026387686</v>
      </c>
    </row>
    <row r="6" spans="1:12" x14ac:dyDescent="0.3">
      <c r="A6" s="5">
        <v>46013</v>
      </c>
      <c r="B6" s="2" t="s">
        <v>1</v>
      </c>
      <c r="C6" s="2" t="s">
        <v>60</v>
      </c>
      <c r="D6" s="2" t="s">
        <v>28</v>
      </c>
      <c r="E6" s="2" t="s">
        <v>44</v>
      </c>
      <c r="F6" s="2" t="s">
        <v>59</v>
      </c>
      <c r="G6" s="6">
        <v>85.24</v>
      </c>
      <c r="I6" s="11" t="s">
        <v>57</v>
      </c>
      <c r="J6" s="10">
        <f>((E2/$E$1)*$J$4)-SUMIFS(G$5:G$1048576,D$5:D$1048576,"Auriane",$F$5:$F$1048576,"Débit")+SUMIFS($G$5:$G$1048576,$D$5:$D$1048576,"Auriane",$F$5:$F$1048576,"Crédit")+$B$2</f>
        <v>85.698097361231618</v>
      </c>
    </row>
    <row r="7" spans="1:12" x14ac:dyDescent="0.3">
      <c r="A7" s="5">
        <v>46013</v>
      </c>
      <c r="B7" s="2" t="s">
        <v>25</v>
      </c>
      <c r="C7" s="4" t="s">
        <v>63</v>
      </c>
      <c r="D7" s="2" t="s">
        <v>28</v>
      </c>
      <c r="E7" s="2" t="s">
        <v>8</v>
      </c>
      <c r="F7" s="2" t="s">
        <v>19</v>
      </c>
      <c r="G7" s="3">
        <v>2535.0700000000002</v>
      </c>
    </row>
    <row r="8" spans="1:12" x14ac:dyDescent="0.3">
      <c r="A8" s="5">
        <v>46016</v>
      </c>
      <c r="B8" s="2" t="s">
        <v>9</v>
      </c>
      <c r="C8" s="2" t="s">
        <v>68</v>
      </c>
      <c r="D8" s="2" t="s">
        <v>28</v>
      </c>
      <c r="E8" s="2" t="s">
        <v>8</v>
      </c>
      <c r="F8" s="2" t="s">
        <v>59</v>
      </c>
      <c r="G8" s="6">
        <v>200</v>
      </c>
    </row>
    <row r="9" spans="1:12" x14ac:dyDescent="0.3">
      <c r="A9" s="5">
        <v>46018</v>
      </c>
      <c r="B9" s="2" t="s">
        <v>19</v>
      </c>
      <c r="C9" s="2" t="s">
        <v>7</v>
      </c>
      <c r="D9" s="2" t="s">
        <v>28</v>
      </c>
      <c r="E9" s="2" t="s">
        <v>42</v>
      </c>
      <c r="F9" s="2" t="s">
        <v>59</v>
      </c>
      <c r="G9" s="3">
        <v>353.44</v>
      </c>
    </row>
    <row r="10" spans="1:12" x14ac:dyDescent="0.3">
      <c r="A10" s="5">
        <v>46018</v>
      </c>
      <c r="B10" s="2" t="s">
        <v>13</v>
      </c>
      <c r="C10" s="2" t="s">
        <v>86</v>
      </c>
      <c r="D10" s="2" t="s">
        <v>28</v>
      </c>
      <c r="E10" s="2" t="s">
        <v>42</v>
      </c>
      <c r="F10" s="2" t="s">
        <v>59</v>
      </c>
      <c r="G10" s="6">
        <v>224</v>
      </c>
      <c r="J10" s="19" t="s">
        <v>77</v>
      </c>
      <c r="K10" s="19" t="s">
        <v>78</v>
      </c>
      <c r="L10" s="19" t="s">
        <v>79</v>
      </c>
    </row>
    <row r="11" spans="1:12" x14ac:dyDescent="0.3">
      <c r="A11" s="5">
        <v>46018</v>
      </c>
      <c r="B11" s="2" t="s">
        <v>6</v>
      </c>
      <c r="C11" s="2" t="s">
        <v>61</v>
      </c>
      <c r="D11" s="2" t="s">
        <v>28</v>
      </c>
      <c r="E11" s="2" t="s">
        <v>44</v>
      </c>
      <c r="F11" s="2" t="s">
        <v>59</v>
      </c>
      <c r="G11" s="6">
        <v>50</v>
      </c>
      <c r="I11" s="12" t="s">
        <v>1</v>
      </c>
      <c r="J11" s="10">
        <f ca="1">SUMIFS(G:G,B:B,"Courses",A:A,"&lt;=" &amp; TODAY())</f>
        <v>85.24</v>
      </c>
      <c r="K11" s="10">
        <v>440</v>
      </c>
      <c r="L11" s="10">
        <f ca="1">K11-J11</f>
        <v>354.76</v>
      </c>
    </row>
    <row r="12" spans="1:12" x14ac:dyDescent="0.3">
      <c r="A12" s="5">
        <v>46018</v>
      </c>
      <c r="B12" s="2" t="s">
        <v>2</v>
      </c>
      <c r="C12" s="2" t="s">
        <v>62</v>
      </c>
      <c r="D12" s="2" t="s">
        <v>28</v>
      </c>
      <c r="E12" s="2" t="s">
        <v>44</v>
      </c>
      <c r="F12" s="2" t="s">
        <v>59</v>
      </c>
      <c r="G12" s="6">
        <v>80</v>
      </c>
      <c r="I12" s="13" t="s">
        <v>6</v>
      </c>
      <c r="J12" s="10">
        <f ca="1">SUMIFS(G:G,B:B,"Tabac",A:A,"&lt;=" &amp; TODAY())</f>
        <v>0</v>
      </c>
      <c r="K12" s="10">
        <v>200</v>
      </c>
      <c r="L12" s="10">
        <f t="shared" ref="L12:L14" ca="1" si="0">K12-J12</f>
        <v>200</v>
      </c>
    </row>
    <row r="13" spans="1:12" x14ac:dyDescent="0.3">
      <c r="A13" s="5">
        <v>46018</v>
      </c>
      <c r="B13" s="2" t="s">
        <v>2</v>
      </c>
      <c r="C13" s="2" t="s">
        <v>85</v>
      </c>
      <c r="D13" s="2" t="s">
        <v>28</v>
      </c>
      <c r="E13" s="2" t="s">
        <v>44</v>
      </c>
      <c r="F13" s="2" t="s">
        <v>59</v>
      </c>
      <c r="G13" s="6">
        <v>100</v>
      </c>
      <c r="I13" s="13" t="s">
        <v>2</v>
      </c>
      <c r="J13" s="10">
        <f ca="1">SUMIFS(G:G,B:B,"Essence",A:A,"&lt;=" &amp; TODAY())</f>
        <v>0</v>
      </c>
      <c r="K13" s="10">
        <v>360</v>
      </c>
      <c r="L13" s="10">
        <f t="shared" ca="1" si="0"/>
        <v>360</v>
      </c>
    </row>
    <row r="14" spans="1:12" x14ac:dyDescent="0.3">
      <c r="A14" s="5">
        <v>46019</v>
      </c>
      <c r="B14" s="2" t="s">
        <v>14</v>
      </c>
      <c r="C14" s="2" t="s">
        <v>36</v>
      </c>
      <c r="D14" s="2" t="s">
        <v>28</v>
      </c>
      <c r="E14" s="2" t="s">
        <v>42</v>
      </c>
      <c r="F14" s="2" t="s">
        <v>59</v>
      </c>
      <c r="G14" s="3">
        <v>42.99</v>
      </c>
      <c r="I14" s="18" t="s">
        <v>3</v>
      </c>
      <c r="J14" s="10">
        <f>SUMIFS(G:G,B:B,"Restos")</f>
        <v>30</v>
      </c>
      <c r="K14" s="10">
        <v>30</v>
      </c>
      <c r="L14" s="10">
        <f t="shared" si="0"/>
        <v>0</v>
      </c>
    </row>
    <row r="15" spans="1:12" x14ac:dyDescent="0.3">
      <c r="A15" s="5">
        <f>WORKDAY(EOMONTH("01/12/2025",0)+1,-1)</f>
        <v>46022</v>
      </c>
      <c r="B15" s="2" t="s">
        <v>25</v>
      </c>
      <c r="C15" s="4" t="s">
        <v>64</v>
      </c>
      <c r="D15" s="2" t="s">
        <v>28</v>
      </c>
      <c r="E15" s="2" t="s">
        <v>8</v>
      </c>
      <c r="F15" s="2" t="s">
        <v>19</v>
      </c>
      <c r="G15" s="3">
        <v>2000</v>
      </c>
    </row>
    <row r="16" spans="1:12" x14ac:dyDescent="0.3">
      <c r="A16" s="5">
        <v>46022</v>
      </c>
      <c r="B16" s="2" t="s">
        <v>25</v>
      </c>
      <c r="C16" s="2" t="s">
        <v>75</v>
      </c>
      <c r="D16" s="2" t="s">
        <v>26</v>
      </c>
      <c r="E16" s="2" t="s">
        <v>8</v>
      </c>
      <c r="F16" s="2" t="s">
        <v>19</v>
      </c>
      <c r="G16" s="3">
        <v>1000</v>
      </c>
    </row>
    <row r="17" spans="1:7" x14ac:dyDescent="0.3">
      <c r="A17" s="5">
        <v>46023</v>
      </c>
      <c r="B17" s="2" t="s">
        <v>11</v>
      </c>
      <c r="C17" s="2" t="s">
        <v>23</v>
      </c>
      <c r="D17" s="2" t="s">
        <v>28</v>
      </c>
      <c r="E17" s="2" t="s">
        <v>8</v>
      </c>
      <c r="F17" s="2" t="s">
        <v>59</v>
      </c>
      <c r="G17" s="6"/>
    </row>
    <row r="18" spans="1:7" x14ac:dyDescent="0.3">
      <c r="A18" s="5">
        <v>46023</v>
      </c>
      <c r="B18" s="2" t="s">
        <v>24</v>
      </c>
      <c r="C18" s="2" t="s">
        <v>74</v>
      </c>
      <c r="D18" s="2" t="s">
        <v>27</v>
      </c>
      <c r="E18" s="2" t="s">
        <v>42</v>
      </c>
      <c r="F18" s="2" t="s">
        <v>59</v>
      </c>
      <c r="G18" s="3">
        <v>167</v>
      </c>
    </row>
    <row r="19" spans="1:7" x14ac:dyDescent="0.3">
      <c r="A19" s="5">
        <v>46023</v>
      </c>
      <c r="B19" s="2" t="s">
        <v>9</v>
      </c>
      <c r="C19" s="2" t="s">
        <v>82</v>
      </c>
      <c r="D19" s="2" t="s">
        <v>27</v>
      </c>
      <c r="E19" s="2" t="s">
        <v>43</v>
      </c>
      <c r="F19" s="2" t="s">
        <v>19</v>
      </c>
      <c r="G19" s="3">
        <v>150</v>
      </c>
    </row>
    <row r="20" spans="1:7" x14ac:dyDescent="0.3">
      <c r="A20" s="5">
        <v>46024</v>
      </c>
      <c r="B20" s="2" t="s">
        <v>19</v>
      </c>
      <c r="C20" s="2" t="s">
        <v>50</v>
      </c>
      <c r="D20" s="2" t="s">
        <v>28</v>
      </c>
      <c r="E20" s="2" t="s">
        <v>42</v>
      </c>
      <c r="F20" s="2" t="s">
        <v>59</v>
      </c>
      <c r="G20" s="3">
        <v>150</v>
      </c>
    </row>
    <row r="21" spans="1:7" x14ac:dyDescent="0.3">
      <c r="A21" s="5">
        <v>46025</v>
      </c>
      <c r="B21" s="2" t="s">
        <v>17</v>
      </c>
      <c r="C21" s="2" t="s">
        <v>38</v>
      </c>
      <c r="D21" s="2" t="s">
        <v>28</v>
      </c>
      <c r="E21" s="2" t="s">
        <v>41</v>
      </c>
      <c r="F21" s="2" t="s">
        <v>59</v>
      </c>
      <c r="G21" s="3">
        <v>7.99</v>
      </c>
    </row>
    <row r="22" spans="1:7" x14ac:dyDescent="0.3">
      <c r="A22" s="5">
        <v>46025</v>
      </c>
      <c r="B22" s="2" t="s">
        <v>1</v>
      </c>
      <c r="C22" s="2" t="s">
        <v>60</v>
      </c>
      <c r="D22" s="2" t="s">
        <v>28</v>
      </c>
      <c r="E22" s="2" t="s">
        <v>44</v>
      </c>
      <c r="F22" s="2" t="s">
        <v>59</v>
      </c>
      <c r="G22" s="6">
        <v>110</v>
      </c>
    </row>
    <row r="23" spans="1:7" x14ac:dyDescent="0.3">
      <c r="A23" s="5">
        <v>46025</v>
      </c>
      <c r="B23" s="2" t="s">
        <v>6</v>
      </c>
      <c r="C23" s="2" t="s">
        <v>61</v>
      </c>
      <c r="D23" s="2" t="s">
        <v>28</v>
      </c>
      <c r="E23" s="2" t="s">
        <v>44</v>
      </c>
      <c r="F23" s="2" t="s">
        <v>59</v>
      </c>
      <c r="G23" s="6">
        <v>50</v>
      </c>
    </row>
    <row r="24" spans="1:7" x14ac:dyDescent="0.3">
      <c r="A24" s="5">
        <v>46026</v>
      </c>
      <c r="B24" s="2" t="s">
        <v>17</v>
      </c>
      <c r="C24" s="2" t="s">
        <v>37</v>
      </c>
      <c r="D24" s="2" t="s">
        <v>28</v>
      </c>
      <c r="E24" s="2" t="s">
        <v>42</v>
      </c>
      <c r="F24" s="2" t="s">
        <v>59</v>
      </c>
      <c r="G24" s="3">
        <v>47.5</v>
      </c>
    </row>
    <row r="25" spans="1:7" x14ac:dyDescent="0.3">
      <c r="A25" s="5">
        <v>46027</v>
      </c>
      <c r="B25" s="2" t="s">
        <v>0</v>
      </c>
      <c r="C25" s="4" t="s">
        <v>65</v>
      </c>
      <c r="D25" s="2" t="s">
        <v>28</v>
      </c>
      <c r="E25" s="2" t="s">
        <v>42</v>
      </c>
      <c r="F25" s="2" t="s">
        <v>59</v>
      </c>
      <c r="G25" s="3">
        <v>700</v>
      </c>
    </row>
    <row r="26" spans="1:7" x14ac:dyDescent="0.3">
      <c r="A26" s="5">
        <v>46027</v>
      </c>
      <c r="B26" s="2" t="s">
        <v>14</v>
      </c>
      <c r="C26" s="2" t="s">
        <v>34</v>
      </c>
      <c r="D26" s="2" t="s">
        <v>28</v>
      </c>
      <c r="E26" s="2" t="s">
        <v>42</v>
      </c>
      <c r="F26" s="2" t="s">
        <v>59</v>
      </c>
      <c r="G26" s="3">
        <v>26.99</v>
      </c>
    </row>
    <row r="27" spans="1:7" x14ac:dyDescent="0.3">
      <c r="A27" s="5">
        <v>46027</v>
      </c>
      <c r="B27" s="2" t="s">
        <v>15</v>
      </c>
      <c r="C27" s="2" t="s">
        <v>46</v>
      </c>
      <c r="D27" s="2" t="s">
        <v>28</v>
      </c>
      <c r="E27" s="2" t="s">
        <v>42</v>
      </c>
      <c r="F27" s="2" t="s">
        <v>59</v>
      </c>
      <c r="G27" s="3">
        <v>195</v>
      </c>
    </row>
    <row r="28" spans="1:7" x14ac:dyDescent="0.3">
      <c r="A28" s="5">
        <v>46027</v>
      </c>
      <c r="B28" s="2" t="s">
        <v>23</v>
      </c>
      <c r="C28" s="2" t="s">
        <v>51</v>
      </c>
      <c r="D28" s="2" t="s">
        <v>28</v>
      </c>
      <c r="E28" s="2" t="s">
        <v>42</v>
      </c>
      <c r="F28" s="2" t="s">
        <v>59</v>
      </c>
      <c r="G28" s="3">
        <v>9</v>
      </c>
    </row>
    <row r="29" spans="1:7" x14ac:dyDescent="0.3">
      <c r="A29" s="5">
        <v>46027</v>
      </c>
      <c r="B29" s="2" t="s">
        <v>23</v>
      </c>
      <c r="C29" s="2" t="s">
        <v>52</v>
      </c>
      <c r="D29" s="2" t="s">
        <v>28</v>
      </c>
      <c r="E29" s="2" t="s">
        <v>42</v>
      </c>
      <c r="F29" s="2" t="s">
        <v>59</v>
      </c>
      <c r="G29" s="3">
        <v>15</v>
      </c>
    </row>
    <row r="30" spans="1:7" x14ac:dyDescent="0.3">
      <c r="A30" s="5">
        <v>46028</v>
      </c>
      <c r="B30" s="2" t="s">
        <v>10</v>
      </c>
      <c r="C30" s="2" t="s">
        <v>23</v>
      </c>
      <c r="D30" s="2" t="s">
        <v>28</v>
      </c>
      <c r="E30" s="2" t="s">
        <v>42</v>
      </c>
      <c r="F30" s="2" t="s">
        <v>59</v>
      </c>
      <c r="G30" s="6">
        <v>38.25</v>
      </c>
    </row>
    <row r="31" spans="1:7" x14ac:dyDescent="0.3">
      <c r="A31" s="5">
        <v>46028</v>
      </c>
      <c r="B31" s="2" t="s">
        <v>23</v>
      </c>
      <c r="C31" s="2" t="s">
        <v>81</v>
      </c>
      <c r="D31" s="2" t="s">
        <v>28</v>
      </c>
      <c r="E31" s="2" t="s">
        <v>42</v>
      </c>
      <c r="F31" s="2" t="s">
        <v>59</v>
      </c>
      <c r="G31" s="3">
        <v>38.25</v>
      </c>
    </row>
    <row r="32" spans="1:7" x14ac:dyDescent="0.3">
      <c r="A32" s="5">
        <v>46032</v>
      </c>
      <c r="B32" s="2" t="s">
        <v>20</v>
      </c>
      <c r="C32" s="2" t="s">
        <v>33</v>
      </c>
      <c r="D32" s="2" t="s">
        <v>28</v>
      </c>
      <c r="E32" s="2" t="s">
        <v>42</v>
      </c>
      <c r="F32" s="2" t="s">
        <v>59</v>
      </c>
      <c r="G32" s="3">
        <v>128.08000000000001</v>
      </c>
    </row>
    <row r="33" spans="1:7" x14ac:dyDescent="0.3">
      <c r="A33" s="5">
        <v>46032</v>
      </c>
      <c r="B33" s="2" t="s">
        <v>16</v>
      </c>
      <c r="C33" s="2" t="s">
        <v>47</v>
      </c>
      <c r="D33" s="2" t="s">
        <v>28</v>
      </c>
      <c r="E33" s="2" t="s">
        <v>42</v>
      </c>
      <c r="F33" s="2" t="s">
        <v>59</v>
      </c>
      <c r="G33" s="3">
        <v>440</v>
      </c>
    </row>
    <row r="34" spans="1:7" x14ac:dyDescent="0.3">
      <c r="A34" s="5">
        <v>46032</v>
      </c>
      <c r="B34" s="2" t="s">
        <v>14</v>
      </c>
      <c r="C34" s="2" t="s">
        <v>48</v>
      </c>
      <c r="D34" s="2" t="s">
        <v>28</v>
      </c>
      <c r="E34" s="2" t="s">
        <v>8</v>
      </c>
      <c r="F34" s="2" t="s">
        <v>59</v>
      </c>
      <c r="G34" s="3">
        <v>15</v>
      </c>
    </row>
    <row r="35" spans="1:7" x14ac:dyDescent="0.3">
      <c r="A35" s="5">
        <v>46032</v>
      </c>
      <c r="B35" s="2" t="s">
        <v>1</v>
      </c>
      <c r="C35" s="2" t="s">
        <v>60</v>
      </c>
      <c r="D35" s="2" t="s">
        <v>28</v>
      </c>
      <c r="E35" s="2" t="s">
        <v>44</v>
      </c>
      <c r="F35" s="2" t="s">
        <v>59</v>
      </c>
      <c r="G35" s="6">
        <v>110</v>
      </c>
    </row>
    <row r="36" spans="1:7" x14ac:dyDescent="0.3">
      <c r="A36" s="5">
        <v>46032</v>
      </c>
      <c r="B36" s="2" t="s">
        <v>6</v>
      </c>
      <c r="C36" s="2" t="s">
        <v>61</v>
      </c>
      <c r="D36" s="2" t="s">
        <v>28</v>
      </c>
      <c r="E36" s="2" t="s">
        <v>44</v>
      </c>
      <c r="F36" s="2" t="s">
        <v>59</v>
      </c>
      <c r="G36" s="6">
        <v>50</v>
      </c>
    </row>
    <row r="37" spans="1:7" x14ac:dyDescent="0.3">
      <c r="A37" s="5">
        <v>46032</v>
      </c>
      <c r="B37" s="2" t="s">
        <v>2</v>
      </c>
      <c r="C37" s="2" t="s">
        <v>62</v>
      </c>
      <c r="D37" s="2" t="s">
        <v>28</v>
      </c>
      <c r="E37" s="2" t="s">
        <v>44</v>
      </c>
      <c r="F37" s="2" t="s">
        <v>59</v>
      </c>
      <c r="G37" s="6">
        <v>80</v>
      </c>
    </row>
    <row r="38" spans="1:7" x14ac:dyDescent="0.3">
      <c r="A38" s="5">
        <v>46032</v>
      </c>
      <c r="B38" s="2" t="s">
        <v>2</v>
      </c>
      <c r="C38" s="2" t="s">
        <v>85</v>
      </c>
      <c r="D38" s="2" t="s">
        <v>28</v>
      </c>
      <c r="E38" s="2" t="s">
        <v>44</v>
      </c>
      <c r="F38" s="2" t="s">
        <v>59</v>
      </c>
      <c r="G38" s="6">
        <v>100</v>
      </c>
    </row>
    <row r="39" spans="1:7" x14ac:dyDescent="0.3">
      <c r="A39" s="5">
        <v>46035</v>
      </c>
      <c r="B39" s="2" t="s">
        <v>17</v>
      </c>
      <c r="C39" s="2" t="s">
        <v>39</v>
      </c>
      <c r="D39" s="2" t="s">
        <v>28</v>
      </c>
      <c r="E39" s="2" t="s">
        <v>41</v>
      </c>
      <c r="F39" s="2" t="s">
        <v>59</v>
      </c>
      <c r="G39" s="3">
        <v>6.49</v>
      </c>
    </row>
    <row r="40" spans="1:7" x14ac:dyDescent="0.3">
      <c r="A40" s="5">
        <v>46036</v>
      </c>
      <c r="B40" s="2" t="s">
        <v>14</v>
      </c>
      <c r="C40" s="2" t="s">
        <v>35</v>
      </c>
      <c r="D40" s="2" t="s">
        <v>28</v>
      </c>
      <c r="E40" s="2" t="s">
        <v>42</v>
      </c>
      <c r="F40" s="2" t="s">
        <v>59</v>
      </c>
      <c r="G40" s="3">
        <v>11.99</v>
      </c>
    </row>
    <row r="41" spans="1:7" x14ac:dyDescent="0.3">
      <c r="A41" s="5">
        <v>46037</v>
      </c>
      <c r="B41" s="2" t="s">
        <v>13</v>
      </c>
      <c r="C41" s="2" t="s">
        <v>80</v>
      </c>
      <c r="D41" s="2" t="s">
        <v>28</v>
      </c>
      <c r="E41" s="2" t="s">
        <v>8</v>
      </c>
      <c r="F41" s="2" t="s">
        <v>19</v>
      </c>
      <c r="G41" s="3">
        <v>96</v>
      </c>
    </row>
    <row r="42" spans="1:7" x14ac:dyDescent="0.3">
      <c r="A42" s="5">
        <v>46039</v>
      </c>
      <c r="B42" s="2" t="s">
        <v>1</v>
      </c>
      <c r="C42" s="2" t="s">
        <v>60</v>
      </c>
      <c r="D42" s="2" t="s">
        <v>28</v>
      </c>
      <c r="E42" s="2" t="s">
        <v>44</v>
      </c>
      <c r="F42" s="2" t="s">
        <v>59</v>
      </c>
      <c r="G42" s="6">
        <v>110</v>
      </c>
    </row>
    <row r="43" spans="1:7" x14ac:dyDescent="0.3">
      <c r="A43" s="5">
        <v>46039</v>
      </c>
      <c r="B43" s="2" t="s">
        <v>6</v>
      </c>
      <c r="C43" s="2" t="s">
        <v>61</v>
      </c>
      <c r="D43" s="2" t="s">
        <v>28</v>
      </c>
      <c r="E43" s="2" t="s">
        <v>44</v>
      </c>
      <c r="F43" s="2" t="s">
        <v>59</v>
      </c>
      <c r="G43" s="6">
        <v>50</v>
      </c>
    </row>
    <row r="44" spans="1:7" x14ac:dyDescent="0.3">
      <c r="A44" s="5">
        <v>46043</v>
      </c>
      <c r="B44" s="2" t="s">
        <v>18</v>
      </c>
      <c r="C44" s="2" t="s">
        <v>49</v>
      </c>
      <c r="D44" s="2" t="s">
        <v>28</v>
      </c>
      <c r="E44" s="2" t="s">
        <v>41</v>
      </c>
      <c r="F44" s="2" t="s">
        <v>59</v>
      </c>
      <c r="G44" s="3">
        <v>12.14</v>
      </c>
    </row>
    <row r="45" spans="1:7" x14ac:dyDescent="0.3">
      <c r="A45" s="5">
        <v>46380</v>
      </c>
      <c r="B45" s="2" t="s">
        <v>3</v>
      </c>
      <c r="C45" s="2" t="s">
        <v>84</v>
      </c>
      <c r="D45" s="2" t="s">
        <v>28</v>
      </c>
      <c r="E45" s="2" t="s">
        <v>44</v>
      </c>
      <c r="F45" s="2" t="s">
        <v>59</v>
      </c>
      <c r="G45" s="3">
        <v>30</v>
      </c>
    </row>
    <row r="46" spans="1:7" x14ac:dyDescent="0.3">
      <c r="A46" s="5"/>
      <c r="E46" s="2"/>
      <c r="F46" s="2"/>
      <c r="G46" s="3"/>
    </row>
    <row r="47" spans="1:7" x14ac:dyDescent="0.3">
      <c r="A47" s="5"/>
      <c r="E47" s="2"/>
      <c r="F47" s="2"/>
      <c r="G47" s="3"/>
    </row>
  </sheetData>
  <sortState xmlns:xlrd2="http://schemas.microsoft.com/office/spreadsheetml/2017/richdata2" ref="A5:G37">
    <sortCondition ref="A5:A37"/>
  </sortState>
  <conditionalFormatting sqref="A5:G47">
    <cfRule type="expression" dxfId="2" priority="1">
      <formula>AND($A5&lt;&gt;"", $A5&lt;=TODAY())</formula>
    </cfRule>
  </conditionalFormatting>
  <conditionalFormatting sqref="G5:G47">
    <cfRule type="cellIs" dxfId="3" priority="2" operator="equal">
      <formula>0</formula>
    </cfRule>
  </conditionalFormatting>
  <dataValidations count="4">
    <dataValidation type="list" allowBlank="1" showInputMessage="1" showErrorMessage="1" sqref="A3 B5:B1048576" xr:uid="{C02BBF71-51A1-483B-BF61-890CAE35FD56}">
      <formula1>famille</formula1>
    </dataValidation>
    <dataValidation type="list" allowBlank="1" showInputMessage="1" showErrorMessage="1" sqref="D5:D1048576" xr:uid="{8FDA260F-EE19-4AB4-836C-3C8A60BA3A86}">
      <formula1>Qui</formula1>
    </dataValidation>
    <dataValidation type="list" allowBlank="1" showInputMessage="1" showErrorMessage="1" sqref="E5:E1048576" xr:uid="{645DC2D1-83A4-4671-9F32-6565CA67F07B}">
      <formula1>Moyen</formula1>
    </dataValidation>
    <dataValidation type="list" allowBlank="1" showInputMessage="1" showErrorMessage="1" sqref="F5:F1048576" xr:uid="{1EB886C2-91C7-43AD-BF6C-BF4A0A2164E5}">
      <formula1>montant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5EA53-0648-4810-8F25-508AB76B860B}">
  <sheetPr codeName="Feuil3"/>
  <dimension ref="A1:L49"/>
  <sheetViews>
    <sheetView showGridLines="0" workbookViewId="0">
      <selection activeCell="I9" sqref="I9:L13"/>
    </sheetView>
  </sheetViews>
  <sheetFormatPr baseColWidth="10" defaultRowHeight="14.4" x14ac:dyDescent="0.3"/>
  <cols>
    <col min="1" max="1" width="22.5546875" style="2" bestFit="1" customWidth="1"/>
    <col min="2" max="2" width="16.109375" style="2" customWidth="1"/>
    <col min="3" max="3" width="16.109375" style="2" bestFit="1" customWidth="1"/>
    <col min="4" max="4" width="9.33203125" style="2" customWidth="1"/>
    <col min="5" max="6" width="14.44140625" style="3" customWidth="1"/>
    <col min="9" max="9" width="15.21875" customWidth="1"/>
  </cols>
  <sheetData>
    <row r="1" spans="1:12" x14ac:dyDescent="0.3">
      <c r="A1" s="14" t="s">
        <v>66</v>
      </c>
      <c r="B1" s="16">
        <f>Janvier!J5</f>
        <v>1081.0219026387686</v>
      </c>
      <c r="D1" s="14" t="s">
        <v>55</v>
      </c>
      <c r="E1" s="16">
        <f>SUMIFS(G:G,B:B,"Salaire",D:D,"Couple")</f>
        <v>4450</v>
      </c>
    </row>
    <row r="2" spans="1:12" x14ac:dyDescent="0.3">
      <c r="A2" s="15" t="s">
        <v>67</v>
      </c>
      <c r="B2" s="16">
        <f>Janvier!J6</f>
        <v>85.698097361231618</v>
      </c>
      <c r="C2"/>
      <c r="D2" s="17" t="s">
        <v>27</v>
      </c>
      <c r="E2" s="17">
        <v>2450</v>
      </c>
      <c r="F2"/>
      <c r="G2" s="6"/>
    </row>
    <row r="3" spans="1:12" x14ac:dyDescent="0.3">
      <c r="A3"/>
      <c r="B3"/>
      <c r="C3"/>
      <c r="D3" s="17" t="s">
        <v>26</v>
      </c>
      <c r="E3" s="17">
        <v>2000</v>
      </c>
      <c r="F3"/>
    </row>
    <row r="4" spans="1:12" x14ac:dyDescent="0.3">
      <c r="A4" t="s">
        <v>53</v>
      </c>
      <c r="B4" s="1" t="s">
        <v>29</v>
      </c>
      <c r="C4" s="1" t="s">
        <v>31</v>
      </c>
      <c r="D4" s="1" t="s">
        <v>30</v>
      </c>
      <c r="E4" s="1" t="s">
        <v>40</v>
      </c>
      <c r="F4" s="1" t="s">
        <v>58</v>
      </c>
      <c r="G4" s="1" t="s">
        <v>32</v>
      </c>
      <c r="I4" s="12" t="s">
        <v>54</v>
      </c>
      <c r="J4" s="10">
        <f>SUMIFS(G5:G42,F5:F42,"Crédit",D5:D42,"Couple")-SUMIFS(G5:G42,F5:F42,"Débit",D5:D42,"Couple")</f>
        <v>1125.7900000000009</v>
      </c>
    </row>
    <row r="5" spans="1:12" x14ac:dyDescent="0.3">
      <c r="A5" s="5">
        <v>46046</v>
      </c>
      <c r="B5" s="2" t="s">
        <v>25</v>
      </c>
      <c r="C5" s="4" t="s">
        <v>63</v>
      </c>
      <c r="D5" s="2" t="s">
        <v>28</v>
      </c>
      <c r="E5" s="2" t="s">
        <v>8</v>
      </c>
      <c r="F5" s="2" t="s">
        <v>19</v>
      </c>
      <c r="G5" s="3">
        <v>2450</v>
      </c>
      <c r="I5" s="13" t="s">
        <v>56</v>
      </c>
      <c r="J5" s="10">
        <f>((E3/$E$1)*$J$4)-SUMIFS(G$5:G$1048576,D$5:D$1048576,"Julien",$F$5:$F$1048576,"Débit")+SUMIFS($G$5:$G$1048576,$D$5:$D$1048576,"Julien",$F$5:$F$1048576,"Crédit")+$B$1</f>
        <v>1586.9949363466342</v>
      </c>
    </row>
    <row r="6" spans="1:12" x14ac:dyDescent="0.3">
      <c r="A6" s="5">
        <v>46047</v>
      </c>
      <c r="B6" s="2" t="s">
        <v>9</v>
      </c>
      <c r="C6" s="2" t="s">
        <v>68</v>
      </c>
      <c r="D6" s="2" t="s">
        <v>28</v>
      </c>
      <c r="E6" s="2" t="s">
        <v>8</v>
      </c>
      <c r="F6" s="2" t="s">
        <v>59</v>
      </c>
      <c r="G6" s="6">
        <v>200</v>
      </c>
      <c r="I6" s="11" t="s">
        <v>57</v>
      </c>
      <c r="J6" s="10">
        <f>((E2/$E$1)*$J$4)-SUMIFS(G$5:G$1048576,D$5:D$1048576,"Auriane",$F$5:$F$1048576,"Débit")+SUMIFS($G$5:$G$1048576,$D$5:$D$1048576,"Auriane",$F$5:$F$1048576,"Crédit")+$B$2</f>
        <v>438.51506365336695</v>
      </c>
    </row>
    <row r="7" spans="1:12" x14ac:dyDescent="0.3">
      <c r="A7" s="5">
        <v>46049</v>
      </c>
      <c r="B7" s="2" t="s">
        <v>19</v>
      </c>
      <c r="C7" s="2" t="s">
        <v>7</v>
      </c>
      <c r="D7" s="2" t="s">
        <v>28</v>
      </c>
      <c r="E7" s="2" t="s">
        <v>42</v>
      </c>
      <c r="F7" s="2" t="s">
        <v>59</v>
      </c>
      <c r="G7" s="3">
        <v>353.44</v>
      </c>
    </row>
    <row r="8" spans="1:12" x14ac:dyDescent="0.3">
      <c r="A8" s="5">
        <v>46049</v>
      </c>
      <c r="B8" s="2" t="s">
        <v>1</v>
      </c>
      <c r="C8" s="2" t="s">
        <v>60</v>
      </c>
      <c r="D8" s="2" t="s">
        <v>28</v>
      </c>
      <c r="E8" s="2" t="s">
        <v>44</v>
      </c>
      <c r="F8" s="2" t="s">
        <v>59</v>
      </c>
      <c r="G8" s="6">
        <v>110</v>
      </c>
    </row>
    <row r="9" spans="1:12" x14ac:dyDescent="0.3">
      <c r="A9" s="5">
        <v>46049</v>
      </c>
      <c r="B9" s="2" t="s">
        <v>6</v>
      </c>
      <c r="C9" s="2" t="s">
        <v>61</v>
      </c>
      <c r="D9" s="2" t="s">
        <v>28</v>
      </c>
      <c r="E9" s="2" t="s">
        <v>44</v>
      </c>
      <c r="F9" s="2" t="s">
        <v>59</v>
      </c>
      <c r="G9" s="6">
        <v>50</v>
      </c>
      <c r="J9" s="19" t="s">
        <v>77</v>
      </c>
      <c r="K9" s="19" t="s">
        <v>78</v>
      </c>
      <c r="L9" s="19" t="s">
        <v>79</v>
      </c>
    </row>
    <row r="10" spans="1:12" x14ac:dyDescent="0.3">
      <c r="A10" s="5">
        <v>46049</v>
      </c>
      <c r="B10" s="2" t="s">
        <v>2</v>
      </c>
      <c r="C10" s="2" t="s">
        <v>62</v>
      </c>
      <c r="D10" s="2" t="s">
        <v>28</v>
      </c>
      <c r="E10" s="2" t="s">
        <v>44</v>
      </c>
      <c r="F10" s="2" t="s">
        <v>59</v>
      </c>
      <c r="G10" s="6">
        <v>80</v>
      </c>
      <c r="I10" s="12" t="s">
        <v>1</v>
      </c>
      <c r="J10" s="10">
        <f ca="1">SUMIFS(G:G,B:B,"Courses",A:A,"&lt;=" &amp; TODAY())</f>
        <v>0</v>
      </c>
      <c r="K10" s="10">
        <v>440</v>
      </c>
      <c r="L10" s="10">
        <f ca="1">K10-J10</f>
        <v>440</v>
      </c>
    </row>
    <row r="11" spans="1:12" x14ac:dyDescent="0.3">
      <c r="A11" s="5">
        <v>46049</v>
      </c>
      <c r="B11" s="2" t="s">
        <v>2</v>
      </c>
      <c r="C11" s="2" t="s">
        <v>62</v>
      </c>
      <c r="D11" s="2" t="s">
        <v>28</v>
      </c>
      <c r="E11" s="2" t="s">
        <v>44</v>
      </c>
      <c r="F11" s="2" t="s">
        <v>59</v>
      </c>
      <c r="G11" s="6">
        <v>100</v>
      </c>
      <c r="I11" s="13" t="s">
        <v>6</v>
      </c>
      <c r="J11" s="10">
        <f ca="1">SUMIFS(G:G,B:B,"Tabac",A:A,"&lt;=" &amp; TODAY())</f>
        <v>0</v>
      </c>
      <c r="K11" s="10">
        <v>200</v>
      </c>
      <c r="L11" s="10">
        <f t="shared" ref="L11:L13" ca="1" si="0">K11-J11</f>
        <v>200</v>
      </c>
    </row>
    <row r="12" spans="1:12" x14ac:dyDescent="0.3">
      <c r="A12" s="5">
        <v>46050</v>
      </c>
      <c r="B12" s="2" t="s">
        <v>14</v>
      </c>
      <c r="C12" s="2" t="s">
        <v>36</v>
      </c>
      <c r="D12" s="2" t="s">
        <v>28</v>
      </c>
      <c r="E12" s="2" t="s">
        <v>42</v>
      </c>
      <c r="F12" s="2" t="s">
        <v>59</v>
      </c>
      <c r="G12" s="3">
        <v>42.99</v>
      </c>
      <c r="I12" s="13" t="s">
        <v>2</v>
      </c>
      <c r="J12" s="10">
        <f ca="1">SUMIFS(G:G,B:B,"Essence",A:A,"&lt;=" &amp; TODAY())</f>
        <v>0</v>
      </c>
      <c r="K12" s="10">
        <v>360</v>
      </c>
      <c r="L12" s="10">
        <f t="shared" ca="1" si="0"/>
        <v>360</v>
      </c>
    </row>
    <row r="13" spans="1:12" x14ac:dyDescent="0.3">
      <c r="A13" s="5">
        <f>WORKDAY(EOMONTH("01/01/2026",0)+1,-1)</f>
        <v>46052</v>
      </c>
      <c r="B13" s="2" t="s">
        <v>25</v>
      </c>
      <c r="C13" s="4" t="s">
        <v>64</v>
      </c>
      <c r="D13" s="2" t="s">
        <v>28</v>
      </c>
      <c r="E13" s="2" t="s">
        <v>8</v>
      </c>
      <c r="F13" s="2" t="s">
        <v>19</v>
      </c>
      <c r="G13" s="3">
        <v>2000</v>
      </c>
      <c r="I13" s="18" t="s">
        <v>3</v>
      </c>
      <c r="J13" s="10">
        <f>SUMIFS(G:G,B:B,"Restos")</f>
        <v>0</v>
      </c>
      <c r="K13" s="10">
        <v>30</v>
      </c>
      <c r="L13" s="10">
        <f t="shared" si="0"/>
        <v>30</v>
      </c>
    </row>
    <row r="14" spans="1:12" x14ac:dyDescent="0.3">
      <c r="A14" s="5">
        <v>46054</v>
      </c>
      <c r="B14" s="2" t="s">
        <v>11</v>
      </c>
      <c r="C14" s="2" t="s">
        <v>23</v>
      </c>
      <c r="D14" s="2" t="s">
        <v>28</v>
      </c>
      <c r="E14" s="2" t="s">
        <v>8</v>
      </c>
      <c r="F14" s="2" t="s">
        <v>59</v>
      </c>
      <c r="G14" s="6"/>
    </row>
    <row r="15" spans="1:12" x14ac:dyDescent="0.3">
      <c r="A15" s="5">
        <v>46054</v>
      </c>
      <c r="B15" s="2" t="s">
        <v>23</v>
      </c>
      <c r="C15" s="2" t="s">
        <v>73</v>
      </c>
      <c r="D15" s="2" t="s">
        <v>28</v>
      </c>
      <c r="E15" s="2" t="s">
        <v>8</v>
      </c>
      <c r="F15" s="2" t="s">
        <v>59</v>
      </c>
      <c r="G15" s="6">
        <v>50</v>
      </c>
    </row>
    <row r="16" spans="1:12" x14ac:dyDescent="0.3">
      <c r="A16" s="5">
        <v>46054</v>
      </c>
      <c r="B16" s="2" t="s">
        <v>19</v>
      </c>
      <c r="C16" s="2" t="s">
        <v>50</v>
      </c>
      <c r="D16" s="2" t="s">
        <v>28</v>
      </c>
      <c r="E16" s="2" t="s">
        <v>42</v>
      </c>
      <c r="F16" s="2" t="s">
        <v>59</v>
      </c>
      <c r="G16" s="3">
        <v>150</v>
      </c>
    </row>
    <row r="17" spans="1:7" x14ac:dyDescent="0.3">
      <c r="A17" s="5">
        <v>46054</v>
      </c>
      <c r="B17" s="2" t="s">
        <v>24</v>
      </c>
      <c r="C17" s="2" t="s">
        <v>74</v>
      </c>
      <c r="D17" s="2" t="s">
        <v>27</v>
      </c>
      <c r="E17" s="2" t="s">
        <v>42</v>
      </c>
      <c r="F17" s="2" t="s">
        <v>59</v>
      </c>
      <c r="G17" s="3">
        <v>167</v>
      </c>
    </row>
    <row r="18" spans="1:7" x14ac:dyDescent="0.3">
      <c r="A18" s="5">
        <v>46056</v>
      </c>
      <c r="B18" s="2" t="s">
        <v>17</v>
      </c>
      <c r="C18" s="2" t="s">
        <v>38</v>
      </c>
      <c r="D18" s="2" t="s">
        <v>28</v>
      </c>
      <c r="E18" s="2" t="s">
        <v>41</v>
      </c>
      <c r="F18" s="2" t="s">
        <v>59</v>
      </c>
      <c r="G18" s="3">
        <v>7.99</v>
      </c>
    </row>
    <row r="19" spans="1:7" x14ac:dyDescent="0.3">
      <c r="A19" s="5">
        <v>46056</v>
      </c>
      <c r="B19" s="2" t="s">
        <v>1</v>
      </c>
      <c r="C19" s="2" t="s">
        <v>60</v>
      </c>
      <c r="D19" s="2" t="s">
        <v>28</v>
      </c>
      <c r="E19" s="2" t="s">
        <v>44</v>
      </c>
      <c r="F19" s="2" t="s">
        <v>59</v>
      </c>
      <c r="G19" s="6">
        <v>110</v>
      </c>
    </row>
    <row r="20" spans="1:7" x14ac:dyDescent="0.3">
      <c r="A20" s="5">
        <v>46056</v>
      </c>
      <c r="B20" s="2" t="s">
        <v>6</v>
      </c>
      <c r="C20" s="2" t="s">
        <v>61</v>
      </c>
      <c r="D20" s="2" t="s">
        <v>28</v>
      </c>
      <c r="E20" s="2" t="s">
        <v>44</v>
      </c>
      <c r="F20" s="2" t="s">
        <v>59</v>
      </c>
      <c r="G20" s="6">
        <v>50</v>
      </c>
    </row>
    <row r="21" spans="1:7" x14ac:dyDescent="0.3">
      <c r="A21" s="5">
        <v>46057</v>
      </c>
      <c r="B21" s="2" t="s">
        <v>17</v>
      </c>
      <c r="C21" s="2" t="s">
        <v>37</v>
      </c>
      <c r="D21" s="2" t="s">
        <v>28</v>
      </c>
      <c r="E21" s="2" t="s">
        <v>42</v>
      </c>
      <c r="F21" s="2" t="s">
        <v>59</v>
      </c>
      <c r="G21" s="3">
        <v>47.5</v>
      </c>
    </row>
    <row r="22" spans="1:7" x14ac:dyDescent="0.3">
      <c r="A22" s="5">
        <v>46058</v>
      </c>
      <c r="B22" s="2" t="s">
        <v>0</v>
      </c>
      <c r="C22" s="4" t="s">
        <v>65</v>
      </c>
      <c r="D22" s="2" t="s">
        <v>28</v>
      </c>
      <c r="E22" s="2" t="s">
        <v>42</v>
      </c>
      <c r="F22" s="2" t="s">
        <v>59</v>
      </c>
      <c r="G22" s="3">
        <v>700</v>
      </c>
    </row>
    <row r="23" spans="1:7" x14ac:dyDescent="0.3">
      <c r="A23" s="5">
        <v>46058</v>
      </c>
      <c r="B23" s="2" t="s">
        <v>14</v>
      </c>
      <c r="C23" s="2" t="s">
        <v>34</v>
      </c>
      <c r="D23" s="2" t="s">
        <v>28</v>
      </c>
      <c r="E23" s="2" t="s">
        <v>42</v>
      </c>
      <c r="F23" s="2" t="s">
        <v>59</v>
      </c>
      <c r="G23" s="3">
        <v>26.99</v>
      </c>
    </row>
    <row r="24" spans="1:7" x14ac:dyDescent="0.3">
      <c r="A24" s="5">
        <v>46058</v>
      </c>
      <c r="B24" s="2" t="s">
        <v>15</v>
      </c>
      <c r="C24" s="2" t="s">
        <v>46</v>
      </c>
      <c r="D24" s="2" t="s">
        <v>28</v>
      </c>
      <c r="E24" s="2" t="s">
        <v>42</v>
      </c>
      <c r="F24" s="2" t="s">
        <v>59</v>
      </c>
      <c r="G24" s="3">
        <v>195</v>
      </c>
    </row>
    <row r="25" spans="1:7" x14ac:dyDescent="0.3">
      <c r="A25" s="5">
        <v>46058</v>
      </c>
      <c r="B25" s="2" t="s">
        <v>23</v>
      </c>
      <c r="C25" s="2" t="s">
        <v>51</v>
      </c>
      <c r="D25" s="2" t="s">
        <v>28</v>
      </c>
      <c r="E25" s="2" t="s">
        <v>42</v>
      </c>
      <c r="F25" s="2" t="s">
        <v>59</v>
      </c>
      <c r="G25" s="3">
        <v>9</v>
      </c>
    </row>
    <row r="26" spans="1:7" x14ac:dyDescent="0.3">
      <c r="A26" s="5">
        <v>46058</v>
      </c>
      <c r="B26" s="2" t="s">
        <v>23</v>
      </c>
      <c r="C26" s="2" t="s">
        <v>52</v>
      </c>
      <c r="D26" s="2" t="s">
        <v>28</v>
      </c>
      <c r="E26" s="2" t="s">
        <v>42</v>
      </c>
      <c r="F26" s="2" t="s">
        <v>59</v>
      </c>
      <c r="G26" s="3">
        <v>15</v>
      </c>
    </row>
    <row r="27" spans="1:7" x14ac:dyDescent="0.3">
      <c r="A27" s="5">
        <v>46059</v>
      </c>
      <c r="B27" s="2" t="s">
        <v>10</v>
      </c>
      <c r="C27" s="2" t="s">
        <v>23</v>
      </c>
      <c r="D27" s="2" t="s">
        <v>28</v>
      </c>
      <c r="E27" s="2" t="s">
        <v>42</v>
      </c>
      <c r="F27" s="2" t="s">
        <v>59</v>
      </c>
      <c r="G27" s="6">
        <v>38.25</v>
      </c>
    </row>
    <row r="28" spans="1:7" x14ac:dyDescent="0.3">
      <c r="A28" s="5">
        <v>46062</v>
      </c>
      <c r="B28" s="2" t="s">
        <v>24</v>
      </c>
      <c r="C28" s="2" t="s">
        <v>74</v>
      </c>
      <c r="D28" s="2" t="s">
        <v>28</v>
      </c>
      <c r="E28" s="3" t="s">
        <v>44</v>
      </c>
      <c r="F28" s="2" t="s">
        <v>59</v>
      </c>
      <c r="G28" s="6">
        <v>200</v>
      </c>
    </row>
    <row r="29" spans="1:7" x14ac:dyDescent="0.3">
      <c r="A29" s="5">
        <v>46063</v>
      </c>
      <c r="B29" s="2" t="s">
        <v>20</v>
      </c>
      <c r="C29" s="2" t="s">
        <v>33</v>
      </c>
      <c r="D29" s="2" t="s">
        <v>28</v>
      </c>
      <c r="E29" s="2" t="s">
        <v>42</v>
      </c>
      <c r="F29" s="2" t="s">
        <v>59</v>
      </c>
      <c r="G29" s="3">
        <v>128.08000000000001</v>
      </c>
    </row>
    <row r="30" spans="1:7" x14ac:dyDescent="0.3">
      <c r="A30" s="5">
        <v>46063</v>
      </c>
      <c r="B30" s="2" t="s">
        <v>16</v>
      </c>
      <c r="C30" s="2" t="s">
        <v>47</v>
      </c>
      <c r="D30" s="2" t="s">
        <v>28</v>
      </c>
      <c r="E30" s="2" t="s">
        <v>42</v>
      </c>
      <c r="F30" s="2" t="s">
        <v>59</v>
      </c>
      <c r="G30" s="3">
        <v>60</v>
      </c>
    </row>
    <row r="31" spans="1:7" x14ac:dyDescent="0.3">
      <c r="A31" s="5">
        <v>46063</v>
      </c>
      <c r="B31" s="2" t="s">
        <v>14</v>
      </c>
      <c r="C31" s="2" t="s">
        <v>48</v>
      </c>
      <c r="D31" s="2" t="s">
        <v>28</v>
      </c>
      <c r="E31" s="2" t="s">
        <v>8</v>
      </c>
      <c r="F31" s="2" t="s">
        <v>59</v>
      </c>
      <c r="G31" s="3">
        <v>15</v>
      </c>
    </row>
    <row r="32" spans="1:7" x14ac:dyDescent="0.3">
      <c r="A32" s="5">
        <v>46063</v>
      </c>
      <c r="B32" s="2" t="s">
        <v>1</v>
      </c>
      <c r="C32" s="2" t="s">
        <v>60</v>
      </c>
      <c r="D32" s="2" t="s">
        <v>28</v>
      </c>
      <c r="E32" s="2" t="s">
        <v>44</v>
      </c>
      <c r="F32" s="2" t="s">
        <v>59</v>
      </c>
      <c r="G32" s="6">
        <v>110</v>
      </c>
    </row>
    <row r="33" spans="1:7" x14ac:dyDescent="0.3">
      <c r="A33" s="5">
        <v>46063</v>
      </c>
      <c r="B33" s="2" t="s">
        <v>6</v>
      </c>
      <c r="C33" s="2" t="s">
        <v>61</v>
      </c>
      <c r="D33" s="2" t="s">
        <v>28</v>
      </c>
      <c r="E33" s="2" t="s">
        <v>44</v>
      </c>
      <c r="F33" s="2" t="s">
        <v>59</v>
      </c>
      <c r="G33" s="6">
        <v>50</v>
      </c>
    </row>
    <row r="34" spans="1:7" x14ac:dyDescent="0.3">
      <c r="A34" s="5">
        <v>46063</v>
      </c>
      <c r="B34" s="2" t="s">
        <v>2</v>
      </c>
      <c r="C34" s="2" t="s">
        <v>62</v>
      </c>
      <c r="D34" s="2" t="s">
        <v>28</v>
      </c>
      <c r="E34" s="2" t="s">
        <v>44</v>
      </c>
      <c r="F34" s="2" t="s">
        <v>59</v>
      </c>
      <c r="G34" s="6">
        <v>80</v>
      </c>
    </row>
    <row r="35" spans="1:7" x14ac:dyDescent="0.3">
      <c r="A35" s="5">
        <v>46063</v>
      </c>
      <c r="B35" s="2" t="s">
        <v>2</v>
      </c>
      <c r="C35" s="2" t="s">
        <v>62</v>
      </c>
      <c r="D35" s="2" t="s">
        <v>28</v>
      </c>
      <c r="E35" s="2" t="s">
        <v>44</v>
      </c>
      <c r="F35" s="2" t="s">
        <v>59</v>
      </c>
      <c r="G35" s="6">
        <v>100</v>
      </c>
    </row>
    <row r="36" spans="1:7" x14ac:dyDescent="0.3">
      <c r="A36" s="5">
        <v>46066</v>
      </c>
      <c r="B36" s="2" t="s">
        <v>17</v>
      </c>
      <c r="C36" s="2" t="s">
        <v>39</v>
      </c>
      <c r="D36" s="2" t="s">
        <v>28</v>
      </c>
      <c r="E36" s="2" t="s">
        <v>41</v>
      </c>
      <c r="F36" s="2" t="s">
        <v>59</v>
      </c>
      <c r="G36" s="3">
        <v>6.49</v>
      </c>
    </row>
    <row r="37" spans="1:7" x14ac:dyDescent="0.3">
      <c r="A37" s="5">
        <v>46067</v>
      </c>
      <c r="B37" s="2" t="s">
        <v>14</v>
      </c>
      <c r="C37" s="2" t="s">
        <v>35</v>
      </c>
      <c r="D37" s="2" t="s">
        <v>28</v>
      </c>
      <c r="E37" s="2" t="s">
        <v>42</v>
      </c>
      <c r="F37" s="2" t="s">
        <v>59</v>
      </c>
      <c r="G37" s="3">
        <v>11.99</v>
      </c>
    </row>
    <row r="38" spans="1:7" x14ac:dyDescent="0.3">
      <c r="A38" s="5">
        <v>46070</v>
      </c>
      <c r="B38" s="2" t="s">
        <v>1</v>
      </c>
      <c r="C38" s="2" t="s">
        <v>60</v>
      </c>
      <c r="D38" s="2" t="s">
        <v>28</v>
      </c>
      <c r="E38" s="2" t="s">
        <v>44</v>
      </c>
      <c r="F38" s="2" t="s">
        <v>59</v>
      </c>
      <c r="G38" s="6">
        <v>110</v>
      </c>
    </row>
    <row r="39" spans="1:7" x14ac:dyDescent="0.3">
      <c r="A39" s="5">
        <v>46070</v>
      </c>
      <c r="B39" s="2" t="s">
        <v>6</v>
      </c>
      <c r="C39" s="2" t="s">
        <v>61</v>
      </c>
      <c r="D39" s="2" t="s">
        <v>28</v>
      </c>
      <c r="E39" s="2" t="s">
        <v>44</v>
      </c>
      <c r="F39" s="2" t="s">
        <v>59</v>
      </c>
      <c r="G39" s="6">
        <v>50</v>
      </c>
    </row>
    <row r="40" spans="1:7" x14ac:dyDescent="0.3">
      <c r="A40" s="5">
        <v>46074</v>
      </c>
      <c r="B40" s="2" t="s">
        <v>18</v>
      </c>
      <c r="C40" s="2" t="s">
        <v>49</v>
      </c>
      <c r="D40" s="2" t="s">
        <v>28</v>
      </c>
      <c r="E40" s="2" t="s">
        <v>41</v>
      </c>
      <c r="F40" s="2" t="s">
        <v>59</v>
      </c>
      <c r="G40" s="3">
        <v>12.14</v>
      </c>
    </row>
    <row r="41" spans="1:7" x14ac:dyDescent="0.3">
      <c r="A41" s="5">
        <v>46059</v>
      </c>
      <c r="B41" s="2" t="s">
        <v>23</v>
      </c>
      <c r="C41" s="2" t="s">
        <v>81</v>
      </c>
      <c r="D41" s="2" t="s">
        <v>28</v>
      </c>
      <c r="E41" s="2" t="s">
        <v>42</v>
      </c>
      <c r="F41" s="2" t="s">
        <v>59</v>
      </c>
      <c r="G41" s="3">
        <v>54.35</v>
      </c>
    </row>
    <row r="42" spans="1:7" x14ac:dyDescent="0.3">
      <c r="A42" s="5">
        <v>46059</v>
      </c>
      <c r="B42" s="2" t="s">
        <v>9</v>
      </c>
      <c r="C42" s="2" t="s">
        <v>83</v>
      </c>
      <c r="D42" s="2" t="s">
        <v>27</v>
      </c>
      <c r="E42" s="2" t="s">
        <v>44</v>
      </c>
      <c r="F42" s="2" t="s">
        <v>59</v>
      </c>
      <c r="G42" s="3">
        <v>100</v>
      </c>
    </row>
    <row r="43" spans="1:7" x14ac:dyDescent="0.3">
      <c r="A43" s="5"/>
    </row>
    <row r="44" spans="1:7" x14ac:dyDescent="0.3">
      <c r="A44" s="5"/>
    </row>
    <row r="45" spans="1:7" x14ac:dyDescent="0.3">
      <c r="A45" s="5"/>
    </row>
    <row r="46" spans="1:7" x14ac:dyDescent="0.3">
      <c r="A46" s="5"/>
    </row>
    <row r="47" spans="1:7" x14ac:dyDescent="0.3">
      <c r="A47" s="5"/>
    </row>
    <row r="48" spans="1:7" x14ac:dyDescent="0.3">
      <c r="A48" s="5"/>
    </row>
    <row r="49" spans="1:1" x14ac:dyDescent="0.3">
      <c r="A49" s="5"/>
    </row>
  </sheetData>
  <conditionalFormatting sqref="A38:A42">
    <cfRule type="expression" dxfId="81" priority="3">
      <formula>AND($A38&lt;&gt;"", $A38&lt;TODAY())</formula>
    </cfRule>
  </conditionalFormatting>
  <conditionalFormatting sqref="A43:A49">
    <cfRule type="expression" dxfId="80" priority="5">
      <formula>AND($A43&lt;&gt;"", $A43&lt;TODAY())</formula>
    </cfRule>
  </conditionalFormatting>
  <conditionalFormatting sqref="A5:G21 A22:B37 D22:D37">
    <cfRule type="expression" dxfId="79" priority="8">
      <formula>AND($A5&lt;&gt;"", $A5&lt;TODAY())</formula>
    </cfRule>
  </conditionalFormatting>
  <conditionalFormatting sqref="F22:F24">
    <cfRule type="expression" dxfId="78" priority="7">
      <formula>AND($A22&lt;&gt;"", $A22&lt;TODAY())</formula>
    </cfRule>
  </conditionalFormatting>
  <conditionalFormatting sqref="G5:G22 G24:G42">
    <cfRule type="cellIs" dxfId="77" priority="4" operator="equal">
      <formula>0</formula>
    </cfRule>
  </conditionalFormatting>
  <conditionalFormatting sqref="I6">
    <cfRule type="expression" dxfId="76" priority="9">
      <formula>AND($A6&lt;&gt;"", $A6&lt;TODAY())</formula>
    </cfRule>
  </conditionalFormatting>
  <conditionalFormatting sqref="G23">
    <cfRule type="expression" dxfId="25" priority="1">
      <formula>AND($A23&lt;&gt;"", $A23&lt;TODAY())</formula>
    </cfRule>
  </conditionalFormatting>
  <conditionalFormatting sqref="G23">
    <cfRule type="cellIs" dxfId="24" priority="2" operator="equal">
      <formula>0</formula>
    </cfRule>
  </conditionalFormatting>
  <dataValidations count="4">
    <dataValidation type="list" allowBlank="1" showInputMessage="1" showErrorMessage="1" sqref="A3 B5:B1048576" xr:uid="{7BEA3DE8-5CDD-43EA-BB4A-BD0ABF20520A}">
      <formula1>famille</formula1>
    </dataValidation>
    <dataValidation type="list" allowBlank="1" showInputMessage="1" showErrorMessage="1" sqref="F5:F1048576" xr:uid="{26364F26-6038-419D-AF16-30885F76CE23}">
      <formula1>montant</formula1>
    </dataValidation>
    <dataValidation type="list" allowBlank="1" showInputMessage="1" showErrorMessage="1" sqref="E5:E1048576" xr:uid="{7F836E55-EC5D-475B-90D1-353D0C51F76E}">
      <formula1>Moyen</formula1>
    </dataValidation>
    <dataValidation type="list" allowBlank="1" showInputMessage="1" showErrorMessage="1" sqref="D5:D1048576" xr:uid="{7D86CC5C-19A7-473D-854A-CB366E56E007}">
      <formula1>Qui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F9A5B-EC4F-4975-A95F-4F22FC441338}">
  <sheetPr codeName="Feuil5"/>
  <dimension ref="A1:L49"/>
  <sheetViews>
    <sheetView showGridLines="0" topLeftCell="A4" workbookViewId="0">
      <selection activeCell="I9" sqref="I9:L13"/>
    </sheetView>
  </sheetViews>
  <sheetFormatPr baseColWidth="10" defaultRowHeight="14.4" x14ac:dyDescent="0.3"/>
  <cols>
    <col min="1" max="1" width="22.5546875" style="2" bestFit="1" customWidth="1"/>
    <col min="2" max="2" width="16.109375" style="2" customWidth="1"/>
    <col min="3" max="3" width="16.109375" style="2" bestFit="1" customWidth="1"/>
    <col min="4" max="4" width="9.33203125" style="2" customWidth="1"/>
    <col min="5" max="6" width="14.44140625" style="3" customWidth="1"/>
    <col min="9" max="9" width="15.21875" customWidth="1"/>
  </cols>
  <sheetData>
    <row r="1" spans="1:12" x14ac:dyDescent="0.3">
      <c r="A1" s="14" t="s">
        <v>66</v>
      </c>
      <c r="B1" s="16">
        <f>Février!J5</f>
        <v>1586.9949363466342</v>
      </c>
      <c r="D1" s="14" t="s">
        <v>55</v>
      </c>
      <c r="E1" s="16">
        <f>SUMIFS(G:G,B:B,"Salaire")</f>
        <v>4450</v>
      </c>
    </row>
    <row r="2" spans="1:12" x14ac:dyDescent="0.3">
      <c r="A2" s="15" t="s">
        <v>67</v>
      </c>
      <c r="B2" s="16">
        <f>Février!J6</f>
        <v>438.51506365336695</v>
      </c>
      <c r="C2"/>
      <c r="D2" s="17" t="s">
        <v>27</v>
      </c>
      <c r="E2" s="17">
        <v>2450</v>
      </c>
      <c r="F2"/>
      <c r="G2" s="6"/>
    </row>
    <row r="3" spans="1:12" x14ac:dyDescent="0.3">
      <c r="A3"/>
      <c r="B3"/>
      <c r="C3"/>
      <c r="D3" s="17" t="s">
        <v>26</v>
      </c>
      <c r="E3" s="17">
        <v>2000</v>
      </c>
      <c r="F3"/>
    </row>
    <row r="4" spans="1:12" x14ac:dyDescent="0.3">
      <c r="A4" t="s">
        <v>53</v>
      </c>
      <c r="B4" s="1" t="s">
        <v>29</v>
      </c>
      <c r="C4" s="1" t="s">
        <v>31</v>
      </c>
      <c r="D4" s="1" t="s">
        <v>30</v>
      </c>
      <c r="E4" s="1" t="s">
        <v>40</v>
      </c>
      <c r="F4" s="1" t="s">
        <v>58</v>
      </c>
      <c r="G4" s="1" t="s">
        <v>32</v>
      </c>
      <c r="I4" s="12" t="s">
        <v>54</v>
      </c>
      <c r="J4" s="10">
        <f>SUMIFS(G5:G39,F5:F39,"Crédit",D5:D39,"Couple")-SUMIFS(G5:G39,F5:F39,"Débit",D5:D39,"Couple")</f>
        <v>1180.1400000000008</v>
      </c>
    </row>
    <row r="5" spans="1:12" x14ac:dyDescent="0.3">
      <c r="A5" s="5">
        <v>46077</v>
      </c>
      <c r="B5" s="2" t="s">
        <v>25</v>
      </c>
      <c r="C5" s="4" t="s">
        <v>63</v>
      </c>
      <c r="D5" s="2" t="s">
        <v>28</v>
      </c>
      <c r="E5" s="2" t="s">
        <v>8</v>
      </c>
      <c r="F5" s="2" t="s">
        <v>19</v>
      </c>
      <c r="G5" s="3">
        <v>2450</v>
      </c>
      <c r="I5" s="13" t="s">
        <v>56</v>
      </c>
      <c r="J5" s="10">
        <f>((E3/$E$1)*$J$4)-SUMIFS(G$5:G$1048576,D$5:D$1048576,"Julien",$F$5:$F$1048576,"Débit")+SUMIFS($G$5:$G$1048576,$D$5:$D$1048576,"Julien",$F$5:$F$1048576,"Crédit",B$5:B$1048576,"&lt;&gt;Salaire")+$B$1</f>
        <v>2117.3949363466345</v>
      </c>
    </row>
    <row r="6" spans="1:12" x14ac:dyDescent="0.3">
      <c r="A6" s="5">
        <v>46078</v>
      </c>
      <c r="B6" s="2" t="s">
        <v>9</v>
      </c>
      <c r="C6" s="2" t="s">
        <v>68</v>
      </c>
      <c r="D6" s="2" t="s">
        <v>28</v>
      </c>
      <c r="E6" s="2" t="s">
        <v>8</v>
      </c>
      <c r="F6" s="2" t="s">
        <v>59</v>
      </c>
      <c r="G6" s="6">
        <v>200</v>
      </c>
      <c r="I6" s="11" t="s">
        <v>57</v>
      </c>
      <c r="J6" s="10">
        <f>((E2/$E$1)*$J$4)-SUMIFS(G$5:G$1048576,D$5:D$1048576,"Auriane",$F$5:$F$1048576,"Débit")+SUMIFS($G$5:$G$1048576,$D$5:$D$1048576,"Auriane",$F$5:$F$1048576,"Crédit",B$5:B$1048576,"&lt;&gt;Salaire")+$B$2</f>
        <v>1088.2550636533674</v>
      </c>
    </row>
    <row r="7" spans="1:12" x14ac:dyDescent="0.3">
      <c r="A7" s="5">
        <v>46080</v>
      </c>
      <c r="B7" s="2" t="s">
        <v>19</v>
      </c>
      <c r="C7" s="2" t="s">
        <v>7</v>
      </c>
      <c r="D7" s="2" t="s">
        <v>28</v>
      </c>
      <c r="E7" s="2" t="s">
        <v>42</v>
      </c>
      <c r="F7" s="2" t="s">
        <v>59</v>
      </c>
      <c r="G7" s="3">
        <v>353.44</v>
      </c>
    </row>
    <row r="8" spans="1:12" x14ac:dyDescent="0.3">
      <c r="A8" s="5">
        <v>46080</v>
      </c>
      <c r="B8" s="2" t="s">
        <v>1</v>
      </c>
      <c r="C8" s="2" t="s">
        <v>60</v>
      </c>
      <c r="D8" s="2" t="s">
        <v>28</v>
      </c>
      <c r="E8" s="2" t="s">
        <v>44</v>
      </c>
      <c r="F8" s="2" t="s">
        <v>59</v>
      </c>
      <c r="G8" s="6">
        <v>110</v>
      </c>
    </row>
    <row r="9" spans="1:12" x14ac:dyDescent="0.3">
      <c r="A9" s="5">
        <v>46080</v>
      </c>
      <c r="B9" s="2" t="s">
        <v>6</v>
      </c>
      <c r="C9" s="2" t="s">
        <v>61</v>
      </c>
      <c r="D9" s="2" t="s">
        <v>28</v>
      </c>
      <c r="E9" s="2" t="s">
        <v>44</v>
      </c>
      <c r="F9" s="2" t="s">
        <v>59</v>
      </c>
      <c r="G9" s="6">
        <v>50</v>
      </c>
      <c r="J9" s="19" t="s">
        <v>77</v>
      </c>
      <c r="K9" s="19" t="s">
        <v>78</v>
      </c>
      <c r="L9" s="19" t="s">
        <v>79</v>
      </c>
    </row>
    <row r="10" spans="1:12" x14ac:dyDescent="0.3">
      <c r="A10" s="5">
        <v>46080</v>
      </c>
      <c r="B10" s="2" t="s">
        <v>2</v>
      </c>
      <c r="C10" s="2" t="s">
        <v>62</v>
      </c>
      <c r="D10" s="2" t="s">
        <v>28</v>
      </c>
      <c r="E10" s="2" t="s">
        <v>44</v>
      </c>
      <c r="F10" s="2" t="s">
        <v>59</v>
      </c>
      <c r="G10" s="6">
        <v>80</v>
      </c>
      <c r="I10" s="12" t="s">
        <v>1</v>
      </c>
      <c r="J10" s="10">
        <f ca="1">SUMIFS(G:G,B:B,"Courses",A:A,"&lt;=" &amp; TODAY())</f>
        <v>0</v>
      </c>
      <c r="K10" s="10">
        <v>440</v>
      </c>
      <c r="L10" s="10">
        <f ca="1">K10-J10</f>
        <v>440</v>
      </c>
    </row>
    <row r="11" spans="1:12" x14ac:dyDescent="0.3">
      <c r="A11" s="5">
        <v>46080</v>
      </c>
      <c r="B11" s="2" t="s">
        <v>2</v>
      </c>
      <c r="C11" s="2" t="s">
        <v>62</v>
      </c>
      <c r="D11" s="2" t="s">
        <v>28</v>
      </c>
      <c r="E11" s="2" t="s">
        <v>44</v>
      </c>
      <c r="F11" s="2" t="s">
        <v>59</v>
      </c>
      <c r="G11" s="6">
        <v>100</v>
      </c>
      <c r="I11" s="13" t="s">
        <v>6</v>
      </c>
      <c r="J11" s="10">
        <f ca="1">SUMIFS(G:G,B:B,"Tabac",A:A,"&lt;=" &amp; TODAY())</f>
        <v>0</v>
      </c>
      <c r="K11" s="10">
        <v>200</v>
      </c>
      <c r="L11" s="10">
        <f t="shared" ref="L11:L13" ca="1" si="0">K11-J11</f>
        <v>200</v>
      </c>
    </row>
    <row r="12" spans="1:12" x14ac:dyDescent="0.3">
      <c r="A12" s="5">
        <v>46081</v>
      </c>
      <c r="B12" s="2" t="s">
        <v>14</v>
      </c>
      <c r="C12" s="2" t="s">
        <v>36</v>
      </c>
      <c r="D12" s="2" t="s">
        <v>28</v>
      </c>
      <c r="E12" s="2" t="s">
        <v>42</v>
      </c>
      <c r="F12" s="2" t="s">
        <v>59</v>
      </c>
      <c r="G12" s="3">
        <v>42.99</v>
      </c>
      <c r="I12" s="13" t="s">
        <v>2</v>
      </c>
      <c r="J12" s="10">
        <f ca="1">SUMIFS(G:G,B:B,"Essence",A:A,"&lt;=" &amp; TODAY())</f>
        <v>0</v>
      </c>
      <c r="K12" s="10">
        <v>360</v>
      </c>
      <c r="L12" s="10">
        <f t="shared" ca="1" si="0"/>
        <v>360</v>
      </c>
    </row>
    <row r="13" spans="1:12" x14ac:dyDescent="0.3">
      <c r="A13" s="5">
        <f>WORKDAY(EOMONTH("02/02/2026",0)+1,-1)</f>
        <v>46080</v>
      </c>
      <c r="B13" s="2" t="s">
        <v>25</v>
      </c>
      <c r="C13" s="4" t="s">
        <v>64</v>
      </c>
      <c r="D13" s="2" t="s">
        <v>28</v>
      </c>
      <c r="E13" s="2" t="s">
        <v>8</v>
      </c>
      <c r="F13" s="2" t="s">
        <v>19</v>
      </c>
      <c r="G13" s="3">
        <v>2000</v>
      </c>
      <c r="I13" s="18" t="s">
        <v>3</v>
      </c>
      <c r="J13" s="10">
        <f>SUMIFS(G:G,B:B,"Restos")</f>
        <v>0</v>
      </c>
      <c r="K13" s="10">
        <v>30</v>
      </c>
      <c r="L13" s="10">
        <f t="shared" si="0"/>
        <v>30</v>
      </c>
    </row>
    <row r="14" spans="1:12" x14ac:dyDescent="0.3">
      <c r="A14" s="5">
        <v>46082</v>
      </c>
      <c r="B14" s="2" t="s">
        <v>11</v>
      </c>
      <c r="C14" s="2" t="s">
        <v>23</v>
      </c>
      <c r="D14" s="2" t="s">
        <v>28</v>
      </c>
      <c r="E14" s="2" t="s">
        <v>8</v>
      </c>
      <c r="F14" s="2" t="s">
        <v>59</v>
      </c>
      <c r="G14" s="6"/>
    </row>
    <row r="15" spans="1:12" x14ac:dyDescent="0.3">
      <c r="A15" s="5">
        <v>46082</v>
      </c>
      <c r="B15" s="2" t="s">
        <v>23</v>
      </c>
      <c r="C15" s="2" t="s">
        <v>73</v>
      </c>
      <c r="D15" s="2" t="s">
        <v>28</v>
      </c>
      <c r="E15" s="2" t="s">
        <v>8</v>
      </c>
      <c r="F15" s="2" t="s">
        <v>59</v>
      </c>
      <c r="G15" s="6">
        <v>50</v>
      </c>
    </row>
    <row r="16" spans="1:12" x14ac:dyDescent="0.3">
      <c r="A16" s="5">
        <v>46082</v>
      </c>
      <c r="B16" s="2" t="s">
        <v>19</v>
      </c>
      <c r="C16" s="2" t="s">
        <v>50</v>
      </c>
      <c r="D16" s="2" t="s">
        <v>28</v>
      </c>
      <c r="E16" s="2" t="s">
        <v>42</v>
      </c>
      <c r="F16" s="2" t="s">
        <v>59</v>
      </c>
      <c r="G16" s="3">
        <v>150</v>
      </c>
    </row>
    <row r="17" spans="1:7" x14ac:dyDescent="0.3">
      <c r="A17" s="5">
        <v>46084</v>
      </c>
      <c r="B17" s="2" t="s">
        <v>17</v>
      </c>
      <c r="C17" s="2" t="s">
        <v>38</v>
      </c>
      <c r="D17" s="2" t="s">
        <v>28</v>
      </c>
      <c r="E17" s="2" t="s">
        <v>41</v>
      </c>
      <c r="F17" s="2" t="s">
        <v>59</v>
      </c>
      <c r="G17" s="3">
        <v>7.99</v>
      </c>
    </row>
    <row r="18" spans="1:7" x14ac:dyDescent="0.3">
      <c r="A18" s="5">
        <v>46084</v>
      </c>
      <c r="B18" s="2" t="s">
        <v>1</v>
      </c>
      <c r="C18" s="2" t="s">
        <v>60</v>
      </c>
      <c r="D18" s="2" t="s">
        <v>28</v>
      </c>
      <c r="E18" s="2" t="s">
        <v>44</v>
      </c>
      <c r="F18" s="2" t="s">
        <v>59</v>
      </c>
      <c r="G18" s="6">
        <v>110</v>
      </c>
    </row>
    <row r="19" spans="1:7" x14ac:dyDescent="0.3">
      <c r="A19" s="5">
        <v>46084</v>
      </c>
      <c r="B19" s="2" t="s">
        <v>6</v>
      </c>
      <c r="C19" s="2" t="s">
        <v>61</v>
      </c>
      <c r="D19" s="2" t="s">
        <v>28</v>
      </c>
      <c r="E19" s="2" t="s">
        <v>44</v>
      </c>
      <c r="F19" s="2" t="s">
        <v>59</v>
      </c>
      <c r="G19" s="6">
        <v>50</v>
      </c>
    </row>
    <row r="20" spans="1:7" x14ac:dyDescent="0.3">
      <c r="A20" s="5">
        <v>46085</v>
      </c>
      <c r="B20" s="2" t="s">
        <v>17</v>
      </c>
      <c r="C20" s="2" t="s">
        <v>37</v>
      </c>
      <c r="D20" s="2" t="s">
        <v>28</v>
      </c>
      <c r="E20" s="2" t="s">
        <v>42</v>
      </c>
      <c r="F20" s="2" t="s">
        <v>59</v>
      </c>
      <c r="G20" s="3">
        <v>47.5</v>
      </c>
    </row>
    <row r="21" spans="1:7" x14ac:dyDescent="0.3">
      <c r="A21" s="5">
        <v>46086</v>
      </c>
      <c r="B21" s="2" t="s">
        <v>0</v>
      </c>
      <c r="C21" s="4" t="s">
        <v>65</v>
      </c>
      <c r="D21" s="2" t="s">
        <v>28</v>
      </c>
      <c r="E21" s="2" t="s">
        <v>42</v>
      </c>
      <c r="F21" s="2" t="s">
        <v>59</v>
      </c>
      <c r="G21" s="3">
        <v>700</v>
      </c>
    </row>
    <row r="22" spans="1:7" x14ac:dyDescent="0.3">
      <c r="A22" s="5">
        <v>46086</v>
      </c>
      <c r="B22" s="2" t="s">
        <v>14</v>
      </c>
      <c r="C22" s="2" t="s">
        <v>34</v>
      </c>
      <c r="D22" s="2" t="s">
        <v>28</v>
      </c>
      <c r="E22" s="2" t="s">
        <v>42</v>
      </c>
      <c r="F22" s="2" t="s">
        <v>59</v>
      </c>
      <c r="G22" s="3">
        <v>26.99</v>
      </c>
    </row>
    <row r="23" spans="1:7" x14ac:dyDescent="0.3">
      <c r="A23" s="5">
        <v>46086</v>
      </c>
      <c r="B23" s="2" t="s">
        <v>15</v>
      </c>
      <c r="C23" s="2" t="s">
        <v>46</v>
      </c>
      <c r="D23" s="2" t="s">
        <v>28</v>
      </c>
      <c r="E23" s="2" t="s">
        <v>42</v>
      </c>
      <c r="F23" s="2" t="s">
        <v>59</v>
      </c>
      <c r="G23" s="3">
        <v>195</v>
      </c>
    </row>
    <row r="24" spans="1:7" x14ac:dyDescent="0.3">
      <c r="A24" s="5">
        <v>46086</v>
      </c>
      <c r="B24" s="2" t="s">
        <v>23</v>
      </c>
      <c r="C24" s="2" t="s">
        <v>51</v>
      </c>
      <c r="D24" s="2" t="s">
        <v>28</v>
      </c>
      <c r="E24" s="2" t="s">
        <v>42</v>
      </c>
      <c r="F24" s="2" t="s">
        <v>59</v>
      </c>
      <c r="G24" s="3">
        <v>9</v>
      </c>
    </row>
    <row r="25" spans="1:7" x14ac:dyDescent="0.3">
      <c r="A25" s="5">
        <v>46086</v>
      </c>
      <c r="B25" s="2" t="s">
        <v>23</v>
      </c>
      <c r="C25" s="2" t="s">
        <v>52</v>
      </c>
      <c r="D25" s="2" t="s">
        <v>28</v>
      </c>
      <c r="E25" s="2" t="s">
        <v>42</v>
      </c>
      <c r="F25" s="2" t="s">
        <v>59</v>
      </c>
      <c r="G25" s="3">
        <v>15</v>
      </c>
    </row>
    <row r="26" spans="1:7" x14ac:dyDescent="0.3">
      <c r="A26" s="5">
        <v>46087</v>
      </c>
      <c r="B26" s="2" t="s">
        <v>10</v>
      </c>
      <c r="C26" s="2" t="s">
        <v>23</v>
      </c>
      <c r="D26" s="2" t="s">
        <v>28</v>
      </c>
      <c r="E26" s="2" t="s">
        <v>42</v>
      </c>
      <c r="F26" s="2" t="s">
        <v>59</v>
      </c>
      <c r="G26" s="6">
        <v>38.25</v>
      </c>
    </row>
    <row r="27" spans="1:7" x14ac:dyDescent="0.3">
      <c r="A27" s="5">
        <v>46090</v>
      </c>
      <c r="B27" s="2" t="s">
        <v>24</v>
      </c>
      <c r="C27" s="2" t="s">
        <v>74</v>
      </c>
      <c r="D27" s="2" t="s">
        <v>28</v>
      </c>
      <c r="E27" s="3" t="s">
        <v>44</v>
      </c>
      <c r="F27" s="2" t="s">
        <v>59</v>
      </c>
      <c r="G27" s="6">
        <v>200</v>
      </c>
    </row>
    <row r="28" spans="1:7" x14ac:dyDescent="0.3">
      <c r="A28" s="5">
        <v>46091</v>
      </c>
      <c r="B28" s="2" t="s">
        <v>20</v>
      </c>
      <c r="C28" s="2" t="s">
        <v>33</v>
      </c>
      <c r="D28" s="2" t="s">
        <v>28</v>
      </c>
      <c r="E28" s="2" t="s">
        <v>42</v>
      </c>
      <c r="F28" s="2" t="s">
        <v>59</v>
      </c>
      <c r="G28" s="3">
        <v>128.08000000000001</v>
      </c>
    </row>
    <row r="29" spans="1:7" x14ac:dyDescent="0.3">
      <c r="A29" s="5">
        <v>46091</v>
      </c>
      <c r="B29" s="2" t="s">
        <v>16</v>
      </c>
      <c r="C29" s="2" t="s">
        <v>47</v>
      </c>
      <c r="D29" s="2" t="s">
        <v>28</v>
      </c>
      <c r="E29" s="2" t="s">
        <v>42</v>
      </c>
      <c r="F29" s="2" t="s">
        <v>59</v>
      </c>
      <c r="G29" s="3">
        <v>60</v>
      </c>
    </row>
    <row r="30" spans="1:7" x14ac:dyDescent="0.3">
      <c r="A30" s="5">
        <v>46091</v>
      </c>
      <c r="B30" s="2" t="s">
        <v>14</v>
      </c>
      <c r="C30" s="2" t="s">
        <v>48</v>
      </c>
      <c r="D30" s="2" t="s">
        <v>28</v>
      </c>
      <c r="E30" s="2" t="s">
        <v>8</v>
      </c>
      <c r="F30" s="2" t="s">
        <v>59</v>
      </c>
      <c r="G30" s="3">
        <v>15</v>
      </c>
    </row>
    <row r="31" spans="1:7" x14ac:dyDescent="0.3">
      <c r="A31" s="5">
        <v>46091</v>
      </c>
      <c r="B31" s="2" t="s">
        <v>1</v>
      </c>
      <c r="C31" s="2" t="s">
        <v>60</v>
      </c>
      <c r="D31" s="2" t="s">
        <v>28</v>
      </c>
      <c r="E31" s="2" t="s">
        <v>44</v>
      </c>
      <c r="F31" s="2" t="s">
        <v>59</v>
      </c>
      <c r="G31" s="6">
        <v>110</v>
      </c>
    </row>
    <row r="32" spans="1:7" x14ac:dyDescent="0.3">
      <c r="A32" s="5">
        <v>46091</v>
      </c>
      <c r="B32" s="2" t="s">
        <v>6</v>
      </c>
      <c r="C32" s="2" t="s">
        <v>61</v>
      </c>
      <c r="D32" s="2" t="s">
        <v>28</v>
      </c>
      <c r="E32" s="2" t="s">
        <v>44</v>
      </c>
      <c r="F32" s="2" t="s">
        <v>59</v>
      </c>
      <c r="G32" s="6">
        <v>50</v>
      </c>
    </row>
    <row r="33" spans="1:7" x14ac:dyDescent="0.3">
      <c r="A33" s="5">
        <v>46091</v>
      </c>
      <c r="B33" s="2" t="s">
        <v>2</v>
      </c>
      <c r="C33" s="2" t="s">
        <v>62</v>
      </c>
      <c r="D33" s="2" t="s">
        <v>28</v>
      </c>
      <c r="E33" s="2" t="s">
        <v>44</v>
      </c>
      <c r="F33" s="2" t="s">
        <v>59</v>
      </c>
      <c r="G33" s="6">
        <v>80</v>
      </c>
    </row>
    <row r="34" spans="1:7" x14ac:dyDescent="0.3">
      <c r="A34" s="5">
        <v>46091</v>
      </c>
      <c r="B34" s="2" t="s">
        <v>2</v>
      </c>
      <c r="C34" s="2" t="s">
        <v>62</v>
      </c>
      <c r="D34" s="2" t="s">
        <v>28</v>
      </c>
      <c r="E34" s="2" t="s">
        <v>44</v>
      </c>
      <c r="F34" s="2" t="s">
        <v>59</v>
      </c>
      <c r="G34" s="6">
        <v>100</v>
      </c>
    </row>
    <row r="35" spans="1:7" x14ac:dyDescent="0.3">
      <c r="A35" s="5">
        <v>46094</v>
      </c>
      <c r="B35" s="2" t="s">
        <v>17</v>
      </c>
      <c r="C35" s="2" t="s">
        <v>39</v>
      </c>
      <c r="D35" s="2" t="s">
        <v>28</v>
      </c>
      <c r="E35" s="2" t="s">
        <v>41</v>
      </c>
      <c r="F35" s="2" t="s">
        <v>59</v>
      </c>
      <c r="G35" s="3">
        <v>6.49</v>
      </c>
    </row>
    <row r="36" spans="1:7" x14ac:dyDescent="0.3">
      <c r="A36" s="5">
        <v>46095</v>
      </c>
      <c r="B36" s="2" t="s">
        <v>14</v>
      </c>
      <c r="C36" s="2" t="s">
        <v>35</v>
      </c>
      <c r="D36" s="2" t="s">
        <v>28</v>
      </c>
      <c r="E36" s="2" t="s">
        <v>42</v>
      </c>
      <c r="F36" s="2" t="s">
        <v>59</v>
      </c>
      <c r="G36" s="3">
        <v>11.99</v>
      </c>
    </row>
    <row r="37" spans="1:7" x14ac:dyDescent="0.3">
      <c r="A37" s="5">
        <v>46098</v>
      </c>
      <c r="B37" s="2" t="s">
        <v>1</v>
      </c>
      <c r="C37" s="2" t="s">
        <v>60</v>
      </c>
      <c r="D37" s="2" t="s">
        <v>28</v>
      </c>
      <c r="E37" s="2" t="s">
        <v>44</v>
      </c>
      <c r="F37" s="2" t="s">
        <v>59</v>
      </c>
      <c r="G37" s="6">
        <v>110</v>
      </c>
    </row>
    <row r="38" spans="1:7" x14ac:dyDescent="0.3">
      <c r="A38" s="5">
        <v>46098</v>
      </c>
      <c r="B38" s="2" t="s">
        <v>6</v>
      </c>
      <c r="C38" s="2" t="s">
        <v>61</v>
      </c>
      <c r="D38" s="2" t="s">
        <v>28</v>
      </c>
      <c r="E38" s="2" t="s">
        <v>44</v>
      </c>
      <c r="F38" s="2" t="s">
        <v>59</v>
      </c>
      <c r="G38" s="6">
        <v>50</v>
      </c>
    </row>
    <row r="39" spans="1:7" x14ac:dyDescent="0.3">
      <c r="A39" s="5">
        <v>46102</v>
      </c>
      <c r="B39" s="2" t="s">
        <v>18</v>
      </c>
      <c r="C39" s="2" t="s">
        <v>49</v>
      </c>
      <c r="D39" s="2" t="s">
        <v>28</v>
      </c>
      <c r="E39" s="2" t="s">
        <v>41</v>
      </c>
      <c r="F39" s="2" t="s">
        <v>59</v>
      </c>
      <c r="G39" s="3">
        <v>12.14</v>
      </c>
    </row>
    <row r="40" spans="1:7" x14ac:dyDescent="0.3">
      <c r="A40" s="5"/>
    </row>
    <row r="41" spans="1:7" x14ac:dyDescent="0.3">
      <c r="A41" s="5"/>
    </row>
    <row r="42" spans="1:7" x14ac:dyDescent="0.3">
      <c r="A42" s="5"/>
    </row>
    <row r="43" spans="1:7" x14ac:dyDescent="0.3">
      <c r="A43" s="5"/>
    </row>
    <row r="44" spans="1:7" x14ac:dyDescent="0.3">
      <c r="A44" s="5"/>
    </row>
    <row r="45" spans="1:7" x14ac:dyDescent="0.3">
      <c r="A45" s="5"/>
    </row>
    <row r="46" spans="1:7" x14ac:dyDescent="0.3">
      <c r="A46" s="5"/>
    </row>
    <row r="47" spans="1:7" x14ac:dyDescent="0.3">
      <c r="A47" s="5"/>
    </row>
    <row r="48" spans="1:7" x14ac:dyDescent="0.3">
      <c r="A48" s="5"/>
    </row>
    <row r="49" spans="1:1" x14ac:dyDescent="0.3">
      <c r="A49" s="5"/>
    </row>
  </sheetData>
  <conditionalFormatting sqref="A38:A49">
    <cfRule type="expression" dxfId="75" priority="3">
      <formula>AND($A38&lt;&gt;"", $A38&lt;TODAY())</formula>
    </cfRule>
  </conditionalFormatting>
  <conditionalFormatting sqref="A5:G21 A22:B37 D22:D37">
    <cfRule type="expression" dxfId="74" priority="6">
      <formula>AND($A5&lt;&gt;"", $A5&lt;TODAY())</formula>
    </cfRule>
  </conditionalFormatting>
  <conditionalFormatting sqref="F22:F24">
    <cfRule type="expression" dxfId="73" priority="5">
      <formula>AND($A22&lt;&gt;"", $A22&lt;TODAY())</formula>
    </cfRule>
  </conditionalFormatting>
  <conditionalFormatting sqref="G5:G21 G23:G39">
    <cfRule type="cellIs" dxfId="72" priority="4" operator="equal">
      <formula>0</formula>
    </cfRule>
  </conditionalFormatting>
  <conditionalFormatting sqref="I6">
    <cfRule type="expression" dxfId="71" priority="7">
      <formula>AND($A6&lt;&gt;"", $A6&lt;TODAY())</formula>
    </cfRule>
  </conditionalFormatting>
  <conditionalFormatting sqref="G22">
    <cfRule type="expression" dxfId="23" priority="1">
      <formula>AND($A22&lt;&gt;"", $A22&lt;TODAY())</formula>
    </cfRule>
  </conditionalFormatting>
  <conditionalFormatting sqref="G22">
    <cfRule type="cellIs" dxfId="22" priority="2" operator="equal">
      <formula>0</formula>
    </cfRule>
  </conditionalFormatting>
  <dataValidations count="4">
    <dataValidation type="list" allowBlank="1" showInputMessage="1" showErrorMessage="1" sqref="D5:D1048576" xr:uid="{D79D9321-43F2-49F4-983B-BC8D4702606A}">
      <formula1>Qui</formula1>
    </dataValidation>
    <dataValidation type="list" allowBlank="1" showInputMessage="1" showErrorMessage="1" sqref="E5:E1048576" xr:uid="{A2E5B1FC-44B6-4B41-BB97-9F7A875AF097}">
      <formula1>Moyen</formula1>
    </dataValidation>
    <dataValidation type="list" allowBlank="1" showInputMessage="1" showErrorMessage="1" sqref="F5:F1048576" xr:uid="{A210512A-68B2-4BF7-9DA7-8CA18CBF863E}">
      <formula1>montant</formula1>
    </dataValidation>
    <dataValidation type="list" allowBlank="1" showInputMessage="1" showErrorMessage="1" sqref="A3 B5:B1048576" xr:uid="{F6D1A7BB-D20C-459D-9F97-9951DA06AC4F}">
      <formula1>famille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6DF1C-7FD5-4514-B4AF-0C87202BE63E}">
  <sheetPr codeName="Feuil6"/>
  <dimension ref="A1:L49"/>
  <sheetViews>
    <sheetView showGridLines="0" workbookViewId="0">
      <selection activeCell="I9" sqref="I9:L13"/>
    </sheetView>
  </sheetViews>
  <sheetFormatPr baseColWidth="10" defaultRowHeight="14.4" x14ac:dyDescent="0.3"/>
  <cols>
    <col min="1" max="1" width="22.5546875" style="2" bestFit="1" customWidth="1"/>
    <col min="2" max="2" width="16.109375" style="2" customWidth="1"/>
    <col min="3" max="3" width="16.109375" style="2" bestFit="1" customWidth="1"/>
    <col min="4" max="4" width="9.33203125" style="2" customWidth="1"/>
    <col min="5" max="6" width="14.44140625" style="3" customWidth="1"/>
    <col min="9" max="9" width="15.21875" customWidth="1"/>
  </cols>
  <sheetData>
    <row r="1" spans="1:12" x14ac:dyDescent="0.3">
      <c r="A1" s="14" t="s">
        <v>66</v>
      </c>
      <c r="B1" s="16">
        <f>Mars!J5</f>
        <v>2117.3949363466345</v>
      </c>
      <c r="D1" s="14" t="s">
        <v>55</v>
      </c>
      <c r="E1" s="16">
        <f>SUMIFS(G:G,B:B,"Salaire")</f>
        <v>4450</v>
      </c>
    </row>
    <row r="2" spans="1:12" x14ac:dyDescent="0.3">
      <c r="A2" s="15" t="s">
        <v>67</v>
      </c>
      <c r="B2" s="16">
        <f>Mars!J6</f>
        <v>1088.2550636533674</v>
      </c>
      <c r="C2"/>
      <c r="D2" s="17" t="s">
        <v>27</v>
      </c>
      <c r="E2" s="17">
        <v>2450</v>
      </c>
      <c r="F2"/>
      <c r="G2" s="6"/>
    </row>
    <row r="3" spans="1:12" x14ac:dyDescent="0.3">
      <c r="A3"/>
      <c r="B3"/>
      <c r="C3"/>
      <c r="D3" s="17" t="s">
        <v>26</v>
      </c>
      <c r="E3" s="17">
        <v>2000</v>
      </c>
      <c r="F3"/>
    </row>
    <row r="4" spans="1:12" x14ac:dyDescent="0.3">
      <c r="A4" t="s">
        <v>53</v>
      </c>
      <c r="B4" s="1" t="s">
        <v>29</v>
      </c>
      <c r="C4" s="1" t="s">
        <v>31</v>
      </c>
      <c r="D4" s="1" t="s">
        <v>30</v>
      </c>
      <c r="E4" s="1" t="s">
        <v>40</v>
      </c>
      <c r="F4" s="1" t="s">
        <v>58</v>
      </c>
      <c r="G4" s="1" t="s">
        <v>32</v>
      </c>
      <c r="I4" s="12" t="s">
        <v>54</v>
      </c>
      <c r="J4" s="10">
        <f>SUMIFS(G5:G39,F5:F39,"Crédit",D5:D39,"Couple")-SUMIFS(G5:G39,F5:F39,"Débit",D5:D39,"Couple")</f>
        <v>1180.1400000000008</v>
      </c>
    </row>
    <row r="5" spans="1:12" x14ac:dyDescent="0.3">
      <c r="A5" s="5">
        <v>46105</v>
      </c>
      <c r="B5" s="2" t="s">
        <v>25</v>
      </c>
      <c r="C5" s="4" t="s">
        <v>63</v>
      </c>
      <c r="D5" s="2" t="s">
        <v>28</v>
      </c>
      <c r="E5" s="2" t="s">
        <v>8</v>
      </c>
      <c r="F5" s="2" t="s">
        <v>19</v>
      </c>
      <c r="G5" s="3">
        <v>2450</v>
      </c>
      <c r="I5" s="13" t="s">
        <v>56</v>
      </c>
      <c r="J5" s="10">
        <f>((E3/$E$1)*$J$4)-SUMIFS(G$5:G$1048576,D$5:D$1048576,"Julien",$F$5:$F$1048576,"Débit")+SUMIFS($G$5:$G$1048576,$D$5:$D$1048576,"Julien",$F$5:$F$1048576,"Crédit",B$5:B$1048576,"&lt;&gt;Salaire")+$B$1</f>
        <v>2647.794936346635</v>
      </c>
    </row>
    <row r="6" spans="1:12" x14ac:dyDescent="0.3">
      <c r="A6" s="5">
        <v>46106</v>
      </c>
      <c r="B6" s="2" t="s">
        <v>9</v>
      </c>
      <c r="C6" s="2" t="s">
        <v>68</v>
      </c>
      <c r="D6" s="2" t="s">
        <v>28</v>
      </c>
      <c r="E6" s="2" t="s">
        <v>8</v>
      </c>
      <c r="F6" s="2" t="s">
        <v>59</v>
      </c>
      <c r="G6" s="6">
        <v>200</v>
      </c>
      <c r="I6" s="11" t="s">
        <v>57</v>
      </c>
      <c r="J6" s="10">
        <f>((E2/$E$1)*$J$4)-SUMIFS(G$5:G$1048576,D$5:D$1048576,"Auriane",$F$5:$F$1048576,"Débit")+SUMIFS($G$5:$G$1048576,$D$5:$D$1048576,"Auriane",$F$5:$F$1048576,"Crédit",B$5:B$1048576,"&lt;&gt;Salaire")+$B$2</f>
        <v>1737.9950636533679</v>
      </c>
    </row>
    <row r="7" spans="1:12" x14ac:dyDescent="0.3">
      <c r="A7" s="5">
        <v>46108</v>
      </c>
      <c r="B7" s="2" t="s">
        <v>19</v>
      </c>
      <c r="C7" s="2" t="s">
        <v>7</v>
      </c>
      <c r="D7" s="2" t="s">
        <v>28</v>
      </c>
      <c r="E7" s="2" t="s">
        <v>42</v>
      </c>
      <c r="F7" s="2" t="s">
        <v>59</v>
      </c>
      <c r="G7" s="3">
        <v>353.44</v>
      </c>
    </row>
    <row r="8" spans="1:12" x14ac:dyDescent="0.3">
      <c r="A8" s="5">
        <v>46108</v>
      </c>
      <c r="B8" s="2" t="s">
        <v>1</v>
      </c>
      <c r="C8" s="2" t="s">
        <v>60</v>
      </c>
      <c r="D8" s="2" t="s">
        <v>28</v>
      </c>
      <c r="E8" s="2" t="s">
        <v>44</v>
      </c>
      <c r="F8" s="2" t="s">
        <v>59</v>
      </c>
      <c r="G8" s="6">
        <v>110</v>
      </c>
    </row>
    <row r="9" spans="1:12" x14ac:dyDescent="0.3">
      <c r="A9" s="5">
        <v>46108</v>
      </c>
      <c r="B9" s="2" t="s">
        <v>6</v>
      </c>
      <c r="C9" s="2" t="s">
        <v>61</v>
      </c>
      <c r="D9" s="2" t="s">
        <v>28</v>
      </c>
      <c r="E9" s="2" t="s">
        <v>44</v>
      </c>
      <c r="F9" s="2" t="s">
        <v>59</v>
      </c>
      <c r="G9" s="6">
        <v>50</v>
      </c>
      <c r="J9" s="19" t="s">
        <v>77</v>
      </c>
      <c r="K9" s="19" t="s">
        <v>78</v>
      </c>
      <c r="L9" s="19" t="s">
        <v>79</v>
      </c>
    </row>
    <row r="10" spans="1:12" x14ac:dyDescent="0.3">
      <c r="A10" s="5">
        <v>46108</v>
      </c>
      <c r="B10" s="2" t="s">
        <v>2</v>
      </c>
      <c r="C10" s="2" t="s">
        <v>62</v>
      </c>
      <c r="D10" s="2" t="s">
        <v>28</v>
      </c>
      <c r="E10" s="2" t="s">
        <v>44</v>
      </c>
      <c r="F10" s="2" t="s">
        <v>59</v>
      </c>
      <c r="G10" s="6">
        <v>80</v>
      </c>
      <c r="I10" s="12" t="s">
        <v>1</v>
      </c>
      <c r="J10" s="10">
        <f ca="1">SUMIFS(G:G,B:B,"Courses",A:A,"&lt;=" &amp; TODAY())</f>
        <v>0</v>
      </c>
      <c r="K10" s="10">
        <v>440</v>
      </c>
      <c r="L10" s="10">
        <f ca="1">K10-J10</f>
        <v>440</v>
      </c>
    </row>
    <row r="11" spans="1:12" x14ac:dyDescent="0.3">
      <c r="A11" s="5">
        <v>46108</v>
      </c>
      <c r="B11" s="2" t="s">
        <v>2</v>
      </c>
      <c r="C11" s="2" t="s">
        <v>62</v>
      </c>
      <c r="D11" s="2" t="s">
        <v>28</v>
      </c>
      <c r="E11" s="2" t="s">
        <v>44</v>
      </c>
      <c r="F11" s="2" t="s">
        <v>59</v>
      </c>
      <c r="G11" s="6">
        <v>100</v>
      </c>
      <c r="I11" s="13" t="s">
        <v>6</v>
      </c>
      <c r="J11" s="10">
        <f ca="1">SUMIFS(G:G,B:B,"Tabac",A:A,"&lt;=" &amp; TODAY())</f>
        <v>0</v>
      </c>
      <c r="K11" s="10">
        <v>200</v>
      </c>
      <c r="L11" s="10">
        <f t="shared" ref="L11:L13" ca="1" si="0">K11-J11</f>
        <v>200</v>
      </c>
    </row>
    <row r="12" spans="1:12" x14ac:dyDescent="0.3">
      <c r="A12" s="5">
        <v>46109</v>
      </c>
      <c r="B12" s="2" t="s">
        <v>14</v>
      </c>
      <c r="C12" s="2" t="s">
        <v>36</v>
      </c>
      <c r="D12" s="2" t="s">
        <v>28</v>
      </c>
      <c r="E12" s="2" t="s">
        <v>42</v>
      </c>
      <c r="F12" s="2" t="s">
        <v>59</v>
      </c>
      <c r="G12" s="3">
        <v>42.99</v>
      </c>
      <c r="I12" s="13" t="s">
        <v>2</v>
      </c>
      <c r="J12" s="10">
        <f ca="1">SUMIFS(G:G,B:B,"Essence",A:A,"&lt;=" &amp; TODAY())</f>
        <v>0</v>
      </c>
      <c r="K12" s="10">
        <v>360</v>
      </c>
      <c r="L12" s="10">
        <f t="shared" ca="1" si="0"/>
        <v>360</v>
      </c>
    </row>
    <row r="13" spans="1:12" x14ac:dyDescent="0.3">
      <c r="A13" s="5">
        <f>WORKDAY(EOMONTH("01/03/2026",0)+1,-1)</f>
        <v>46112</v>
      </c>
      <c r="B13" s="2" t="s">
        <v>25</v>
      </c>
      <c r="C13" s="4" t="s">
        <v>64</v>
      </c>
      <c r="D13" s="2" t="s">
        <v>28</v>
      </c>
      <c r="E13" s="2" t="s">
        <v>8</v>
      </c>
      <c r="F13" s="2" t="s">
        <v>19</v>
      </c>
      <c r="G13" s="3">
        <v>2000</v>
      </c>
      <c r="I13" s="18" t="s">
        <v>3</v>
      </c>
      <c r="J13" s="10">
        <f>SUMIFS(G:G,B:B,"Restos")</f>
        <v>0</v>
      </c>
      <c r="K13" s="10">
        <v>30</v>
      </c>
      <c r="L13" s="10">
        <f t="shared" si="0"/>
        <v>30</v>
      </c>
    </row>
    <row r="14" spans="1:12" x14ac:dyDescent="0.3">
      <c r="A14" s="5">
        <v>46113</v>
      </c>
      <c r="B14" s="2" t="s">
        <v>11</v>
      </c>
      <c r="C14" s="2" t="s">
        <v>23</v>
      </c>
      <c r="D14" s="2" t="s">
        <v>28</v>
      </c>
      <c r="E14" s="2" t="s">
        <v>8</v>
      </c>
      <c r="F14" s="2" t="s">
        <v>59</v>
      </c>
      <c r="G14" s="6"/>
    </row>
    <row r="15" spans="1:12" x14ac:dyDescent="0.3">
      <c r="A15" s="5">
        <v>46113</v>
      </c>
      <c r="B15" s="2" t="s">
        <v>23</v>
      </c>
      <c r="C15" s="2" t="s">
        <v>73</v>
      </c>
      <c r="D15" s="2" t="s">
        <v>28</v>
      </c>
      <c r="E15" s="2" t="s">
        <v>8</v>
      </c>
      <c r="F15" s="2" t="s">
        <v>59</v>
      </c>
      <c r="G15" s="6">
        <v>50</v>
      </c>
    </row>
    <row r="16" spans="1:12" x14ac:dyDescent="0.3">
      <c r="A16" s="5">
        <v>46113</v>
      </c>
      <c r="B16" s="2" t="s">
        <v>19</v>
      </c>
      <c r="C16" s="2" t="s">
        <v>50</v>
      </c>
      <c r="D16" s="2" t="s">
        <v>28</v>
      </c>
      <c r="E16" s="2" t="s">
        <v>42</v>
      </c>
      <c r="F16" s="2" t="s">
        <v>59</v>
      </c>
      <c r="G16" s="3">
        <v>150</v>
      </c>
    </row>
    <row r="17" spans="1:7" x14ac:dyDescent="0.3">
      <c r="A17" s="5">
        <v>46115</v>
      </c>
      <c r="B17" s="2" t="s">
        <v>17</v>
      </c>
      <c r="C17" s="2" t="s">
        <v>38</v>
      </c>
      <c r="D17" s="2" t="s">
        <v>28</v>
      </c>
      <c r="E17" s="2" t="s">
        <v>41</v>
      </c>
      <c r="F17" s="2" t="s">
        <v>59</v>
      </c>
      <c r="G17" s="3">
        <v>7.99</v>
      </c>
    </row>
    <row r="18" spans="1:7" x14ac:dyDescent="0.3">
      <c r="A18" s="5">
        <v>46115</v>
      </c>
      <c r="B18" s="2" t="s">
        <v>1</v>
      </c>
      <c r="C18" s="2" t="s">
        <v>60</v>
      </c>
      <c r="D18" s="2" t="s">
        <v>28</v>
      </c>
      <c r="E18" s="2" t="s">
        <v>44</v>
      </c>
      <c r="F18" s="2" t="s">
        <v>59</v>
      </c>
      <c r="G18" s="6">
        <v>110</v>
      </c>
    </row>
    <row r="19" spans="1:7" x14ac:dyDescent="0.3">
      <c r="A19" s="5">
        <v>46115</v>
      </c>
      <c r="B19" s="2" t="s">
        <v>6</v>
      </c>
      <c r="C19" s="2" t="s">
        <v>61</v>
      </c>
      <c r="D19" s="2" t="s">
        <v>28</v>
      </c>
      <c r="E19" s="2" t="s">
        <v>44</v>
      </c>
      <c r="F19" s="2" t="s">
        <v>59</v>
      </c>
      <c r="G19" s="6">
        <v>50</v>
      </c>
    </row>
    <row r="20" spans="1:7" x14ac:dyDescent="0.3">
      <c r="A20" s="5">
        <v>46116</v>
      </c>
      <c r="B20" s="2" t="s">
        <v>17</v>
      </c>
      <c r="C20" s="2" t="s">
        <v>37</v>
      </c>
      <c r="D20" s="2" t="s">
        <v>28</v>
      </c>
      <c r="E20" s="2" t="s">
        <v>42</v>
      </c>
      <c r="F20" s="2" t="s">
        <v>59</v>
      </c>
      <c r="G20" s="3">
        <v>47.5</v>
      </c>
    </row>
    <row r="21" spans="1:7" x14ac:dyDescent="0.3">
      <c r="A21" s="5">
        <v>46117</v>
      </c>
      <c r="B21" s="2" t="s">
        <v>0</v>
      </c>
      <c r="C21" s="4" t="s">
        <v>65</v>
      </c>
      <c r="D21" s="2" t="s">
        <v>28</v>
      </c>
      <c r="E21" s="2" t="s">
        <v>42</v>
      </c>
      <c r="F21" s="2" t="s">
        <v>59</v>
      </c>
      <c r="G21" s="3">
        <v>700</v>
      </c>
    </row>
    <row r="22" spans="1:7" x14ac:dyDescent="0.3">
      <c r="A22" s="5">
        <v>46117</v>
      </c>
      <c r="B22" s="2" t="s">
        <v>14</v>
      </c>
      <c r="C22" s="2" t="s">
        <v>34</v>
      </c>
      <c r="D22" s="2" t="s">
        <v>28</v>
      </c>
      <c r="E22" s="2" t="s">
        <v>42</v>
      </c>
      <c r="F22" s="2" t="s">
        <v>59</v>
      </c>
      <c r="G22" s="3">
        <v>26.99</v>
      </c>
    </row>
    <row r="23" spans="1:7" x14ac:dyDescent="0.3">
      <c r="A23" s="5">
        <v>46117</v>
      </c>
      <c r="B23" s="2" t="s">
        <v>15</v>
      </c>
      <c r="C23" s="2" t="s">
        <v>46</v>
      </c>
      <c r="D23" s="2" t="s">
        <v>28</v>
      </c>
      <c r="E23" s="2" t="s">
        <v>42</v>
      </c>
      <c r="F23" s="2" t="s">
        <v>59</v>
      </c>
      <c r="G23" s="3">
        <v>195</v>
      </c>
    </row>
    <row r="24" spans="1:7" x14ac:dyDescent="0.3">
      <c r="A24" s="5">
        <v>46117</v>
      </c>
      <c r="B24" s="2" t="s">
        <v>23</v>
      </c>
      <c r="C24" s="2" t="s">
        <v>51</v>
      </c>
      <c r="D24" s="2" t="s">
        <v>28</v>
      </c>
      <c r="E24" s="2" t="s">
        <v>42</v>
      </c>
      <c r="F24" s="2" t="s">
        <v>59</v>
      </c>
      <c r="G24" s="3">
        <v>9</v>
      </c>
    </row>
    <row r="25" spans="1:7" x14ac:dyDescent="0.3">
      <c r="A25" s="5">
        <v>46117</v>
      </c>
      <c r="B25" s="2" t="s">
        <v>23</v>
      </c>
      <c r="C25" s="2" t="s">
        <v>52</v>
      </c>
      <c r="D25" s="2" t="s">
        <v>28</v>
      </c>
      <c r="E25" s="2" t="s">
        <v>42</v>
      </c>
      <c r="F25" s="2" t="s">
        <v>59</v>
      </c>
      <c r="G25" s="3">
        <v>15</v>
      </c>
    </row>
    <row r="26" spans="1:7" x14ac:dyDescent="0.3">
      <c r="A26" s="5">
        <v>46118</v>
      </c>
      <c r="B26" s="2" t="s">
        <v>10</v>
      </c>
      <c r="C26" s="2" t="s">
        <v>23</v>
      </c>
      <c r="D26" s="2" t="s">
        <v>28</v>
      </c>
      <c r="E26" s="2" t="s">
        <v>42</v>
      </c>
      <c r="F26" s="2" t="s">
        <v>59</v>
      </c>
      <c r="G26" s="6">
        <v>38.25</v>
      </c>
    </row>
    <row r="27" spans="1:7" x14ac:dyDescent="0.3">
      <c r="A27" s="5">
        <v>46121</v>
      </c>
      <c r="B27" s="2" t="s">
        <v>24</v>
      </c>
      <c r="C27" s="2" t="s">
        <v>74</v>
      </c>
      <c r="D27" s="2" t="s">
        <v>28</v>
      </c>
      <c r="E27" s="3" t="s">
        <v>44</v>
      </c>
      <c r="F27" s="2" t="s">
        <v>59</v>
      </c>
      <c r="G27" s="6">
        <v>200</v>
      </c>
    </row>
    <row r="28" spans="1:7" x14ac:dyDescent="0.3">
      <c r="A28" s="5">
        <v>46122</v>
      </c>
      <c r="B28" s="2" t="s">
        <v>20</v>
      </c>
      <c r="C28" s="2" t="s">
        <v>33</v>
      </c>
      <c r="D28" s="2" t="s">
        <v>28</v>
      </c>
      <c r="E28" s="2" t="s">
        <v>42</v>
      </c>
      <c r="F28" s="2" t="s">
        <v>59</v>
      </c>
      <c r="G28" s="3">
        <v>128.08000000000001</v>
      </c>
    </row>
    <row r="29" spans="1:7" x14ac:dyDescent="0.3">
      <c r="A29" s="5">
        <v>46122</v>
      </c>
      <c r="B29" s="2" t="s">
        <v>16</v>
      </c>
      <c r="C29" s="2" t="s">
        <v>47</v>
      </c>
      <c r="D29" s="2" t="s">
        <v>28</v>
      </c>
      <c r="E29" s="2" t="s">
        <v>42</v>
      </c>
      <c r="F29" s="2" t="s">
        <v>59</v>
      </c>
      <c r="G29" s="3">
        <v>60</v>
      </c>
    </row>
    <row r="30" spans="1:7" x14ac:dyDescent="0.3">
      <c r="A30" s="5">
        <v>46122</v>
      </c>
      <c r="B30" s="2" t="s">
        <v>14</v>
      </c>
      <c r="C30" s="2" t="s">
        <v>48</v>
      </c>
      <c r="D30" s="2" t="s">
        <v>28</v>
      </c>
      <c r="E30" s="2" t="s">
        <v>8</v>
      </c>
      <c r="F30" s="2" t="s">
        <v>59</v>
      </c>
      <c r="G30" s="3">
        <v>15</v>
      </c>
    </row>
    <row r="31" spans="1:7" x14ac:dyDescent="0.3">
      <c r="A31" s="5">
        <v>46122</v>
      </c>
      <c r="B31" s="2" t="s">
        <v>1</v>
      </c>
      <c r="C31" s="2" t="s">
        <v>60</v>
      </c>
      <c r="D31" s="2" t="s">
        <v>28</v>
      </c>
      <c r="E31" s="2" t="s">
        <v>44</v>
      </c>
      <c r="F31" s="2" t="s">
        <v>59</v>
      </c>
      <c r="G31" s="6">
        <v>110</v>
      </c>
    </row>
    <row r="32" spans="1:7" x14ac:dyDescent="0.3">
      <c r="A32" s="5">
        <v>46122</v>
      </c>
      <c r="B32" s="2" t="s">
        <v>6</v>
      </c>
      <c r="C32" s="2" t="s">
        <v>61</v>
      </c>
      <c r="D32" s="2" t="s">
        <v>28</v>
      </c>
      <c r="E32" s="2" t="s">
        <v>44</v>
      </c>
      <c r="F32" s="2" t="s">
        <v>59</v>
      </c>
      <c r="G32" s="6">
        <v>50</v>
      </c>
    </row>
    <row r="33" spans="1:7" x14ac:dyDescent="0.3">
      <c r="A33" s="5">
        <v>46122</v>
      </c>
      <c r="B33" s="2" t="s">
        <v>2</v>
      </c>
      <c r="C33" s="2" t="s">
        <v>62</v>
      </c>
      <c r="D33" s="2" t="s">
        <v>28</v>
      </c>
      <c r="E33" s="2" t="s">
        <v>44</v>
      </c>
      <c r="F33" s="2" t="s">
        <v>59</v>
      </c>
      <c r="G33" s="6">
        <v>80</v>
      </c>
    </row>
    <row r="34" spans="1:7" x14ac:dyDescent="0.3">
      <c r="A34" s="5">
        <v>46122</v>
      </c>
      <c r="B34" s="2" t="s">
        <v>2</v>
      </c>
      <c r="C34" s="2" t="s">
        <v>62</v>
      </c>
      <c r="D34" s="2" t="s">
        <v>28</v>
      </c>
      <c r="E34" s="2" t="s">
        <v>44</v>
      </c>
      <c r="F34" s="2" t="s">
        <v>59</v>
      </c>
      <c r="G34" s="6">
        <v>100</v>
      </c>
    </row>
    <row r="35" spans="1:7" x14ac:dyDescent="0.3">
      <c r="A35" s="5">
        <v>46125</v>
      </c>
      <c r="B35" s="2" t="s">
        <v>17</v>
      </c>
      <c r="C35" s="2" t="s">
        <v>39</v>
      </c>
      <c r="D35" s="2" t="s">
        <v>28</v>
      </c>
      <c r="E35" s="2" t="s">
        <v>41</v>
      </c>
      <c r="F35" s="2" t="s">
        <v>59</v>
      </c>
      <c r="G35" s="3">
        <v>6.49</v>
      </c>
    </row>
    <row r="36" spans="1:7" x14ac:dyDescent="0.3">
      <c r="A36" s="5">
        <v>46126</v>
      </c>
      <c r="B36" s="2" t="s">
        <v>14</v>
      </c>
      <c r="C36" s="2" t="s">
        <v>35</v>
      </c>
      <c r="D36" s="2" t="s">
        <v>28</v>
      </c>
      <c r="E36" s="2" t="s">
        <v>42</v>
      </c>
      <c r="F36" s="2" t="s">
        <v>59</v>
      </c>
      <c r="G36" s="3">
        <v>11.99</v>
      </c>
    </row>
    <row r="37" spans="1:7" x14ac:dyDescent="0.3">
      <c r="A37" s="5">
        <v>46129</v>
      </c>
      <c r="B37" s="2" t="s">
        <v>1</v>
      </c>
      <c r="C37" s="2" t="s">
        <v>60</v>
      </c>
      <c r="D37" s="2" t="s">
        <v>28</v>
      </c>
      <c r="E37" s="2" t="s">
        <v>44</v>
      </c>
      <c r="F37" s="2" t="s">
        <v>59</v>
      </c>
      <c r="G37" s="6">
        <v>110</v>
      </c>
    </row>
    <row r="38" spans="1:7" x14ac:dyDescent="0.3">
      <c r="A38" s="5">
        <v>46129</v>
      </c>
      <c r="B38" s="2" t="s">
        <v>6</v>
      </c>
      <c r="C38" s="2" t="s">
        <v>61</v>
      </c>
      <c r="D38" s="2" t="s">
        <v>28</v>
      </c>
      <c r="E38" s="2" t="s">
        <v>44</v>
      </c>
      <c r="F38" s="2" t="s">
        <v>59</v>
      </c>
      <c r="G38" s="6">
        <v>50</v>
      </c>
    </row>
    <row r="39" spans="1:7" x14ac:dyDescent="0.3">
      <c r="A39" s="5">
        <v>46133</v>
      </c>
      <c r="B39" s="2" t="s">
        <v>18</v>
      </c>
      <c r="C39" s="2" t="s">
        <v>49</v>
      </c>
      <c r="D39" s="2" t="s">
        <v>28</v>
      </c>
      <c r="E39" s="2" t="s">
        <v>41</v>
      </c>
      <c r="F39" s="2" t="s">
        <v>59</v>
      </c>
      <c r="G39" s="3">
        <v>12.14</v>
      </c>
    </row>
    <row r="40" spans="1:7" x14ac:dyDescent="0.3">
      <c r="A40" s="5"/>
    </row>
    <row r="41" spans="1:7" x14ac:dyDescent="0.3">
      <c r="A41" s="5"/>
    </row>
    <row r="42" spans="1:7" x14ac:dyDescent="0.3">
      <c r="A42" s="5"/>
    </row>
    <row r="43" spans="1:7" x14ac:dyDescent="0.3">
      <c r="A43" s="5"/>
    </row>
    <row r="44" spans="1:7" x14ac:dyDescent="0.3">
      <c r="A44" s="5"/>
    </row>
    <row r="45" spans="1:7" x14ac:dyDescent="0.3">
      <c r="A45" s="5"/>
    </row>
    <row r="46" spans="1:7" x14ac:dyDescent="0.3">
      <c r="A46" s="5"/>
    </row>
    <row r="47" spans="1:7" x14ac:dyDescent="0.3">
      <c r="A47" s="5"/>
    </row>
    <row r="48" spans="1:7" x14ac:dyDescent="0.3">
      <c r="A48" s="5"/>
    </row>
    <row r="49" spans="1:1" x14ac:dyDescent="0.3">
      <c r="A49" s="5"/>
    </row>
  </sheetData>
  <conditionalFormatting sqref="A38:A49">
    <cfRule type="expression" dxfId="70" priority="3">
      <formula>AND($A38&lt;&gt;"", $A38&lt;TODAY())</formula>
    </cfRule>
  </conditionalFormatting>
  <conditionalFormatting sqref="A5:G21 A22:B37 D22:D37">
    <cfRule type="expression" dxfId="69" priority="6">
      <formula>AND($A5&lt;&gt;"", $A5&lt;TODAY())</formula>
    </cfRule>
  </conditionalFormatting>
  <conditionalFormatting sqref="F22:F24">
    <cfRule type="expression" dxfId="68" priority="5">
      <formula>AND($A22&lt;&gt;"", $A22&lt;TODAY())</formula>
    </cfRule>
  </conditionalFormatting>
  <conditionalFormatting sqref="G5:G21 G23:G39">
    <cfRule type="cellIs" dxfId="67" priority="4" operator="equal">
      <formula>0</formula>
    </cfRule>
  </conditionalFormatting>
  <conditionalFormatting sqref="I6">
    <cfRule type="expression" dxfId="66" priority="7">
      <formula>AND($A6&lt;&gt;"", $A6&lt;TODAY())</formula>
    </cfRule>
  </conditionalFormatting>
  <conditionalFormatting sqref="G22">
    <cfRule type="expression" dxfId="21" priority="1">
      <formula>AND($A22&lt;&gt;"", $A22&lt;TODAY())</formula>
    </cfRule>
  </conditionalFormatting>
  <conditionalFormatting sqref="G22">
    <cfRule type="cellIs" dxfId="20" priority="2" operator="equal">
      <formula>0</formula>
    </cfRule>
  </conditionalFormatting>
  <dataValidations count="4">
    <dataValidation type="list" allowBlank="1" showInputMessage="1" showErrorMessage="1" sqref="A3 B5:B1048576" xr:uid="{4826471B-62B1-4D76-8F86-81CC8005984E}">
      <formula1>famille</formula1>
    </dataValidation>
    <dataValidation type="list" allowBlank="1" showInputMessage="1" showErrorMessage="1" sqref="F5:F1048576" xr:uid="{A8DC5836-928D-4357-BBDD-841B3987009F}">
      <formula1>montant</formula1>
    </dataValidation>
    <dataValidation type="list" allowBlank="1" showInputMessage="1" showErrorMessage="1" sqref="E5:E1048576" xr:uid="{C21D16DE-CA69-42B7-AF5C-34965750D088}">
      <formula1>Moyen</formula1>
    </dataValidation>
    <dataValidation type="list" allowBlank="1" showInputMessage="1" showErrorMessage="1" sqref="D5:D1048576" xr:uid="{5849AA3B-1FAE-436C-B3E8-CB3FDAEA53FC}">
      <formula1>Qui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4828E-9487-45E9-89F2-4D6E1D0261EF}">
  <sheetPr codeName="Feuil7"/>
  <dimension ref="A1:L49"/>
  <sheetViews>
    <sheetView showGridLines="0" topLeftCell="A5" workbookViewId="0">
      <selection activeCell="I10" sqref="I10:L14"/>
    </sheetView>
  </sheetViews>
  <sheetFormatPr baseColWidth="10" defaultRowHeight="14.4" x14ac:dyDescent="0.3"/>
  <cols>
    <col min="1" max="1" width="22.5546875" style="2" bestFit="1" customWidth="1"/>
    <col min="2" max="2" width="16.109375" style="2" customWidth="1"/>
    <col min="3" max="3" width="16.109375" style="2" bestFit="1" customWidth="1"/>
    <col min="4" max="4" width="9.33203125" style="2" customWidth="1"/>
    <col min="5" max="6" width="14.44140625" style="3" customWidth="1"/>
    <col min="9" max="9" width="15.21875" customWidth="1"/>
  </cols>
  <sheetData>
    <row r="1" spans="1:12" x14ac:dyDescent="0.3">
      <c r="A1" s="14" t="s">
        <v>66</v>
      </c>
      <c r="B1" s="16">
        <f>Avril!J5</f>
        <v>2647.794936346635</v>
      </c>
      <c r="D1" s="14" t="s">
        <v>55</v>
      </c>
      <c r="E1" s="16">
        <f>SUMIFS(G:G,B:B,"Salaire")</f>
        <v>4450</v>
      </c>
    </row>
    <row r="2" spans="1:12" x14ac:dyDescent="0.3">
      <c r="A2" s="15" t="s">
        <v>67</v>
      </c>
      <c r="B2" s="16">
        <f>Avril!J6</f>
        <v>1737.9950636533679</v>
      </c>
      <c r="C2"/>
      <c r="D2" s="17" t="s">
        <v>27</v>
      </c>
      <c r="E2" s="17">
        <v>2450</v>
      </c>
      <c r="F2"/>
      <c r="G2" s="6"/>
    </row>
    <row r="3" spans="1:12" x14ac:dyDescent="0.3">
      <c r="A3"/>
      <c r="B3"/>
      <c r="C3"/>
      <c r="D3" s="17" t="s">
        <v>26</v>
      </c>
      <c r="E3" s="17">
        <v>2000</v>
      </c>
      <c r="F3"/>
    </row>
    <row r="4" spans="1:12" x14ac:dyDescent="0.3">
      <c r="A4" t="s">
        <v>53</v>
      </c>
      <c r="B4" s="1" t="s">
        <v>29</v>
      </c>
      <c r="C4" s="1" t="s">
        <v>31</v>
      </c>
      <c r="D4" s="1" t="s">
        <v>30</v>
      </c>
      <c r="E4" s="1" t="s">
        <v>40</v>
      </c>
      <c r="F4" s="1" t="s">
        <v>58</v>
      </c>
      <c r="G4" s="1" t="s">
        <v>32</v>
      </c>
      <c r="I4" s="12" t="s">
        <v>54</v>
      </c>
      <c r="J4" s="10">
        <f>SUMIFS(G5:G39,F5:F39,"Crédit",D5:D39,"Couple")-SUMIFS(G5:G39,F5:F39,"Débit",D5:D39,"Couple")</f>
        <v>1180.1400000000008</v>
      </c>
    </row>
    <row r="5" spans="1:12" x14ac:dyDescent="0.3">
      <c r="A5" s="5">
        <v>46136</v>
      </c>
      <c r="B5" s="2" t="s">
        <v>25</v>
      </c>
      <c r="C5" s="4" t="s">
        <v>63</v>
      </c>
      <c r="D5" s="2" t="s">
        <v>28</v>
      </c>
      <c r="E5" s="2" t="s">
        <v>8</v>
      </c>
      <c r="F5" s="2" t="s">
        <v>19</v>
      </c>
      <c r="G5" s="3">
        <v>2450</v>
      </c>
      <c r="I5" s="13" t="s">
        <v>56</v>
      </c>
      <c r="J5" s="10">
        <f>((E3/$E$1)*$J$4)-SUMIFS(G$5:G$1048576,D$5:D$1048576,"Julien",$F$5:$F$1048576,"Débit")+SUMIFS($G$5:$G$1048576,$D$5:$D$1048576,"Julien",$F$5:$F$1048576,"Crédit",B$5:B$1048576,"&lt;&gt;Salaire")+$B$1</f>
        <v>3178.1949363466356</v>
      </c>
    </row>
    <row r="6" spans="1:12" x14ac:dyDescent="0.3">
      <c r="A6" s="5">
        <v>46137</v>
      </c>
      <c r="B6" s="2" t="s">
        <v>9</v>
      </c>
      <c r="C6" s="2" t="s">
        <v>68</v>
      </c>
      <c r="D6" s="2" t="s">
        <v>28</v>
      </c>
      <c r="E6" s="2" t="s">
        <v>8</v>
      </c>
      <c r="F6" s="2" t="s">
        <v>59</v>
      </c>
      <c r="G6" s="6">
        <v>200</v>
      </c>
      <c r="I6" s="11" t="s">
        <v>57</v>
      </c>
      <c r="J6" s="10">
        <f>((E2/$E$1)*$J$4)-SUMIFS(G$5:G$1048576,D$5:D$1048576,"Auriane",$F$5:$F$1048576,"Débit")+SUMIFS($G$5:$G$1048576,$D$5:$D$1048576,"Auriane",$F$5:$F$1048576,"Crédit",B$5:B$1048576,"&lt;&gt;Salaire")+$B$2</f>
        <v>2387.7350636533683</v>
      </c>
    </row>
    <row r="7" spans="1:12" x14ac:dyDescent="0.3">
      <c r="A7" s="5">
        <v>46139</v>
      </c>
      <c r="B7" s="2" t="s">
        <v>19</v>
      </c>
      <c r="C7" s="2" t="s">
        <v>7</v>
      </c>
      <c r="D7" s="2" t="s">
        <v>28</v>
      </c>
      <c r="E7" s="2" t="s">
        <v>42</v>
      </c>
      <c r="F7" s="2" t="s">
        <v>59</v>
      </c>
      <c r="G7" s="3">
        <v>353.44</v>
      </c>
    </row>
    <row r="8" spans="1:12" x14ac:dyDescent="0.3">
      <c r="A8" s="5">
        <v>46139</v>
      </c>
      <c r="B8" s="2" t="s">
        <v>1</v>
      </c>
      <c r="C8" s="2" t="s">
        <v>60</v>
      </c>
      <c r="D8" s="2" t="s">
        <v>28</v>
      </c>
      <c r="E8" s="2" t="s">
        <v>44</v>
      </c>
      <c r="F8" s="2" t="s">
        <v>59</v>
      </c>
      <c r="G8" s="6">
        <v>110</v>
      </c>
    </row>
    <row r="9" spans="1:12" x14ac:dyDescent="0.3">
      <c r="A9" s="5">
        <v>46139</v>
      </c>
      <c r="B9" s="2" t="s">
        <v>6</v>
      </c>
      <c r="C9" s="2" t="s">
        <v>61</v>
      </c>
      <c r="D9" s="2" t="s">
        <v>28</v>
      </c>
      <c r="E9" s="2" t="s">
        <v>44</v>
      </c>
      <c r="F9" s="2" t="s">
        <v>59</v>
      </c>
      <c r="G9" s="6">
        <v>50</v>
      </c>
    </row>
    <row r="10" spans="1:12" x14ac:dyDescent="0.3">
      <c r="A10" s="5">
        <v>46139</v>
      </c>
      <c r="B10" s="2" t="s">
        <v>2</v>
      </c>
      <c r="C10" s="2" t="s">
        <v>62</v>
      </c>
      <c r="D10" s="2" t="s">
        <v>28</v>
      </c>
      <c r="E10" s="2" t="s">
        <v>44</v>
      </c>
      <c r="F10" s="2" t="s">
        <v>59</v>
      </c>
      <c r="G10" s="6">
        <v>80</v>
      </c>
      <c r="J10" s="19" t="s">
        <v>77</v>
      </c>
      <c r="K10" s="19" t="s">
        <v>78</v>
      </c>
      <c r="L10" s="19" t="s">
        <v>79</v>
      </c>
    </row>
    <row r="11" spans="1:12" x14ac:dyDescent="0.3">
      <c r="A11" s="5">
        <v>46139</v>
      </c>
      <c r="B11" s="2" t="s">
        <v>2</v>
      </c>
      <c r="C11" s="2" t="s">
        <v>62</v>
      </c>
      <c r="D11" s="2" t="s">
        <v>28</v>
      </c>
      <c r="E11" s="2" t="s">
        <v>44</v>
      </c>
      <c r="F11" s="2" t="s">
        <v>59</v>
      </c>
      <c r="G11" s="6">
        <v>100</v>
      </c>
      <c r="I11" s="12" t="s">
        <v>1</v>
      </c>
      <c r="J11" s="10">
        <f ca="1">SUMIFS(G:G,B:B,"Courses",A:A,"&lt;=" &amp; TODAY())</f>
        <v>0</v>
      </c>
      <c r="K11" s="10">
        <v>440</v>
      </c>
      <c r="L11" s="10">
        <f ca="1">K11-J11</f>
        <v>440</v>
      </c>
    </row>
    <row r="12" spans="1:12" x14ac:dyDescent="0.3">
      <c r="A12" s="5">
        <v>46140</v>
      </c>
      <c r="B12" s="2" t="s">
        <v>14</v>
      </c>
      <c r="C12" s="2" t="s">
        <v>36</v>
      </c>
      <c r="D12" s="2" t="s">
        <v>28</v>
      </c>
      <c r="E12" s="2" t="s">
        <v>42</v>
      </c>
      <c r="F12" s="2" t="s">
        <v>59</v>
      </c>
      <c r="G12" s="3">
        <v>42.99</v>
      </c>
      <c r="I12" s="13" t="s">
        <v>6</v>
      </c>
      <c r="J12" s="10">
        <f ca="1">SUMIFS(G:G,B:B,"Tabac",A:A,"&lt;=" &amp; TODAY())</f>
        <v>0</v>
      </c>
      <c r="K12" s="10">
        <v>200</v>
      </c>
      <c r="L12" s="10">
        <f t="shared" ref="L12:L14" ca="1" si="0">K12-J12</f>
        <v>200</v>
      </c>
    </row>
    <row r="13" spans="1:12" x14ac:dyDescent="0.3">
      <c r="A13" s="5">
        <f>WORKDAY(EOMONTH("01/04/2026",0)+1,-1)</f>
        <v>46142</v>
      </c>
      <c r="B13" s="2" t="s">
        <v>25</v>
      </c>
      <c r="C13" s="4" t="s">
        <v>64</v>
      </c>
      <c r="D13" s="2" t="s">
        <v>28</v>
      </c>
      <c r="E13" s="2" t="s">
        <v>8</v>
      </c>
      <c r="F13" s="2" t="s">
        <v>19</v>
      </c>
      <c r="G13" s="3">
        <v>2000</v>
      </c>
      <c r="I13" s="13" t="s">
        <v>2</v>
      </c>
      <c r="J13" s="10">
        <f ca="1">SUMIFS(G:G,B:B,"Essence",A:A,"&lt;=" &amp; TODAY())</f>
        <v>0</v>
      </c>
      <c r="K13" s="10">
        <v>360</v>
      </c>
      <c r="L13" s="10">
        <f t="shared" ca="1" si="0"/>
        <v>360</v>
      </c>
    </row>
    <row r="14" spans="1:12" x14ac:dyDescent="0.3">
      <c r="A14" s="5">
        <v>46143</v>
      </c>
      <c r="B14" s="2" t="s">
        <v>11</v>
      </c>
      <c r="C14" s="2" t="s">
        <v>23</v>
      </c>
      <c r="D14" s="2" t="s">
        <v>28</v>
      </c>
      <c r="E14" s="2" t="s">
        <v>8</v>
      </c>
      <c r="F14" s="2" t="s">
        <v>59</v>
      </c>
      <c r="G14" s="6"/>
      <c r="I14" s="18" t="s">
        <v>3</v>
      </c>
      <c r="J14" s="10">
        <f>SUMIFS(G:G,B:B,"Restos")</f>
        <v>0</v>
      </c>
      <c r="K14" s="10">
        <v>30</v>
      </c>
      <c r="L14" s="10">
        <f t="shared" si="0"/>
        <v>30</v>
      </c>
    </row>
    <row r="15" spans="1:12" x14ac:dyDescent="0.3">
      <c r="A15" s="5">
        <v>46143</v>
      </c>
      <c r="B15" s="2" t="s">
        <v>23</v>
      </c>
      <c r="C15" s="2" t="s">
        <v>73</v>
      </c>
      <c r="D15" s="2" t="s">
        <v>28</v>
      </c>
      <c r="E15" s="2" t="s">
        <v>8</v>
      </c>
      <c r="F15" s="2" t="s">
        <v>59</v>
      </c>
      <c r="G15" s="6">
        <v>50</v>
      </c>
    </row>
    <row r="16" spans="1:12" x14ac:dyDescent="0.3">
      <c r="A16" s="5">
        <v>46143</v>
      </c>
      <c r="B16" s="2" t="s">
        <v>19</v>
      </c>
      <c r="C16" s="2" t="s">
        <v>50</v>
      </c>
      <c r="D16" s="2" t="s">
        <v>28</v>
      </c>
      <c r="E16" s="2" t="s">
        <v>42</v>
      </c>
      <c r="F16" s="2" t="s">
        <v>59</v>
      </c>
      <c r="G16" s="3">
        <v>150</v>
      </c>
    </row>
    <row r="17" spans="1:7" x14ac:dyDescent="0.3">
      <c r="A17" s="5">
        <v>46145</v>
      </c>
      <c r="B17" s="2" t="s">
        <v>17</v>
      </c>
      <c r="C17" s="2" t="s">
        <v>38</v>
      </c>
      <c r="D17" s="2" t="s">
        <v>28</v>
      </c>
      <c r="E17" s="2" t="s">
        <v>41</v>
      </c>
      <c r="F17" s="2" t="s">
        <v>59</v>
      </c>
      <c r="G17" s="3">
        <v>7.99</v>
      </c>
    </row>
    <row r="18" spans="1:7" x14ac:dyDescent="0.3">
      <c r="A18" s="5">
        <v>46145</v>
      </c>
      <c r="B18" s="2" t="s">
        <v>1</v>
      </c>
      <c r="C18" s="2" t="s">
        <v>60</v>
      </c>
      <c r="D18" s="2" t="s">
        <v>28</v>
      </c>
      <c r="E18" s="2" t="s">
        <v>44</v>
      </c>
      <c r="F18" s="2" t="s">
        <v>59</v>
      </c>
      <c r="G18" s="6">
        <v>110</v>
      </c>
    </row>
    <row r="19" spans="1:7" x14ac:dyDescent="0.3">
      <c r="A19" s="5">
        <v>46145</v>
      </c>
      <c r="B19" s="2" t="s">
        <v>6</v>
      </c>
      <c r="C19" s="2" t="s">
        <v>61</v>
      </c>
      <c r="D19" s="2" t="s">
        <v>28</v>
      </c>
      <c r="E19" s="2" t="s">
        <v>44</v>
      </c>
      <c r="F19" s="2" t="s">
        <v>59</v>
      </c>
      <c r="G19" s="6">
        <v>50</v>
      </c>
    </row>
    <row r="20" spans="1:7" x14ac:dyDescent="0.3">
      <c r="A20" s="5">
        <v>46146</v>
      </c>
      <c r="B20" s="2" t="s">
        <v>17</v>
      </c>
      <c r="C20" s="2" t="s">
        <v>37</v>
      </c>
      <c r="D20" s="2" t="s">
        <v>28</v>
      </c>
      <c r="E20" s="2" t="s">
        <v>42</v>
      </c>
      <c r="F20" s="2" t="s">
        <v>59</v>
      </c>
      <c r="G20" s="3">
        <v>47.5</v>
      </c>
    </row>
    <row r="21" spans="1:7" x14ac:dyDescent="0.3">
      <c r="A21" s="5">
        <v>46147</v>
      </c>
      <c r="B21" s="2" t="s">
        <v>0</v>
      </c>
      <c r="C21" s="4" t="s">
        <v>65</v>
      </c>
      <c r="D21" s="2" t="s">
        <v>28</v>
      </c>
      <c r="E21" s="2" t="s">
        <v>42</v>
      </c>
      <c r="F21" s="2" t="s">
        <v>59</v>
      </c>
      <c r="G21" s="3">
        <v>700</v>
      </c>
    </row>
    <row r="22" spans="1:7" x14ac:dyDescent="0.3">
      <c r="A22" s="5">
        <v>46147</v>
      </c>
      <c r="B22" s="2" t="s">
        <v>14</v>
      </c>
      <c r="C22" s="2" t="s">
        <v>34</v>
      </c>
      <c r="D22" s="2" t="s">
        <v>28</v>
      </c>
      <c r="E22" s="2" t="s">
        <v>42</v>
      </c>
      <c r="F22" s="2" t="s">
        <v>59</v>
      </c>
      <c r="G22" s="3">
        <v>26.99</v>
      </c>
    </row>
    <row r="23" spans="1:7" x14ac:dyDescent="0.3">
      <c r="A23" s="5">
        <v>46147</v>
      </c>
      <c r="B23" s="2" t="s">
        <v>15</v>
      </c>
      <c r="C23" s="2" t="s">
        <v>46</v>
      </c>
      <c r="D23" s="2" t="s">
        <v>28</v>
      </c>
      <c r="E23" s="2" t="s">
        <v>42</v>
      </c>
      <c r="F23" s="2" t="s">
        <v>59</v>
      </c>
      <c r="G23" s="3">
        <v>195</v>
      </c>
    </row>
    <row r="24" spans="1:7" x14ac:dyDescent="0.3">
      <c r="A24" s="5">
        <v>46147</v>
      </c>
      <c r="B24" s="2" t="s">
        <v>23</v>
      </c>
      <c r="C24" s="2" t="s">
        <v>51</v>
      </c>
      <c r="D24" s="2" t="s">
        <v>28</v>
      </c>
      <c r="E24" s="2" t="s">
        <v>42</v>
      </c>
      <c r="F24" s="2" t="s">
        <v>59</v>
      </c>
      <c r="G24" s="3">
        <v>9</v>
      </c>
    </row>
    <row r="25" spans="1:7" x14ac:dyDescent="0.3">
      <c r="A25" s="5">
        <v>46147</v>
      </c>
      <c r="B25" s="2" t="s">
        <v>23</v>
      </c>
      <c r="C25" s="2" t="s">
        <v>52</v>
      </c>
      <c r="D25" s="2" t="s">
        <v>28</v>
      </c>
      <c r="E25" s="2" t="s">
        <v>42</v>
      </c>
      <c r="F25" s="2" t="s">
        <v>59</v>
      </c>
      <c r="G25" s="3">
        <v>15</v>
      </c>
    </row>
    <row r="26" spans="1:7" x14ac:dyDescent="0.3">
      <c r="A26" s="5">
        <v>46148</v>
      </c>
      <c r="B26" s="2" t="s">
        <v>10</v>
      </c>
      <c r="C26" s="2" t="s">
        <v>23</v>
      </c>
      <c r="D26" s="2" t="s">
        <v>28</v>
      </c>
      <c r="E26" s="2" t="s">
        <v>42</v>
      </c>
      <c r="F26" s="2" t="s">
        <v>59</v>
      </c>
      <c r="G26" s="6">
        <v>38.25</v>
      </c>
    </row>
    <row r="27" spans="1:7" x14ac:dyDescent="0.3">
      <c r="A27" s="5">
        <v>46151</v>
      </c>
      <c r="B27" s="2" t="s">
        <v>24</v>
      </c>
      <c r="C27" s="2" t="s">
        <v>74</v>
      </c>
      <c r="D27" s="2" t="s">
        <v>28</v>
      </c>
      <c r="E27" s="3" t="s">
        <v>44</v>
      </c>
      <c r="F27" s="2" t="s">
        <v>59</v>
      </c>
      <c r="G27" s="6">
        <v>200</v>
      </c>
    </row>
    <row r="28" spans="1:7" x14ac:dyDescent="0.3">
      <c r="A28" s="5">
        <v>46152</v>
      </c>
      <c r="B28" s="2" t="s">
        <v>20</v>
      </c>
      <c r="C28" s="2" t="s">
        <v>33</v>
      </c>
      <c r="D28" s="2" t="s">
        <v>28</v>
      </c>
      <c r="E28" s="2" t="s">
        <v>42</v>
      </c>
      <c r="F28" s="2" t="s">
        <v>59</v>
      </c>
      <c r="G28" s="3">
        <v>128.08000000000001</v>
      </c>
    </row>
    <row r="29" spans="1:7" x14ac:dyDescent="0.3">
      <c r="A29" s="5">
        <v>46152</v>
      </c>
      <c r="B29" s="2" t="s">
        <v>16</v>
      </c>
      <c r="C29" s="2" t="s">
        <v>47</v>
      </c>
      <c r="D29" s="2" t="s">
        <v>28</v>
      </c>
      <c r="E29" s="2" t="s">
        <v>42</v>
      </c>
      <c r="F29" s="2" t="s">
        <v>59</v>
      </c>
      <c r="G29" s="3">
        <v>60</v>
      </c>
    </row>
    <row r="30" spans="1:7" x14ac:dyDescent="0.3">
      <c r="A30" s="5">
        <v>46152</v>
      </c>
      <c r="B30" s="2" t="s">
        <v>14</v>
      </c>
      <c r="C30" s="2" t="s">
        <v>48</v>
      </c>
      <c r="D30" s="2" t="s">
        <v>28</v>
      </c>
      <c r="E30" s="2" t="s">
        <v>8</v>
      </c>
      <c r="F30" s="2" t="s">
        <v>59</v>
      </c>
      <c r="G30" s="3">
        <v>15</v>
      </c>
    </row>
    <row r="31" spans="1:7" x14ac:dyDescent="0.3">
      <c r="A31" s="5">
        <v>46152</v>
      </c>
      <c r="B31" s="2" t="s">
        <v>1</v>
      </c>
      <c r="C31" s="2" t="s">
        <v>60</v>
      </c>
      <c r="D31" s="2" t="s">
        <v>28</v>
      </c>
      <c r="E31" s="2" t="s">
        <v>44</v>
      </c>
      <c r="F31" s="2" t="s">
        <v>59</v>
      </c>
      <c r="G31" s="6">
        <v>110</v>
      </c>
    </row>
    <row r="32" spans="1:7" x14ac:dyDescent="0.3">
      <c r="A32" s="5">
        <v>46152</v>
      </c>
      <c r="B32" s="2" t="s">
        <v>6</v>
      </c>
      <c r="C32" s="2" t="s">
        <v>61</v>
      </c>
      <c r="D32" s="2" t="s">
        <v>28</v>
      </c>
      <c r="E32" s="2" t="s">
        <v>44</v>
      </c>
      <c r="F32" s="2" t="s">
        <v>59</v>
      </c>
      <c r="G32" s="6">
        <v>50</v>
      </c>
    </row>
    <row r="33" spans="1:7" x14ac:dyDescent="0.3">
      <c r="A33" s="5">
        <v>46152</v>
      </c>
      <c r="B33" s="2" t="s">
        <v>2</v>
      </c>
      <c r="C33" s="2" t="s">
        <v>62</v>
      </c>
      <c r="D33" s="2" t="s">
        <v>28</v>
      </c>
      <c r="E33" s="2" t="s">
        <v>44</v>
      </c>
      <c r="F33" s="2" t="s">
        <v>59</v>
      </c>
      <c r="G33" s="6">
        <v>80</v>
      </c>
    </row>
    <row r="34" spans="1:7" x14ac:dyDescent="0.3">
      <c r="A34" s="5">
        <v>46152</v>
      </c>
      <c r="B34" s="2" t="s">
        <v>2</v>
      </c>
      <c r="C34" s="2" t="s">
        <v>62</v>
      </c>
      <c r="D34" s="2" t="s">
        <v>28</v>
      </c>
      <c r="E34" s="2" t="s">
        <v>44</v>
      </c>
      <c r="F34" s="2" t="s">
        <v>59</v>
      </c>
      <c r="G34" s="6">
        <v>100</v>
      </c>
    </row>
    <row r="35" spans="1:7" x14ac:dyDescent="0.3">
      <c r="A35" s="5">
        <v>46155</v>
      </c>
      <c r="B35" s="2" t="s">
        <v>17</v>
      </c>
      <c r="C35" s="2" t="s">
        <v>39</v>
      </c>
      <c r="D35" s="2" t="s">
        <v>28</v>
      </c>
      <c r="E35" s="2" t="s">
        <v>41</v>
      </c>
      <c r="F35" s="2" t="s">
        <v>59</v>
      </c>
      <c r="G35" s="3">
        <v>6.49</v>
      </c>
    </row>
    <row r="36" spans="1:7" x14ac:dyDescent="0.3">
      <c r="A36" s="5">
        <v>46156</v>
      </c>
      <c r="B36" s="2" t="s">
        <v>14</v>
      </c>
      <c r="C36" s="2" t="s">
        <v>35</v>
      </c>
      <c r="D36" s="2" t="s">
        <v>28</v>
      </c>
      <c r="E36" s="2" t="s">
        <v>42</v>
      </c>
      <c r="F36" s="2" t="s">
        <v>59</v>
      </c>
      <c r="G36" s="3">
        <v>11.99</v>
      </c>
    </row>
    <row r="37" spans="1:7" x14ac:dyDescent="0.3">
      <c r="A37" s="5">
        <v>46159</v>
      </c>
      <c r="B37" s="2" t="s">
        <v>1</v>
      </c>
      <c r="C37" s="2" t="s">
        <v>60</v>
      </c>
      <c r="D37" s="2" t="s">
        <v>28</v>
      </c>
      <c r="E37" s="2" t="s">
        <v>44</v>
      </c>
      <c r="F37" s="2" t="s">
        <v>59</v>
      </c>
      <c r="G37" s="6">
        <v>110</v>
      </c>
    </row>
    <row r="38" spans="1:7" x14ac:dyDescent="0.3">
      <c r="A38" s="5">
        <v>46159</v>
      </c>
      <c r="B38" s="2" t="s">
        <v>6</v>
      </c>
      <c r="C38" s="2" t="s">
        <v>61</v>
      </c>
      <c r="D38" s="2" t="s">
        <v>28</v>
      </c>
      <c r="E38" s="2" t="s">
        <v>44</v>
      </c>
      <c r="F38" s="2" t="s">
        <v>59</v>
      </c>
      <c r="G38" s="6">
        <v>50</v>
      </c>
    </row>
    <row r="39" spans="1:7" x14ac:dyDescent="0.3">
      <c r="A39" s="5">
        <v>46163</v>
      </c>
      <c r="B39" s="2" t="s">
        <v>18</v>
      </c>
      <c r="C39" s="2" t="s">
        <v>49</v>
      </c>
      <c r="D39" s="2" t="s">
        <v>28</v>
      </c>
      <c r="E39" s="2" t="s">
        <v>41</v>
      </c>
      <c r="F39" s="2" t="s">
        <v>59</v>
      </c>
      <c r="G39" s="3">
        <v>12.14</v>
      </c>
    </row>
    <row r="40" spans="1:7" x14ac:dyDescent="0.3">
      <c r="A40" s="5"/>
    </row>
    <row r="41" spans="1:7" x14ac:dyDescent="0.3">
      <c r="A41" s="5"/>
    </row>
    <row r="42" spans="1:7" x14ac:dyDescent="0.3">
      <c r="A42" s="5"/>
    </row>
    <row r="43" spans="1:7" x14ac:dyDescent="0.3">
      <c r="A43" s="5"/>
    </row>
    <row r="44" spans="1:7" x14ac:dyDescent="0.3">
      <c r="A44" s="5"/>
    </row>
    <row r="45" spans="1:7" x14ac:dyDescent="0.3">
      <c r="A45" s="5"/>
    </row>
    <row r="46" spans="1:7" x14ac:dyDescent="0.3">
      <c r="A46" s="5"/>
    </row>
    <row r="47" spans="1:7" x14ac:dyDescent="0.3">
      <c r="A47" s="5"/>
    </row>
    <row r="48" spans="1:7" x14ac:dyDescent="0.3">
      <c r="A48" s="5"/>
    </row>
    <row r="49" spans="1:1" x14ac:dyDescent="0.3">
      <c r="A49" s="5"/>
    </row>
  </sheetData>
  <conditionalFormatting sqref="A38:A49">
    <cfRule type="expression" dxfId="65" priority="3">
      <formula>AND($A38&lt;&gt;"", $A38&lt;TODAY())</formula>
    </cfRule>
  </conditionalFormatting>
  <conditionalFormatting sqref="A5:G21 A22:B37 D22:D37">
    <cfRule type="expression" dxfId="64" priority="6">
      <formula>AND($A5&lt;&gt;"", $A5&lt;TODAY())</formula>
    </cfRule>
  </conditionalFormatting>
  <conditionalFormatting sqref="F22:F24">
    <cfRule type="expression" dxfId="63" priority="5">
      <formula>AND($A22&lt;&gt;"", $A22&lt;TODAY())</formula>
    </cfRule>
  </conditionalFormatting>
  <conditionalFormatting sqref="G5:G21 G23:G39">
    <cfRule type="cellIs" dxfId="62" priority="4" operator="equal">
      <formula>0</formula>
    </cfRule>
  </conditionalFormatting>
  <conditionalFormatting sqref="I6">
    <cfRule type="expression" dxfId="61" priority="7">
      <formula>AND($A6&lt;&gt;"", $A6&lt;TODAY())</formula>
    </cfRule>
  </conditionalFormatting>
  <conditionalFormatting sqref="G22">
    <cfRule type="expression" dxfId="19" priority="1">
      <formula>AND($A22&lt;&gt;"", $A22&lt;TODAY())</formula>
    </cfRule>
  </conditionalFormatting>
  <conditionalFormatting sqref="G22">
    <cfRule type="cellIs" dxfId="18" priority="2" operator="equal">
      <formula>0</formula>
    </cfRule>
  </conditionalFormatting>
  <dataValidations count="4">
    <dataValidation type="list" allowBlank="1" showInputMessage="1" showErrorMessage="1" sqref="D5:D1048576" xr:uid="{993F8718-A209-479A-94D7-34ABB1874D78}">
      <formula1>Qui</formula1>
    </dataValidation>
    <dataValidation type="list" allowBlank="1" showInputMessage="1" showErrorMessage="1" sqref="E5:E1048576" xr:uid="{43DFF42B-3592-4575-8A26-7055795CE3BF}">
      <formula1>Moyen</formula1>
    </dataValidation>
    <dataValidation type="list" allowBlank="1" showInputMessage="1" showErrorMessage="1" sqref="F5:F1048576" xr:uid="{2F708901-6736-4121-ACCD-ACAAAE66E68A}">
      <formula1>montant</formula1>
    </dataValidation>
    <dataValidation type="list" allowBlank="1" showInputMessage="1" showErrorMessage="1" sqref="A3 B5:B1048576" xr:uid="{04A14729-A53C-4BD6-B4FA-17CA1833B4DA}">
      <formula1>famille</formula1>
    </dataValidation>
  </dataValidation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4444C-ED30-4DAD-A539-E7964E01F144}">
  <sheetPr codeName="Feuil8"/>
  <dimension ref="A1:L49"/>
  <sheetViews>
    <sheetView showGridLines="0" workbookViewId="0">
      <selection activeCell="I9" sqref="I9:L13"/>
    </sheetView>
  </sheetViews>
  <sheetFormatPr baseColWidth="10" defaultRowHeight="14.4" x14ac:dyDescent="0.3"/>
  <cols>
    <col min="1" max="1" width="22.5546875" style="2" bestFit="1" customWidth="1"/>
    <col min="2" max="2" width="16.109375" style="2" customWidth="1"/>
    <col min="3" max="3" width="16.109375" style="2" bestFit="1" customWidth="1"/>
    <col min="4" max="4" width="9.33203125" style="2" customWidth="1"/>
    <col min="5" max="6" width="14.44140625" style="3" customWidth="1"/>
    <col min="9" max="9" width="15.21875" customWidth="1"/>
  </cols>
  <sheetData>
    <row r="1" spans="1:12" x14ac:dyDescent="0.3">
      <c r="A1" s="14" t="s">
        <v>66</v>
      </c>
      <c r="B1" s="16">
        <f>Mai!J5</f>
        <v>3178.1949363466356</v>
      </c>
      <c r="D1" s="14" t="s">
        <v>55</v>
      </c>
      <c r="E1" s="16">
        <f>SUMIFS(G:G,B:B,"Salaire")</f>
        <v>4450</v>
      </c>
    </row>
    <row r="2" spans="1:12" x14ac:dyDescent="0.3">
      <c r="A2" s="15" t="s">
        <v>67</v>
      </c>
      <c r="B2" s="16">
        <f>Mai!J6</f>
        <v>2387.7350636533683</v>
      </c>
      <c r="C2"/>
      <c r="D2" s="17" t="s">
        <v>27</v>
      </c>
      <c r="E2" s="17">
        <v>2450</v>
      </c>
      <c r="F2"/>
      <c r="G2" s="6"/>
    </row>
    <row r="3" spans="1:12" x14ac:dyDescent="0.3">
      <c r="A3"/>
      <c r="B3"/>
      <c r="C3"/>
      <c r="D3" s="17" t="s">
        <v>26</v>
      </c>
      <c r="E3" s="17">
        <v>2000</v>
      </c>
      <c r="F3"/>
    </row>
    <row r="4" spans="1:12" x14ac:dyDescent="0.3">
      <c r="A4" t="s">
        <v>53</v>
      </c>
      <c r="B4" s="1" t="s">
        <v>29</v>
      </c>
      <c r="C4" s="1" t="s">
        <v>31</v>
      </c>
      <c r="D4" s="1" t="s">
        <v>30</v>
      </c>
      <c r="E4" s="1" t="s">
        <v>40</v>
      </c>
      <c r="F4" s="1" t="s">
        <v>58</v>
      </c>
      <c r="G4" s="1" t="s">
        <v>32</v>
      </c>
      <c r="I4" s="12" t="s">
        <v>54</v>
      </c>
      <c r="J4" s="10">
        <f>SUMIFS(G5:G39,F5:F39,"Crédit",D5:D39,"Couple")-SUMIFS(G5:G39,F5:F39,"Débit",D5:D39,"Couple")</f>
        <v>1180.1400000000008</v>
      </c>
    </row>
    <row r="5" spans="1:12" x14ac:dyDescent="0.3">
      <c r="A5" s="5">
        <v>46166</v>
      </c>
      <c r="B5" s="2" t="s">
        <v>25</v>
      </c>
      <c r="C5" s="4" t="s">
        <v>63</v>
      </c>
      <c r="D5" s="2" t="s">
        <v>28</v>
      </c>
      <c r="E5" s="2" t="s">
        <v>8</v>
      </c>
      <c r="F5" s="2" t="s">
        <v>19</v>
      </c>
      <c r="G5" s="3">
        <v>2450</v>
      </c>
      <c r="I5" s="13" t="s">
        <v>56</v>
      </c>
      <c r="J5" s="10">
        <f>((E3/$E$1)*$J$4)-SUMIFS(G$5:G$1048576,D$5:D$1048576,"Julien",$F$5:$F$1048576,"Débit")+SUMIFS($G$5:$G$1048576,$D$5:$D$1048576,"Julien",$F$5:$F$1048576,"Crédit",B$5:B$1048576,"&lt;&gt;Salaire")+$B$1</f>
        <v>3708.5949363466361</v>
      </c>
    </row>
    <row r="6" spans="1:12" x14ac:dyDescent="0.3">
      <c r="A6" s="5">
        <v>46167</v>
      </c>
      <c r="B6" s="2" t="s">
        <v>9</v>
      </c>
      <c r="C6" s="2" t="s">
        <v>68</v>
      </c>
      <c r="D6" s="2" t="s">
        <v>28</v>
      </c>
      <c r="E6" s="2" t="s">
        <v>8</v>
      </c>
      <c r="F6" s="2" t="s">
        <v>59</v>
      </c>
      <c r="G6" s="6">
        <v>200</v>
      </c>
      <c r="I6" s="11" t="s">
        <v>57</v>
      </c>
      <c r="J6" s="10">
        <f>((E2/$E$1)*$J$4)-SUMIFS(G$5:G$1048576,D$5:D$1048576,"Auriane",$F$5:$F$1048576,"Débit")+SUMIFS($G$5:$G$1048576,$D$5:$D$1048576,"Auriane",$F$5:$F$1048576,"Crédit",B$5:B$1048576,"&lt;&gt;Salaire")+$B$2</f>
        <v>3037.475063653369</v>
      </c>
    </row>
    <row r="7" spans="1:12" x14ac:dyDescent="0.3">
      <c r="A7" s="5">
        <v>46169</v>
      </c>
      <c r="B7" s="2" t="s">
        <v>19</v>
      </c>
      <c r="C7" s="2" t="s">
        <v>7</v>
      </c>
      <c r="D7" s="2" t="s">
        <v>28</v>
      </c>
      <c r="E7" s="2" t="s">
        <v>42</v>
      </c>
      <c r="F7" s="2" t="s">
        <v>59</v>
      </c>
      <c r="G7" s="3">
        <v>353.44</v>
      </c>
    </row>
    <row r="8" spans="1:12" x14ac:dyDescent="0.3">
      <c r="A8" s="5">
        <v>46169</v>
      </c>
      <c r="B8" s="2" t="s">
        <v>1</v>
      </c>
      <c r="C8" s="2" t="s">
        <v>60</v>
      </c>
      <c r="D8" s="2" t="s">
        <v>28</v>
      </c>
      <c r="E8" s="2" t="s">
        <v>44</v>
      </c>
      <c r="F8" s="2" t="s">
        <v>59</v>
      </c>
      <c r="G8" s="6">
        <v>110</v>
      </c>
    </row>
    <row r="9" spans="1:12" x14ac:dyDescent="0.3">
      <c r="A9" s="5">
        <v>46169</v>
      </c>
      <c r="B9" s="2" t="s">
        <v>6</v>
      </c>
      <c r="C9" s="2" t="s">
        <v>61</v>
      </c>
      <c r="D9" s="2" t="s">
        <v>28</v>
      </c>
      <c r="E9" s="2" t="s">
        <v>44</v>
      </c>
      <c r="F9" s="2" t="s">
        <v>59</v>
      </c>
      <c r="G9" s="6">
        <v>50</v>
      </c>
      <c r="J9" s="19" t="s">
        <v>77</v>
      </c>
      <c r="K9" s="19" t="s">
        <v>78</v>
      </c>
      <c r="L9" s="19" t="s">
        <v>79</v>
      </c>
    </row>
    <row r="10" spans="1:12" x14ac:dyDescent="0.3">
      <c r="A10" s="5">
        <v>46169</v>
      </c>
      <c r="B10" s="2" t="s">
        <v>2</v>
      </c>
      <c r="C10" s="2" t="s">
        <v>62</v>
      </c>
      <c r="D10" s="2" t="s">
        <v>28</v>
      </c>
      <c r="E10" s="2" t="s">
        <v>44</v>
      </c>
      <c r="F10" s="2" t="s">
        <v>59</v>
      </c>
      <c r="G10" s="6">
        <v>80</v>
      </c>
      <c r="I10" s="12" t="s">
        <v>1</v>
      </c>
      <c r="J10" s="10">
        <f ca="1">SUMIFS(G:G,B:B,"Courses",A:A,"&lt;=" &amp; TODAY())</f>
        <v>0</v>
      </c>
      <c r="K10" s="10">
        <v>440</v>
      </c>
      <c r="L10" s="10">
        <f ca="1">K10-J10</f>
        <v>440</v>
      </c>
    </row>
    <row r="11" spans="1:12" x14ac:dyDescent="0.3">
      <c r="A11" s="5">
        <v>46169</v>
      </c>
      <c r="B11" s="2" t="s">
        <v>2</v>
      </c>
      <c r="C11" s="2" t="s">
        <v>62</v>
      </c>
      <c r="D11" s="2" t="s">
        <v>28</v>
      </c>
      <c r="E11" s="2" t="s">
        <v>44</v>
      </c>
      <c r="F11" s="2" t="s">
        <v>59</v>
      </c>
      <c r="G11" s="6">
        <v>100</v>
      </c>
      <c r="I11" s="13" t="s">
        <v>6</v>
      </c>
      <c r="J11" s="10">
        <f ca="1">SUMIFS(G:G,B:B,"Tabac",A:A,"&lt;=" &amp; TODAY())</f>
        <v>0</v>
      </c>
      <c r="K11" s="10">
        <v>200</v>
      </c>
      <c r="L11" s="10">
        <f t="shared" ref="L11:L13" ca="1" si="0">K11-J11</f>
        <v>200</v>
      </c>
    </row>
    <row r="12" spans="1:12" x14ac:dyDescent="0.3">
      <c r="A12" s="5">
        <v>46170</v>
      </c>
      <c r="B12" s="2" t="s">
        <v>14</v>
      </c>
      <c r="C12" s="2" t="s">
        <v>36</v>
      </c>
      <c r="D12" s="2" t="s">
        <v>28</v>
      </c>
      <c r="E12" s="2" t="s">
        <v>42</v>
      </c>
      <c r="F12" s="2" t="s">
        <v>59</v>
      </c>
      <c r="G12" s="3">
        <v>42.99</v>
      </c>
      <c r="I12" s="13" t="s">
        <v>2</v>
      </c>
      <c r="J12" s="10">
        <f ca="1">SUMIFS(G:G,B:B,"Essence",A:A,"&lt;=" &amp; TODAY())</f>
        <v>0</v>
      </c>
      <c r="K12" s="10">
        <v>360</v>
      </c>
      <c r="L12" s="10">
        <f t="shared" ca="1" si="0"/>
        <v>360</v>
      </c>
    </row>
    <row r="13" spans="1:12" x14ac:dyDescent="0.3">
      <c r="A13" s="5">
        <f>WORKDAY(EOMONTH("01/05/2026",0)+1,-1)</f>
        <v>46171</v>
      </c>
      <c r="B13" s="2" t="s">
        <v>25</v>
      </c>
      <c r="C13" s="4" t="s">
        <v>64</v>
      </c>
      <c r="D13" s="2" t="s">
        <v>28</v>
      </c>
      <c r="E13" s="2" t="s">
        <v>8</v>
      </c>
      <c r="F13" s="2" t="s">
        <v>19</v>
      </c>
      <c r="G13" s="3">
        <v>2000</v>
      </c>
      <c r="I13" s="18" t="s">
        <v>3</v>
      </c>
      <c r="J13" s="10">
        <f>SUMIFS(G:G,B:B,"Restos")</f>
        <v>0</v>
      </c>
      <c r="K13" s="10">
        <v>30</v>
      </c>
      <c r="L13" s="10">
        <f t="shared" si="0"/>
        <v>30</v>
      </c>
    </row>
    <row r="14" spans="1:12" x14ac:dyDescent="0.3">
      <c r="A14" s="5">
        <v>46174</v>
      </c>
      <c r="B14" s="2" t="s">
        <v>11</v>
      </c>
      <c r="C14" s="2" t="s">
        <v>23</v>
      </c>
      <c r="D14" s="2" t="s">
        <v>28</v>
      </c>
      <c r="E14" s="2" t="s">
        <v>8</v>
      </c>
      <c r="F14" s="2" t="s">
        <v>59</v>
      </c>
      <c r="G14" s="6"/>
    </row>
    <row r="15" spans="1:12" x14ac:dyDescent="0.3">
      <c r="A15" s="5">
        <v>46174</v>
      </c>
      <c r="B15" s="2" t="s">
        <v>23</v>
      </c>
      <c r="C15" s="2" t="s">
        <v>73</v>
      </c>
      <c r="D15" s="2" t="s">
        <v>28</v>
      </c>
      <c r="E15" s="2" t="s">
        <v>8</v>
      </c>
      <c r="F15" s="2" t="s">
        <v>59</v>
      </c>
      <c r="G15" s="6">
        <v>50</v>
      </c>
    </row>
    <row r="16" spans="1:12" x14ac:dyDescent="0.3">
      <c r="A16" s="5">
        <v>46174</v>
      </c>
      <c r="B16" s="2" t="s">
        <v>19</v>
      </c>
      <c r="C16" s="2" t="s">
        <v>50</v>
      </c>
      <c r="D16" s="2" t="s">
        <v>28</v>
      </c>
      <c r="E16" s="2" t="s">
        <v>42</v>
      </c>
      <c r="F16" s="2" t="s">
        <v>59</v>
      </c>
      <c r="G16" s="3">
        <v>150</v>
      </c>
    </row>
    <row r="17" spans="1:7" x14ac:dyDescent="0.3">
      <c r="A17" s="5">
        <v>46176</v>
      </c>
      <c r="B17" s="2" t="s">
        <v>17</v>
      </c>
      <c r="C17" s="2" t="s">
        <v>38</v>
      </c>
      <c r="D17" s="2" t="s">
        <v>28</v>
      </c>
      <c r="E17" s="2" t="s">
        <v>41</v>
      </c>
      <c r="F17" s="2" t="s">
        <v>59</v>
      </c>
      <c r="G17" s="3">
        <v>7.99</v>
      </c>
    </row>
    <row r="18" spans="1:7" x14ac:dyDescent="0.3">
      <c r="A18" s="5">
        <v>46176</v>
      </c>
      <c r="B18" s="2" t="s">
        <v>1</v>
      </c>
      <c r="C18" s="2" t="s">
        <v>60</v>
      </c>
      <c r="D18" s="2" t="s">
        <v>28</v>
      </c>
      <c r="E18" s="2" t="s">
        <v>44</v>
      </c>
      <c r="F18" s="2" t="s">
        <v>59</v>
      </c>
      <c r="G18" s="6">
        <v>110</v>
      </c>
    </row>
    <row r="19" spans="1:7" x14ac:dyDescent="0.3">
      <c r="A19" s="5">
        <v>46176</v>
      </c>
      <c r="B19" s="2" t="s">
        <v>6</v>
      </c>
      <c r="C19" s="2" t="s">
        <v>61</v>
      </c>
      <c r="D19" s="2" t="s">
        <v>28</v>
      </c>
      <c r="E19" s="2" t="s">
        <v>44</v>
      </c>
      <c r="F19" s="2" t="s">
        <v>59</v>
      </c>
      <c r="G19" s="6">
        <v>50</v>
      </c>
    </row>
    <row r="20" spans="1:7" x14ac:dyDescent="0.3">
      <c r="A20" s="5">
        <v>46177</v>
      </c>
      <c r="B20" s="2" t="s">
        <v>17</v>
      </c>
      <c r="C20" s="2" t="s">
        <v>37</v>
      </c>
      <c r="D20" s="2" t="s">
        <v>28</v>
      </c>
      <c r="E20" s="2" t="s">
        <v>42</v>
      </c>
      <c r="F20" s="2" t="s">
        <v>59</v>
      </c>
      <c r="G20" s="3">
        <v>47.5</v>
      </c>
    </row>
    <row r="21" spans="1:7" x14ac:dyDescent="0.3">
      <c r="A21" s="5">
        <v>46178</v>
      </c>
      <c r="B21" s="2" t="s">
        <v>0</v>
      </c>
      <c r="C21" s="4" t="s">
        <v>65</v>
      </c>
      <c r="D21" s="2" t="s">
        <v>28</v>
      </c>
      <c r="E21" s="2" t="s">
        <v>42</v>
      </c>
      <c r="F21" s="2" t="s">
        <v>59</v>
      </c>
      <c r="G21" s="3">
        <v>700</v>
      </c>
    </row>
    <row r="22" spans="1:7" x14ac:dyDescent="0.3">
      <c r="A22" s="5">
        <v>46178</v>
      </c>
      <c r="B22" s="2" t="s">
        <v>14</v>
      </c>
      <c r="C22" s="2" t="s">
        <v>34</v>
      </c>
      <c r="D22" s="2" t="s">
        <v>28</v>
      </c>
      <c r="E22" s="2" t="s">
        <v>42</v>
      </c>
      <c r="F22" s="2" t="s">
        <v>59</v>
      </c>
      <c r="G22" s="3">
        <v>26.99</v>
      </c>
    </row>
    <row r="23" spans="1:7" x14ac:dyDescent="0.3">
      <c r="A23" s="5">
        <v>46178</v>
      </c>
      <c r="B23" s="2" t="s">
        <v>15</v>
      </c>
      <c r="C23" s="2" t="s">
        <v>46</v>
      </c>
      <c r="D23" s="2" t="s">
        <v>28</v>
      </c>
      <c r="E23" s="2" t="s">
        <v>42</v>
      </c>
      <c r="F23" s="2" t="s">
        <v>59</v>
      </c>
      <c r="G23" s="3">
        <v>195</v>
      </c>
    </row>
    <row r="24" spans="1:7" x14ac:dyDescent="0.3">
      <c r="A24" s="5">
        <v>46178</v>
      </c>
      <c r="B24" s="2" t="s">
        <v>23</v>
      </c>
      <c r="C24" s="2" t="s">
        <v>51</v>
      </c>
      <c r="D24" s="2" t="s">
        <v>28</v>
      </c>
      <c r="E24" s="2" t="s">
        <v>42</v>
      </c>
      <c r="F24" s="2" t="s">
        <v>59</v>
      </c>
      <c r="G24" s="3">
        <v>9</v>
      </c>
    </row>
    <row r="25" spans="1:7" x14ac:dyDescent="0.3">
      <c r="A25" s="5">
        <v>46178</v>
      </c>
      <c r="B25" s="2" t="s">
        <v>23</v>
      </c>
      <c r="C25" s="2" t="s">
        <v>52</v>
      </c>
      <c r="D25" s="2" t="s">
        <v>28</v>
      </c>
      <c r="E25" s="2" t="s">
        <v>42</v>
      </c>
      <c r="F25" s="2" t="s">
        <v>59</v>
      </c>
      <c r="G25" s="3">
        <v>15</v>
      </c>
    </row>
    <row r="26" spans="1:7" x14ac:dyDescent="0.3">
      <c r="A26" s="5">
        <v>46179</v>
      </c>
      <c r="B26" s="2" t="s">
        <v>10</v>
      </c>
      <c r="C26" s="2" t="s">
        <v>23</v>
      </c>
      <c r="D26" s="2" t="s">
        <v>28</v>
      </c>
      <c r="E26" s="2" t="s">
        <v>42</v>
      </c>
      <c r="F26" s="2" t="s">
        <v>59</v>
      </c>
      <c r="G26" s="6">
        <v>38.25</v>
      </c>
    </row>
    <row r="27" spans="1:7" x14ac:dyDescent="0.3">
      <c r="A27" s="5">
        <v>46182</v>
      </c>
      <c r="B27" s="2" t="s">
        <v>24</v>
      </c>
      <c r="C27" s="2" t="s">
        <v>74</v>
      </c>
      <c r="D27" s="2" t="s">
        <v>28</v>
      </c>
      <c r="E27" s="3" t="s">
        <v>44</v>
      </c>
      <c r="F27" s="2" t="s">
        <v>59</v>
      </c>
      <c r="G27" s="6">
        <v>200</v>
      </c>
    </row>
    <row r="28" spans="1:7" x14ac:dyDescent="0.3">
      <c r="A28" s="5">
        <v>46183</v>
      </c>
      <c r="B28" s="2" t="s">
        <v>20</v>
      </c>
      <c r="C28" s="2" t="s">
        <v>33</v>
      </c>
      <c r="D28" s="2" t="s">
        <v>28</v>
      </c>
      <c r="E28" s="2" t="s">
        <v>42</v>
      </c>
      <c r="F28" s="2" t="s">
        <v>59</v>
      </c>
      <c r="G28" s="3">
        <v>128.08000000000001</v>
      </c>
    </row>
    <row r="29" spans="1:7" x14ac:dyDescent="0.3">
      <c r="A29" s="5">
        <v>46183</v>
      </c>
      <c r="B29" s="2" t="s">
        <v>16</v>
      </c>
      <c r="C29" s="2" t="s">
        <v>47</v>
      </c>
      <c r="D29" s="2" t="s">
        <v>28</v>
      </c>
      <c r="E29" s="2" t="s">
        <v>42</v>
      </c>
      <c r="F29" s="2" t="s">
        <v>59</v>
      </c>
      <c r="G29" s="3">
        <v>60</v>
      </c>
    </row>
    <row r="30" spans="1:7" x14ac:dyDescent="0.3">
      <c r="A30" s="5">
        <v>46183</v>
      </c>
      <c r="B30" s="2" t="s">
        <v>14</v>
      </c>
      <c r="C30" s="2" t="s">
        <v>48</v>
      </c>
      <c r="D30" s="2" t="s">
        <v>28</v>
      </c>
      <c r="E30" s="2" t="s">
        <v>8</v>
      </c>
      <c r="F30" s="2" t="s">
        <v>59</v>
      </c>
      <c r="G30" s="3">
        <v>15</v>
      </c>
    </row>
    <row r="31" spans="1:7" x14ac:dyDescent="0.3">
      <c r="A31" s="5">
        <v>46183</v>
      </c>
      <c r="B31" s="2" t="s">
        <v>1</v>
      </c>
      <c r="C31" s="2" t="s">
        <v>60</v>
      </c>
      <c r="D31" s="2" t="s">
        <v>28</v>
      </c>
      <c r="E31" s="2" t="s">
        <v>44</v>
      </c>
      <c r="F31" s="2" t="s">
        <v>59</v>
      </c>
      <c r="G31" s="6">
        <v>110</v>
      </c>
    </row>
    <row r="32" spans="1:7" x14ac:dyDescent="0.3">
      <c r="A32" s="5">
        <v>46183</v>
      </c>
      <c r="B32" s="2" t="s">
        <v>6</v>
      </c>
      <c r="C32" s="2" t="s">
        <v>61</v>
      </c>
      <c r="D32" s="2" t="s">
        <v>28</v>
      </c>
      <c r="E32" s="2" t="s">
        <v>44</v>
      </c>
      <c r="F32" s="2" t="s">
        <v>59</v>
      </c>
      <c r="G32" s="6">
        <v>50</v>
      </c>
    </row>
    <row r="33" spans="1:7" x14ac:dyDescent="0.3">
      <c r="A33" s="5">
        <v>46183</v>
      </c>
      <c r="B33" s="2" t="s">
        <v>2</v>
      </c>
      <c r="C33" s="2" t="s">
        <v>62</v>
      </c>
      <c r="D33" s="2" t="s">
        <v>28</v>
      </c>
      <c r="E33" s="2" t="s">
        <v>44</v>
      </c>
      <c r="F33" s="2" t="s">
        <v>59</v>
      </c>
      <c r="G33" s="6">
        <v>80</v>
      </c>
    </row>
    <row r="34" spans="1:7" x14ac:dyDescent="0.3">
      <c r="A34" s="5">
        <v>46183</v>
      </c>
      <c r="B34" s="2" t="s">
        <v>2</v>
      </c>
      <c r="C34" s="2" t="s">
        <v>62</v>
      </c>
      <c r="D34" s="2" t="s">
        <v>28</v>
      </c>
      <c r="E34" s="2" t="s">
        <v>44</v>
      </c>
      <c r="F34" s="2" t="s">
        <v>59</v>
      </c>
      <c r="G34" s="6">
        <v>100</v>
      </c>
    </row>
    <row r="35" spans="1:7" x14ac:dyDescent="0.3">
      <c r="A35" s="5">
        <v>46186</v>
      </c>
      <c r="B35" s="2" t="s">
        <v>17</v>
      </c>
      <c r="C35" s="2" t="s">
        <v>39</v>
      </c>
      <c r="D35" s="2" t="s">
        <v>28</v>
      </c>
      <c r="E35" s="2" t="s">
        <v>41</v>
      </c>
      <c r="F35" s="2" t="s">
        <v>59</v>
      </c>
      <c r="G35" s="3">
        <v>6.49</v>
      </c>
    </row>
    <row r="36" spans="1:7" x14ac:dyDescent="0.3">
      <c r="A36" s="5">
        <v>46187</v>
      </c>
      <c r="B36" s="2" t="s">
        <v>14</v>
      </c>
      <c r="C36" s="2" t="s">
        <v>35</v>
      </c>
      <c r="D36" s="2" t="s">
        <v>28</v>
      </c>
      <c r="E36" s="2" t="s">
        <v>42</v>
      </c>
      <c r="F36" s="2" t="s">
        <v>59</v>
      </c>
      <c r="G36" s="3">
        <v>11.99</v>
      </c>
    </row>
    <row r="37" spans="1:7" x14ac:dyDescent="0.3">
      <c r="A37" s="5">
        <v>46190</v>
      </c>
      <c r="B37" s="2" t="s">
        <v>1</v>
      </c>
      <c r="C37" s="2" t="s">
        <v>60</v>
      </c>
      <c r="D37" s="2" t="s">
        <v>28</v>
      </c>
      <c r="E37" s="2" t="s">
        <v>44</v>
      </c>
      <c r="F37" s="2" t="s">
        <v>59</v>
      </c>
      <c r="G37" s="6">
        <v>110</v>
      </c>
    </row>
    <row r="38" spans="1:7" x14ac:dyDescent="0.3">
      <c r="A38" s="5">
        <v>46190</v>
      </c>
      <c r="B38" s="2" t="s">
        <v>6</v>
      </c>
      <c r="C38" s="2" t="s">
        <v>61</v>
      </c>
      <c r="D38" s="2" t="s">
        <v>28</v>
      </c>
      <c r="E38" s="2" t="s">
        <v>44</v>
      </c>
      <c r="F38" s="2" t="s">
        <v>59</v>
      </c>
      <c r="G38" s="6">
        <v>50</v>
      </c>
    </row>
    <row r="39" spans="1:7" x14ac:dyDescent="0.3">
      <c r="A39" s="5">
        <v>46194</v>
      </c>
      <c r="B39" s="2" t="s">
        <v>18</v>
      </c>
      <c r="C39" s="2" t="s">
        <v>49</v>
      </c>
      <c r="D39" s="2" t="s">
        <v>28</v>
      </c>
      <c r="E39" s="2" t="s">
        <v>41</v>
      </c>
      <c r="F39" s="2" t="s">
        <v>59</v>
      </c>
      <c r="G39" s="3">
        <v>12.14</v>
      </c>
    </row>
    <row r="40" spans="1:7" x14ac:dyDescent="0.3">
      <c r="A40" s="5"/>
    </row>
    <row r="41" spans="1:7" x14ac:dyDescent="0.3">
      <c r="A41" s="5"/>
    </row>
    <row r="42" spans="1:7" x14ac:dyDescent="0.3">
      <c r="A42" s="5"/>
    </row>
    <row r="43" spans="1:7" x14ac:dyDescent="0.3">
      <c r="A43" s="5"/>
    </row>
    <row r="44" spans="1:7" x14ac:dyDescent="0.3">
      <c r="A44" s="5"/>
    </row>
    <row r="45" spans="1:7" x14ac:dyDescent="0.3">
      <c r="A45" s="5"/>
    </row>
    <row r="46" spans="1:7" x14ac:dyDescent="0.3">
      <c r="A46" s="5"/>
    </row>
    <row r="47" spans="1:7" x14ac:dyDescent="0.3">
      <c r="A47" s="5"/>
    </row>
    <row r="48" spans="1:7" x14ac:dyDescent="0.3">
      <c r="A48" s="5"/>
    </row>
    <row r="49" spans="1:1" x14ac:dyDescent="0.3">
      <c r="A49" s="5"/>
    </row>
  </sheetData>
  <conditionalFormatting sqref="A38:A49">
    <cfRule type="expression" dxfId="60" priority="3">
      <formula>AND($A38&lt;&gt;"", $A38&lt;TODAY())</formula>
    </cfRule>
  </conditionalFormatting>
  <conditionalFormatting sqref="A5:G21 A22:B37 D22:D37">
    <cfRule type="expression" dxfId="59" priority="6">
      <formula>AND($A5&lt;&gt;"", $A5&lt;TODAY())</formula>
    </cfRule>
  </conditionalFormatting>
  <conditionalFormatting sqref="F22:F24">
    <cfRule type="expression" dxfId="58" priority="5">
      <formula>AND($A22&lt;&gt;"", $A22&lt;TODAY())</formula>
    </cfRule>
  </conditionalFormatting>
  <conditionalFormatting sqref="G5:G21 G23:G39">
    <cfRule type="cellIs" dxfId="57" priority="4" operator="equal">
      <formula>0</formula>
    </cfRule>
  </conditionalFormatting>
  <conditionalFormatting sqref="I6">
    <cfRule type="expression" dxfId="56" priority="7">
      <formula>AND($A6&lt;&gt;"", $A6&lt;TODAY())</formula>
    </cfRule>
  </conditionalFormatting>
  <conditionalFormatting sqref="G22">
    <cfRule type="expression" dxfId="17" priority="1">
      <formula>AND($A22&lt;&gt;"", $A22&lt;TODAY())</formula>
    </cfRule>
  </conditionalFormatting>
  <conditionalFormatting sqref="G22">
    <cfRule type="cellIs" dxfId="16" priority="2" operator="equal">
      <formula>0</formula>
    </cfRule>
  </conditionalFormatting>
  <dataValidations count="4">
    <dataValidation type="list" allowBlank="1" showInputMessage="1" showErrorMessage="1" sqref="A3 B5:B1048576" xr:uid="{B1EC67BB-CB35-4DEC-9075-8ADDFB9A3BC1}">
      <formula1>famille</formula1>
    </dataValidation>
    <dataValidation type="list" allowBlank="1" showInputMessage="1" showErrorMessage="1" sqref="F5:F1048576" xr:uid="{E7C0DADA-A7E1-430C-9C4A-C567C0A694D2}">
      <formula1>montant</formula1>
    </dataValidation>
    <dataValidation type="list" allowBlank="1" showInputMessage="1" showErrorMessage="1" sqref="E5:E1048576" xr:uid="{D2D36543-7020-4CA7-A1C2-FDACD19BDA49}">
      <formula1>Moyen</formula1>
    </dataValidation>
    <dataValidation type="list" allowBlank="1" showInputMessage="1" showErrorMessage="1" sqref="D5:D1048576" xr:uid="{3A486F09-ABDE-4DA5-BE1F-69027156973A}">
      <formula1>Qui</formula1>
    </dataValidation>
  </dataValidation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FA1CE-54B3-490B-AFF7-AE0B68A672D2}">
  <sheetPr codeName="Feuil9"/>
  <dimension ref="A1:L49"/>
  <sheetViews>
    <sheetView showGridLines="0" workbookViewId="0">
      <selection activeCell="I10" sqref="I10:L14"/>
    </sheetView>
  </sheetViews>
  <sheetFormatPr baseColWidth="10" defaultRowHeight="14.4" x14ac:dyDescent="0.3"/>
  <cols>
    <col min="1" max="1" width="22.5546875" style="2" bestFit="1" customWidth="1"/>
    <col min="2" max="2" width="16.109375" style="2" customWidth="1"/>
    <col min="3" max="3" width="16.109375" style="2" bestFit="1" customWidth="1"/>
    <col min="4" max="4" width="9.33203125" style="2" customWidth="1"/>
    <col min="5" max="6" width="14.44140625" style="3" customWidth="1"/>
    <col min="9" max="9" width="15.21875" customWidth="1"/>
  </cols>
  <sheetData>
    <row r="1" spans="1:12" x14ac:dyDescent="0.3">
      <c r="A1" s="14" t="s">
        <v>66</v>
      </c>
      <c r="B1" s="16">
        <f>Juin!J5</f>
        <v>3708.5949363466361</v>
      </c>
      <c r="D1" s="14" t="s">
        <v>55</v>
      </c>
      <c r="E1" s="16">
        <f>SUMIFS(G:G,B:B,"Salaire")</f>
        <v>4450</v>
      </c>
    </row>
    <row r="2" spans="1:12" x14ac:dyDescent="0.3">
      <c r="A2" s="15" t="s">
        <v>67</v>
      </c>
      <c r="B2" s="16">
        <f>Juin!J6</f>
        <v>3037.475063653369</v>
      </c>
      <c r="C2"/>
      <c r="D2" s="17" t="s">
        <v>27</v>
      </c>
      <c r="E2" s="17">
        <v>2450</v>
      </c>
      <c r="F2"/>
      <c r="G2" s="6"/>
    </row>
    <row r="3" spans="1:12" x14ac:dyDescent="0.3">
      <c r="A3"/>
      <c r="B3"/>
      <c r="C3"/>
      <c r="D3" s="17" t="s">
        <v>26</v>
      </c>
      <c r="E3" s="17">
        <v>2000</v>
      </c>
      <c r="F3"/>
    </row>
    <row r="4" spans="1:12" x14ac:dyDescent="0.3">
      <c r="A4" t="s">
        <v>53</v>
      </c>
      <c r="B4" s="1" t="s">
        <v>29</v>
      </c>
      <c r="C4" s="1" t="s">
        <v>31</v>
      </c>
      <c r="D4" s="1" t="s">
        <v>30</v>
      </c>
      <c r="E4" s="1" t="s">
        <v>40</v>
      </c>
      <c r="F4" s="1" t="s">
        <v>58</v>
      </c>
      <c r="G4" s="1" t="s">
        <v>32</v>
      </c>
      <c r="I4" s="12" t="s">
        <v>54</v>
      </c>
      <c r="J4" s="10">
        <f>SUMIFS(G5:G39,F5:F39,"Crédit",D5:D39,"Couple")-SUMIFS(G5:G39,F5:F39,"Débit",D5:D39,"Couple")</f>
        <v>1180.1400000000008</v>
      </c>
    </row>
    <row r="5" spans="1:12" x14ac:dyDescent="0.3">
      <c r="A5" s="5">
        <v>46197</v>
      </c>
      <c r="B5" s="2" t="s">
        <v>25</v>
      </c>
      <c r="C5" s="4" t="s">
        <v>63</v>
      </c>
      <c r="D5" s="2" t="s">
        <v>28</v>
      </c>
      <c r="E5" s="2" t="s">
        <v>8</v>
      </c>
      <c r="F5" s="2" t="s">
        <v>19</v>
      </c>
      <c r="G5" s="3">
        <v>2450</v>
      </c>
      <c r="I5" s="13" t="s">
        <v>56</v>
      </c>
      <c r="J5" s="10">
        <f>((E3/$E$1)*$J$4)-SUMIFS(G$5:G$1048576,D$5:D$1048576,"Julien",$F$5:$F$1048576,"Débit")+SUMIFS($G$5:$G$1048576,$D$5:$D$1048576,"Julien",$F$5:$F$1048576,"Crédit",B$5:B$1048576,"&lt;&gt;Salaire")+$B$1</f>
        <v>4238.9949363466367</v>
      </c>
    </row>
    <row r="6" spans="1:12" x14ac:dyDescent="0.3">
      <c r="A6" s="5">
        <v>46198</v>
      </c>
      <c r="B6" s="2" t="s">
        <v>9</v>
      </c>
      <c r="C6" s="2" t="s">
        <v>68</v>
      </c>
      <c r="D6" s="2" t="s">
        <v>28</v>
      </c>
      <c r="E6" s="2" t="s">
        <v>8</v>
      </c>
      <c r="F6" s="2" t="s">
        <v>59</v>
      </c>
      <c r="G6" s="6">
        <v>200</v>
      </c>
      <c r="I6" s="11" t="s">
        <v>57</v>
      </c>
      <c r="J6" s="10">
        <f>((E2/$E$1)*$J$4)-SUMIFS(G$5:G$1048576,D$5:D$1048576,"Auriane",$F$5:$F$1048576,"Débit")+SUMIFS($G$5:$G$1048576,$D$5:$D$1048576,"Auriane",$F$5:$F$1048576,"Crédit",B$5:B$1048576,"&lt;&gt;Salaire")+$B$2</f>
        <v>3687.2150636533697</v>
      </c>
    </row>
    <row r="7" spans="1:12" x14ac:dyDescent="0.3">
      <c r="A7" s="5">
        <v>46200</v>
      </c>
      <c r="B7" s="2" t="s">
        <v>19</v>
      </c>
      <c r="C7" s="2" t="s">
        <v>7</v>
      </c>
      <c r="D7" s="2" t="s">
        <v>28</v>
      </c>
      <c r="E7" s="2" t="s">
        <v>42</v>
      </c>
      <c r="F7" s="2" t="s">
        <v>59</v>
      </c>
      <c r="G7" s="3">
        <v>353.44</v>
      </c>
    </row>
    <row r="8" spans="1:12" x14ac:dyDescent="0.3">
      <c r="A8" s="5">
        <v>46200</v>
      </c>
      <c r="B8" s="2" t="s">
        <v>1</v>
      </c>
      <c r="C8" s="2" t="s">
        <v>60</v>
      </c>
      <c r="D8" s="2" t="s">
        <v>28</v>
      </c>
      <c r="E8" s="2" t="s">
        <v>44</v>
      </c>
      <c r="F8" s="2" t="s">
        <v>59</v>
      </c>
      <c r="G8" s="6">
        <v>110</v>
      </c>
    </row>
    <row r="9" spans="1:12" x14ac:dyDescent="0.3">
      <c r="A9" s="5">
        <v>46200</v>
      </c>
      <c r="B9" s="2" t="s">
        <v>6</v>
      </c>
      <c r="C9" s="2" t="s">
        <v>61</v>
      </c>
      <c r="D9" s="2" t="s">
        <v>28</v>
      </c>
      <c r="E9" s="2" t="s">
        <v>44</v>
      </c>
      <c r="F9" s="2" t="s">
        <v>59</v>
      </c>
      <c r="G9" s="6">
        <v>50</v>
      </c>
    </row>
    <row r="10" spans="1:12" x14ac:dyDescent="0.3">
      <c r="A10" s="5">
        <v>46200</v>
      </c>
      <c r="B10" s="2" t="s">
        <v>2</v>
      </c>
      <c r="C10" s="2" t="s">
        <v>62</v>
      </c>
      <c r="D10" s="2" t="s">
        <v>28</v>
      </c>
      <c r="E10" s="2" t="s">
        <v>44</v>
      </c>
      <c r="F10" s="2" t="s">
        <v>59</v>
      </c>
      <c r="G10" s="6">
        <v>80</v>
      </c>
      <c r="J10" s="19" t="s">
        <v>77</v>
      </c>
      <c r="K10" s="19" t="s">
        <v>78</v>
      </c>
      <c r="L10" s="19" t="s">
        <v>79</v>
      </c>
    </row>
    <row r="11" spans="1:12" x14ac:dyDescent="0.3">
      <c r="A11" s="5">
        <v>46200</v>
      </c>
      <c r="B11" s="2" t="s">
        <v>2</v>
      </c>
      <c r="C11" s="2" t="s">
        <v>62</v>
      </c>
      <c r="D11" s="2" t="s">
        <v>28</v>
      </c>
      <c r="E11" s="2" t="s">
        <v>44</v>
      </c>
      <c r="F11" s="2" t="s">
        <v>59</v>
      </c>
      <c r="G11" s="6">
        <v>100</v>
      </c>
      <c r="I11" s="12" t="s">
        <v>1</v>
      </c>
      <c r="J11" s="10">
        <f ca="1">SUMIFS(G:G,B:B,"Courses",A:A,"&lt;=" &amp; TODAY())</f>
        <v>0</v>
      </c>
      <c r="K11" s="10">
        <v>440</v>
      </c>
      <c r="L11" s="10">
        <f ca="1">K11-J11</f>
        <v>440</v>
      </c>
    </row>
    <row r="12" spans="1:12" x14ac:dyDescent="0.3">
      <c r="A12" s="5">
        <v>46201</v>
      </c>
      <c r="B12" s="2" t="s">
        <v>14</v>
      </c>
      <c r="C12" s="2" t="s">
        <v>36</v>
      </c>
      <c r="D12" s="2" t="s">
        <v>28</v>
      </c>
      <c r="E12" s="2" t="s">
        <v>42</v>
      </c>
      <c r="F12" s="2" t="s">
        <v>59</v>
      </c>
      <c r="G12" s="3">
        <v>42.99</v>
      </c>
      <c r="I12" s="13" t="s">
        <v>6</v>
      </c>
      <c r="J12" s="10">
        <f ca="1">SUMIFS(G:G,B:B,"Tabac",A:A,"&lt;=" &amp; TODAY())</f>
        <v>0</v>
      </c>
      <c r="K12" s="10">
        <v>200</v>
      </c>
      <c r="L12" s="10">
        <f t="shared" ref="L12:L14" ca="1" si="0">K12-J12</f>
        <v>200</v>
      </c>
    </row>
    <row r="13" spans="1:12" x14ac:dyDescent="0.3">
      <c r="A13" s="5">
        <f>WORKDAY(EOMONTH("01/06/2026",0)+1,-1)</f>
        <v>46203</v>
      </c>
      <c r="B13" s="2" t="s">
        <v>25</v>
      </c>
      <c r="C13" s="4" t="s">
        <v>64</v>
      </c>
      <c r="D13" s="2" t="s">
        <v>28</v>
      </c>
      <c r="E13" s="2" t="s">
        <v>8</v>
      </c>
      <c r="F13" s="2" t="s">
        <v>19</v>
      </c>
      <c r="G13" s="3">
        <v>2000</v>
      </c>
      <c r="I13" s="13" t="s">
        <v>2</v>
      </c>
      <c r="J13" s="10">
        <f ca="1">SUMIFS(G:G,B:B,"Essence",A:A,"&lt;=" &amp; TODAY())</f>
        <v>0</v>
      </c>
      <c r="K13" s="10">
        <v>360</v>
      </c>
      <c r="L13" s="10">
        <f t="shared" ca="1" si="0"/>
        <v>360</v>
      </c>
    </row>
    <row r="14" spans="1:12" x14ac:dyDescent="0.3">
      <c r="A14" s="5">
        <v>46204</v>
      </c>
      <c r="B14" s="2" t="s">
        <v>11</v>
      </c>
      <c r="C14" s="2" t="s">
        <v>23</v>
      </c>
      <c r="D14" s="2" t="s">
        <v>28</v>
      </c>
      <c r="E14" s="2" t="s">
        <v>8</v>
      </c>
      <c r="F14" s="2" t="s">
        <v>59</v>
      </c>
      <c r="G14" s="6"/>
      <c r="I14" s="18" t="s">
        <v>3</v>
      </c>
      <c r="J14" s="10">
        <f>SUMIFS(G:G,B:B,"Restos")</f>
        <v>0</v>
      </c>
      <c r="K14" s="10">
        <v>30</v>
      </c>
      <c r="L14" s="10">
        <f t="shared" si="0"/>
        <v>30</v>
      </c>
    </row>
    <row r="15" spans="1:12" x14ac:dyDescent="0.3">
      <c r="A15" s="5">
        <v>46204</v>
      </c>
      <c r="B15" s="2" t="s">
        <v>23</v>
      </c>
      <c r="C15" s="2" t="s">
        <v>73</v>
      </c>
      <c r="D15" s="2" t="s">
        <v>28</v>
      </c>
      <c r="E15" s="2" t="s">
        <v>8</v>
      </c>
      <c r="F15" s="2" t="s">
        <v>59</v>
      </c>
      <c r="G15" s="6">
        <v>50</v>
      </c>
    </row>
    <row r="16" spans="1:12" x14ac:dyDescent="0.3">
      <c r="A16" s="5">
        <v>46204</v>
      </c>
      <c r="B16" s="2" t="s">
        <v>19</v>
      </c>
      <c r="C16" s="2" t="s">
        <v>50</v>
      </c>
      <c r="D16" s="2" t="s">
        <v>28</v>
      </c>
      <c r="E16" s="2" t="s">
        <v>42</v>
      </c>
      <c r="F16" s="2" t="s">
        <v>59</v>
      </c>
      <c r="G16" s="3">
        <v>150</v>
      </c>
    </row>
    <row r="17" spans="1:7" x14ac:dyDescent="0.3">
      <c r="A17" s="5">
        <v>46206</v>
      </c>
      <c r="B17" s="2" t="s">
        <v>17</v>
      </c>
      <c r="C17" s="2" t="s">
        <v>38</v>
      </c>
      <c r="D17" s="2" t="s">
        <v>28</v>
      </c>
      <c r="E17" s="2" t="s">
        <v>41</v>
      </c>
      <c r="F17" s="2" t="s">
        <v>59</v>
      </c>
      <c r="G17" s="3">
        <v>7.99</v>
      </c>
    </row>
    <row r="18" spans="1:7" x14ac:dyDescent="0.3">
      <c r="A18" s="5">
        <v>46206</v>
      </c>
      <c r="B18" s="2" t="s">
        <v>1</v>
      </c>
      <c r="C18" s="2" t="s">
        <v>60</v>
      </c>
      <c r="D18" s="2" t="s">
        <v>28</v>
      </c>
      <c r="E18" s="2" t="s">
        <v>44</v>
      </c>
      <c r="F18" s="2" t="s">
        <v>59</v>
      </c>
      <c r="G18" s="6">
        <v>110</v>
      </c>
    </row>
    <row r="19" spans="1:7" x14ac:dyDescent="0.3">
      <c r="A19" s="5">
        <v>46206</v>
      </c>
      <c r="B19" s="2" t="s">
        <v>6</v>
      </c>
      <c r="C19" s="2" t="s">
        <v>61</v>
      </c>
      <c r="D19" s="2" t="s">
        <v>28</v>
      </c>
      <c r="E19" s="2" t="s">
        <v>44</v>
      </c>
      <c r="F19" s="2" t="s">
        <v>59</v>
      </c>
      <c r="G19" s="6">
        <v>50</v>
      </c>
    </row>
    <row r="20" spans="1:7" x14ac:dyDescent="0.3">
      <c r="A20" s="5">
        <v>46207</v>
      </c>
      <c r="B20" s="2" t="s">
        <v>17</v>
      </c>
      <c r="C20" s="2" t="s">
        <v>37</v>
      </c>
      <c r="D20" s="2" t="s">
        <v>28</v>
      </c>
      <c r="E20" s="2" t="s">
        <v>42</v>
      </c>
      <c r="F20" s="2" t="s">
        <v>59</v>
      </c>
      <c r="G20" s="3">
        <v>47.5</v>
      </c>
    </row>
    <row r="21" spans="1:7" x14ac:dyDescent="0.3">
      <c r="A21" s="5">
        <v>46208</v>
      </c>
      <c r="B21" s="2" t="s">
        <v>0</v>
      </c>
      <c r="C21" s="4" t="s">
        <v>65</v>
      </c>
      <c r="D21" s="2" t="s">
        <v>28</v>
      </c>
      <c r="E21" s="2" t="s">
        <v>42</v>
      </c>
      <c r="F21" s="2" t="s">
        <v>59</v>
      </c>
      <c r="G21" s="3">
        <v>700</v>
      </c>
    </row>
    <row r="22" spans="1:7" x14ac:dyDescent="0.3">
      <c r="A22" s="5">
        <v>46208</v>
      </c>
      <c r="B22" s="2" t="s">
        <v>14</v>
      </c>
      <c r="C22" s="2" t="s">
        <v>34</v>
      </c>
      <c r="D22" s="2" t="s">
        <v>28</v>
      </c>
      <c r="E22" s="2" t="s">
        <v>42</v>
      </c>
      <c r="F22" s="2" t="s">
        <v>59</v>
      </c>
      <c r="G22" s="3">
        <v>26.99</v>
      </c>
    </row>
    <row r="23" spans="1:7" x14ac:dyDescent="0.3">
      <c r="A23" s="5">
        <v>46208</v>
      </c>
      <c r="B23" s="2" t="s">
        <v>15</v>
      </c>
      <c r="C23" s="2" t="s">
        <v>46</v>
      </c>
      <c r="D23" s="2" t="s">
        <v>28</v>
      </c>
      <c r="E23" s="2" t="s">
        <v>42</v>
      </c>
      <c r="F23" s="2" t="s">
        <v>59</v>
      </c>
      <c r="G23" s="3">
        <v>195</v>
      </c>
    </row>
    <row r="24" spans="1:7" x14ac:dyDescent="0.3">
      <c r="A24" s="5">
        <v>46208</v>
      </c>
      <c r="B24" s="2" t="s">
        <v>23</v>
      </c>
      <c r="C24" s="2" t="s">
        <v>51</v>
      </c>
      <c r="D24" s="2" t="s">
        <v>28</v>
      </c>
      <c r="E24" s="2" t="s">
        <v>42</v>
      </c>
      <c r="F24" s="2" t="s">
        <v>59</v>
      </c>
      <c r="G24" s="3">
        <v>9</v>
      </c>
    </row>
    <row r="25" spans="1:7" x14ac:dyDescent="0.3">
      <c r="A25" s="5">
        <v>46208</v>
      </c>
      <c r="B25" s="2" t="s">
        <v>23</v>
      </c>
      <c r="C25" s="2" t="s">
        <v>52</v>
      </c>
      <c r="D25" s="2" t="s">
        <v>28</v>
      </c>
      <c r="E25" s="2" t="s">
        <v>42</v>
      </c>
      <c r="F25" s="2" t="s">
        <v>59</v>
      </c>
      <c r="G25" s="3">
        <v>15</v>
      </c>
    </row>
    <row r="26" spans="1:7" x14ac:dyDescent="0.3">
      <c r="A26" s="5">
        <v>46209</v>
      </c>
      <c r="B26" s="2" t="s">
        <v>10</v>
      </c>
      <c r="C26" s="2" t="s">
        <v>23</v>
      </c>
      <c r="D26" s="2" t="s">
        <v>28</v>
      </c>
      <c r="E26" s="2" t="s">
        <v>42</v>
      </c>
      <c r="F26" s="2" t="s">
        <v>59</v>
      </c>
      <c r="G26" s="6">
        <v>38.25</v>
      </c>
    </row>
    <row r="27" spans="1:7" x14ac:dyDescent="0.3">
      <c r="A27" s="5">
        <v>46212</v>
      </c>
      <c r="B27" s="2" t="s">
        <v>24</v>
      </c>
      <c r="C27" s="2" t="s">
        <v>74</v>
      </c>
      <c r="D27" s="2" t="s">
        <v>28</v>
      </c>
      <c r="E27" s="3" t="s">
        <v>44</v>
      </c>
      <c r="F27" s="2" t="s">
        <v>59</v>
      </c>
      <c r="G27" s="6">
        <v>200</v>
      </c>
    </row>
    <row r="28" spans="1:7" x14ac:dyDescent="0.3">
      <c r="A28" s="5">
        <v>46213</v>
      </c>
      <c r="B28" s="2" t="s">
        <v>20</v>
      </c>
      <c r="C28" s="2" t="s">
        <v>33</v>
      </c>
      <c r="D28" s="2" t="s">
        <v>28</v>
      </c>
      <c r="E28" s="2" t="s">
        <v>42</v>
      </c>
      <c r="F28" s="2" t="s">
        <v>59</v>
      </c>
      <c r="G28" s="3">
        <v>128.08000000000001</v>
      </c>
    </row>
    <row r="29" spans="1:7" x14ac:dyDescent="0.3">
      <c r="A29" s="5">
        <v>46213</v>
      </c>
      <c r="B29" s="2" t="s">
        <v>16</v>
      </c>
      <c r="C29" s="2" t="s">
        <v>47</v>
      </c>
      <c r="D29" s="2" t="s">
        <v>28</v>
      </c>
      <c r="E29" s="2" t="s">
        <v>42</v>
      </c>
      <c r="F29" s="2" t="s">
        <v>59</v>
      </c>
      <c r="G29" s="3">
        <v>60</v>
      </c>
    </row>
    <row r="30" spans="1:7" x14ac:dyDescent="0.3">
      <c r="A30" s="5">
        <v>46213</v>
      </c>
      <c r="B30" s="2" t="s">
        <v>14</v>
      </c>
      <c r="C30" s="2" t="s">
        <v>48</v>
      </c>
      <c r="D30" s="2" t="s">
        <v>28</v>
      </c>
      <c r="E30" s="2" t="s">
        <v>8</v>
      </c>
      <c r="F30" s="2" t="s">
        <v>59</v>
      </c>
      <c r="G30" s="3">
        <v>15</v>
      </c>
    </row>
    <row r="31" spans="1:7" x14ac:dyDescent="0.3">
      <c r="A31" s="5">
        <v>46213</v>
      </c>
      <c r="B31" s="2" t="s">
        <v>1</v>
      </c>
      <c r="C31" s="2" t="s">
        <v>60</v>
      </c>
      <c r="D31" s="2" t="s">
        <v>28</v>
      </c>
      <c r="E31" s="2" t="s">
        <v>44</v>
      </c>
      <c r="F31" s="2" t="s">
        <v>59</v>
      </c>
      <c r="G31" s="6">
        <v>110</v>
      </c>
    </row>
    <row r="32" spans="1:7" x14ac:dyDescent="0.3">
      <c r="A32" s="5">
        <v>46213</v>
      </c>
      <c r="B32" s="2" t="s">
        <v>6</v>
      </c>
      <c r="C32" s="2" t="s">
        <v>61</v>
      </c>
      <c r="D32" s="2" t="s">
        <v>28</v>
      </c>
      <c r="E32" s="2" t="s">
        <v>44</v>
      </c>
      <c r="F32" s="2" t="s">
        <v>59</v>
      </c>
      <c r="G32" s="6">
        <v>50</v>
      </c>
    </row>
    <row r="33" spans="1:7" x14ac:dyDescent="0.3">
      <c r="A33" s="5">
        <v>46213</v>
      </c>
      <c r="B33" s="2" t="s">
        <v>2</v>
      </c>
      <c r="C33" s="2" t="s">
        <v>62</v>
      </c>
      <c r="D33" s="2" t="s">
        <v>28</v>
      </c>
      <c r="E33" s="2" t="s">
        <v>44</v>
      </c>
      <c r="F33" s="2" t="s">
        <v>59</v>
      </c>
      <c r="G33" s="6">
        <v>80</v>
      </c>
    </row>
    <row r="34" spans="1:7" x14ac:dyDescent="0.3">
      <c r="A34" s="5">
        <v>46213</v>
      </c>
      <c r="B34" s="2" t="s">
        <v>2</v>
      </c>
      <c r="C34" s="2" t="s">
        <v>62</v>
      </c>
      <c r="D34" s="2" t="s">
        <v>28</v>
      </c>
      <c r="E34" s="2" t="s">
        <v>44</v>
      </c>
      <c r="F34" s="2" t="s">
        <v>59</v>
      </c>
      <c r="G34" s="6">
        <v>100</v>
      </c>
    </row>
    <row r="35" spans="1:7" x14ac:dyDescent="0.3">
      <c r="A35" s="5">
        <v>46216</v>
      </c>
      <c r="B35" s="2" t="s">
        <v>17</v>
      </c>
      <c r="C35" s="2" t="s">
        <v>39</v>
      </c>
      <c r="D35" s="2" t="s">
        <v>28</v>
      </c>
      <c r="E35" s="2" t="s">
        <v>41</v>
      </c>
      <c r="F35" s="2" t="s">
        <v>59</v>
      </c>
      <c r="G35" s="3">
        <v>6.49</v>
      </c>
    </row>
    <row r="36" spans="1:7" x14ac:dyDescent="0.3">
      <c r="A36" s="5">
        <v>46217</v>
      </c>
      <c r="B36" s="2" t="s">
        <v>14</v>
      </c>
      <c r="C36" s="2" t="s">
        <v>35</v>
      </c>
      <c r="D36" s="2" t="s">
        <v>28</v>
      </c>
      <c r="E36" s="2" t="s">
        <v>42</v>
      </c>
      <c r="F36" s="2" t="s">
        <v>59</v>
      </c>
      <c r="G36" s="3">
        <v>11.99</v>
      </c>
    </row>
    <row r="37" spans="1:7" x14ac:dyDescent="0.3">
      <c r="A37" s="5">
        <v>46220</v>
      </c>
      <c r="B37" s="2" t="s">
        <v>1</v>
      </c>
      <c r="C37" s="2" t="s">
        <v>60</v>
      </c>
      <c r="D37" s="2" t="s">
        <v>28</v>
      </c>
      <c r="E37" s="2" t="s">
        <v>44</v>
      </c>
      <c r="F37" s="2" t="s">
        <v>59</v>
      </c>
      <c r="G37" s="6">
        <v>110</v>
      </c>
    </row>
    <row r="38" spans="1:7" x14ac:dyDescent="0.3">
      <c r="A38" s="5">
        <v>46220</v>
      </c>
      <c r="B38" s="2" t="s">
        <v>6</v>
      </c>
      <c r="C38" s="2" t="s">
        <v>61</v>
      </c>
      <c r="D38" s="2" t="s">
        <v>28</v>
      </c>
      <c r="E38" s="2" t="s">
        <v>44</v>
      </c>
      <c r="F38" s="2" t="s">
        <v>59</v>
      </c>
      <c r="G38" s="6">
        <v>50</v>
      </c>
    </row>
    <row r="39" spans="1:7" x14ac:dyDescent="0.3">
      <c r="A39" s="5">
        <v>46224</v>
      </c>
      <c r="B39" s="2" t="s">
        <v>18</v>
      </c>
      <c r="C39" s="2" t="s">
        <v>49</v>
      </c>
      <c r="D39" s="2" t="s">
        <v>28</v>
      </c>
      <c r="E39" s="2" t="s">
        <v>41</v>
      </c>
      <c r="F39" s="2" t="s">
        <v>59</v>
      </c>
      <c r="G39" s="3">
        <v>12.14</v>
      </c>
    </row>
    <row r="40" spans="1:7" x14ac:dyDescent="0.3">
      <c r="A40" s="5"/>
    </row>
    <row r="41" spans="1:7" x14ac:dyDescent="0.3">
      <c r="A41" s="5"/>
    </row>
    <row r="42" spans="1:7" x14ac:dyDescent="0.3">
      <c r="A42" s="5"/>
    </row>
    <row r="43" spans="1:7" x14ac:dyDescent="0.3">
      <c r="A43" s="5"/>
    </row>
    <row r="44" spans="1:7" x14ac:dyDescent="0.3">
      <c r="A44" s="5"/>
    </row>
    <row r="45" spans="1:7" x14ac:dyDescent="0.3">
      <c r="A45" s="5"/>
    </row>
    <row r="46" spans="1:7" x14ac:dyDescent="0.3">
      <c r="A46" s="5"/>
    </row>
    <row r="47" spans="1:7" x14ac:dyDescent="0.3">
      <c r="A47" s="5"/>
    </row>
    <row r="48" spans="1:7" x14ac:dyDescent="0.3">
      <c r="A48" s="5"/>
    </row>
    <row r="49" spans="1:1" x14ac:dyDescent="0.3">
      <c r="A49" s="5"/>
    </row>
  </sheetData>
  <conditionalFormatting sqref="A38:A49">
    <cfRule type="expression" dxfId="55" priority="3">
      <formula>AND($A38&lt;&gt;"", $A38&lt;TODAY())</formula>
    </cfRule>
  </conditionalFormatting>
  <conditionalFormatting sqref="A5:G21 A22:B37 D22:D37">
    <cfRule type="expression" dxfId="54" priority="6">
      <formula>AND($A5&lt;&gt;"", $A5&lt;TODAY())</formula>
    </cfRule>
  </conditionalFormatting>
  <conditionalFormatting sqref="F22:F24">
    <cfRule type="expression" dxfId="53" priority="5">
      <formula>AND($A22&lt;&gt;"", $A22&lt;TODAY())</formula>
    </cfRule>
  </conditionalFormatting>
  <conditionalFormatting sqref="G5:G21 G23:G39">
    <cfRule type="cellIs" dxfId="52" priority="4" operator="equal">
      <formula>0</formula>
    </cfRule>
  </conditionalFormatting>
  <conditionalFormatting sqref="I6">
    <cfRule type="expression" dxfId="51" priority="7">
      <formula>AND($A6&lt;&gt;"", $A6&lt;TODAY())</formula>
    </cfRule>
  </conditionalFormatting>
  <conditionalFormatting sqref="G22">
    <cfRule type="expression" dxfId="15" priority="1">
      <formula>AND($A22&lt;&gt;"", $A22&lt;TODAY())</formula>
    </cfRule>
  </conditionalFormatting>
  <conditionalFormatting sqref="G22">
    <cfRule type="cellIs" dxfId="14" priority="2" operator="equal">
      <formula>0</formula>
    </cfRule>
  </conditionalFormatting>
  <dataValidations count="4">
    <dataValidation type="list" allowBlank="1" showInputMessage="1" showErrorMessage="1" sqref="D5:D1048576" xr:uid="{08BADFE2-FD88-45CF-870F-B8B04EA58D81}">
      <formula1>Qui</formula1>
    </dataValidation>
    <dataValidation type="list" allowBlank="1" showInputMessage="1" showErrorMessage="1" sqref="E5:E1048576" xr:uid="{636426D5-E571-4D04-B61E-650E7D18DFB0}">
      <formula1>Moyen</formula1>
    </dataValidation>
    <dataValidation type="list" allowBlank="1" showInputMessage="1" showErrorMessage="1" sqref="F5:F1048576" xr:uid="{B4891D9E-83D7-4B0B-915F-0A8EB296F77F}">
      <formula1>montant</formula1>
    </dataValidation>
    <dataValidation type="list" allowBlank="1" showInputMessage="1" showErrorMessage="1" sqref="A3 B5:B1048576" xr:uid="{C36EB33B-E5EA-4223-AB7E-06A8CC365471}">
      <formula1>famille</formula1>
    </dataValidation>
  </dataValidation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06DF-A47B-4F81-9B0D-8FC5DEA4CB2D}">
  <sheetPr codeName="Feuil10"/>
  <dimension ref="A1:L49"/>
  <sheetViews>
    <sheetView showGridLines="0" workbookViewId="0">
      <selection activeCell="I9" sqref="I9:L13"/>
    </sheetView>
  </sheetViews>
  <sheetFormatPr baseColWidth="10" defaultRowHeight="14.4" x14ac:dyDescent="0.3"/>
  <cols>
    <col min="1" max="1" width="22.5546875" style="2" bestFit="1" customWidth="1"/>
    <col min="2" max="2" width="16.109375" style="2" customWidth="1"/>
    <col min="3" max="3" width="16.109375" style="2" bestFit="1" customWidth="1"/>
    <col min="4" max="4" width="9.33203125" style="2" customWidth="1"/>
    <col min="5" max="6" width="14.44140625" style="3" customWidth="1"/>
    <col min="9" max="9" width="15.21875" customWidth="1"/>
  </cols>
  <sheetData>
    <row r="1" spans="1:12" x14ac:dyDescent="0.3">
      <c r="A1" s="14" t="s">
        <v>66</v>
      </c>
      <c r="B1" s="16">
        <f>Juillet!J5</f>
        <v>4238.9949363466367</v>
      </c>
      <c r="D1" s="14" t="s">
        <v>55</v>
      </c>
      <c r="E1" s="16">
        <f>SUMIFS(G:G,B:B,"Salaire")</f>
        <v>4450</v>
      </c>
    </row>
    <row r="2" spans="1:12" x14ac:dyDescent="0.3">
      <c r="A2" s="15" t="s">
        <v>67</v>
      </c>
      <c r="B2" s="16">
        <f>Juillet!J6</f>
        <v>3687.2150636533697</v>
      </c>
      <c r="C2"/>
      <c r="D2" s="17" t="s">
        <v>27</v>
      </c>
      <c r="E2" s="17">
        <v>2450</v>
      </c>
      <c r="F2"/>
      <c r="G2" s="6"/>
    </row>
    <row r="3" spans="1:12" x14ac:dyDescent="0.3">
      <c r="A3"/>
      <c r="B3"/>
      <c r="C3"/>
      <c r="D3" s="17" t="s">
        <v>26</v>
      </c>
      <c r="E3" s="17">
        <v>2000</v>
      </c>
      <c r="F3"/>
    </row>
    <row r="4" spans="1:12" x14ac:dyDescent="0.3">
      <c r="A4" t="s">
        <v>53</v>
      </c>
      <c r="B4" s="1" t="s">
        <v>29</v>
      </c>
      <c r="C4" s="1" t="s">
        <v>31</v>
      </c>
      <c r="D4" s="1" t="s">
        <v>30</v>
      </c>
      <c r="E4" s="1" t="s">
        <v>40</v>
      </c>
      <c r="F4" s="1" t="s">
        <v>58</v>
      </c>
      <c r="G4" s="1" t="s">
        <v>32</v>
      </c>
      <c r="I4" s="12" t="s">
        <v>54</v>
      </c>
      <c r="J4" s="10">
        <f>SUMIFS(G5:G39,F5:F39,"Crédit",D5:D39,"Couple")-SUMIFS(G5:G39,F5:F39,"Débit",D5:D39,"Couple")</f>
        <v>1180.1400000000008</v>
      </c>
    </row>
    <row r="5" spans="1:12" x14ac:dyDescent="0.3">
      <c r="A5" s="5">
        <v>46227</v>
      </c>
      <c r="B5" s="2" t="s">
        <v>25</v>
      </c>
      <c r="C5" s="4" t="s">
        <v>63</v>
      </c>
      <c r="D5" s="2" t="s">
        <v>28</v>
      </c>
      <c r="E5" s="2" t="s">
        <v>8</v>
      </c>
      <c r="F5" s="2" t="s">
        <v>19</v>
      </c>
      <c r="G5" s="3">
        <v>2450</v>
      </c>
      <c r="I5" s="13" t="s">
        <v>56</v>
      </c>
      <c r="J5" s="10">
        <f>((E3/$E$1)*$J$4)-SUMIFS(G$5:G$1048576,D$5:D$1048576,"Julien",$F$5:$F$1048576,"Débit")+SUMIFS($G$5:$G$1048576,$D$5:$D$1048576,"Julien",$F$5:$F$1048576,"Crédit",B$5:B$1048576,"&lt;&gt;Salaire")+$B$1</f>
        <v>4769.3949363466372</v>
      </c>
    </row>
    <row r="6" spans="1:12" x14ac:dyDescent="0.3">
      <c r="A6" s="5">
        <v>46228</v>
      </c>
      <c r="B6" s="2" t="s">
        <v>9</v>
      </c>
      <c r="C6" s="2" t="s">
        <v>68</v>
      </c>
      <c r="D6" s="2" t="s">
        <v>28</v>
      </c>
      <c r="E6" s="2" t="s">
        <v>8</v>
      </c>
      <c r="F6" s="2" t="s">
        <v>59</v>
      </c>
      <c r="G6" s="6">
        <v>200</v>
      </c>
      <c r="I6" s="11" t="s">
        <v>57</v>
      </c>
      <c r="J6" s="10">
        <f>((E2/$E$1)*$J$4)-SUMIFS(G$5:G$1048576,D$5:D$1048576,"Auriane",$F$5:$F$1048576,"Débit")+SUMIFS($G$5:$G$1048576,$D$5:$D$1048576,"Auriane",$F$5:$F$1048576,"Crédit",B$5:B$1048576,"&lt;&gt;Salaire")+$B$2</f>
        <v>4336.9550636533704</v>
      </c>
    </row>
    <row r="7" spans="1:12" x14ac:dyDescent="0.3">
      <c r="A7" s="5">
        <v>46230</v>
      </c>
      <c r="B7" s="2" t="s">
        <v>19</v>
      </c>
      <c r="C7" s="2" t="s">
        <v>7</v>
      </c>
      <c r="D7" s="2" t="s">
        <v>28</v>
      </c>
      <c r="E7" s="2" t="s">
        <v>42</v>
      </c>
      <c r="F7" s="2" t="s">
        <v>59</v>
      </c>
      <c r="G7" s="3">
        <v>353.44</v>
      </c>
    </row>
    <row r="8" spans="1:12" x14ac:dyDescent="0.3">
      <c r="A8" s="5">
        <v>46230</v>
      </c>
      <c r="B8" s="2" t="s">
        <v>1</v>
      </c>
      <c r="C8" s="2" t="s">
        <v>60</v>
      </c>
      <c r="D8" s="2" t="s">
        <v>28</v>
      </c>
      <c r="E8" s="2" t="s">
        <v>44</v>
      </c>
      <c r="F8" s="2" t="s">
        <v>59</v>
      </c>
      <c r="G8" s="6">
        <v>110</v>
      </c>
    </row>
    <row r="9" spans="1:12" x14ac:dyDescent="0.3">
      <c r="A9" s="5">
        <v>46230</v>
      </c>
      <c r="B9" s="2" t="s">
        <v>6</v>
      </c>
      <c r="C9" s="2" t="s">
        <v>61</v>
      </c>
      <c r="D9" s="2" t="s">
        <v>28</v>
      </c>
      <c r="E9" s="2" t="s">
        <v>44</v>
      </c>
      <c r="F9" s="2" t="s">
        <v>59</v>
      </c>
      <c r="G9" s="6">
        <v>50</v>
      </c>
      <c r="J9" s="19" t="s">
        <v>77</v>
      </c>
      <c r="K9" s="19" t="s">
        <v>78</v>
      </c>
      <c r="L9" s="19" t="s">
        <v>79</v>
      </c>
    </row>
    <row r="10" spans="1:12" x14ac:dyDescent="0.3">
      <c r="A10" s="5">
        <v>46230</v>
      </c>
      <c r="B10" s="2" t="s">
        <v>2</v>
      </c>
      <c r="C10" s="2" t="s">
        <v>62</v>
      </c>
      <c r="D10" s="2" t="s">
        <v>28</v>
      </c>
      <c r="E10" s="2" t="s">
        <v>44</v>
      </c>
      <c r="F10" s="2" t="s">
        <v>59</v>
      </c>
      <c r="G10" s="6">
        <v>80</v>
      </c>
      <c r="I10" s="12" t="s">
        <v>1</v>
      </c>
      <c r="J10" s="10">
        <f ca="1">SUMIFS(G:G,B:B,"Courses",A:A,"&lt;=" &amp; TODAY())</f>
        <v>0</v>
      </c>
      <c r="K10" s="10">
        <v>440</v>
      </c>
      <c r="L10" s="10">
        <f ca="1">K10-J10</f>
        <v>440</v>
      </c>
    </row>
    <row r="11" spans="1:12" x14ac:dyDescent="0.3">
      <c r="A11" s="5">
        <v>46230</v>
      </c>
      <c r="B11" s="2" t="s">
        <v>2</v>
      </c>
      <c r="C11" s="2" t="s">
        <v>62</v>
      </c>
      <c r="D11" s="2" t="s">
        <v>28</v>
      </c>
      <c r="E11" s="2" t="s">
        <v>44</v>
      </c>
      <c r="F11" s="2" t="s">
        <v>59</v>
      </c>
      <c r="G11" s="6">
        <v>100</v>
      </c>
      <c r="I11" s="13" t="s">
        <v>6</v>
      </c>
      <c r="J11" s="10">
        <f ca="1">SUMIFS(G:G,B:B,"Tabac",A:A,"&lt;=" &amp; TODAY())</f>
        <v>0</v>
      </c>
      <c r="K11" s="10">
        <v>200</v>
      </c>
      <c r="L11" s="10">
        <f t="shared" ref="L11:L13" ca="1" si="0">K11-J11</f>
        <v>200</v>
      </c>
    </row>
    <row r="12" spans="1:12" x14ac:dyDescent="0.3">
      <c r="A12" s="5">
        <v>46231</v>
      </c>
      <c r="B12" s="2" t="s">
        <v>14</v>
      </c>
      <c r="C12" s="2" t="s">
        <v>36</v>
      </c>
      <c r="D12" s="2" t="s">
        <v>28</v>
      </c>
      <c r="E12" s="2" t="s">
        <v>42</v>
      </c>
      <c r="F12" s="2" t="s">
        <v>59</v>
      </c>
      <c r="G12" s="3">
        <v>42.99</v>
      </c>
      <c r="I12" s="13" t="s">
        <v>2</v>
      </c>
      <c r="J12" s="10">
        <f ca="1">SUMIFS(G:G,B:B,"Essence",A:A,"&lt;=" &amp; TODAY())</f>
        <v>0</v>
      </c>
      <c r="K12" s="10">
        <v>360</v>
      </c>
      <c r="L12" s="10">
        <f t="shared" ca="1" si="0"/>
        <v>360</v>
      </c>
    </row>
    <row r="13" spans="1:12" x14ac:dyDescent="0.3">
      <c r="A13" s="5">
        <f>WORKDAY(EOMONTH("01/07/2026",0)+1,-1)</f>
        <v>46234</v>
      </c>
      <c r="B13" s="2" t="s">
        <v>25</v>
      </c>
      <c r="C13" s="4" t="s">
        <v>64</v>
      </c>
      <c r="D13" s="2" t="s">
        <v>28</v>
      </c>
      <c r="E13" s="2" t="s">
        <v>8</v>
      </c>
      <c r="F13" s="2" t="s">
        <v>19</v>
      </c>
      <c r="G13" s="3">
        <v>2000</v>
      </c>
      <c r="I13" s="18" t="s">
        <v>3</v>
      </c>
      <c r="J13" s="10">
        <f>SUMIFS(G:G,B:B,"Restos")</f>
        <v>0</v>
      </c>
      <c r="K13" s="10">
        <v>30</v>
      </c>
      <c r="L13" s="10">
        <f t="shared" si="0"/>
        <v>30</v>
      </c>
    </row>
    <row r="14" spans="1:12" x14ac:dyDescent="0.3">
      <c r="A14" s="5">
        <v>46235</v>
      </c>
      <c r="B14" s="2" t="s">
        <v>11</v>
      </c>
      <c r="C14" s="2" t="s">
        <v>23</v>
      </c>
      <c r="D14" s="2" t="s">
        <v>28</v>
      </c>
      <c r="E14" s="2" t="s">
        <v>8</v>
      </c>
      <c r="F14" s="2" t="s">
        <v>59</v>
      </c>
      <c r="G14" s="6"/>
    </row>
    <row r="15" spans="1:12" x14ac:dyDescent="0.3">
      <c r="A15" s="5">
        <v>46235</v>
      </c>
      <c r="B15" s="2" t="s">
        <v>23</v>
      </c>
      <c r="C15" s="2" t="s">
        <v>73</v>
      </c>
      <c r="D15" s="2" t="s">
        <v>28</v>
      </c>
      <c r="E15" s="2" t="s">
        <v>8</v>
      </c>
      <c r="F15" s="2" t="s">
        <v>59</v>
      </c>
      <c r="G15" s="6">
        <v>50</v>
      </c>
    </row>
    <row r="16" spans="1:12" x14ac:dyDescent="0.3">
      <c r="A16" s="5">
        <v>46235</v>
      </c>
      <c r="B16" s="2" t="s">
        <v>19</v>
      </c>
      <c r="C16" s="2" t="s">
        <v>50</v>
      </c>
      <c r="D16" s="2" t="s">
        <v>28</v>
      </c>
      <c r="E16" s="2" t="s">
        <v>42</v>
      </c>
      <c r="F16" s="2" t="s">
        <v>59</v>
      </c>
      <c r="G16" s="3">
        <v>150</v>
      </c>
    </row>
    <row r="17" spans="1:7" x14ac:dyDescent="0.3">
      <c r="A17" s="5">
        <v>46237</v>
      </c>
      <c r="B17" s="2" t="s">
        <v>17</v>
      </c>
      <c r="C17" s="2" t="s">
        <v>38</v>
      </c>
      <c r="D17" s="2" t="s">
        <v>28</v>
      </c>
      <c r="E17" s="2" t="s">
        <v>41</v>
      </c>
      <c r="F17" s="2" t="s">
        <v>59</v>
      </c>
      <c r="G17" s="3">
        <v>7.99</v>
      </c>
    </row>
    <row r="18" spans="1:7" x14ac:dyDescent="0.3">
      <c r="A18" s="5">
        <v>46237</v>
      </c>
      <c r="B18" s="2" t="s">
        <v>1</v>
      </c>
      <c r="C18" s="2" t="s">
        <v>60</v>
      </c>
      <c r="D18" s="2" t="s">
        <v>28</v>
      </c>
      <c r="E18" s="2" t="s">
        <v>44</v>
      </c>
      <c r="F18" s="2" t="s">
        <v>59</v>
      </c>
      <c r="G18" s="6">
        <v>110</v>
      </c>
    </row>
    <row r="19" spans="1:7" x14ac:dyDescent="0.3">
      <c r="A19" s="5">
        <v>46237</v>
      </c>
      <c r="B19" s="2" t="s">
        <v>6</v>
      </c>
      <c r="C19" s="2" t="s">
        <v>61</v>
      </c>
      <c r="D19" s="2" t="s">
        <v>28</v>
      </c>
      <c r="E19" s="2" t="s">
        <v>44</v>
      </c>
      <c r="F19" s="2" t="s">
        <v>59</v>
      </c>
      <c r="G19" s="6">
        <v>50</v>
      </c>
    </row>
    <row r="20" spans="1:7" x14ac:dyDescent="0.3">
      <c r="A20" s="5">
        <v>46238</v>
      </c>
      <c r="B20" s="2" t="s">
        <v>17</v>
      </c>
      <c r="C20" s="2" t="s">
        <v>37</v>
      </c>
      <c r="D20" s="2" t="s">
        <v>28</v>
      </c>
      <c r="E20" s="2" t="s">
        <v>42</v>
      </c>
      <c r="F20" s="2" t="s">
        <v>59</v>
      </c>
      <c r="G20" s="3">
        <v>47.5</v>
      </c>
    </row>
    <row r="21" spans="1:7" x14ac:dyDescent="0.3">
      <c r="A21" s="5">
        <v>46239</v>
      </c>
      <c r="B21" s="2" t="s">
        <v>0</v>
      </c>
      <c r="C21" s="4" t="s">
        <v>65</v>
      </c>
      <c r="D21" s="2" t="s">
        <v>28</v>
      </c>
      <c r="E21" s="2" t="s">
        <v>42</v>
      </c>
      <c r="F21" s="2" t="s">
        <v>59</v>
      </c>
      <c r="G21" s="3">
        <v>700</v>
      </c>
    </row>
    <row r="22" spans="1:7" x14ac:dyDescent="0.3">
      <c r="A22" s="5">
        <v>46239</v>
      </c>
      <c r="B22" s="2" t="s">
        <v>14</v>
      </c>
      <c r="C22" s="2" t="s">
        <v>34</v>
      </c>
      <c r="D22" s="2" t="s">
        <v>28</v>
      </c>
      <c r="E22" s="2" t="s">
        <v>42</v>
      </c>
      <c r="F22" s="2" t="s">
        <v>59</v>
      </c>
      <c r="G22" s="3">
        <v>26.99</v>
      </c>
    </row>
    <row r="23" spans="1:7" x14ac:dyDescent="0.3">
      <c r="A23" s="5">
        <v>46239</v>
      </c>
      <c r="B23" s="2" t="s">
        <v>15</v>
      </c>
      <c r="C23" s="2" t="s">
        <v>46</v>
      </c>
      <c r="D23" s="2" t="s">
        <v>28</v>
      </c>
      <c r="E23" s="2" t="s">
        <v>42</v>
      </c>
      <c r="F23" s="2" t="s">
        <v>59</v>
      </c>
      <c r="G23" s="3">
        <v>195</v>
      </c>
    </row>
    <row r="24" spans="1:7" x14ac:dyDescent="0.3">
      <c r="A24" s="5">
        <v>46239</v>
      </c>
      <c r="B24" s="2" t="s">
        <v>23</v>
      </c>
      <c r="C24" s="2" t="s">
        <v>51</v>
      </c>
      <c r="D24" s="2" t="s">
        <v>28</v>
      </c>
      <c r="E24" s="2" t="s">
        <v>42</v>
      </c>
      <c r="F24" s="2" t="s">
        <v>59</v>
      </c>
      <c r="G24" s="3">
        <v>9</v>
      </c>
    </row>
    <row r="25" spans="1:7" x14ac:dyDescent="0.3">
      <c r="A25" s="5">
        <v>46239</v>
      </c>
      <c r="B25" s="2" t="s">
        <v>23</v>
      </c>
      <c r="C25" s="2" t="s">
        <v>52</v>
      </c>
      <c r="D25" s="2" t="s">
        <v>28</v>
      </c>
      <c r="E25" s="2" t="s">
        <v>42</v>
      </c>
      <c r="F25" s="2" t="s">
        <v>59</v>
      </c>
      <c r="G25" s="3">
        <v>15</v>
      </c>
    </row>
    <row r="26" spans="1:7" x14ac:dyDescent="0.3">
      <c r="A26" s="5">
        <v>46240</v>
      </c>
      <c r="B26" s="2" t="s">
        <v>10</v>
      </c>
      <c r="C26" s="2" t="s">
        <v>23</v>
      </c>
      <c r="D26" s="2" t="s">
        <v>28</v>
      </c>
      <c r="E26" s="2" t="s">
        <v>42</v>
      </c>
      <c r="F26" s="2" t="s">
        <v>59</v>
      </c>
      <c r="G26" s="6">
        <v>38.25</v>
      </c>
    </row>
    <row r="27" spans="1:7" x14ac:dyDescent="0.3">
      <c r="A27" s="5">
        <v>46243</v>
      </c>
      <c r="B27" s="2" t="s">
        <v>24</v>
      </c>
      <c r="C27" s="2" t="s">
        <v>74</v>
      </c>
      <c r="D27" s="2" t="s">
        <v>28</v>
      </c>
      <c r="E27" s="3" t="s">
        <v>44</v>
      </c>
      <c r="F27" s="2" t="s">
        <v>59</v>
      </c>
      <c r="G27" s="6">
        <v>200</v>
      </c>
    </row>
    <row r="28" spans="1:7" x14ac:dyDescent="0.3">
      <c r="A28" s="5">
        <v>46244</v>
      </c>
      <c r="B28" s="2" t="s">
        <v>20</v>
      </c>
      <c r="C28" s="2" t="s">
        <v>33</v>
      </c>
      <c r="D28" s="2" t="s">
        <v>28</v>
      </c>
      <c r="E28" s="2" t="s">
        <v>42</v>
      </c>
      <c r="F28" s="2" t="s">
        <v>59</v>
      </c>
      <c r="G28" s="3">
        <v>128.08000000000001</v>
      </c>
    </row>
    <row r="29" spans="1:7" x14ac:dyDescent="0.3">
      <c r="A29" s="5">
        <v>46244</v>
      </c>
      <c r="B29" s="2" t="s">
        <v>16</v>
      </c>
      <c r="C29" s="2" t="s">
        <v>47</v>
      </c>
      <c r="D29" s="2" t="s">
        <v>28</v>
      </c>
      <c r="E29" s="2" t="s">
        <v>42</v>
      </c>
      <c r="F29" s="2" t="s">
        <v>59</v>
      </c>
      <c r="G29" s="3">
        <v>60</v>
      </c>
    </row>
    <row r="30" spans="1:7" x14ac:dyDescent="0.3">
      <c r="A30" s="5">
        <v>46244</v>
      </c>
      <c r="B30" s="2" t="s">
        <v>14</v>
      </c>
      <c r="C30" s="2" t="s">
        <v>48</v>
      </c>
      <c r="D30" s="2" t="s">
        <v>28</v>
      </c>
      <c r="E30" s="2" t="s">
        <v>8</v>
      </c>
      <c r="F30" s="2" t="s">
        <v>59</v>
      </c>
      <c r="G30" s="3">
        <v>15</v>
      </c>
    </row>
    <row r="31" spans="1:7" x14ac:dyDescent="0.3">
      <c r="A31" s="5">
        <v>46244</v>
      </c>
      <c r="B31" s="2" t="s">
        <v>1</v>
      </c>
      <c r="C31" s="2" t="s">
        <v>60</v>
      </c>
      <c r="D31" s="2" t="s">
        <v>28</v>
      </c>
      <c r="E31" s="2" t="s">
        <v>44</v>
      </c>
      <c r="F31" s="2" t="s">
        <v>59</v>
      </c>
      <c r="G31" s="6">
        <v>110</v>
      </c>
    </row>
    <row r="32" spans="1:7" x14ac:dyDescent="0.3">
      <c r="A32" s="5">
        <v>46244</v>
      </c>
      <c r="B32" s="2" t="s">
        <v>6</v>
      </c>
      <c r="C32" s="2" t="s">
        <v>61</v>
      </c>
      <c r="D32" s="2" t="s">
        <v>28</v>
      </c>
      <c r="E32" s="2" t="s">
        <v>44</v>
      </c>
      <c r="F32" s="2" t="s">
        <v>59</v>
      </c>
      <c r="G32" s="6">
        <v>50</v>
      </c>
    </row>
    <row r="33" spans="1:7" x14ac:dyDescent="0.3">
      <c r="A33" s="5">
        <v>46244</v>
      </c>
      <c r="B33" s="2" t="s">
        <v>2</v>
      </c>
      <c r="C33" s="2" t="s">
        <v>62</v>
      </c>
      <c r="D33" s="2" t="s">
        <v>28</v>
      </c>
      <c r="E33" s="2" t="s">
        <v>44</v>
      </c>
      <c r="F33" s="2" t="s">
        <v>59</v>
      </c>
      <c r="G33" s="6">
        <v>80</v>
      </c>
    </row>
    <row r="34" spans="1:7" x14ac:dyDescent="0.3">
      <c r="A34" s="5">
        <v>46244</v>
      </c>
      <c r="B34" s="2" t="s">
        <v>2</v>
      </c>
      <c r="C34" s="2" t="s">
        <v>62</v>
      </c>
      <c r="D34" s="2" t="s">
        <v>28</v>
      </c>
      <c r="E34" s="2" t="s">
        <v>44</v>
      </c>
      <c r="F34" s="2" t="s">
        <v>59</v>
      </c>
      <c r="G34" s="6">
        <v>100</v>
      </c>
    </row>
    <row r="35" spans="1:7" x14ac:dyDescent="0.3">
      <c r="A35" s="5">
        <v>46247</v>
      </c>
      <c r="B35" s="2" t="s">
        <v>17</v>
      </c>
      <c r="C35" s="2" t="s">
        <v>39</v>
      </c>
      <c r="D35" s="2" t="s">
        <v>28</v>
      </c>
      <c r="E35" s="2" t="s">
        <v>41</v>
      </c>
      <c r="F35" s="2" t="s">
        <v>59</v>
      </c>
      <c r="G35" s="3">
        <v>6.49</v>
      </c>
    </row>
    <row r="36" spans="1:7" x14ac:dyDescent="0.3">
      <c r="A36" s="5">
        <v>46248</v>
      </c>
      <c r="B36" s="2" t="s">
        <v>14</v>
      </c>
      <c r="C36" s="2" t="s">
        <v>35</v>
      </c>
      <c r="D36" s="2" t="s">
        <v>28</v>
      </c>
      <c r="E36" s="2" t="s">
        <v>42</v>
      </c>
      <c r="F36" s="2" t="s">
        <v>59</v>
      </c>
      <c r="G36" s="3">
        <v>11.99</v>
      </c>
    </row>
    <row r="37" spans="1:7" x14ac:dyDescent="0.3">
      <c r="A37" s="5">
        <v>46251</v>
      </c>
      <c r="B37" s="2" t="s">
        <v>1</v>
      </c>
      <c r="C37" s="2" t="s">
        <v>60</v>
      </c>
      <c r="D37" s="2" t="s">
        <v>28</v>
      </c>
      <c r="E37" s="2" t="s">
        <v>44</v>
      </c>
      <c r="F37" s="2" t="s">
        <v>59</v>
      </c>
      <c r="G37" s="6">
        <v>110</v>
      </c>
    </row>
    <row r="38" spans="1:7" x14ac:dyDescent="0.3">
      <c r="A38" s="5">
        <v>46251</v>
      </c>
      <c r="B38" s="2" t="s">
        <v>6</v>
      </c>
      <c r="C38" s="2" t="s">
        <v>61</v>
      </c>
      <c r="D38" s="2" t="s">
        <v>28</v>
      </c>
      <c r="E38" s="2" t="s">
        <v>44</v>
      </c>
      <c r="F38" s="2" t="s">
        <v>59</v>
      </c>
      <c r="G38" s="6">
        <v>50</v>
      </c>
    </row>
    <row r="39" spans="1:7" x14ac:dyDescent="0.3">
      <c r="A39" s="5">
        <v>46255</v>
      </c>
      <c r="B39" s="2" t="s">
        <v>18</v>
      </c>
      <c r="C39" s="2" t="s">
        <v>49</v>
      </c>
      <c r="D39" s="2" t="s">
        <v>28</v>
      </c>
      <c r="E39" s="2" t="s">
        <v>41</v>
      </c>
      <c r="F39" s="2" t="s">
        <v>59</v>
      </c>
      <c r="G39" s="3">
        <v>12.14</v>
      </c>
    </row>
    <row r="40" spans="1:7" x14ac:dyDescent="0.3">
      <c r="A40" s="5"/>
    </row>
    <row r="41" spans="1:7" x14ac:dyDescent="0.3">
      <c r="A41" s="5"/>
    </row>
    <row r="42" spans="1:7" x14ac:dyDescent="0.3">
      <c r="A42" s="5"/>
    </row>
    <row r="43" spans="1:7" x14ac:dyDescent="0.3">
      <c r="A43" s="5"/>
    </row>
    <row r="44" spans="1:7" x14ac:dyDescent="0.3">
      <c r="A44" s="5"/>
    </row>
    <row r="45" spans="1:7" x14ac:dyDescent="0.3">
      <c r="A45" s="5"/>
    </row>
    <row r="46" spans="1:7" x14ac:dyDescent="0.3">
      <c r="A46" s="5"/>
    </row>
    <row r="47" spans="1:7" x14ac:dyDescent="0.3">
      <c r="A47" s="5"/>
    </row>
    <row r="48" spans="1:7" x14ac:dyDescent="0.3">
      <c r="A48" s="5"/>
    </row>
    <row r="49" spans="1:1" x14ac:dyDescent="0.3">
      <c r="A49" s="5"/>
    </row>
  </sheetData>
  <conditionalFormatting sqref="A38:A49">
    <cfRule type="expression" dxfId="50" priority="3">
      <formula>AND($A38&lt;&gt;"", $A38&lt;TODAY())</formula>
    </cfRule>
  </conditionalFormatting>
  <conditionalFormatting sqref="A5:G21 A22:B37 D22:D37">
    <cfRule type="expression" dxfId="49" priority="6">
      <formula>AND($A5&lt;&gt;"", $A5&lt;TODAY())</formula>
    </cfRule>
  </conditionalFormatting>
  <conditionalFormatting sqref="F22:F24">
    <cfRule type="expression" dxfId="48" priority="5">
      <formula>AND($A22&lt;&gt;"", $A22&lt;TODAY())</formula>
    </cfRule>
  </conditionalFormatting>
  <conditionalFormatting sqref="G5:G21 G23:G39">
    <cfRule type="cellIs" dxfId="47" priority="4" operator="equal">
      <formula>0</formula>
    </cfRule>
  </conditionalFormatting>
  <conditionalFormatting sqref="I6">
    <cfRule type="expression" dxfId="46" priority="7">
      <formula>AND($A6&lt;&gt;"", $A6&lt;TODAY())</formula>
    </cfRule>
  </conditionalFormatting>
  <conditionalFormatting sqref="G22">
    <cfRule type="expression" dxfId="13" priority="1">
      <formula>AND($A22&lt;&gt;"", $A22&lt;TODAY())</formula>
    </cfRule>
  </conditionalFormatting>
  <conditionalFormatting sqref="G22">
    <cfRule type="cellIs" dxfId="12" priority="2" operator="equal">
      <formula>0</formula>
    </cfRule>
  </conditionalFormatting>
  <dataValidations count="4">
    <dataValidation type="list" allowBlank="1" showInputMessage="1" showErrorMessage="1" sqref="A3 B5:B1048576" xr:uid="{DDF747EE-96F6-4D69-8569-69DE83542A7A}">
      <formula1>famille</formula1>
    </dataValidation>
    <dataValidation type="list" allowBlank="1" showInputMessage="1" showErrorMessage="1" sqref="F5:F1048576" xr:uid="{068DD9B6-9992-4525-9B7B-0B990F398794}">
      <formula1>montant</formula1>
    </dataValidation>
    <dataValidation type="list" allowBlank="1" showInputMessage="1" showErrorMessage="1" sqref="E5:E1048576" xr:uid="{282AEF04-15F2-4152-88D3-DF06A84DD956}">
      <formula1>Moyen</formula1>
    </dataValidation>
    <dataValidation type="list" allowBlank="1" showInputMessage="1" showErrorMessage="1" sqref="D5:D1048576" xr:uid="{96935DBF-BC7D-46F9-84F0-356389AEFF14}">
      <formula1>Qui</formula1>
    </dataValidation>
  </dataValidation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2C6D1-71F3-4184-9009-960C8977419B}">
  <sheetPr codeName="Feuil11"/>
  <dimension ref="A1:L49"/>
  <sheetViews>
    <sheetView showGridLines="0" topLeftCell="A5" workbookViewId="0">
      <selection activeCell="I9" sqref="I9:L13"/>
    </sheetView>
  </sheetViews>
  <sheetFormatPr baseColWidth="10" defaultRowHeight="14.4" x14ac:dyDescent="0.3"/>
  <cols>
    <col min="1" max="1" width="22.5546875" style="2" bestFit="1" customWidth="1"/>
    <col min="2" max="2" width="16.109375" style="2" customWidth="1"/>
    <col min="3" max="3" width="16.109375" style="2" bestFit="1" customWidth="1"/>
    <col min="4" max="4" width="9.33203125" style="2" customWidth="1"/>
    <col min="5" max="6" width="14.44140625" style="3" customWidth="1"/>
    <col min="9" max="9" width="15.21875" customWidth="1"/>
  </cols>
  <sheetData>
    <row r="1" spans="1:12" x14ac:dyDescent="0.3">
      <c r="A1" s="14" t="s">
        <v>66</v>
      </c>
      <c r="B1" s="16">
        <f>Août!J5</f>
        <v>4769.3949363466372</v>
      </c>
      <c r="D1" s="14" t="s">
        <v>55</v>
      </c>
      <c r="E1" s="16">
        <f>SUMIFS(G:G,B:B,"Salaire")</f>
        <v>4450</v>
      </c>
    </row>
    <row r="2" spans="1:12" x14ac:dyDescent="0.3">
      <c r="A2" s="15" t="s">
        <v>67</v>
      </c>
      <c r="B2" s="16">
        <f>Août!J6</f>
        <v>4336.9550636533704</v>
      </c>
      <c r="C2"/>
      <c r="D2" s="17" t="s">
        <v>27</v>
      </c>
      <c r="E2" s="17">
        <v>2450</v>
      </c>
      <c r="F2"/>
      <c r="G2" s="6"/>
    </row>
    <row r="3" spans="1:12" x14ac:dyDescent="0.3">
      <c r="A3"/>
      <c r="B3"/>
      <c r="C3"/>
      <c r="D3" s="17" t="s">
        <v>26</v>
      </c>
      <c r="E3" s="17">
        <v>2000</v>
      </c>
      <c r="F3"/>
    </row>
    <row r="4" spans="1:12" x14ac:dyDescent="0.3">
      <c r="A4" t="s">
        <v>53</v>
      </c>
      <c r="B4" s="1" t="s">
        <v>29</v>
      </c>
      <c r="C4" s="1" t="s">
        <v>31</v>
      </c>
      <c r="D4" s="1" t="s">
        <v>30</v>
      </c>
      <c r="E4" s="1" t="s">
        <v>40</v>
      </c>
      <c r="F4" s="1" t="s">
        <v>58</v>
      </c>
      <c r="G4" s="1" t="s">
        <v>32</v>
      </c>
      <c r="I4" s="12" t="s">
        <v>54</v>
      </c>
      <c r="J4" s="10">
        <f>SUMIFS(G5:G39,F5:F39,"Crédit",D5:D39,"Couple")-SUMIFS(G5:G39,F5:F39,"Débit",D5:D39,"Couple")</f>
        <v>1180.1400000000008</v>
      </c>
    </row>
    <row r="5" spans="1:12" x14ac:dyDescent="0.3">
      <c r="A5" s="5">
        <v>46258</v>
      </c>
      <c r="B5" s="2" t="s">
        <v>25</v>
      </c>
      <c r="C5" s="4" t="s">
        <v>63</v>
      </c>
      <c r="D5" s="2" t="s">
        <v>28</v>
      </c>
      <c r="E5" s="2" t="s">
        <v>8</v>
      </c>
      <c r="F5" s="2" t="s">
        <v>19</v>
      </c>
      <c r="G5" s="3">
        <v>2450</v>
      </c>
      <c r="I5" s="13" t="s">
        <v>56</v>
      </c>
      <c r="J5" s="10">
        <f>((E3/$E$1)*$J$4)-SUMIFS(G$5:G$1048576,D$5:D$1048576,"Julien",$F$5:$F$1048576,"Débit")+SUMIFS($G$5:$G$1048576,$D$5:$D$1048576,"Julien",$F$5:$F$1048576,"Crédit",B$5:B$1048576,"&lt;&gt;Salaire")+$B$1</f>
        <v>5299.7949363466378</v>
      </c>
    </row>
    <row r="6" spans="1:12" x14ac:dyDescent="0.3">
      <c r="A6" s="5">
        <v>46259</v>
      </c>
      <c r="B6" s="2" t="s">
        <v>9</v>
      </c>
      <c r="C6" s="2" t="s">
        <v>68</v>
      </c>
      <c r="D6" s="2" t="s">
        <v>28</v>
      </c>
      <c r="E6" s="2" t="s">
        <v>8</v>
      </c>
      <c r="F6" s="2" t="s">
        <v>59</v>
      </c>
      <c r="G6" s="6">
        <v>200</v>
      </c>
      <c r="I6" s="11" t="s">
        <v>57</v>
      </c>
      <c r="J6" s="10">
        <f>((E2/$E$1)*$J$4)-SUMIFS(G$5:G$1048576,D$5:D$1048576,"Auriane",$F$5:$F$1048576,"Débit")+SUMIFS($G$5:$G$1048576,$D$5:$D$1048576,"Auriane",$F$5:$F$1048576,"Crédit",B$5:B$1048576,"&lt;&gt;Salaire")+$B$2</f>
        <v>4986.6950636533711</v>
      </c>
    </row>
    <row r="7" spans="1:12" x14ac:dyDescent="0.3">
      <c r="A7" s="5">
        <v>46261</v>
      </c>
      <c r="B7" s="2" t="s">
        <v>19</v>
      </c>
      <c r="C7" s="2" t="s">
        <v>7</v>
      </c>
      <c r="D7" s="2" t="s">
        <v>28</v>
      </c>
      <c r="E7" s="2" t="s">
        <v>42</v>
      </c>
      <c r="F7" s="2" t="s">
        <v>59</v>
      </c>
      <c r="G7" s="3">
        <v>353.44</v>
      </c>
    </row>
    <row r="8" spans="1:12" x14ac:dyDescent="0.3">
      <c r="A8" s="5">
        <v>46261</v>
      </c>
      <c r="B8" s="2" t="s">
        <v>1</v>
      </c>
      <c r="C8" s="2" t="s">
        <v>60</v>
      </c>
      <c r="D8" s="2" t="s">
        <v>28</v>
      </c>
      <c r="E8" s="2" t="s">
        <v>44</v>
      </c>
      <c r="F8" s="2" t="s">
        <v>59</v>
      </c>
      <c r="G8" s="6">
        <v>110</v>
      </c>
    </row>
    <row r="9" spans="1:12" x14ac:dyDescent="0.3">
      <c r="A9" s="5">
        <v>46261</v>
      </c>
      <c r="B9" s="2" t="s">
        <v>6</v>
      </c>
      <c r="C9" s="2" t="s">
        <v>61</v>
      </c>
      <c r="D9" s="2" t="s">
        <v>28</v>
      </c>
      <c r="E9" s="2" t="s">
        <v>44</v>
      </c>
      <c r="F9" s="2" t="s">
        <v>59</v>
      </c>
      <c r="G9" s="6">
        <v>50</v>
      </c>
      <c r="J9" s="19" t="s">
        <v>77</v>
      </c>
      <c r="K9" s="19" t="s">
        <v>78</v>
      </c>
      <c r="L9" s="19" t="s">
        <v>79</v>
      </c>
    </row>
    <row r="10" spans="1:12" x14ac:dyDescent="0.3">
      <c r="A10" s="5">
        <v>46261</v>
      </c>
      <c r="B10" s="2" t="s">
        <v>2</v>
      </c>
      <c r="C10" s="2" t="s">
        <v>62</v>
      </c>
      <c r="D10" s="2" t="s">
        <v>28</v>
      </c>
      <c r="E10" s="2" t="s">
        <v>44</v>
      </c>
      <c r="F10" s="2" t="s">
        <v>59</v>
      </c>
      <c r="G10" s="6">
        <v>80</v>
      </c>
      <c r="I10" s="12" t="s">
        <v>1</v>
      </c>
      <c r="J10" s="10">
        <f ca="1">SUMIFS(G:G,B:B,"Courses",A:A,"&lt;=" &amp; TODAY())</f>
        <v>0</v>
      </c>
      <c r="K10" s="10">
        <v>440</v>
      </c>
      <c r="L10" s="10">
        <f ca="1">K10-J10</f>
        <v>440</v>
      </c>
    </row>
    <row r="11" spans="1:12" x14ac:dyDescent="0.3">
      <c r="A11" s="5">
        <v>46261</v>
      </c>
      <c r="B11" s="2" t="s">
        <v>2</v>
      </c>
      <c r="C11" s="2" t="s">
        <v>62</v>
      </c>
      <c r="D11" s="2" t="s">
        <v>28</v>
      </c>
      <c r="E11" s="2" t="s">
        <v>44</v>
      </c>
      <c r="F11" s="2" t="s">
        <v>59</v>
      </c>
      <c r="G11" s="6">
        <v>100</v>
      </c>
      <c r="I11" s="13" t="s">
        <v>6</v>
      </c>
      <c r="J11" s="10">
        <f ca="1">SUMIFS(G:G,B:B,"Tabac",A:A,"&lt;=" &amp; TODAY())</f>
        <v>0</v>
      </c>
      <c r="K11" s="10">
        <v>200</v>
      </c>
      <c r="L11" s="10">
        <f t="shared" ref="L11:L13" ca="1" si="0">K11-J11</f>
        <v>200</v>
      </c>
    </row>
    <row r="12" spans="1:12" x14ac:dyDescent="0.3">
      <c r="A12" s="5">
        <v>46262</v>
      </c>
      <c r="B12" s="2" t="s">
        <v>14</v>
      </c>
      <c r="C12" s="2" t="s">
        <v>36</v>
      </c>
      <c r="D12" s="2" t="s">
        <v>28</v>
      </c>
      <c r="E12" s="2" t="s">
        <v>42</v>
      </c>
      <c r="F12" s="2" t="s">
        <v>59</v>
      </c>
      <c r="G12" s="3">
        <v>42.99</v>
      </c>
      <c r="I12" s="13" t="s">
        <v>2</v>
      </c>
      <c r="J12" s="10">
        <f ca="1">SUMIFS(G:G,B:B,"Essence",A:A,"&lt;=" &amp; TODAY())</f>
        <v>0</v>
      </c>
      <c r="K12" s="10">
        <v>360</v>
      </c>
      <c r="L12" s="10">
        <f t="shared" ca="1" si="0"/>
        <v>360</v>
      </c>
    </row>
    <row r="13" spans="1:12" x14ac:dyDescent="0.3">
      <c r="A13" s="5">
        <f>WORKDAY(EOMONTH("01/08/2026",0)+1,-1)</f>
        <v>46265</v>
      </c>
      <c r="B13" s="2" t="s">
        <v>25</v>
      </c>
      <c r="C13" s="4" t="s">
        <v>64</v>
      </c>
      <c r="D13" s="2" t="s">
        <v>28</v>
      </c>
      <c r="E13" s="2" t="s">
        <v>8</v>
      </c>
      <c r="F13" s="2" t="s">
        <v>19</v>
      </c>
      <c r="G13" s="3">
        <v>2000</v>
      </c>
      <c r="I13" s="18" t="s">
        <v>3</v>
      </c>
      <c r="J13" s="10">
        <f>SUMIFS(G:G,B:B,"Restos")</f>
        <v>0</v>
      </c>
      <c r="K13" s="10">
        <v>30</v>
      </c>
      <c r="L13" s="10">
        <f t="shared" si="0"/>
        <v>30</v>
      </c>
    </row>
    <row r="14" spans="1:12" x14ac:dyDescent="0.3">
      <c r="A14" s="5">
        <v>46266</v>
      </c>
      <c r="B14" s="2" t="s">
        <v>11</v>
      </c>
      <c r="C14" s="2" t="s">
        <v>23</v>
      </c>
      <c r="D14" s="2" t="s">
        <v>28</v>
      </c>
      <c r="E14" s="2" t="s">
        <v>8</v>
      </c>
      <c r="F14" s="2" t="s">
        <v>59</v>
      </c>
      <c r="G14" s="6"/>
    </row>
    <row r="15" spans="1:12" x14ac:dyDescent="0.3">
      <c r="A15" s="5">
        <v>46266</v>
      </c>
      <c r="B15" s="2" t="s">
        <v>23</v>
      </c>
      <c r="C15" s="2" t="s">
        <v>73</v>
      </c>
      <c r="D15" s="2" t="s">
        <v>28</v>
      </c>
      <c r="E15" s="2" t="s">
        <v>8</v>
      </c>
      <c r="F15" s="2" t="s">
        <v>59</v>
      </c>
      <c r="G15" s="6">
        <v>50</v>
      </c>
    </row>
    <row r="16" spans="1:12" x14ac:dyDescent="0.3">
      <c r="A16" s="5">
        <v>46266</v>
      </c>
      <c r="B16" s="2" t="s">
        <v>19</v>
      </c>
      <c r="C16" s="2" t="s">
        <v>50</v>
      </c>
      <c r="D16" s="2" t="s">
        <v>28</v>
      </c>
      <c r="E16" s="2" t="s">
        <v>42</v>
      </c>
      <c r="F16" s="2" t="s">
        <v>59</v>
      </c>
      <c r="G16" s="3">
        <v>150</v>
      </c>
    </row>
    <row r="17" spans="1:7" x14ac:dyDescent="0.3">
      <c r="A17" s="5">
        <v>46268</v>
      </c>
      <c r="B17" s="2" t="s">
        <v>17</v>
      </c>
      <c r="C17" s="2" t="s">
        <v>38</v>
      </c>
      <c r="D17" s="2" t="s">
        <v>28</v>
      </c>
      <c r="E17" s="2" t="s">
        <v>41</v>
      </c>
      <c r="F17" s="2" t="s">
        <v>59</v>
      </c>
      <c r="G17" s="3">
        <v>7.99</v>
      </c>
    </row>
    <row r="18" spans="1:7" x14ac:dyDescent="0.3">
      <c r="A18" s="5">
        <v>46268</v>
      </c>
      <c r="B18" s="2" t="s">
        <v>1</v>
      </c>
      <c r="C18" s="2" t="s">
        <v>60</v>
      </c>
      <c r="D18" s="2" t="s">
        <v>28</v>
      </c>
      <c r="E18" s="2" t="s">
        <v>44</v>
      </c>
      <c r="F18" s="2" t="s">
        <v>59</v>
      </c>
      <c r="G18" s="6">
        <v>110</v>
      </c>
    </row>
    <row r="19" spans="1:7" x14ac:dyDescent="0.3">
      <c r="A19" s="5">
        <v>46268</v>
      </c>
      <c r="B19" s="2" t="s">
        <v>6</v>
      </c>
      <c r="C19" s="2" t="s">
        <v>61</v>
      </c>
      <c r="D19" s="2" t="s">
        <v>28</v>
      </c>
      <c r="E19" s="2" t="s">
        <v>44</v>
      </c>
      <c r="F19" s="2" t="s">
        <v>59</v>
      </c>
      <c r="G19" s="6">
        <v>50</v>
      </c>
    </row>
    <row r="20" spans="1:7" x14ac:dyDescent="0.3">
      <c r="A20" s="5">
        <v>46269</v>
      </c>
      <c r="B20" s="2" t="s">
        <v>17</v>
      </c>
      <c r="C20" s="2" t="s">
        <v>37</v>
      </c>
      <c r="D20" s="2" t="s">
        <v>28</v>
      </c>
      <c r="E20" s="2" t="s">
        <v>42</v>
      </c>
      <c r="F20" s="2" t="s">
        <v>59</v>
      </c>
      <c r="G20" s="3">
        <v>47.5</v>
      </c>
    </row>
    <row r="21" spans="1:7" x14ac:dyDescent="0.3">
      <c r="A21" s="5">
        <v>46270</v>
      </c>
      <c r="B21" s="2" t="s">
        <v>0</v>
      </c>
      <c r="C21" s="4" t="s">
        <v>65</v>
      </c>
      <c r="D21" s="2" t="s">
        <v>28</v>
      </c>
      <c r="E21" s="2" t="s">
        <v>42</v>
      </c>
      <c r="F21" s="2" t="s">
        <v>59</v>
      </c>
      <c r="G21" s="3">
        <v>700</v>
      </c>
    </row>
    <row r="22" spans="1:7" x14ac:dyDescent="0.3">
      <c r="A22" s="5">
        <v>46270</v>
      </c>
      <c r="B22" s="2" t="s">
        <v>14</v>
      </c>
      <c r="C22" s="2" t="s">
        <v>34</v>
      </c>
      <c r="D22" s="2" t="s">
        <v>28</v>
      </c>
      <c r="E22" s="2" t="s">
        <v>42</v>
      </c>
      <c r="F22" s="2" t="s">
        <v>59</v>
      </c>
      <c r="G22" s="3">
        <v>26.99</v>
      </c>
    </row>
    <row r="23" spans="1:7" x14ac:dyDescent="0.3">
      <c r="A23" s="5">
        <v>46270</v>
      </c>
      <c r="B23" s="2" t="s">
        <v>15</v>
      </c>
      <c r="C23" s="2" t="s">
        <v>46</v>
      </c>
      <c r="D23" s="2" t="s">
        <v>28</v>
      </c>
      <c r="E23" s="2" t="s">
        <v>42</v>
      </c>
      <c r="F23" s="2" t="s">
        <v>59</v>
      </c>
      <c r="G23" s="3">
        <v>195</v>
      </c>
    </row>
    <row r="24" spans="1:7" x14ac:dyDescent="0.3">
      <c r="A24" s="5">
        <v>46270</v>
      </c>
      <c r="B24" s="2" t="s">
        <v>23</v>
      </c>
      <c r="C24" s="2" t="s">
        <v>51</v>
      </c>
      <c r="D24" s="2" t="s">
        <v>28</v>
      </c>
      <c r="E24" s="2" t="s">
        <v>42</v>
      </c>
      <c r="F24" s="2" t="s">
        <v>59</v>
      </c>
      <c r="G24" s="3">
        <v>9</v>
      </c>
    </row>
    <row r="25" spans="1:7" x14ac:dyDescent="0.3">
      <c r="A25" s="5">
        <v>46270</v>
      </c>
      <c r="B25" s="2" t="s">
        <v>23</v>
      </c>
      <c r="C25" s="2" t="s">
        <v>52</v>
      </c>
      <c r="D25" s="2" t="s">
        <v>28</v>
      </c>
      <c r="E25" s="2" t="s">
        <v>42</v>
      </c>
      <c r="F25" s="2" t="s">
        <v>59</v>
      </c>
      <c r="G25" s="3">
        <v>15</v>
      </c>
    </row>
    <row r="26" spans="1:7" x14ac:dyDescent="0.3">
      <c r="A26" s="5">
        <v>46271</v>
      </c>
      <c r="B26" s="2" t="s">
        <v>10</v>
      </c>
      <c r="C26" s="2" t="s">
        <v>23</v>
      </c>
      <c r="D26" s="2" t="s">
        <v>28</v>
      </c>
      <c r="E26" s="2" t="s">
        <v>42</v>
      </c>
      <c r="F26" s="2" t="s">
        <v>59</v>
      </c>
      <c r="G26" s="6">
        <v>38.25</v>
      </c>
    </row>
    <row r="27" spans="1:7" x14ac:dyDescent="0.3">
      <c r="A27" s="5">
        <v>46274</v>
      </c>
      <c r="B27" s="2" t="s">
        <v>24</v>
      </c>
      <c r="C27" s="2" t="s">
        <v>74</v>
      </c>
      <c r="D27" s="2" t="s">
        <v>28</v>
      </c>
      <c r="E27" s="3" t="s">
        <v>44</v>
      </c>
      <c r="F27" s="2" t="s">
        <v>59</v>
      </c>
      <c r="G27" s="6">
        <v>200</v>
      </c>
    </row>
    <row r="28" spans="1:7" x14ac:dyDescent="0.3">
      <c r="A28" s="5">
        <v>46275</v>
      </c>
      <c r="B28" s="2" t="s">
        <v>20</v>
      </c>
      <c r="C28" s="2" t="s">
        <v>33</v>
      </c>
      <c r="D28" s="2" t="s">
        <v>28</v>
      </c>
      <c r="E28" s="2" t="s">
        <v>42</v>
      </c>
      <c r="F28" s="2" t="s">
        <v>59</v>
      </c>
      <c r="G28" s="3">
        <v>128.08000000000001</v>
      </c>
    </row>
    <row r="29" spans="1:7" x14ac:dyDescent="0.3">
      <c r="A29" s="5">
        <v>46275</v>
      </c>
      <c r="B29" s="2" t="s">
        <v>16</v>
      </c>
      <c r="C29" s="2" t="s">
        <v>47</v>
      </c>
      <c r="D29" s="2" t="s">
        <v>28</v>
      </c>
      <c r="E29" s="2" t="s">
        <v>42</v>
      </c>
      <c r="F29" s="2" t="s">
        <v>59</v>
      </c>
      <c r="G29" s="3">
        <v>60</v>
      </c>
    </row>
    <row r="30" spans="1:7" x14ac:dyDescent="0.3">
      <c r="A30" s="5">
        <v>46275</v>
      </c>
      <c r="B30" s="2" t="s">
        <v>14</v>
      </c>
      <c r="C30" s="2" t="s">
        <v>48</v>
      </c>
      <c r="D30" s="2" t="s">
        <v>28</v>
      </c>
      <c r="E30" s="2" t="s">
        <v>8</v>
      </c>
      <c r="F30" s="2" t="s">
        <v>59</v>
      </c>
      <c r="G30" s="3">
        <v>15</v>
      </c>
    </row>
    <row r="31" spans="1:7" x14ac:dyDescent="0.3">
      <c r="A31" s="5">
        <v>46275</v>
      </c>
      <c r="B31" s="2" t="s">
        <v>1</v>
      </c>
      <c r="C31" s="2" t="s">
        <v>60</v>
      </c>
      <c r="D31" s="2" t="s">
        <v>28</v>
      </c>
      <c r="E31" s="2" t="s">
        <v>44</v>
      </c>
      <c r="F31" s="2" t="s">
        <v>59</v>
      </c>
      <c r="G31" s="6">
        <v>110</v>
      </c>
    </row>
    <row r="32" spans="1:7" x14ac:dyDescent="0.3">
      <c r="A32" s="5">
        <v>46275</v>
      </c>
      <c r="B32" s="2" t="s">
        <v>6</v>
      </c>
      <c r="C32" s="2" t="s">
        <v>61</v>
      </c>
      <c r="D32" s="2" t="s">
        <v>28</v>
      </c>
      <c r="E32" s="2" t="s">
        <v>44</v>
      </c>
      <c r="F32" s="2" t="s">
        <v>59</v>
      </c>
      <c r="G32" s="6">
        <v>50</v>
      </c>
    </row>
    <row r="33" spans="1:7" x14ac:dyDescent="0.3">
      <c r="A33" s="5">
        <v>46275</v>
      </c>
      <c r="B33" s="2" t="s">
        <v>2</v>
      </c>
      <c r="C33" s="2" t="s">
        <v>62</v>
      </c>
      <c r="D33" s="2" t="s">
        <v>28</v>
      </c>
      <c r="E33" s="2" t="s">
        <v>44</v>
      </c>
      <c r="F33" s="2" t="s">
        <v>59</v>
      </c>
      <c r="G33" s="6">
        <v>80</v>
      </c>
    </row>
    <row r="34" spans="1:7" x14ac:dyDescent="0.3">
      <c r="A34" s="5">
        <v>46275</v>
      </c>
      <c r="B34" s="2" t="s">
        <v>2</v>
      </c>
      <c r="C34" s="2" t="s">
        <v>62</v>
      </c>
      <c r="D34" s="2" t="s">
        <v>28</v>
      </c>
      <c r="E34" s="2" t="s">
        <v>44</v>
      </c>
      <c r="F34" s="2" t="s">
        <v>59</v>
      </c>
      <c r="G34" s="6">
        <v>100</v>
      </c>
    </row>
    <row r="35" spans="1:7" x14ac:dyDescent="0.3">
      <c r="A35" s="5">
        <v>46278</v>
      </c>
      <c r="B35" s="2" t="s">
        <v>17</v>
      </c>
      <c r="C35" s="2" t="s">
        <v>39</v>
      </c>
      <c r="D35" s="2" t="s">
        <v>28</v>
      </c>
      <c r="E35" s="2" t="s">
        <v>41</v>
      </c>
      <c r="F35" s="2" t="s">
        <v>59</v>
      </c>
      <c r="G35" s="3">
        <v>6.49</v>
      </c>
    </row>
    <row r="36" spans="1:7" x14ac:dyDescent="0.3">
      <c r="A36" s="5">
        <v>46279</v>
      </c>
      <c r="B36" s="2" t="s">
        <v>14</v>
      </c>
      <c r="C36" s="2" t="s">
        <v>35</v>
      </c>
      <c r="D36" s="2" t="s">
        <v>28</v>
      </c>
      <c r="E36" s="2" t="s">
        <v>42</v>
      </c>
      <c r="F36" s="2" t="s">
        <v>59</v>
      </c>
      <c r="G36" s="3">
        <v>11.99</v>
      </c>
    </row>
    <row r="37" spans="1:7" x14ac:dyDescent="0.3">
      <c r="A37" s="5">
        <v>46282</v>
      </c>
      <c r="B37" s="2" t="s">
        <v>1</v>
      </c>
      <c r="C37" s="2" t="s">
        <v>60</v>
      </c>
      <c r="D37" s="2" t="s">
        <v>28</v>
      </c>
      <c r="E37" s="2" t="s">
        <v>44</v>
      </c>
      <c r="F37" s="2" t="s">
        <v>59</v>
      </c>
      <c r="G37" s="6">
        <v>110</v>
      </c>
    </row>
    <row r="38" spans="1:7" x14ac:dyDescent="0.3">
      <c r="A38" s="5">
        <v>46282</v>
      </c>
      <c r="B38" s="2" t="s">
        <v>6</v>
      </c>
      <c r="C38" s="2" t="s">
        <v>61</v>
      </c>
      <c r="D38" s="2" t="s">
        <v>28</v>
      </c>
      <c r="E38" s="2" t="s">
        <v>44</v>
      </c>
      <c r="F38" s="2" t="s">
        <v>59</v>
      </c>
      <c r="G38" s="6">
        <v>50</v>
      </c>
    </row>
    <row r="39" spans="1:7" x14ac:dyDescent="0.3">
      <c r="A39" s="5">
        <v>46286</v>
      </c>
      <c r="B39" s="2" t="s">
        <v>18</v>
      </c>
      <c r="C39" s="2" t="s">
        <v>49</v>
      </c>
      <c r="D39" s="2" t="s">
        <v>28</v>
      </c>
      <c r="E39" s="2" t="s">
        <v>41</v>
      </c>
      <c r="F39" s="2" t="s">
        <v>59</v>
      </c>
      <c r="G39" s="3">
        <v>12.14</v>
      </c>
    </row>
    <row r="40" spans="1:7" x14ac:dyDescent="0.3">
      <c r="A40" s="5"/>
    </row>
    <row r="41" spans="1:7" x14ac:dyDescent="0.3">
      <c r="A41" s="5"/>
    </row>
    <row r="42" spans="1:7" x14ac:dyDescent="0.3">
      <c r="A42" s="5"/>
    </row>
    <row r="43" spans="1:7" x14ac:dyDescent="0.3">
      <c r="A43" s="5"/>
    </row>
    <row r="44" spans="1:7" x14ac:dyDescent="0.3">
      <c r="A44" s="5"/>
    </row>
    <row r="45" spans="1:7" x14ac:dyDescent="0.3">
      <c r="A45" s="5"/>
    </row>
    <row r="46" spans="1:7" x14ac:dyDescent="0.3">
      <c r="A46" s="5"/>
    </row>
    <row r="47" spans="1:7" x14ac:dyDescent="0.3">
      <c r="A47" s="5"/>
    </row>
    <row r="48" spans="1:7" x14ac:dyDescent="0.3">
      <c r="A48" s="5"/>
    </row>
    <row r="49" spans="1:1" x14ac:dyDescent="0.3">
      <c r="A49" s="5"/>
    </row>
  </sheetData>
  <conditionalFormatting sqref="A38:A49">
    <cfRule type="expression" dxfId="45" priority="3">
      <formula>AND($A38&lt;&gt;"", $A38&lt;TODAY())</formula>
    </cfRule>
  </conditionalFormatting>
  <conditionalFormatting sqref="A5:G21 A22:B37 D22:D37">
    <cfRule type="expression" dxfId="44" priority="6">
      <formula>AND($A5&lt;&gt;"", $A5&lt;TODAY())</formula>
    </cfRule>
  </conditionalFormatting>
  <conditionalFormatting sqref="F22:F24">
    <cfRule type="expression" dxfId="43" priority="5">
      <formula>AND($A22&lt;&gt;"", $A22&lt;TODAY())</formula>
    </cfRule>
  </conditionalFormatting>
  <conditionalFormatting sqref="G5:G21 G23:G39">
    <cfRule type="cellIs" dxfId="42" priority="4" operator="equal">
      <formula>0</formula>
    </cfRule>
  </conditionalFormatting>
  <conditionalFormatting sqref="I6">
    <cfRule type="expression" dxfId="41" priority="7">
      <formula>AND($A6&lt;&gt;"", $A6&lt;TODAY())</formula>
    </cfRule>
  </conditionalFormatting>
  <conditionalFormatting sqref="G22">
    <cfRule type="expression" dxfId="11" priority="1">
      <formula>AND($A22&lt;&gt;"", $A22&lt;TODAY())</formula>
    </cfRule>
  </conditionalFormatting>
  <conditionalFormatting sqref="G22">
    <cfRule type="cellIs" dxfId="10" priority="2" operator="equal">
      <formula>0</formula>
    </cfRule>
  </conditionalFormatting>
  <dataValidations count="4">
    <dataValidation type="list" allowBlank="1" showInputMessage="1" showErrorMessage="1" sqref="D5:D1048576" xr:uid="{BCD1BAB2-4AE8-498B-9948-F66D17BD34C4}">
      <formula1>Qui</formula1>
    </dataValidation>
    <dataValidation type="list" allowBlank="1" showInputMessage="1" showErrorMessage="1" sqref="E5:E1048576" xr:uid="{D8EECB11-E661-4E21-A2C7-71079EE30962}">
      <formula1>Moyen</formula1>
    </dataValidation>
    <dataValidation type="list" allowBlank="1" showInputMessage="1" showErrorMessage="1" sqref="F5:F1048576" xr:uid="{0665F005-5930-4814-A6A1-74C19F570F7A}">
      <formula1>montant</formula1>
    </dataValidation>
    <dataValidation type="list" allowBlank="1" showInputMessage="1" showErrorMessage="1" sqref="A3 B5:B1048576" xr:uid="{BC96D432-9710-4E63-B558-131E3D371266}">
      <formula1>famille</formula1>
    </dataValidation>
  </dataValidation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E1AB9-94BB-4BA2-B1FA-D30BD9DA8159}">
  <sheetPr codeName="Feuil12"/>
  <dimension ref="A1:L49"/>
  <sheetViews>
    <sheetView showGridLines="0" topLeftCell="A4" workbookViewId="0">
      <selection activeCell="I9" sqref="I9:L13"/>
    </sheetView>
  </sheetViews>
  <sheetFormatPr baseColWidth="10" defaultRowHeight="14.4" x14ac:dyDescent="0.3"/>
  <cols>
    <col min="1" max="1" width="22.5546875" style="2" bestFit="1" customWidth="1"/>
    <col min="2" max="2" width="16.109375" style="2" customWidth="1"/>
    <col min="3" max="3" width="16.109375" style="2" bestFit="1" customWidth="1"/>
    <col min="4" max="4" width="9.33203125" style="2" customWidth="1"/>
    <col min="5" max="6" width="14.44140625" style="3" customWidth="1"/>
    <col min="9" max="9" width="15.21875" customWidth="1"/>
  </cols>
  <sheetData>
    <row r="1" spans="1:12" x14ac:dyDescent="0.3">
      <c r="A1" s="14" t="s">
        <v>66</v>
      </c>
      <c r="B1" s="16">
        <f>Septembre!J5</f>
        <v>5299.7949363466378</v>
      </c>
      <c r="D1" s="14" t="s">
        <v>55</v>
      </c>
      <c r="E1" s="16">
        <f>SUMIFS(G:G,B:B,"Salaire")</f>
        <v>4450</v>
      </c>
    </row>
    <row r="2" spans="1:12" x14ac:dyDescent="0.3">
      <c r="A2" s="15" t="s">
        <v>67</v>
      </c>
      <c r="B2" s="16">
        <f>Septembre!J6</f>
        <v>4986.6950636533711</v>
      </c>
      <c r="C2"/>
      <c r="D2" s="17" t="s">
        <v>27</v>
      </c>
      <c r="E2" s="17">
        <v>2450</v>
      </c>
      <c r="F2"/>
      <c r="G2" s="6"/>
    </row>
    <row r="3" spans="1:12" x14ac:dyDescent="0.3">
      <c r="A3"/>
      <c r="B3"/>
      <c r="C3"/>
      <c r="D3" s="17" t="s">
        <v>26</v>
      </c>
      <c r="E3" s="17">
        <v>2000</v>
      </c>
      <c r="F3"/>
    </row>
    <row r="4" spans="1:12" x14ac:dyDescent="0.3">
      <c r="A4" t="s">
        <v>53</v>
      </c>
      <c r="B4" s="1" t="s">
        <v>29</v>
      </c>
      <c r="C4" s="1" t="s">
        <v>31</v>
      </c>
      <c r="D4" s="1" t="s">
        <v>30</v>
      </c>
      <c r="E4" s="1" t="s">
        <v>40</v>
      </c>
      <c r="F4" s="1" t="s">
        <v>58</v>
      </c>
      <c r="G4" s="1" t="s">
        <v>32</v>
      </c>
      <c r="I4" s="12" t="s">
        <v>54</v>
      </c>
      <c r="J4" s="10">
        <f>SUMIFS(G5:G39,F5:F39,"Crédit",D5:D39,"Couple")-SUMIFS(G5:G39,F5:F39,"Débit",D5:D39,"Couple")</f>
        <v>1180.1400000000008</v>
      </c>
    </row>
    <row r="5" spans="1:12" x14ac:dyDescent="0.3">
      <c r="A5" s="5">
        <v>46289</v>
      </c>
      <c r="B5" s="2" t="s">
        <v>25</v>
      </c>
      <c r="C5" s="4" t="s">
        <v>63</v>
      </c>
      <c r="D5" s="2" t="s">
        <v>28</v>
      </c>
      <c r="E5" s="2" t="s">
        <v>8</v>
      </c>
      <c r="F5" s="2" t="s">
        <v>19</v>
      </c>
      <c r="G5" s="3">
        <v>2450</v>
      </c>
      <c r="I5" s="13" t="s">
        <v>56</v>
      </c>
      <c r="J5" s="10">
        <f>((E3/$E$1)*$J$4)-SUMIFS(G$5:G$1048576,D$5:D$1048576,"Julien",$F$5:$F$1048576,"Débit")+SUMIFS($G$5:$G$1048576,$D$5:$D$1048576,"Julien",$F$5:$F$1048576,"Crédit",B$5:B$1048576,"&lt;&gt;Salaire")+$B$1</f>
        <v>5830.1949363466383</v>
      </c>
    </row>
    <row r="6" spans="1:12" x14ac:dyDescent="0.3">
      <c r="A6" s="5">
        <v>46290</v>
      </c>
      <c r="B6" s="2" t="s">
        <v>9</v>
      </c>
      <c r="C6" s="2" t="s">
        <v>68</v>
      </c>
      <c r="D6" s="2" t="s">
        <v>28</v>
      </c>
      <c r="E6" s="2" t="s">
        <v>8</v>
      </c>
      <c r="F6" s="2" t="s">
        <v>59</v>
      </c>
      <c r="G6" s="6">
        <v>200</v>
      </c>
      <c r="I6" s="11" t="s">
        <v>57</v>
      </c>
      <c r="J6" s="10">
        <f>((E2/$E$1)*$J$4)-SUMIFS(G$5:G$1048576,D$5:D$1048576,"Auriane",$F$5:$F$1048576,"Débit")+SUMIFS($G$5:$G$1048576,$D$5:$D$1048576,"Auriane",$F$5:$F$1048576,"Crédit",B$5:B$1048576,"&lt;&gt;Salaire")+$B$2</f>
        <v>5636.4350636533718</v>
      </c>
    </row>
    <row r="7" spans="1:12" x14ac:dyDescent="0.3">
      <c r="A7" s="5">
        <v>46292</v>
      </c>
      <c r="B7" s="2" t="s">
        <v>19</v>
      </c>
      <c r="C7" s="2" t="s">
        <v>7</v>
      </c>
      <c r="D7" s="2" t="s">
        <v>28</v>
      </c>
      <c r="E7" s="2" t="s">
        <v>42</v>
      </c>
      <c r="F7" s="2" t="s">
        <v>59</v>
      </c>
      <c r="G7" s="3">
        <v>353.44</v>
      </c>
    </row>
    <row r="8" spans="1:12" x14ac:dyDescent="0.3">
      <c r="A8" s="5">
        <v>46292</v>
      </c>
      <c r="B8" s="2" t="s">
        <v>1</v>
      </c>
      <c r="C8" s="2" t="s">
        <v>60</v>
      </c>
      <c r="D8" s="2" t="s">
        <v>28</v>
      </c>
      <c r="E8" s="2" t="s">
        <v>44</v>
      </c>
      <c r="F8" s="2" t="s">
        <v>59</v>
      </c>
      <c r="G8" s="6">
        <v>110</v>
      </c>
    </row>
    <row r="9" spans="1:12" x14ac:dyDescent="0.3">
      <c r="A9" s="5">
        <v>46292</v>
      </c>
      <c r="B9" s="2" t="s">
        <v>6</v>
      </c>
      <c r="C9" s="2" t="s">
        <v>61</v>
      </c>
      <c r="D9" s="2" t="s">
        <v>28</v>
      </c>
      <c r="E9" s="2" t="s">
        <v>44</v>
      </c>
      <c r="F9" s="2" t="s">
        <v>59</v>
      </c>
      <c r="G9" s="6">
        <v>50</v>
      </c>
      <c r="J9" s="19" t="s">
        <v>77</v>
      </c>
      <c r="K9" s="19" t="s">
        <v>78</v>
      </c>
      <c r="L9" s="19" t="s">
        <v>79</v>
      </c>
    </row>
    <row r="10" spans="1:12" x14ac:dyDescent="0.3">
      <c r="A10" s="5">
        <v>46292</v>
      </c>
      <c r="B10" s="2" t="s">
        <v>2</v>
      </c>
      <c r="C10" s="2" t="s">
        <v>62</v>
      </c>
      <c r="D10" s="2" t="s">
        <v>28</v>
      </c>
      <c r="E10" s="2" t="s">
        <v>44</v>
      </c>
      <c r="F10" s="2" t="s">
        <v>59</v>
      </c>
      <c r="G10" s="6">
        <v>80</v>
      </c>
      <c r="I10" s="12" t="s">
        <v>1</v>
      </c>
      <c r="J10" s="10">
        <f ca="1">SUMIFS(G:G,B:B,"Courses",A:A,"&lt;=" &amp; TODAY())</f>
        <v>0</v>
      </c>
      <c r="K10" s="10">
        <v>440</v>
      </c>
      <c r="L10" s="10">
        <f ca="1">K10-J10</f>
        <v>440</v>
      </c>
    </row>
    <row r="11" spans="1:12" x14ac:dyDescent="0.3">
      <c r="A11" s="5">
        <v>46292</v>
      </c>
      <c r="B11" s="2" t="s">
        <v>2</v>
      </c>
      <c r="C11" s="2" t="s">
        <v>62</v>
      </c>
      <c r="D11" s="2" t="s">
        <v>28</v>
      </c>
      <c r="E11" s="2" t="s">
        <v>44</v>
      </c>
      <c r="F11" s="2" t="s">
        <v>59</v>
      </c>
      <c r="G11" s="6">
        <v>100</v>
      </c>
      <c r="I11" s="13" t="s">
        <v>6</v>
      </c>
      <c r="J11" s="10">
        <f ca="1">SUMIFS(G:G,B:B,"Tabac",A:A,"&lt;=" &amp; TODAY())</f>
        <v>0</v>
      </c>
      <c r="K11" s="10">
        <v>200</v>
      </c>
      <c r="L11" s="10">
        <f t="shared" ref="L11:L13" ca="1" si="0">K11-J11</f>
        <v>200</v>
      </c>
    </row>
    <row r="12" spans="1:12" x14ac:dyDescent="0.3">
      <c r="A12" s="5">
        <v>46293</v>
      </c>
      <c r="B12" s="2" t="s">
        <v>14</v>
      </c>
      <c r="C12" s="2" t="s">
        <v>36</v>
      </c>
      <c r="D12" s="2" t="s">
        <v>28</v>
      </c>
      <c r="E12" s="2" t="s">
        <v>42</v>
      </c>
      <c r="F12" s="2" t="s">
        <v>59</v>
      </c>
      <c r="G12" s="3">
        <v>42.99</v>
      </c>
      <c r="I12" s="13" t="s">
        <v>2</v>
      </c>
      <c r="J12" s="10">
        <f ca="1">SUMIFS(G:G,B:B,"Essence",A:A,"&lt;=" &amp; TODAY())</f>
        <v>0</v>
      </c>
      <c r="K12" s="10">
        <v>360</v>
      </c>
      <c r="L12" s="10">
        <f t="shared" ca="1" si="0"/>
        <v>360</v>
      </c>
    </row>
    <row r="13" spans="1:12" x14ac:dyDescent="0.3">
      <c r="A13" s="5">
        <f>WORKDAY(EOMONTH("01/09/2026",0)+1,-1)</f>
        <v>46295</v>
      </c>
      <c r="B13" s="2" t="s">
        <v>25</v>
      </c>
      <c r="C13" s="4" t="s">
        <v>64</v>
      </c>
      <c r="D13" s="2" t="s">
        <v>28</v>
      </c>
      <c r="E13" s="2" t="s">
        <v>8</v>
      </c>
      <c r="F13" s="2" t="s">
        <v>19</v>
      </c>
      <c r="G13" s="3">
        <v>2000</v>
      </c>
      <c r="I13" s="18" t="s">
        <v>3</v>
      </c>
      <c r="J13" s="10">
        <f>SUMIFS(G:G,B:B,"Restos")</f>
        <v>0</v>
      </c>
      <c r="K13" s="10">
        <v>30</v>
      </c>
      <c r="L13" s="10">
        <f t="shared" si="0"/>
        <v>30</v>
      </c>
    </row>
    <row r="14" spans="1:12" x14ac:dyDescent="0.3">
      <c r="A14" s="5">
        <v>46296</v>
      </c>
      <c r="B14" s="2" t="s">
        <v>11</v>
      </c>
      <c r="C14" s="2" t="s">
        <v>23</v>
      </c>
      <c r="D14" s="2" t="s">
        <v>28</v>
      </c>
      <c r="E14" s="2" t="s">
        <v>8</v>
      </c>
      <c r="F14" s="2" t="s">
        <v>59</v>
      </c>
      <c r="G14" s="6"/>
    </row>
    <row r="15" spans="1:12" x14ac:dyDescent="0.3">
      <c r="A15" s="5">
        <v>46296</v>
      </c>
      <c r="B15" s="2" t="s">
        <v>23</v>
      </c>
      <c r="C15" s="2" t="s">
        <v>73</v>
      </c>
      <c r="D15" s="2" t="s">
        <v>28</v>
      </c>
      <c r="E15" s="2" t="s">
        <v>8</v>
      </c>
      <c r="F15" s="2" t="s">
        <v>59</v>
      </c>
      <c r="G15" s="6">
        <v>50</v>
      </c>
    </row>
    <row r="16" spans="1:12" x14ac:dyDescent="0.3">
      <c r="A16" s="5">
        <v>46296</v>
      </c>
      <c r="B16" s="2" t="s">
        <v>19</v>
      </c>
      <c r="C16" s="2" t="s">
        <v>50</v>
      </c>
      <c r="D16" s="2" t="s">
        <v>28</v>
      </c>
      <c r="E16" s="2" t="s">
        <v>42</v>
      </c>
      <c r="F16" s="2" t="s">
        <v>59</v>
      </c>
      <c r="G16" s="3">
        <v>150</v>
      </c>
    </row>
    <row r="17" spans="1:7" x14ac:dyDescent="0.3">
      <c r="A17" s="5">
        <v>46298</v>
      </c>
      <c r="B17" s="2" t="s">
        <v>17</v>
      </c>
      <c r="C17" s="2" t="s">
        <v>38</v>
      </c>
      <c r="D17" s="2" t="s">
        <v>28</v>
      </c>
      <c r="E17" s="2" t="s">
        <v>41</v>
      </c>
      <c r="F17" s="2" t="s">
        <v>59</v>
      </c>
      <c r="G17" s="3">
        <v>7.99</v>
      </c>
    </row>
    <row r="18" spans="1:7" x14ac:dyDescent="0.3">
      <c r="A18" s="5">
        <v>46298</v>
      </c>
      <c r="B18" s="2" t="s">
        <v>1</v>
      </c>
      <c r="C18" s="2" t="s">
        <v>60</v>
      </c>
      <c r="D18" s="2" t="s">
        <v>28</v>
      </c>
      <c r="E18" s="2" t="s">
        <v>44</v>
      </c>
      <c r="F18" s="2" t="s">
        <v>59</v>
      </c>
      <c r="G18" s="6">
        <v>110</v>
      </c>
    </row>
    <row r="19" spans="1:7" x14ac:dyDescent="0.3">
      <c r="A19" s="5">
        <v>46298</v>
      </c>
      <c r="B19" s="2" t="s">
        <v>6</v>
      </c>
      <c r="C19" s="2" t="s">
        <v>61</v>
      </c>
      <c r="D19" s="2" t="s">
        <v>28</v>
      </c>
      <c r="E19" s="2" t="s">
        <v>44</v>
      </c>
      <c r="F19" s="2" t="s">
        <v>59</v>
      </c>
      <c r="G19" s="6">
        <v>50</v>
      </c>
    </row>
    <row r="20" spans="1:7" x14ac:dyDescent="0.3">
      <c r="A20" s="5">
        <v>46299</v>
      </c>
      <c r="B20" s="2" t="s">
        <v>17</v>
      </c>
      <c r="C20" s="2" t="s">
        <v>37</v>
      </c>
      <c r="D20" s="2" t="s">
        <v>28</v>
      </c>
      <c r="E20" s="2" t="s">
        <v>42</v>
      </c>
      <c r="F20" s="2" t="s">
        <v>59</v>
      </c>
      <c r="G20" s="3">
        <v>47.5</v>
      </c>
    </row>
    <row r="21" spans="1:7" x14ac:dyDescent="0.3">
      <c r="A21" s="5">
        <v>46300</v>
      </c>
      <c r="B21" s="2" t="s">
        <v>0</v>
      </c>
      <c r="C21" s="4" t="s">
        <v>65</v>
      </c>
      <c r="D21" s="2" t="s">
        <v>28</v>
      </c>
      <c r="E21" s="2" t="s">
        <v>42</v>
      </c>
      <c r="F21" s="2" t="s">
        <v>59</v>
      </c>
      <c r="G21" s="3">
        <v>700</v>
      </c>
    </row>
    <row r="22" spans="1:7" x14ac:dyDescent="0.3">
      <c r="A22" s="5">
        <v>46300</v>
      </c>
      <c r="B22" s="2" t="s">
        <v>14</v>
      </c>
      <c r="C22" s="2" t="s">
        <v>34</v>
      </c>
      <c r="D22" s="2" t="s">
        <v>28</v>
      </c>
      <c r="E22" s="2" t="s">
        <v>42</v>
      </c>
      <c r="F22" s="2" t="s">
        <v>59</v>
      </c>
      <c r="G22" s="3">
        <v>26.99</v>
      </c>
    </row>
    <row r="23" spans="1:7" x14ac:dyDescent="0.3">
      <c r="A23" s="5">
        <v>46300</v>
      </c>
      <c r="B23" s="2" t="s">
        <v>15</v>
      </c>
      <c r="C23" s="2" t="s">
        <v>46</v>
      </c>
      <c r="D23" s="2" t="s">
        <v>28</v>
      </c>
      <c r="E23" s="2" t="s">
        <v>42</v>
      </c>
      <c r="F23" s="2" t="s">
        <v>59</v>
      </c>
      <c r="G23" s="3">
        <v>195</v>
      </c>
    </row>
    <row r="24" spans="1:7" x14ac:dyDescent="0.3">
      <c r="A24" s="5">
        <v>46300</v>
      </c>
      <c r="B24" s="2" t="s">
        <v>23</v>
      </c>
      <c r="C24" s="2" t="s">
        <v>51</v>
      </c>
      <c r="D24" s="2" t="s">
        <v>28</v>
      </c>
      <c r="E24" s="2" t="s">
        <v>42</v>
      </c>
      <c r="F24" s="2" t="s">
        <v>59</v>
      </c>
      <c r="G24" s="3">
        <v>9</v>
      </c>
    </row>
    <row r="25" spans="1:7" x14ac:dyDescent="0.3">
      <c r="A25" s="5">
        <v>46300</v>
      </c>
      <c r="B25" s="2" t="s">
        <v>23</v>
      </c>
      <c r="C25" s="2" t="s">
        <v>52</v>
      </c>
      <c r="D25" s="2" t="s">
        <v>28</v>
      </c>
      <c r="E25" s="2" t="s">
        <v>42</v>
      </c>
      <c r="F25" s="2" t="s">
        <v>59</v>
      </c>
      <c r="G25" s="3">
        <v>15</v>
      </c>
    </row>
    <row r="26" spans="1:7" x14ac:dyDescent="0.3">
      <c r="A26" s="5">
        <v>46301</v>
      </c>
      <c r="B26" s="2" t="s">
        <v>10</v>
      </c>
      <c r="C26" s="2" t="s">
        <v>23</v>
      </c>
      <c r="D26" s="2" t="s">
        <v>28</v>
      </c>
      <c r="E26" s="2" t="s">
        <v>42</v>
      </c>
      <c r="F26" s="2" t="s">
        <v>59</v>
      </c>
      <c r="G26" s="6">
        <v>38.25</v>
      </c>
    </row>
    <row r="27" spans="1:7" x14ac:dyDescent="0.3">
      <c r="A27" s="5">
        <v>46304</v>
      </c>
      <c r="B27" s="2" t="s">
        <v>24</v>
      </c>
      <c r="C27" s="2" t="s">
        <v>74</v>
      </c>
      <c r="D27" s="2" t="s">
        <v>28</v>
      </c>
      <c r="E27" s="3" t="s">
        <v>44</v>
      </c>
      <c r="F27" s="2" t="s">
        <v>59</v>
      </c>
      <c r="G27" s="6">
        <v>200</v>
      </c>
    </row>
    <row r="28" spans="1:7" x14ac:dyDescent="0.3">
      <c r="A28" s="5">
        <v>46305</v>
      </c>
      <c r="B28" s="2" t="s">
        <v>20</v>
      </c>
      <c r="C28" s="2" t="s">
        <v>33</v>
      </c>
      <c r="D28" s="2" t="s">
        <v>28</v>
      </c>
      <c r="E28" s="2" t="s">
        <v>42</v>
      </c>
      <c r="F28" s="2" t="s">
        <v>59</v>
      </c>
      <c r="G28" s="3">
        <v>128.08000000000001</v>
      </c>
    </row>
    <row r="29" spans="1:7" x14ac:dyDescent="0.3">
      <c r="A29" s="5">
        <v>46305</v>
      </c>
      <c r="B29" s="2" t="s">
        <v>16</v>
      </c>
      <c r="C29" s="2" t="s">
        <v>47</v>
      </c>
      <c r="D29" s="2" t="s">
        <v>28</v>
      </c>
      <c r="E29" s="2" t="s">
        <v>42</v>
      </c>
      <c r="F29" s="2" t="s">
        <v>59</v>
      </c>
      <c r="G29" s="3">
        <v>60</v>
      </c>
    </row>
    <row r="30" spans="1:7" x14ac:dyDescent="0.3">
      <c r="A30" s="5">
        <v>46305</v>
      </c>
      <c r="B30" s="2" t="s">
        <v>14</v>
      </c>
      <c r="C30" s="2" t="s">
        <v>48</v>
      </c>
      <c r="D30" s="2" t="s">
        <v>28</v>
      </c>
      <c r="E30" s="2" t="s">
        <v>8</v>
      </c>
      <c r="F30" s="2" t="s">
        <v>59</v>
      </c>
      <c r="G30" s="3">
        <v>15</v>
      </c>
    </row>
    <row r="31" spans="1:7" x14ac:dyDescent="0.3">
      <c r="A31" s="5">
        <v>46305</v>
      </c>
      <c r="B31" s="2" t="s">
        <v>1</v>
      </c>
      <c r="C31" s="2" t="s">
        <v>60</v>
      </c>
      <c r="D31" s="2" t="s">
        <v>28</v>
      </c>
      <c r="E31" s="2" t="s">
        <v>44</v>
      </c>
      <c r="F31" s="2" t="s">
        <v>59</v>
      </c>
      <c r="G31" s="6">
        <v>110</v>
      </c>
    </row>
    <row r="32" spans="1:7" x14ac:dyDescent="0.3">
      <c r="A32" s="5">
        <v>46305</v>
      </c>
      <c r="B32" s="2" t="s">
        <v>6</v>
      </c>
      <c r="C32" s="2" t="s">
        <v>61</v>
      </c>
      <c r="D32" s="2" t="s">
        <v>28</v>
      </c>
      <c r="E32" s="2" t="s">
        <v>44</v>
      </c>
      <c r="F32" s="2" t="s">
        <v>59</v>
      </c>
      <c r="G32" s="6">
        <v>50</v>
      </c>
    </row>
    <row r="33" spans="1:7" x14ac:dyDescent="0.3">
      <c r="A33" s="5">
        <v>46305</v>
      </c>
      <c r="B33" s="2" t="s">
        <v>2</v>
      </c>
      <c r="C33" s="2" t="s">
        <v>62</v>
      </c>
      <c r="D33" s="2" t="s">
        <v>28</v>
      </c>
      <c r="E33" s="2" t="s">
        <v>44</v>
      </c>
      <c r="F33" s="2" t="s">
        <v>59</v>
      </c>
      <c r="G33" s="6">
        <v>80</v>
      </c>
    </row>
    <row r="34" spans="1:7" x14ac:dyDescent="0.3">
      <c r="A34" s="5">
        <v>46305</v>
      </c>
      <c r="B34" s="2" t="s">
        <v>2</v>
      </c>
      <c r="C34" s="2" t="s">
        <v>62</v>
      </c>
      <c r="D34" s="2" t="s">
        <v>28</v>
      </c>
      <c r="E34" s="2" t="s">
        <v>44</v>
      </c>
      <c r="F34" s="2" t="s">
        <v>59</v>
      </c>
      <c r="G34" s="6">
        <v>100</v>
      </c>
    </row>
    <row r="35" spans="1:7" x14ac:dyDescent="0.3">
      <c r="A35" s="5">
        <v>46308</v>
      </c>
      <c r="B35" s="2" t="s">
        <v>17</v>
      </c>
      <c r="C35" s="2" t="s">
        <v>39</v>
      </c>
      <c r="D35" s="2" t="s">
        <v>28</v>
      </c>
      <c r="E35" s="2" t="s">
        <v>41</v>
      </c>
      <c r="F35" s="2" t="s">
        <v>59</v>
      </c>
      <c r="G35" s="3">
        <v>6.49</v>
      </c>
    </row>
    <row r="36" spans="1:7" x14ac:dyDescent="0.3">
      <c r="A36" s="5">
        <v>46309</v>
      </c>
      <c r="B36" s="2" t="s">
        <v>14</v>
      </c>
      <c r="C36" s="2" t="s">
        <v>35</v>
      </c>
      <c r="D36" s="2" t="s">
        <v>28</v>
      </c>
      <c r="E36" s="2" t="s">
        <v>42</v>
      </c>
      <c r="F36" s="2" t="s">
        <v>59</v>
      </c>
      <c r="G36" s="3">
        <v>11.99</v>
      </c>
    </row>
    <row r="37" spans="1:7" x14ac:dyDescent="0.3">
      <c r="A37" s="5">
        <v>46312</v>
      </c>
      <c r="B37" s="2" t="s">
        <v>1</v>
      </c>
      <c r="C37" s="2" t="s">
        <v>60</v>
      </c>
      <c r="D37" s="2" t="s">
        <v>28</v>
      </c>
      <c r="E37" s="2" t="s">
        <v>44</v>
      </c>
      <c r="F37" s="2" t="s">
        <v>59</v>
      </c>
      <c r="G37" s="6">
        <v>110</v>
      </c>
    </row>
    <row r="38" spans="1:7" x14ac:dyDescent="0.3">
      <c r="A38" s="5">
        <v>46312</v>
      </c>
      <c r="B38" s="2" t="s">
        <v>6</v>
      </c>
      <c r="C38" s="2" t="s">
        <v>61</v>
      </c>
      <c r="D38" s="2" t="s">
        <v>28</v>
      </c>
      <c r="E38" s="2" t="s">
        <v>44</v>
      </c>
      <c r="F38" s="2" t="s">
        <v>59</v>
      </c>
      <c r="G38" s="6">
        <v>50</v>
      </c>
    </row>
    <row r="39" spans="1:7" x14ac:dyDescent="0.3">
      <c r="A39" s="5">
        <v>46316</v>
      </c>
      <c r="B39" s="2" t="s">
        <v>18</v>
      </c>
      <c r="C39" s="2" t="s">
        <v>49</v>
      </c>
      <c r="D39" s="2" t="s">
        <v>28</v>
      </c>
      <c r="E39" s="2" t="s">
        <v>41</v>
      </c>
      <c r="F39" s="2" t="s">
        <v>59</v>
      </c>
      <c r="G39" s="3">
        <v>12.14</v>
      </c>
    </row>
    <row r="40" spans="1:7" x14ac:dyDescent="0.3">
      <c r="A40" s="5"/>
    </row>
    <row r="41" spans="1:7" x14ac:dyDescent="0.3">
      <c r="A41" s="5"/>
    </row>
    <row r="42" spans="1:7" x14ac:dyDescent="0.3">
      <c r="A42" s="5"/>
    </row>
    <row r="43" spans="1:7" x14ac:dyDescent="0.3">
      <c r="A43" s="5"/>
    </row>
    <row r="44" spans="1:7" x14ac:dyDescent="0.3">
      <c r="A44" s="5"/>
    </row>
    <row r="45" spans="1:7" x14ac:dyDescent="0.3">
      <c r="A45" s="5"/>
    </row>
    <row r="46" spans="1:7" x14ac:dyDescent="0.3">
      <c r="A46" s="5"/>
    </row>
    <row r="47" spans="1:7" x14ac:dyDescent="0.3">
      <c r="A47" s="5"/>
    </row>
    <row r="48" spans="1:7" x14ac:dyDescent="0.3">
      <c r="A48" s="5"/>
    </row>
    <row r="49" spans="1:1" x14ac:dyDescent="0.3">
      <c r="A49" s="5"/>
    </row>
  </sheetData>
  <conditionalFormatting sqref="A38:A49">
    <cfRule type="expression" dxfId="40" priority="3">
      <formula>AND($A38&lt;&gt;"", $A38&lt;TODAY())</formula>
    </cfRule>
  </conditionalFormatting>
  <conditionalFormatting sqref="A5:G21 A22:B37 D22:D37">
    <cfRule type="expression" dxfId="39" priority="6">
      <formula>AND($A5&lt;&gt;"", $A5&lt;TODAY())</formula>
    </cfRule>
  </conditionalFormatting>
  <conditionalFormatting sqref="F22:F24">
    <cfRule type="expression" dxfId="38" priority="5">
      <formula>AND($A22&lt;&gt;"", $A22&lt;TODAY())</formula>
    </cfRule>
  </conditionalFormatting>
  <conditionalFormatting sqref="G5:G21 G23:G39">
    <cfRule type="cellIs" dxfId="37" priority="4" operator="equal">
      <formula>0</formula>
    </cfRule>
  </conditionalFormatting>
  <conditionalFormatting sqref="I6">
    <cfRule type="expression" dxfId="36" priority="7">
      <formula>AND($A6&lt;&gt;"", $A6&lt;TODAY())</formula>
    </cfRule>
  </conditionalFormatting>
  <conditionalFormatting sqref="G22">
    <cfRule type="expression" dxfId="9" priority="1">
      <formula>AND($A22&lt;&gt;"", $A22&lt;TODAY())</formula>
    </cfRule>
  </conditionalFormatting>
  <conditionalFormatting sqref="G22">
    <cfRule type="cellIs" dxfId="8" priority="2" operator="equal">
      <formula>0</formula>
    </cfRule>
  </conditionalFormatting>
  <dataValidations count="4">
    <dataValidation type="list" allowBlank="1" showInputMessage="1" showErrorMessage="1" sqref="A3 B5:B1048576" xr:uid="{9C703524-5AF3-4B72-BECC-6247B0AD3E3F}">
      <formula1>famille</formula1>
    </dataValidation>
    <dataValidation type="list" allowBlank="1" showInputMessage="1" showErrorMessage="1" sqref="F5:F1048576" xr:uid="{548F9A79-E3FB-4839-A2D3-F0AB5AE69D84}">
      <formula1>montant</formula1>
    </dataValidation>
    <dataValidation type="list" allowBlank="1" showInputMessage="1" showErrorMessage="1" sqref="E5:E1048576" xr:uid="{FB14E19D-FC37-4AFB-8566-DD83C38D332A}">
      <formula1>Moyen</formula1>
    </dataValidation>
    <dataValidation type="list" allowBlank="1" showInputMessage="1" showErrorMessage="1" sqref="D5:D1048576" xr:uid="{2AC86BA7-8E02-48EF-8BC3-0A7E23462925}">
      <formula1>Qui</formula1>
    </dataValidation>
  </dataValidation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23333-3F4B-4127-87B7-F5D0E15C3E2B}">
  <sheetPr codeName="Feuil13"/>
  <dimension ref="A1:L49"/>
  <sheetViews>
    <sheetView showGridLines="0" workbookViewId="0">
      <selection activeCell="I9" sqref="I9:L13"/>
    </sheetView>
  </sheetViews>
  <sheetFormatPr baseColWidth="10" defaultRowHeight="14.4" x14ac:dyDescent="0.3"/>
  <cols>
    <col min="1" max="1" width="22.5546875" style="2" bestFit="1" customWidth="1"/>
    <col min="2" max="2" width="16.109375" style="2" customWidth="1"/>
    <col min="3" max="3" width="16.109375" style="2" bestFit="1" customWidth="1"/>
    <col min="4" max="4" width="9.33203125" style="2" customWidth="1"/>
    <col min="5" max="6" width="14.44140625" style="3" customWidth="1"/>
    <col min="9" max="9" width="15.21875" customWidth="1"/>
  </cols>
  <sheetData>
    <row r="1" spans="1:12" x14ac:dyDescent="0.3">
      <c r="A1" s="14" t="s">
        <v>66</v>
      </c>
      <c r="B1" s="16">
        <f>Octobre!J5</f>
        <v>5830.1949363466383</v>
      </c>
      <c r="D1" s="14" t="s">
        <v>55</v>
      </c>
      <c r="E1" s="16">
        <f>SUMIFS(G:G,B:B,"Salaire")</f>
        <v>4450</v>
      </c>
    </row>
    <row r="2" spans="1:12" x14ac:dyDescent="0.3">
      <c r="A2" s="15" t="s">
        <v>67</v>
      </c>
      <c r="B2" s="16">
        <f>Octobre!J6</f>
        <v>5636.4350636533718</v>
      </c>
      <c r="C2"/>
      <c r="D2" s="17" t="s">
        <v>27</v>
      </c>
      <c r="E2" s="17">
        <v>2450</v>
      </c>
      <c r="F2"/>
      <c r="G2" s="6"/>
    </row>
    <row r="3" spans="1:12" x14ac:dyDescent="0.3">
      <c r="A3"/>
      <c r="B3"/>
      <c r="C3"/>
      <c r="D3" s="17" t="s">
        <v>26</v>
      </c>
      <c r="E3" s="17">
        <v>2000</v>
      </c>
      <c r="F3"/>
    </row>
    <row r="4" spans="1:12" x14ac:dyDescent="0.3">
      <c r="A4" t="s">
        <v>53</v>
      </c>
      <c r="B4" s="1" t="s">
        <v>29</v>
      </c>
      <c r="C4" s="1" t="s">
        <v>31</v>
      </c>
      <c r="D4" s="1" t="s">
        <v>30</v>
      </c>
      <c r="E4" s="1" t="s">
        <v>40</v>
      </c>
      <c r="F4" s="1" t="s">
        <v>58</v>
      </c>
      <c r="G4" s="1" t="s">
        <v>32</v>
      </c>
      <c r="I4" s="12" t="s">
        <v>54</v>
      </c>
      <c r="J4" s="10">
        <f>SUMIFS(G5:G39,F5:F39,"Crédit",D5:D39,"Couple")-SUMIFS(G5:G39,F5:F39,"Débit",D5:D39,"Couple")</f>
        <v>1180.1400000000008</v>
      </c>
    </row>
    <row r="5" spans="1:12" x14ac:dyDescent="0.3">
      <c r="A5" s="5">
        <v>46319</v>
      </c>
      <c r="B5" s="2" t="s">
        <v>25</v>
      </c>
      <c r="C5" s="4" t="s">
        <v>63</v>
      </c>
      <c r="D5" s="2" t="s">
        <v>28</v>
      </c>
      <c r="E5" s="2" t="s">
        <v>8</v>
      </c>
      <c r="F5" s="2" t="s">
        <v>19</v>
      </c>
      <c r="G5" s="3">
        <v>2450</v>
      </c>
      <c r="I5" s="13" t="s">
        <v>56</v>
      </c>
      <c r="J5" s="10">
        <f>((E3/$E$1)*$J$4)-SUMIFS(G$5:G$1048576,D$5:D$1048576,"Julien",$F$5:$F$1048576,"Débit")+SUMIFS($G$5:$G$1048576,$D$5:$D$1048576,"Julien",$F$5:$F$1048576,"Crédit",B$5:B$1048576,"&lt;&gt;Salaire")+$B$1</f>
        <v>6360.5949363466389</v>
      </c>
    </row>
    <row r="6" spans="1:12" x14ac:dyDescent="0.3">
      <c r="A6" s="5">
        <v>46320</v>
      </c>
      <c r="B6" s="2" t="s">
        <v>9</v>
      </c>
      <c r="C6" s="2" t="s">
        <v>68</v>
      </c>
      <c r="D6" s="2" t="s">
        <v>28</v>
      </c>
      <c r="E6" s="2" t="s">
        <v>8</v>
      </c>
      <c r="F6" s="2" t="s">
        <v>59</v>
      </c>
      <c r="G6" s="6">
        <v>200</v>
      </c>
      <c r="I6" s="11" t="s">
        <v>57</v>
      </c>
      <c r="J6" s="10">
        <f>((E2/$E$1)*$J$4)-SUMIFS(G$5:G$1048576,D$5:D$1048576,"Auriane",$F$5:$F$1048576,"Débit")+SUMIFS($G$5:$G$1048576,$D$5:$D$1048576,"Auriane",$F$5:$F$1048576,"Crédit",B$5:B$1048576,"&lt;&gt;Salaire")+$B$2</f>
        <v>6286.1750636533725</v>
      </c>
    </row>
    <row r="7" spans="1:12" x14ac:dyDescent="0.3">
      <c r="A7" s="5">
        <v>46322</v>
      </c>
      <c r="B7" s="2" t="s">
        <v>19</v>
      </c>
      <c r="C7" s="2" t="s">
        <v>7</v>
      </c>
      <c r="D7" s="2" t="s">
        <v>28</v>
      </c>
      <c r="E7" s="2" t="s">
        <v>42</v>
      </c>
      <c r="F7" s="2" t="s">
        <v>59</v>
      </c>
      <c r="G7" s="3">
        <v>353.44</v>
      </c>
    </row>
    <row r="8" spans="1:12" x14ac:dyDescent="0.3">
      <c r="A8" s="5">
        <v>46322</v>
      </c>
      <c r="B8" s="2" t="s">
        <v>1</v>
      </c>
      <c r="C8" s="2" t="s">
        <v>60</v>
      </c>
      <c r="D8" s="2" t="s">
        <v>28</v>
      </c>
      <c r="E8" s="2" t="s">
        <v>44</v>
      </c>
      <c r="F8" s="2" t="s">
        <v>59</v>
      </c>
      <c r="G8" s="6">
        <v>110</v>
      </c>
    </row>
    <row r="9" spans="1:12" x14ac:dyDescent="0.3">
      <c r="A9" s="5">
        <v>46322</v>
      </c>
      <c r="B9" s="2" t="s">
        <v>6</v>
      </c>
      <c r="C9" s="2" t="s">
        <v>61</v>
      </c>
      <c r="D9" s="2" t="s">
        <v>28</v>
      </c>
      <c r="E9" s="2" t="s">
        <v>44</v>
      </c>
      <c r="F9" s="2" t="s">
        <v>59</v>
      </c>
      <c r="G9" s="6">
        <v>50</v>
      </c>
      <c r="J9" s="19" t="s">
        <v>77</v>
      </c>
      <c r="K9" s="19" t="s">
        <v>78</v>
      </c>
      <c r="L9" s="19" t="s">
        <v>79</v>
      </c>
    </row>
    <row r="10" spans="1:12" x14ac:dyDescent="0.3">
      <c r="A10" s="5">
        <v>46322</v>
      </c>
      <c r="B10" s="2" t="s">
        <v>2</v>
      </c>
      <c r="C10" s="2" t="s">
        <v>62</v>
      </c>
      <c r="D10" s="2" t="s">
        <v>28</v>
      </c>
      <c r="E10" s="2" t="s">
        <v>44</v>
      </c>
      <c r="F10" s="2" t="s">
        <v>59</v>
      </c>
      <c r="G10" s="6">
        <v>80</v>
      </c>
      <c r="I10" s="12" t="s">
        <v>1</v>
      </c>
      <c r="J10" s="10">
        <f ca="1">SUMIFS(G:G,B:B,"Courses",A:A,"&lt;=" &amp; TODAY())</f>
        <v>0</v>
      </c>
      <c r="K10" s="10">
        <v>440</v>
      </c>
      <c r="L10" s="10">
        <f ca="1">K10-J10</f>
        <v>440</v>
      </c>
    </row>
    <row r="11" spans="1:12" x14ac:dyDescent="0.3">
      <c r="A11" s="5">
        <v>46322</v>
      </c>
      <c r="B11" s="2" t="s">
        <v>2</v>
      </c>
      <c r="C11" s="2" t="s">
        <v>62</v>
      </c>
      <c r="D11" s="2" t="s">
        <v>28</v>
      </c>
      <c r="E11" s="2" t="s">
        <v>44</v>
      </c>
      <c r="F11" s="2" t="s">
        <v>59</v>
      </c>
      <c r="G11" s="6">
        <v>100</v>
      </c>
      <c r="I11" s="13" t="s">
        <v>6</v>
      </c>
      <c r="J11" s="10">
        <f ca="1">SUMIFS(G:G,B:B,"Tabac",A:A,"&lt;=" &amp; TODAY())</f>
        <v>0</v>
      </c>
      <c r="K11" s="10">
        <v>200</v>
      </c>
      <c r="L11" s="10">
        <f t="shared" ref="L11:L13" ca="1" si="0">K11-J11</f>
        <v>200</v>
      </c>
    </row>
    <row r="12" spans="1:12" x14ac:dyDescent="0.3">
      <c r="A12" s="5">
        <v>46323</v>
      </c>
      <c r="B12" s="2" t="s">
        <v>14</v>
      </c>
      <c r="C12" s="2" t="s">
        <v>36</v>
      </c>
      <c r="D12" s="2" t="s">
        <v>28</v>
      </c>
      <c r="E12" s="2" t="s">
        <v>42</v>
      </c>
      <c r="F12" s="2" t="s">
        <v>59</v>
      </c>
      <c r="G12" s="3">
        <v>42.99</v>
      </c>
      <c r="I12" s="13" t="s">
        <v>2</v>
      </c>
      <c r="J12" s="10">
        <f ca="1">SUMIFS(G:G,B:B,"Essence",A:A,"&lt;=" &amp; TODAY())</f>
        <v>0</v>
      </c>
      <c r="K12" s="10">
        <v>360</v>
      </c>
      <c r="L12" s="10">
        <f t="shared" ca="1" si="0"/>
        <v>360</v>
      </c>
    </row>
    <row r="13" spans="1:12" x14ac:dyDescent="0.3">
      <c r="A13" s="5">
        <f>WORKDAY(EOMONTH("01/10/2026",0)+1,-1)</f>
        <v>46325</v>
      </c>
      <c r="B13" s="2" t="s">
        <v>25</v>
      </c>
      <c r="C13" s="4" t="s">
        <v>64</v>
      </c>
      <c r="D13" s="2" t="s">
        <v>28</v>
      </c>
      <c r="E13" s="2" t="s">
        <v>8</v>
      </c>
      <c r="F13" s="2" t="s">
        <v>19</v>
      </c>
      <c r="G13" s="3">
        <v>2000</v>
      </c>
      <c r="I13" s="18" t="s">
        <v>3</v>
      </c>
      <c r="J13" s="10">
        <f>SUMIFS(G:G,B:B,"Restos")</f>
        <v>0</v>
      </c>
      <c r="K13" s="10">
        <v>30</v>
      </c>
      <c r="L13" s="10">
        <f t="shared" si="0"/>
        <v>30</v>
      </c>
    </row>
    <row r="14" spans="1:12" x14ac:dyDescent="0.3">
      <c r="A14" s="5">
        <v>46327</v>
      </c>
      <c r="B14" s="2" t="s">
        <v>11</v>
      </c>
      <c r="C14" s="2" t="s">
        <v>23</v>
      </c>
      <c r="D14" s="2" t="s">
        <v>28</v>
      </c>
      <c r="E14" s="2" t="s">
        <v>8</v>
      </c>
      <c r="F14" s="2" t="s">
        <v>59</v>
      </c>
      <c r="G14" s="6"/>
    </row>
    <row r="15" spans="1:12" x14ac:dyDescent="0.3">
      <c r="A15" s="5">
        <v>46327</v>
      </c>
      <c r="B15" s="2" t="s">
        <v>23</v>
      </c>
      <c r="C15" s="2" t="s">
        <v>73</v>
      </c>
      <c r="D15" s="2" t="s">
        <v>28</v>
      </c>
      <c r="E15" s="2" t="s">
        <v>8</v>
      </c>
      <c r="F15" s="2" t="s">
        <v>59</v>
      </c>
      <c r="G15" s="6">
        <v>50</v>
      </c>
    </row>
    <row r="16" spans="1:12" x14ac:dyDescent="0.3">
      <c r="A16" s="5">
        <v>46327</v>
      </c>
      <c r="B16" s="2" t="s">
        <v>19</v>
      </c>
      <c r="C16" s="2" t="s">
        <v>50</v>
      </c>
      <c r="D16" s="2" t="s">
        <v>28</v>
      </c>
      <c r="E16" s="2" t="s">
        <v>42</v>
      </c>
      <c r="F16" s="2" t="s">
        <v>59</v>
      </c>
      <c r="G16" s="3">
        <v>150</v>
      </c>
    </row>
    <row r="17" spans="1:7" x14ac:dyDescent="0.3">
      <c r="A17" s="5">
        <v>46329</v>
      </c>
      <c r="B17" s="2" t="s">
        <v>17</v>
      </c>
      <c r="C17" s="2" t="s">
        <v>38</v>
      </c>
      <c r="D17" s="2" t="s">
        <v>28</v>
      </c>
      <c r="E17" s="2" t="s">
        <v>41</v>
      </c>
      <c r="F17" s="2" t="s">
        <v>59</v>
      </c>
      <c r="G17" s="3">
        <v>7.99</v>
      </c>
    </row>
    <row r="18" spans="1:7" x14ac:dyDescent="0.3">
      <c r="A18" s="5">
        <v>46329</v>
      </c>
      <c r="B18" s="2" t="s">
        <v>1</v>
      </c>
      <c r="C18" s="2" t="s">
        <v>60</v>
      </c>
      <c r="D18" s="2" t="s">
        <v>28</v>
      </c>
      <c r="E18" s="2" t="s">
        <v>44</v>
      </c>
      <c r="F18" s="2" t="s">
        <v>59</v>
      </c>
      <c r="G18" s="6">
        <v>110</v>
      </c>
    </row>
    <row r="19" spans="1:7" x14ac:dyDescent="0.3">
      <c r="A19" s="5">
        <v>46329</v>
      </c>
      <c r="B19" s="2" t="s">
        <v>6</v>
      </c>
      <c r="C19" s="2" t="s">
        <v>61</v>
      </c>
      <c r="D19" s="2" t="s">
        <v>28</v>
      </c>
      <c r="E19" s="2" t="s">
        <v>44</v>
      </c>
      <c r="F19" s="2" t="s">
        <v>59</v>
      </c>
      <c r="G19" s="6">
        <v>50</v>
      </c>
    </row>
    <row r="20" spans="1:7" x14ac:dyDescent="0.3">
      <c r="A20" s="5">
        <v>46330</v>
      </c>
      <c r="B20" s="2" t="s">
        <v>17</v>
      </c>
      <c r="C20" s="2" t="s">
        <v>37</v>
      </c>
      <c r="D20" s="2" t="s">
        <v>28</v>
      </c>
      <c r="E20" s="2" t="s">
        <v>42</v>
      </c>
      <c r="F20" s="2" t="s">
        <v>59</v>
      </c>
      <c r="G20" s="3">
        <v>47.5</v>
      </c>
    </row>
    <row r="21" spans="1:7" x14ac:dyDescent="0.3">
      <c r="A21" s="5">
        <v>46331</v>
      </c>
      <c r="B21" s="2" t="s">
        <v>0</v>
      </c>
      <c r="C21" s="4" t="s">
        <v>65</v>
      </c>
      <c r="D21" s="2" t="s">
        <v>28</v>
      </c>
      <c r="E21" s="2" t="s">
        <v>42</v>
      </c>
      <c r="F21" s="2" t="s">
        <v>59</v>
      </c>
      <c r="G21" s="3">
        <v>700</v>
      </c>
    </row>
    <row r="22" spans="1:7" x14ac:dyDescent="0.3">
      <c r="A22" s="5">
        <v>46331</v>
      </c>
      <c r="B22" s="2" t="s">
        <v>14</v>
      </c>
      <c r="C22" s="2" t="s">
        <v>34</v>
      </c>
      <c r="D22" s="2" t="s">
        <v>28</v>
      </c>
      <c r="E22" s="2" t="s">
        <v>42</v>
      </c>
      <c r="F22" s="2" t="s">
        <v>59</v>
      </c>
      <c r="G22" s="3">
        <v>26.99</v>
      </c>
    </row>
    <row r="23" spans="1:7" x14ac:dyDescent="0.3">
      <c r="A23" s="5">
        <v>46331</v>
      </c>
      <c r="B23" s="2" t="s">
        <v>15</v>
      </c>
      <c r="C23" s="2" t="s">
        <v>46</v>
      </c>
      <c r="D23" s="2" t="s">
        <v>28</v>
      </c>
      <c r="E23" s="2" t="s">
        <v>42</v>
      </c>
      <c r="F23" s="2" t="s">
        <v>59</v>
      </c>
      <c r="G23" s="3">
        <v>195</v>
      </c>
    </row>
    <row r="24" spans="1:7" x14ac:dyDescent="0.3">
      <c r="A24" s="5">
        <v>46331</v>
      </c>
      <c r="B24" s="2" t="s">
        <v>23</v>
      </c>
      <c r="C24" s="2" t="s">
        <v>51</v>
      </c>
      <c r="D24" s="2" t="s">
        <v>28</v>
      </c>
      <c r="E24" s="2" t="s">
        <v>42</v>
      </c>
      <c r="F24" s="2" t="s">
        <v>59</v>
      </c>
      <c r="G24" s="3">
        <v>9</v>
      </c>
    </row>
    <row r="25" spans="1:7" x14ac:dyDescent="0.3">
      <c r="A25" s="5">
        <v>46331</v>
      </c>
      <c r="B25" s="2" t="s">
        <v>23</v>
      </c>
      <c r="C25" s="2" t="s">
        <v>52</v>
      </c>
      <c r="D25" s="2" t="s">
        <v>28</v>
      </c>
      <c r="E25" s="2" t="s">
        <v>42</v>
      </c>
      <c r="F25" s="2" t="s">
        <v>59</v>
      </c>
      <c r="G25" s="3">
        <v>15</v>
      </c>
    </row>
    <row r="26" spans="1:7" x14ac:dyDescent="0.3">
      <c r="A26" s="5">
        <v>46332</v>
      </c>
      <c r="B26" s="2" t="s">
        <v>10</v>
      </c>
      <c r="C26" s="2" t="s">
        <v>23</v>
      </c>
      <c r="D26" s="2" t="s">
        <v>28</v>
      </c>
      <c r="E26" s="2" t="s">
        <v>42</v>
      </c>
      <c r="F26" s="2" t="s">
        <v>59</v>
      </c>
      <c r="G26" s="6">
        <v>38.25</v>
      </c>
    </row>
    <row r="27" spans="1:7" x14ac:dyDescent="0.3">
      <c r="A27" s="5">
        <v>46335</v>
      </c>
      <c r="B27" s="2" t="s">
        <v>24</v>
      </c>
      <c r="C27" s="2" t="s">
        <v>74</v>
      </c>
      <c r="D27" s="2" t="s">
        <v>28</v>
      </c>
      <c r="E27" s="3" t="s">
        <v>44</v>
      </c>
      <c r="F27" s="2" t="s">
        <v>59</v>
      </c>
      <c r="G27" s="6">
        <v>200</v>
      </c>
    </row>
    <row r="28" spans="1:7" x14ac:dyDescent="0.3">
      <c r="A28" s="5">
        <v>46336</v>
      </c>
      <c r="B28" s="2" t="s">
        <v>20</v>
      </c>
      <c r="C28" s="2" t="s">
        <v>33</v>
      </c>
      <c r="D28" s="2" t="s">
        <v>28</v>
      </c>
      <c r="E28" s="2" t="s">
        <v>42</v>
      </c>
      <c r="F28" s="2" t="s">
        <v>59</v>
      </c>
      <c r="G28" s="3">
        <v>128.08000000000001</v>
      </c>
    </row>
    <row r="29" spans="1:7" x14ac:dyDescent="0.3">
      <c r="A29" s="5">
        <v>46336</v>
      </c>
      <c r="B29" s="2" t="s">
        <v>16</v>
      </c>
      <c r="C29" s="2" t="s">
        <v>47</v>
      </c>
      <c r="D29" s="2" t="s">
        <v>28</v>
      </c>
      <c r="E29" s="2" t="s">
        <v>42</v>
      </c>
      <c r="F29" s="2" t="s">
        <v>59</v>
      </c>
      <c r="G29" s="3">
        <v>60</v>
      </c>
    </row>
    <row r="30" spans="1:7" x14ac:dyDescent="0.3">
      <c r="A30" s="5">
        <v>46336</v>
      </c>
      <c r="B30" s="2" t="s">
        <v>14</v>
      </c>
      <c r="C30" s="2" t="s">
        <v>48</v>
      </c>
      <c r="D30" s="2" t="s">
        <v>28</v>
      </c>
      <c r="E30" s="2" t="s">
        <v>8</v>
      </c>
      <c r="F30" s="2" t="s">
        <v>59</v>
      </c>
      <c r="G30" s="3">
        <v>15</v>
      </c>
    </row>
    <row r="31" spans="1:7" x14ac:dyDescent="0.3">
      <c r="A31" s="5">
        <v>46336</v>
      </c>
      <c r="B31" s="2" t="s">
        <v>1</v>
      </c>
      <c r="C31" s="2" t="s">
        <v>60</v>
      </c>
      <c r="D31" s="2" t="s">
        <v>28</v>
      </c>
      <c r="E31" s="2" t="s">
        <v>44</v>
      </c>
      <c r="F31" s="2" t="s">
        <v>59</v>
      </c>
      <c r="G31" s="6">
        <v>110</v>
      </c>
    </row>
    <row r="32" spans="1:7" x14ac:dyDescent="0.3">
      <c r="A32" s="5">
        <v>46336</v>
      </c>
      <c r="B32" s="2" t="s">
        <v>6</v>
      </c>
      <c r="C32" s="2" t="s">
        <v>61</v>
      </c>
      <c r="D32" s="2" t="s">
        <v>28</v>
      </c>
      <c r="E32" s="2" t="s">
        <v>44</v>
      </c>
      <c r="F32" s="2" t="s">
        <v>59</v>
      </c>
      <c r="G32" s="6">
        <v>50</v>
      </c>
    </row>
    <row r="33" spans="1:7" x14ac:dyDescent="0.3">
      <c r="A33" s="5">
        <v>46336</v>
      </c>
      <c r="B33" s="2" t="s">
        <v>2</v>
      </c>
      <c r="C33" s="2" t="s">
        <v>62</v>
      </c>
      <c r="D33" s="2" t="s">
        <v>28</v>
      </c>
      <c r="E33" s="2" t="s">
        <v>44</v>
      </c>
      <c r="F33" s="2" t="s">
        <v>59</v>
      </c>
      <c r="G33" s="6">
        <v>80</v>
      </c>
    </row>
    <row r="34" spans="1:7" x14ac:dyDescent="0.3">
      <c r="A34" s="5">
        <v>46336</v>
      </c>
      <c r="B34" s="2" t="s">
        <v>2</v>
      </c>
      <c r="C34" s="2" t="s">
        <v>62</v>
      </c>
      <c r="D34" s="2" t="s">
        <v>28</v>
      </c>
      <c r="E34" s="2" t="s">
        <v>44</v>
      </c>
      <c r="F34" s="2" t="s">
        <v>59</v>
      </c>
      <c r="G34" s="6">
        <v>100</v>
      </c>
    </row>
    <row r="35" spans="1:7" x14ac:dyDescent="0.3">
      <c r="A35" s="5">
        <v>46339</v>
      </c>
      <c r="B35" s="2" t="s">
        <v>17</v>
      </c>
      <c r="C35" s="2" t="s">
        <v>39</v>
      </c>
      <c r="D35" s="2" t="s">
        <v>28</v>
      </c>
      <c r="E35" s="2" t="s">
        <v>41</v>
      </c>
      <c r="F35" s="2" t="s">
        <v>59</v>
      </c>
      <c r="G35" s="3">
        <v>6.49</v>
      </c>
    </row>
    <row r="36" spans="1:7" x14ac:dyDescent="0.3">
      <c r="A36" s="5">
        <v>46340</v>
      </c>
      <c r="B36" s="2" t="s">
        <v>14</v>
      </c>
      <c r="C36" s="2" t="s">
        <v>35</v>
      </c>
      <c r="D36" s="2" t="s">
        <v>28</v>
      </c>
      <c r="E36" s="2" t="s">
        <v>42</v>
      </c>
      <c r="F36" s="2" t="s">
        <v>59</v>
      </c>
      <c r="G36" s="3">
        <v>11.99</v>
      </c>
    </row>
    <row r="37" spans="1:7" x14ac:dyDescent="0.3">
      <c r="A37" s="5">
        <v>46343</v>
      </c>
      <c r="B37" s="2" t="s">
        <v>1</v>
      </c>
      <c r="C37" s="2" t="s">
        <v>60</v>
      </c>
      <c r="D37" s="2" t="s">
        <v>28</v>
      </c>
      <c r="E37" s="2" t="s">
        <v>44</v>
      </c>
      <c r="F37" s="2" t="s">
        <v>59</v>
      </c>
      <c r="G37" s="6">
        <v>110</v>
      </c>
    </row>
    <row r="38" spans="1:7" x14ac:dyDescent="0.3">
      <c r="A38" s="5">
        <v>46343</v>
      </c>
      <c r="B38" s="2" t="s">
        <v>6</v>
      </c>
      <c r="C38" s="2" t="s">
        <v>61</v>
      </c>
      <c r="D38" s="2" t="s">
        <v>28</v>
      </c>
      <c r="E38" s="2" t="s">
        <v>44</v>
      </c>
      <c r="F38" s="2" t="s">
        <v>59</v>
      </c>
      <c r="G38" s="6">
        <v>50</v>
      </c>
    </row>
    <row r="39" spans="1:7" x14ac:dyDescent="0.3">
      <c r="A39" s="5">
        <v>46347</v>
      </c>
      <c r="B39" s="2" t="s">
        <v>18</v>
      </c>
      <c r="C39" s="2" t="s">
        <v>49</v>
      </c>
      <c r="D39" s="2" t="s">
        <v>28</v>
      </c>
      <c r="E39" s="2" t="s">
        <v>41</v>
      </c>
      <c r="F39" s="2" t="s">
        <v>59</v>
      </c>
      <c r="G39" s="3">
        <v>12.14</v>
      </c>
    </row>
    <row r="40" spans="1:7" x14ac:dyDescent="0.3">
      <c r="A40" s="5"/>
    </row>
    <row r="41" spans="1:7" x14ac:dyDescent="0.3">
      <c r="A41" s="5"/>
    </row>
    <row r="42" spans="1:7" x14ac:dyDescent="0.3">
      <c r="A42" s="5"/>
    </row>
    <row r="43" spans="1:7" x14ac:dyDescent="0.3">
      <c r="A43" s="5"/>
    </row>
    <row r="44" spans="1:7" x14ac:dyDescent="0.3">
      <c r="A44" s="5"/>
    </row>
    <row r="45" spans="1:7" x14ac:dyDescent="0.3">
      <c r="A45" s="5"/>
    </row>
    <row r="46" spans="1:7" x14ac:dyDescent="0.3">
      <c r="A46" s="5"/>
    </row>
    <row r="47" spans="1:7" x14ac:dyDescent="0.3">
      <c r="A47" s="5"/>
    </row>
    <row r="48" spans="1:7" x14ac:dyDescent="0.3">
      <c r="A48" s="5"/>
    </row>
    <row r="49" spans="1:1" x14ac:dyDescent="0.3">
      <c r="A49" s="5"/>
    </row>
  </sheetData>
  <conditionalFormatting sqref="A38:A49">
    <cfRule type="expression" dxfId="35" priority="3">
      <formula>AND($A38&lt;&gt;"", $A38&lt;TODAY())</formula>
    </cfRule>
  </conditionalFormatting>
  <conditionalFormatting sqref="A5:G21 A22:B37 D22:D37">
    <cfRule type="expression" dxfId="34" priority="6">
      <formula>AND($A5&lt;&gt;"", $A5&lt;TODAY())</formula>
    </cfRule>
  </conditionalFormatting>
  <conditionalFormatting sqref="F22:F24">
    <cfRule type="expression" dxfId="33" priority="5">
      <formula>AND($A22&lt;&gt;"", $A22&lt;TODAY())</formula>
    </cfRule>
  </conditionalFormatting>
  <conditionalFormatting sqref="G5:G21 G23:G39">
    <cfRule type="cellIs" dxfId="32" priority="4" operator="equal">
      <formula>0</formula>
    </cfRule>
  </conditionalFormatting>
  <conditionalFormatting sqref="I6">
    <cfRule type="expression" dxfId="31" priority="7">
      <formula>AND($A6&lt;&gt;"", $A6&lt;TODAY())</formula>
    </cfRule>
  </conditionalFormatting>
  <conditionalFormatting sqref="G22">
    <cfRule type="expression" dxfId="7" priority="1">
      <formula>AND($A22&lt;&gt;"", $A22&lt;TODAY())</formula>
    </cfRule>
  </conditionalFormatting>
  <conditionalFormatting sqref="G22">
    <cfRule type="cellIs" dxfId="6" priority="2" operator="equal">
      <formula>0</formula>
    </cfRule>
  </conditionalFormatting>
  <dataValidations count="4">
    <dataValidation type="list" allowBlank="1" showInputMessage="1" showErrorMessage="1" sqref="D5:D1048576" xr:uid="{A8414818-C21E-44F5-B848-8330EFD2B078}">
      <formula1>Qui</formula1>
    </dataValidation>
    <dataValidation type="list" allowBlank="1" showInputMessage="1" showErrorMessage="1" sqref="E5:E1048576" xr:uid="{6C57D545-5ACF-42E4-B3D0-6262C9554E70}">
      <formula1>Moyen</formula1>
    </dataValidation>
    <dataValidation type="list" allowBlank="1" showInputMessage="1" showErrorMessage="1" sqref="F5:F1048576" xr:uid="{C1196F01-27E3-4626-BEFE-710919BC821B}">
      <formula1>montant</formula1>
    </dataValidation>
    <dataValidation type="list" allowBlank="1" showInputMessage="1" showErrorMessage="1" sqref="A3 B5:B1048576" xr:uid="{6EAA30C4-F65B-455E-8936-7A0F081EC8F9}">
      <formula1>famille</formula1>
    </dataValidation>
  </dataValidation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617B4-73A2-4A31-A205-9BB840AC6746}">
  <sheetPr codeName="Feuil14"/>
  <dimension ref="A1:L49"/>
  <sheetViews>
    <sheetView showGridLines="0" workbookViewId="0">
      <selection activeCell="J18" sqref="J18"/>
    </sheetView>
  </sheetViews>
  <sheetFormatPr baseColWidth="10" defaultRowHeight="14.4" x14ac:dyDescent="0.3"/>
  <cols>
    <col min="1" max="1" width="22.5546875" style="2" bestFit="1" customWidth="1"/>
    <col min="2" max="2" width="16.109375" style="2" customWidth="1"/>
    <col min="3" max="3" width="16.109375" style="2" bestFit="1" customWidth="1"/>
    <col min="4" max="4" width="9.33203125" style="2" customWidth="1"/>
    <col min="5" max="6" width="14.44140625" style="3" customWidth="1"/>
    <col min="9" max="9" width="15.21875" customWidth="1"/>
  </cols>
  <sheetData>
    <row r="1" spans="1:12" x14ac:dyDescent="0.3">
      <c r="A1" s="14" t="s">
        <v>66</v>
      </c>
      <c r="B1" s="16">
        <f>Novembre!J5</f>
        <v>6360.5949363466389</v>
      </c>
      <c r="D1" s="14" t="s">
        <v>55</v>
      </c>
      <c r="E1" s="16">
        <f>SUMIFS(G:G,B:B,"Salaire")</f>
        <v>4450</v>
      </c>
    </row>
    <row r="2" spans="1:12" x14ac:dyDescent="0.3">
      <c r="A2" s="15" t="s">
        <v>67</v>
      </c>
      <c r="B2" s="16">
        <f>Novembre!J6</f>
        <v>6286.1750636533725</v>
      </c>
      <c r="C2"/>
      <c r="D2" s="17" t="s">
        <v>27</v>
      </c>
      <c r="E2" s="17">
        <v>2450</v>
      </c>
      <c r="F2"/>
      <c r="G2" s="6"/>
    </row>
    <row r="3" spans="1:12" x14ac:dyDescent="0.3">
      <c r="A3"/>
      <c r="B3"/>
      <c r="C3"/>
      <c r="D3" s="17" t="s">
        <v>26</v>
      </c>
      <c r="E3" s="17">
        <v>2000</v>
      </c>
      <c r="F3"/>
    </row>
    <row r="4" spans="1:12" x14ac:dyDescent="0.3">
      <c r="A4" t="s">
        <v>53</v>
      </c>
      <c r="B4" s="1" t="s">
        <v>29</v>
      </c>
      <c r="C4" s="1" t="s">
        <v>31</v>
      </c>
      <c r="D4" s="1" t="s">
        <v>30</v>
      </c>
      <c r="E4" s="1" t="s">
        <v>40</v>
      </c>
      <c r="F4" s="1" t="s">
        <v>58</v>
      </c>
      <c r="G4" s="1" t="s">
        <v>32</v>
      </c>
      <c r="I4" s="12" t="s">
        <v>54</v>
      </c>
      <c r="J4" s="10">
        <f>SUMIFS(G5:G39,F5:F39,"Crédit",D5:D39,"Couple")-SUMIFS(G5:G39,F5:F39,"Débit",D5:D39,"Couple")</f>
        <v>1180.1400000000008</v>
      </c>
    </row>
    <row r="5" spans="1:12" x14ac:dyDescent="0.3">
      <c r="A5" s="5">
        <v>46350</v>
      </c>
      <c r="B5" s="2" t="s">
        <v>25</v>
      </c>
      <c r="C5" s="4" t="s">
        <v>63</v>
      </c>
      <c r="D5" s="2" t="s">
        <v>28</v>
      </c>
      <c r="E5" s="2" t="s">
        <v>8</v>
      </c>
      <c r="F5" s="2" t="s">
        <v>19</v>
      </c>
      <c r="G5" s="3">
        <v>2450</v>
      </c>
      <c r="I5" s="13" t="s">
        <v>56</v>
      </c>
      <c r="J5" s="10">
        <f>((E3/$E$1)*$J$4)-SUMIFS(G$5:G$1048576,D$5:D$1048576,"Julien",$F$5:$F$1048576,"Débit")+SUMIFS($G$5:$G$1048576,$D$5:$D$1048576,"Julien",$F$5:$F$1048576,"Crédit",B$5:B$1048576,"&lt;&gt;Salaire")+$B$1</f>
        <v>6890.9949363466394</v>
      </c>
    </row>
    <row r="6" spans="1:12" x14ac:dyDescent="0.3">
      <c r="A6" s="5">
        <v>46351</v>
      </c>
      <c r="B6" s="2" t="s">
        <v>9</v>
      </c>
      <c r="C6" s="2" t="s">
        <v>68</v>
      </c>
      <c r="D6" s="2" t="s">
        <v>28</v>
      </c>
      <c r="E6" s="2" t="s">
        <v>8</v>
      </c>
      <c r="F6" s="2" t="s">
        <v>59</v>
      </c>
      <c r="G6" s="6">
        <v>200</v>
      </c>
      <c r="I6" s="11" t="s">
        <v>57</v>
      </c>
      <c r="J6" s="10">
        <f>((E2/$E$1)*$J$4)-SUMIFS(G$5:G$1048576,D$5:D$1048576,"Auriane",$F$5:$F$1048576,"Débit")+SUMIFS($G$5:$G$1048576,$D$5:$D$1048576,"Auriane",$F$5:$F$1048576,"Crédit",B$5:B$1048576,"&lt;&gt;Salaire")+$B$2</f>
        <v>6935.9150636533732</v>
      </c>
    </row>
    <row r="7" spans="1:12" x14ac:dyDescent="0.3">
      <c r="A7" s="5">
        <v>46353</v>
      </c>
      <c r="B7" s="2" t="s">
        <v>19</v>
      </c>
      <c r="C7" s="2" t="s">
        <v>7</v>
      </c>
      <c r="D7" s="2" t="s">
        <v>28</v>
      </c>
      <c r="E7" s="2" t="s">
        <v>42</v>
      </c>
      <c r="F7" s="2" t="s">
        <v>59</v>
      </c>
      <c r="G7" s="3">
        <v>353.44</v>
      </c>
    </row>
    <row r="8" spans="1:12" x14ac:dyDescent="0.3">
      <c r="A8" s="5">
        <v>46353</v>
      </c>
      <c r="B8" s="2" t="s">
        <v>1</v>
      </c>
      <c r="C8" s="2" t="s">
        <v>60</v>
      </c>
      <c r="D8" s="2" t="s">
        <v>28</v>
      </c>
      <c r="E8" s="2" t="s">
        <v>44</v>
      </c>
      <c r="F8" s="2" t="s">
        <v>59</v>
      </c>
      <c r="G8" s="6">
        <v>110</v>
      </c>
    </row>
    <row r="9" spans="1:12" x14ac:dyDescent="0.3">
      <c r="A9" s="5">
        <v>46353</v>
      </c>
      <c r="B9" s="2" t="s">
        <v>6</v>
      </c>
      <c r="C9" s="2" t="s">
        <v>61</v>
      </c>
      <c r="D9" s="2" t="s">
        <v>28</v>
      </c>
      <c r="E9" s="2" t="s">
        <v>44</v>
      </c>
      <c r="F9" s="2" t="s">
        <v>59</v>
      </c>
      <c r="G9" s="6">
        <v>50</v>
      </c>
    </row>
    <row r="10" spans="1:12" x14ac:dyDescent="0.3">
      <c r="A10" s="5">
        <v>46353</v>
      </c>
      <c r="B10" s="2" t="s">
        <v>2</v>
      </c>
      <c r="C10" s="2" t="s">
        <v>62</v>
      </c>
      <c r="D10" s="2" t="s">
        <v>28</v>
      </c>
      <c r="E10" s="2" t="s">
        <v>44</v>
      </c>
      <c r="F10" s="2" t="s">
        <v>59</v>
      </c>
      <c r="G10" s="6">
        <v>80</v>
      </c>
      <c r="J10" s="19" t="s">
        <v>77</v>
      </c>
      <c r="K10" s="19" t="s">
        <v>78</v>
      </c>
      <c r="L10" s="19" t="s">
        <v>79</v>
      </c>
    </row>
    <row r="11" spans="1:12" x14ac:dyDescent="0.3">
      <c r="A11" s="5">
        <v>46353</v>
      </c>
      <c r="B11" s="2" t="s">
        <v>2</v>
      </c>
      <c r="C11" s="2" t="s">
        <v>62</v>
      </c>
      <c r="D11" s="2" t="s">
        <v>28</v>
      </c>
      <c r="E11" s="2" t="s">
        <v>44</v>
      </c>
      <c r="F11" s="2" t="s">
        <v>59</v>
      </c>
      <c r="G11" s="6">
        <v>100</v>
      </c>
      <c r="I11" s="12" t="s">
        <v>1</v>
      </c>
      <c r="J11" s="10">
        <f ca="1">SUMIFS(G:G,B:B,"Courses",A:A,"&lt;=" &amp; TODAY())</f>
        <v>0</v>
      </c>
      <c r="K11" s="10">
        <v>440</v>
      </c>
      <c r="L11" s="10">
        <f ca="1">K11-J11</f>
        <v>440</v>
      </c>
    </row>
    <row r="12" spans="1:12" x14ac:dyDescent="0.3">
      <c r="A12" s="5">
        <v>46354</v>
      </c>
      <c r="B12" s="2" t="s">
        <v>14</v>
      </c>
      <c r="C12" s="2" t="s">
        <v>36</v>
      </c>
      <c r="D12" s="2" t="s">
        <v>28</v>
      </c>
      <c r="E12" s="2" t="s">
        <v>42</v>
      </c>
      <c r="F12" s="2" t="s">
        <v>59</v>
      </c>
      <c r="G12" s="3">
        <v>42.99</v>
      </c>
      <c r="I12" s="13" t="s">
        <v>6</v>
      </c>
      <c r="J12" s="10">
        <f ca="1">SUMIFS(G:G,B:B,"Tabac",A:A,"&lt;=" &amp; TODAY())</f>
        <v>0</v>
      </c>
      <c r="K12" s="10">
        <v>200</v>
      </c>
      <c r="L12" s="10">
        <f t="shared" ref="L12:L14" ca="1" si="0">K12-J12</f>
        <v>200</v>
      </c>
    </row>
    <row r="13" spans="1:12" x14ac:dyDescent="0.3">
      <c r="A13" s="5">
        <f>WORKDAY(EOMONTH("01/11/2026",0)+1,-1)</f>
        <v>46356</v>
      </c>
      <c r="B13" s="2" t="s">
        <v>25</v>
      </c>
      <c r="C13" s="4" t="s">
        <v>64</v>
      </c>
      <c r="D13" s="2" t="s">
        <v>28</v>
      </c>
      <c r="E13" s="2" t="s">
        <v>8</v>
      </c>
      <c r="F13" s="2" t="s">
        <v>19</v>
      </c>
      <c r="G13" s="3">
        <v>2000</v>
      </c>
      <c r="I13" s="13" t="s">
        <v>2</v>
      </c>
      <c r="J13" s="10">
        <f ca="1">SUMIFS(G:G,B:B,"Essence",A:A,"&lt;=" &amp; TODAY())</f>
        <v>0</v>
      </c>
      <c r="K13" s="10">
        <v>360</v>
      </c>
      <c r="L13" s="10">
        <f t="shared" ca="1" si="0"/>
        <v>360</v>
      </c>
    </row>
    <row r="14" spans="1:12" x14ac:dyDescent="0.3">
      <c r="A14" s="5">
        <v>46357</v>
      </c>
      <c r="B14" s="2" t="s">
        <v>11</v>
      </c>
      <c r="C14" s="2" t="s">
        <v>23</v>
      </c>
      <c r="D14" s="2" t="s">
        <v>28</v>
      </c>
      <c r="E14" s="2" t="s">
        <v>8</v>
      </c>
      <c r="F14" s="2" t="s">
        <v>59</v>
      </c>
      <c r="G14" s="6"/>
      <c r="I14" s="18" t="s">
        <v>3</v>
      </c>
      <c r="J14" s="10">
        <f>SUMIFS(G:G,B:B,"Restos")</f>
        <v>0</v>
      </c>
      <c r="K14" s="10">
        <v>30</v>
      </c>
      <c r="L14" s="10">
        <f t="shared" si="0"/>
        <v>30</v>
      </c>
    </row>
    <row r="15" spans="1:12" x14ac:dyDescent="0.3">
      <c r="A15" s="5">
        <v>46357</v>
      </c>
      <c r="B15" s="2" t="s">
        <v>23</v>
      </c>
      <c r="C15" s="2" t="s">
        <v>73</v>
      </c>
      <c r="D15" s="2" t="s">
        <v>28</v>
      </c>
      <c r="E15" s="2" t="s">
        <v>8</v>
      </c>
      <c r="F15" s="2" t="s">
        <v>59</v>
      </c>
      <c r="G15" s="6">
        <v>50</v>
      </c>
    </row>
    <row r="16" spans="1:12" x14ac:dyDescent="0.3">
      <c r="A16" s="5">
        <v>46357</v>
      </c>
      <c r="B16" s="2" t="s">
        <v>19</v>
      </c>
      <c r="C16" s="2" t="s">
        <v>50</v>
      </c>
      <c r="D16" s="2" t="s">
        <v>28</v>
      </c>
      <c r="E16" s="2" t="s">
        <v>42</v>
      </c>
      <c r="F16" s="2" t="s">
        <v>59</v>
      </c>
      <c r="G16" s="3">
        <v>150</v>
      </c>
    </row>
    <row r="17" spans="1:7" x14ac:dyDescent="0.3">
      <c r="A17" s="5">
        <v>46359</v>
      </c>
      <c r="B17" s="2" t="s">
        <v>17</v>
      </c>
      <c r="C17" s="2" t="s">
        <v>38</v>
      </c>
      <c r="D17" s="2" t="s">
        <v>28</v>
      </c>
      <c r="E17" s="2" t="s">
        <v>41</v>
      </c>
      <c r="F17" s="2" t="s">
        <v>59</v>
      </c>
      <c r="G17" s="3">
        <v>7.99</v>
      </c>
    </row>
    <row r="18" spans="1:7" x14ac:dyDescent="0.3">
      <c r="A18" s="5">
        <v>46359</v>
      </c>
      <c r="B18" s="2" t="s">
        <v>1</v>
      </c>
      <c r="C18" s="2" t="s">
        <v>60</v>
      </c>
      <c r="D18" s="2" t="s">
        <v>28</v>
      </c>
      <c r="E18" s="2" t="s">
        <v>44</v>
      </c>
      <c r="F18" s="2" t="s">
        <v>59</v>
      </c>
      <c r="G18" s="6">
        <v>110</v>
      </c>
    </row>
    <row r="19" spans="1:7" x14ac:dyDescent="0.3">
      <c r="A19" s="5">
        <v>46359</v>
      </c>
      <c r="B19" s="2" t="s">
        <v>6</v>
      </c>
      <c r="C19" s="2" t="s">
        <v>61</v>
      </c>
      <c r="D19" s="2" t="s">
        <v>28</v>
      </c>
      <c r="E19" s="2" t="s">
        <v>44</v>
      </c>
      <c r="F19" s="2" t="s">
        <v>59</v>
      </c>
      <c r="G19" s="6">
        <v>50</v>
      </c>
    </row>
    <row r="20" spans="1:7" x14ac:dyDescent="0.3">
      <c r="A20" s="5">
        <v>46360</v>
      </c>
      <c r="B20" s="2" t="s">
        <v>17</v>
      </c>
      <c r="C20" s="2" t="s">
        <v>37</v>
      </c>
      <c r="D20" s="2" t="s">
        <v>28</v>
      </c>
      <c r="E20" s="2" t="s">
        <v>42</v>
      </c>
      <c r="F20" s="2" t="s">
        <v>59</v>
      </c>
      <c r="G20" s="3">
        <v>47.5</v>
      </c>
    </row>
    <row r="21" spans="1:7" x14ac:dyDescent="0.3">
      <c r="A21" s="5">
        <v>46361</v>
      </c>
      <c r="B21" s="2" t="s">
        <v>0</v>
      </c>
      <c r="C21" s="4" t="s">
        <v>65</v>
      </c>
      <c r="D21" s="2" t="s">
        <v>28</v>
      </c>
      <c r="E21" s="2" t="s">
        <v>42</v>
      </c>
      <c r="F21" s="2" t="s">
        <v>59</v>
      </c>
      <c r="G21" s="3">
        <v>700</v>
      </c>
    </row>
    <row r="22" spans="1:7" x14ac:dyDescent="0.3">
      <c r="A22" s="5">
        <v>46361</v>
      </c>
      <c r="B22" s="2" t="s">
        <v>14</v>
      </c>
      <c r="C22" s="2" t="s">
        <v>34</v>
      </c>
      <c r="D22" s="2" t="s">
        <v>28</v>
      </c>
      <c r="E22" s="2" t="s">
        <v>42</v>
      </c>
      <c r="F22" s="2" t="s">
        <v>59</v>
      </c>
      <c r="G22" s="3">
        <v>26.99</v>
      </c>
    </row>
    <row r="23" spans="1:7" x14ac:dyDescent="0.3">
      <c r="A23" s="5">
        <v>46361</v>
      </c>
      <c r="B23" s="2" t="s">
        <v>15</v>
      </c>
      <c r="C23" s="2" t="s">
        <v>46</v>
      </c>
      <c r="D23" s="2" t="s">
        <v>28</v>
      </c>
      <c r="E23" s="2" t="s">
        <v>42</v>
      </c>
      <c r="F23" s="2" t="s">
        <v>59</v>
      </c>
      <c r="G23" s="3">
        <v>195</v>
      </c>
    </row>
    <row r="24" spans="1:7" x14ac:dyDescent="0.3">
      <c r="A24" s="5">
        <v>46361</v>
      </c>
      <c r="B24" s="2" t="s">
        <v>23</v>
      </c>
      <c r="C24" s="2" t="s">
        <v>51</v>
      </c>
      <c r="D24" s="2" t="s">
        <v>28</v>
      </c>
      <c r="E24" s="2" t="s">
        <v>42</v>
      </c>
      <c r="F24" s="2" t="s">
        <v>59</v>
      </c>
      <c r="G24" s="3">
        <v>9</v>
      </c>
    </row>
    <row r="25" spans="1:7" x14ac:dyDescent="0.3">
      <c r="A25" s="5">
        <v>46361</v>
      </c>
      <c r="B25" s="2" t="s">
        <v>23</v>
      </c>
      <c r="C25" s="2" t="s">
        <v>52</v>
      </c>
      <c r="D25" s="2" t="s">
        <v>28</v>
      </c>
      <c r="E25" s="2" t="s">
        <v>42</v>
      </c>
      <c r="F25" s="2" t="s">
        <v>59</v>
      </c>
      <c r="G25" s="3">
        <v>15</v>
      </c>
    </row>
    <row r="26" spans="1:7" x14ac:dyDescent="0.3">
      <c r="A26" s="5">
        <v>46362</v>
      </c>
      <c r="B26" s="2" t="s">
        <v>10</v>
      </c>
      <c r="C26" s="2" t="s">
        <v>23</v>
      </c>
      <c r="D26" s="2" t="s">
        <v>28</v>
      </c>
      <c r="E26" s="2" t="s">
        <v>42</v>
      </c>
      <c r="F26" s="2" t="s">
        <v>59</v>
      </c>
      <c r="G26" s="6">
        <v>38.25</v>
      </c>
    </row>
    <row r="27" spans="1:7" x14ac:dyDescent="0.3">
      <c r="A27" s="5">
        <v>46365</v>
      </c>
      <c r="B27" s="2" t="s">
        <v>24</v>
      </c>
      <c r="C27" s="2" t="s">
        <v>74</v>
      </c>
      <c r="D27" s="2" t="s">
        <v>28</v>
      </c>
      <c r="E27" s="3" t="s">
        <v>44</v>
      </c>
      <c r="F27" s="2" t="s">
        <v>59</v>
      </c>
      <c r="G27" s="6">
        <v>200</v>
      </c>
    </row>
    <row r="28" spans="1:7" x14ac:dyDescent="0.3">
      <c r="A28" s="5">
        <v>46366</v>
      </c>
      <c r="B28" s="2" t="s">
        <v>20</v>
      </c>
      <c r="C28" s="2" t="s">
        <v>33</v>
      </c>
      <c r="D28" s="2" t="s">
        <v>28</v>
      </c>
      <c r="E28" s="2" t="s">
        <v>42</v>
      </c>
      <c r="F28" s="2" t="s">
        <v>59</v>
      </c>
      <c r="G28" s="3">
        <v>128.08000000000001</v>
      </c>
    </row>
    <row r="29" spans="1:7" x14ac:dyDescent="0.3">
      <c r="A29" s="5">
        <v>46366</v>
      </c>
      <c r="B29" s="2" t="s">
        <v>16</v>
      </c>
      <c r="C29" s="2" t="s">
        <v>47</v>
      </c>
      <c r="D29" s="2" t="s">
        <v>28</v>
      </c>
      <c r="E29" s="2" t="s">
        <v>42</v>
      </c>
      <c r="F29" s="2" t="s">
        <v>59</v>
      </c>
      <c r="G29" s="3">
        <v>60</v>
      </c>
    </row>
    <row r="30" spans="1:7" x14ac:dyDescent="0.3">
      <c r="A30" s="5">
        <v>46366</v>
      </c>
      <c r="B30" s="2" t="s">
        <v>14</v>
      </c>
      <c r="C30" s="2" t="s">
        <v>48</v>
      </c>
      <c r="D30" s="2" t="s">
        <v>28</v>
      </c>
      <c r="E30" s="2" t="s">
        <v>8</v>
      </c>
      <c r="F30" s="2" t="s">
        <v>59</v>
      </c>
      <c r="G30" s="3">
        <v>15</v>
      </c>
    </row>
    <row r="31" spans="1:7" x14ac:dyDescent="0.3">
      <c r="A31" s="5">
        <v>46366</v>
      </c>
      <c r="B31" s="2" t="s">
        <v>1</v>
      </c>
      <c r="C31" s="2" t="s">
        <v>60</v>
      </c>
      <c r="D31" s="2" t="s">
        <v>28</v>
      </c>
      <c r="E31" s="2" t="s">
        <v>44</v>
      </c>
      <c r="F31" s="2" t="s">
        <v>59</v>
      </c>
      <c r="G31" s="6">
        <v>110</v>
      </c>
    </row>
    <row r="32" spans="1:7" x14ac:dyDescent="0.3">
      <c r="A32" s="5">
        <v>46366</v>
      </c>
      <c r="B32" s="2" t="s">
        <v>6</v>
      </c>
      <c r="C32" s="2" t="s">
        <v>61</v>
      </c>
      <c r="D32" s="2" t="s">
        <v>28</v>
      </c>
      <c r="E32" s="2" t="s">
        <v>44</v>
      </c>
      <c r="F32" s="2" t="s">
        <v>59</v>
      </c>
      <c r="G32" s="6">
        <v>50</v>
      </c>
    </row>
    <row r="33" spans="1:7" x14ac:dyDescent="0.3">
      <c r="A33" s="5">
        <v>46366</v>
      </c>
      <c r="B33" s="2" t="s">
        <v>2</v>
      </c>
      <c r="C33" s="2" t="s">
        <v>62</v>
      </c>
      <c r="D33" s="2" t="s">
        <v>28</v>
      </c>
      <c r="E33" s="2" t="s">
        <v>44</v>
      </c>
      <c r="F33" s="2" t="s">
        <v>59</v>
      </c>
      <c r="G33" s="6">
        <v>80</v>
      </c>
    </row>
    <row r="34" spans="1:7" x14ac:dyDescent="0.3">
      <c r="A34" s="5">
        <v>46366</v>
      </c>
      <c r="B34" s="2" t="s">
        <v>2</v>
      </c>
      <c r="C34" s="2" t="s">
        <v>62</v>
      </c>
      <c r="D34" s="2" t="s">
        <v>28</v>
      </c>
      <c r="E34" s="2" t="s">
        <v>44</v>
      </c>
      <c r="F34" s="2" t="s">
        <v>59</v>
      </c>
      <c r="G34" s="6">
        <v>100</v>
      </c>
    </row>
    <row r="35" spans="1:7" x14ac:dyDescent="0.3">
      <c r="A35" s="5">
        <v>46369</v>
      </c>
      <c r="B35" s="2" t="s">
        <v>17</v>
      </c>
      <c r="C35" s="2" t="s">
        <v>39</v>
      </c>
      <c r="D35" s="2" t="s">
        <v>28</v>
      </c>
      <c r="E35" s="2" t="s">
        <v>41</v>
      </c>
      <c r="F35" s="2" t="s">
        <v>59</v>
      </c>
      <c r="G35" s="3">
        <v>6.49</v>
      </c>
    </row>
    <row r="36" spans="1:7" x14ac:dyDescent="0.3">
      <c r="A36" s="5">
        <v>46370</v>
      </c>
      <c r="B36" s="2" t="s">
        <v>14</v>
      </c>
      <c r="C36" s="2" t="s">
        <v>35</v>
      </c>
      <c r="D36" s="2" t="s">
        <v>28</v>
      </c>
      <c r="E36" s="2" t="s">
        <v>42</v>
      </c>
      <c r="F36" s="2" t="s">
        <v>59</v>
      </c>
      <c r="G36" s="3">
        <v>11.99</v>
      </c>
    </row>
    <row r="37" spans="1:7" x14ac:dyDescent="0.3">
      <c r="A37" s="5">
        <v>46373</v>
      </c>
      <c r="B37" s="2" t="s">
        <v>1</v>
      </c>
      <c r="C37" s="2" t="s">
        <v>60</v>
      </c>
      <c r="D37" s="2" t="s">
        <v>28</v>
      </c>
      <c r="E37" s="2" t="s">
        <v>44</v>
      </c>
      <c r="F37" s="2" t="s">
        <v>59</v>
      </c>
      <c r="G37" s="6">
        <v>110</v>
      </c>
    </row>
    <row r="38" spans="1:7" x14ac:dyDescent="0.3">
      <c r="A38" s="5">
        <v>46373</v>
      </c>
      <c r="B38" s="2" t="s">
        <v>6</v>
      </c>
      <c r="C38" s="2" t="s">
        <v>61</v>
      </c>
      <c r="D38" s="2" t="s">
        <v>28</v>
      </c>
      <c r="E38" s="2" t="s">
        <v>44</v>
      </c>
      <c r="F38" s="2" t="s">
        <v>59</v>
      </c>
      <c r="G38" s="6">
        <v>50</v>
      </c>
    </row>
    <row r="39" spans="1:7" x14ac:dyDescent="0.3">
      <c r="A39" s="5">
        <v>46377</v>
      </c>
      <c r="B39" s="2" t="s">
        <v>18</v>
      </c>
      <c r="C39" s="2" t="s">
        <v>49</v>
      </c>
      <c r="D39" s="2" t="s">
        <v>28</v>
      </c>
      <c r="E39" s="2" t="s">
        <v>41</v>
      </c>
      <c r="F39" s="2" t="s">
        <v>59</v>
      </c>
      <c r="G39" s="3">
        <v>12.14</v>
      </c>
    </row>
    <row r="40" spans="1:7" x14ac:dyDescent="0.3">
      <c r="A40" s="5"/>
    </row>
    <row r="41" spans="1:7" x14ac:dyDescent="0.3">
      <c r="A41" s="5"/>
    </row>
    <row r="42" spans="1:7" x14ac:dyDescent="0.3">
      <c r="A42" s="5"/>
    </row>
    <row r="43" spans="1:7" x14ac:dyDescent="0.3">
      <c r="A43" s="5"/>
    </row>
    <row r="44" spans="1:7" x14ac:dyDescent="0.3">
      <c r="A44" s="5"/>
    </row>
    <row r="45" spans="1:7" x14ac:dyDescent="0.3">
      <c r="A45" s="5"/>
    </row>
    <row r="46" spans="1:7" x14ac:dyDescent="0.3">
      <c r="A46" s="5"/>
    </row>
    <row r="47" spans="1:7" x14ac:dyDescent="0.3">
      <c r="A47" s="5"/>
    </row>
    <row r="48" spans="1:7" x14ac:dyDescent="0.3">
      <c r="A48" s="5"/>
    </row>
    <row r="49" spans="1:1" x14ac:dyDescent="0.3">
      <c r="A49" s="5"/>
    </row>
  </sheetData>
  <conditionalFormatting sqref="A38:A49">
    <cfRule type="expression" dxfId="30" priority="3">
      <formula>AND($A38&lt;&gt;"", $A38&lt;TODAY())</formula>
    </cfRule>
  </conditionalFormatting>
  <conditionalFormatting sqref="A5:G21 A22:B37 D22:D37">
    <cfRule type="expression" dxfId="29" priority="6">
      <formula>AND($A5&lt;&gt;"", $A5&lt;TODAY())</formula>
    </cfRule>
  </conditionalFormatting>
  <conditionalFormatting sqref="F22:F24">
    <cfRule type="expression" dxfId="28" priority="5">
      <formula>AND($A22&lt;&gt;"", $A22&lt;TODAY())</formula>
    </cfRule>
  </conditionalFormatting>
  <conditionalFormatting sqref="G5:G21 G23:G39">
    <cfRule type="cellIs" dxfId="27" priority="4" operator="equal">
      <formula>0</formula>
    </cfRule>
  </conditionalFormatting>
  <conditionalFormatting sqref="I6">
    <cfRule type="expression" dxfId="26" priority="7">
      <formula>AND($A6&lt;&gt;"", $A6&lt;TODAY())</formula>
    </cfRule>
  </conditionalFormatting>
  <conditionalFormatting sqref="G22">
    <cfRule type="expression" dxfId="5" priority="1">
      <formula>AND($A22&lt;&gt;"", $A22&lt;TODAY())</formula>
    </cfRule>
  </conditionalFormatting>
  <conditionalFormatting sqref="G22">
    <cfRule type="cellIs" dxfId="4" priority="2" operator="equal">
      <formula>0</formula>
    </cfRule>
  </conditionalFormatting>
  <dataValidations count="4">
    <dataValidation type="list" allowBlank="1" showInputMessage="1" showErrorMessage="1" sqref="A3 B5:B1048576" xr:uid="{12BF6210-9853-478F-8C63-2AF07782D1E1}">
      <formula1>famille</formula1>
    </dataValidation>
    <dataValidation type="list" allowBlank="1" showInputMessage="1" showErrorMessage="1" sqref="F5:F1048576" xr:uid="{F059C8E7-660C-4274-91E6-1E84619B8F2D}">
      <formula1>montant</formula1>
    </dataValidation>
    <dataValidation type="list" allowBlank="1" showInputMessage="1" showErrorMessage="1" sqref="E5:E1048576" xr:uid="{32A7633B-FE6B-47E5-A639-A601C0B747D0}">
      <formula1>Moyen</formula1>
    </dataValidation>
    <dataValidation type="list" allowBlank="1" showInputMessage="1" showErrorMessage="1" sqref="D5:D1048576" xr:uid="{73E12A92-23FE-43BF-867A-DB0809FF8700}">
      <formula1>Qui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4</vt:i4>
      </vt:variant>
    </vt:vector>
  </HeadingPairs>
  <TitlesOfParts>
    <vt:vector size="18" baseType="lpstr">
      <vt:lpstr>Listes</vt:lpstr>
      <vt:lpstr>Graphique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famille</vt:lpstr>
      <vt:lpstr>montant</vt:lpstr>
      <vt:lpstr>Moyen</vt:lpstr>
      <vt:lpstr>Qui</vt:lpstr>
    </vt:vector>
  </TitlesOfParts>
  <Company>Covea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POUVREAU Auriane</dc:creator>
  <cp:lastModifiedBy>POUVREAU Auriane</cp:lastModifiedBy>
  <dcterms:created xsi:type="dcterms:W3CDTF">2025-12-10T13:13:50Z</dcterms:created>
  <dcterms:modified xsi:type="dcterms:W3CDTF">2025-12-22T14:48:25Z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a33b84-80ad-42de-a720-6b5d1b5c8fd5_Enabled">
    <vt:lpwstr>true</vt:lpwstr>
  </property>
  <property fmtid="{D5CDD505-2E9C-101B-9397-08002B2CF9AE}" pid="3" name="MSIP_Label_13a33b84-80ad-42de-a720-6b5d1b5c8fd5_SetDate">
    <vt:lpwstr>2025-12-10T13:50:22Z</vt:lpwstr>
  </property>
  <property fmtid="{D5CDD505-2E9C-101B-9397-08002B2CF9AE}" pid="4" name="MSIP_Label_13a33b84-80ad-42de-a720-6b5d1b5c8fd5_Method">
    <vt:lpwstr>Standard</vt:lpwstr>
  </property>
  <property fmtid="{D5CDD505-2E9C-101B-9397-08002B2CF9AE}" pid="5" name="MSIP_Label_13a33b84-80ad-42de-a720-6b5d1b5c8fd5_Name">
    <vt:lpwstr>Interne</vt:lpwstr>
  </property>
  <property fmtid="{D5CDD505-2E9C-101B-9397-08002B2CF9AE}" pid="6" name="MSIP_Label_13a33b84-80ad-42de-a720-6b5d1b5c8fd5_SiteId">
    <vt:lpwstr>6113e532-f814-4bb9-ae61-898381e45aec</vt:lpwstr>
  </property>
  <property fmtid="{D5CDD505-2E9C-101B-9397-08002B2CF9AE}" pid="7" name="MSIP_Label_13a33b84-80ad-42de-a720-6b5d1b5c8fd5_ActionId">
    <vt:lpwstr>442a19de-dcc1-404e-a403-9c430ca1c013</vt:lpwstr>
  </property>
  <property fmtid="{D5CDD505-2E9C-101B-9397-08002B2CF9AE}" pid="8" name="MSIP_Label_13a33b84-80ad-42de-a720-6b5d1b5c8fd5_ContentBits">
    <vt:lpwstr>0</vt:lpwstr>
  </property>
  <property fmtid="{D5CDD505-2E9C-101B-9397-08002B2CF9AE}" pid="9" name="MSIP_Label_13a33b84-80ad-42de-a720-6b5d1b5c8fd5_Tag">
    <vt:lpwstr>10, 3, 0, 1</vt:lpwstr>
  </property>
</Properties>
</file>