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SO ZAMBOL\Desktop\"/>
    </mc:Choice>
  </mc:AlternateContent>
  <bookViews>
    <workbookView xWindow="0" yWindow="0" windowWidth="20490" windowHeight="7650" firstSheet="2" activeTab="7"/>
  </bookViews>
  <sheets>
    <sheet name="home" sheetId="1" r:id="rId1"/>
    <sheet name="login" sheetId="14" r:id="rId2"/>
    <sheet name="menu" sheetId="13" r:id="rId3"/>
    <sheet name="article" sheetId="4" r:id="rId4"/>
    <sheet name="client" sheetId="5" r:id="rId5"/>
    <sheet name="reception" sheetId="12" r:id="rId6"/>
    <sheet name="panier" sheetId="6" r:id="rId7"/>
    <sheet name="facture" sheetId="10" r:id="rId8"/>
    <sheet name="historique_vente" sheetId="7" r:id="rId9"/>
    <sheet name="suivi_facture" sheetId="8" r:id="rId10"/>
    <sheet name="payement" sheetId="11" r:id="rId11"/>
    <sheet name="fidélisation" sheetId="9" r:id="rId12"/>
    <sheet name="layout" sheetId="2" r:id="rId13"/>
    <sheet name="Feuil3" sheetId="3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TOT43">#REF!</definedName>
    <definedName name="_____TOT43">#REF!</definedName>
    <definedName name="____imp571">#REF!</definedName>
    <definedName name="____imp572">#REF!</definedName>
    <definedName name="____TOT43">#REF!</definedName>
    <definedName name="___imp571">#REF!</definedName>
    <definedName name="___imp572">#REF!</definedName>
    <definedName name="__imp571">#REF!</definedName>
    <definedName name="__imp572">#REF!</definedName>
    <definedName name="__TOT43">#REF!</definedName>
    <definedName name="_xlnm._FilterDatabase" localSheetId="5" hidden="1">reception!$B$3:$D$4</definedName>
    <definedName name="_imp571">#REF!</definedName>
    <definedName name="_imp572">#REF!</definedName>
    <definedName name="affogbe">'[1]impaye du jour '!#REF!</definedName>
    <definedName name="afogbe">#REF!</definedName>
    <definedName name="came">'[1]impaye du jour '!#REF!</definedName>
    <definedName name="cemer">#REF!</definedName>
    <definedName name="crite">#REF!</definedName>
    <definedName name="_xlnm.Criteria">#REF!</definedName>
    <definedName name="debu">#REF!</definedName>
    <definedName name="debut">#REF!</definedName>
    <definedName name="description_lot">#REF!</definedName>
    <definedName name="_xlnm.Extract">#REF!</definedName>
    <definedName name="FileNameList">FILES([2]Feuil1!#REF!)</definedName>
    <definedName name="fret">[3]P2167REO!#REF!</definedName>
    <definedName name="image">INDIRECT(INDEX(article!$F$4:$F$59,MATCH(panier!$C$13,article!$B$4:$B$59,0)))</definedName>
    <definedName name="listeconform">[4]!tconforme[Conform]</definedName>
    <definedName name="listefabricant">[4]!tfabricant[Nom du Fabriquant]</definedName>
    <definedName name="listefournisseur">[4]!tfournisseur[Nom du Fournisseur]</definedName>
    <definedName name="listeproduit">[4]!tproduit[Nom général du produit]</definedName>
    <definedName name="listetype">[4]!ttype[Type]</definedName>
    <definedName name="nom_article">#REF!</definedName>
    <definedName name="nr_art_reception">Tableau8[Nr article]</definedName>
    <definedName name="nr_article" localSheetId="7">Tableau1[Nr article]</definedName>
    <definedName name="nr_article" localSheetId="11">Tableau1[Nr article]</definedName>
    <definedName name="nr_article" localSheetId="8">Tableau1[Nr article]</definedName>
    <definedName name="nr_article" localSheetId="10">Tableau1[Nr article]</definedName>
    <definedName name="nr_article" localSheetId="5">Tableau1[Nr article]</definedName>
    <definedName name="nr_article" localSheetId="9">Tableau1[Nr article]</definedName>
    <definedName name="nr_article">Tableau1[Nr article]</definedName>
    <definedName name="nr_client" localSheetId="7">Tableau2[Nr client]</definedName>
    <definedName name="nr_client" localSheetId="11">Tableau2[Nr client]</definedName>
    <definedName name="nr_client" localSheetId="8">Tableau2[Nr client]</definedName>
    <definedName name="nr_client" localSheetId="10">Tableau2[Nr client]</definedName>
    <definedName name="nr_client" localSheetId="5">Tableau2[Nr client]</definedName>
    <definedName name="nr_client" localSheetId="9">Tableau2[Nr client]</definedName>
    <definedName name="nr_client">Tableau2[Nr client]</definedName>
    <definedName name="nr_fac">suivi_facture!$B$4:$B$8</definedName>
    <definedName name="nr_lot">#REF!</definedName>
    <definedName name="nr_produit">#REF!</definedName>
    <definedName name="paiement">#REF!</definedName>
    <definedName name="produits">#REF!</definedName>
    <definedName name="ref_article">[5]source!$B$4:$B$26</definedName>
    <definedName name="remise4">'[6]4943 GBEKO'!#REF!</definedName>
    <definedName name="SZASACSAXS">'[1]impaye du jour '!#REF!</definedName>
    <definedName name="tot43.2">#REF!</definedName>
    <definedName name="total">'[7]9338BASE7'!$F$33</definedName>
    <definedName name="totpharmed">#REF!</definedName>
  </definedNames>
  <calcPr calcId="162913"/>
</workbook>
</file>

<file path=xl/calcChain.xml><?xml version="1.0" encoding="utf-8"?>
<calcChain xmlns="http://schemas.openxmlformats.org/spreadsheetml/2006/main">
  <c r="B8" i="8" l="1"/>
  <c r="C8" i="8" s="1"/>
  <c r="D8" i="8"/>
  <c r="H8" i="8"/>
  <c r="I8" i="8"/>
  <c r="E8" i="8" l="1"/>
  <c r="I33" i="12"/>
  <c r="F8" i="8" l="1"/>
  <c r="G8" i="8" s="1"/>
  <c r="J8" i="8" s="1"/>
  <c r="K8" i="8" s="1"/>
  <c r="G15" i="6"/>
  <c r="C15" i="6" l="1"/>
  <c r="J20" i="4"/>
  <c r="B7" i="8"/>
  <c r="C7" i="8" s="1"/>
  <c r="H7" i="8" l="1"/>
  <c r="D7" i="8"/>
  <c r="I7" i="8"/>
  <c r="E7" i="8"/>
  <c r="B6" i="8"/>
  <c r="C6" i="8" s="1"/>
  <c r="F7" i="8" l="1"/>
  <c r="G7" i="8" s="1"/>
  <c r="J7" i="8" s="1"/>
  <c r="K7" i="8" s="1"/>
  <c r="H6" i="8"/>
  <c r="D6" i="8"/>
  <c r="I6" i="8"/>
  <c r="E6" i="8"/>
  <c r="I25" i="12"/>
  <c r="I26" i="12"/>
  <c r="I29" i="12"/>
  <c r="I30" i="12"/>
  <c r="F6" i="8" l="1"/>
  <c r="G6" i="8" s="1"/>
  <c r="J6" i="8" s="1"/>
  <c r="K6" i="8" s="1"/>
  <c r="I1" i="12"/>
  <c r="I28" i="12" s="1"/>
  <c r="I32" i="12" l="1"/>
  <c r="I27" i="12"/>
  <c r="I11" i="12"/>
  <c r="I13" i="12"/>
  <c r="I31" i="12"/>
  <c r="I12" i="12"/>
  <c r="I9" i="12"/>
  <c r="I10" i="12"/>
  <c r="I15" i="12"/>
  <c r="I17" i="12"/>
  <c r="I19" i="12"/>
  <c r="I21" i="12"/>
  <c r="I23" i="12"/>
  <c r="I14" i="12"/>
  <c r="I16" i="12"/>
  <c r="I18" i="12"/>
  <c r="I20" i="12"/>
  <c r="I22" i="12"/>
  <c r="I24" i="12"/>
  <c r="B5" i="8"/>
  <c r="C5" i="8" s="1"/>
  <c r="E16" i="6" a="1"/>
  <c r="E16" i="6" s="1"/>
  <c r="E17" i="6" a="1"/>
  <c r="E17" i="6" s="1"/>
  <c r="E18" i="6" a="1"/>
  <c r="E18" i="6" s="1"/>
  <c r="E19" i="6" a="1"/>
  <c r="E19" i="6" s="1"/>
  <c r="E20" i="6" a="1"/>
  <c r="E20" i="6" s="1"/>
  <c r="E21" i="6" a="1"/>
  <c r="E21" i="6" s="1"/>
  <c r="E22" i="6" a="1"/>
  <c r="E22" i="6" s="1"/>
  <c r="E23" i="6" a="1"/>
  <c r="E23" i="6" s="1"/>
  <c r="E24" i="6" a="1"/>
  <c r="E24" i="6" s="1"/>
  <c r="E25" i="6" a="1"/>
  <c r="E25" i="6" s="1"/>
  <c r="E26" i="6" a="1"/>
  <c r="E26" i="6" s="1"/>
  <c r="E27" i="6" a="1"/>
  <c r="E27" i="6" s="1"/>
  <c r="E28" i="6" a="1"/>
  <c r="E28" i="6" s="1"/>
  <c r="E29" i="6" a="1"/>
  <c r="E29" i="6" s="1"/>
  <c r="E30" i="6" a="1"/>
  <c r="E30" i="6" s="1"/>
  <c r="E31" i="6" a="1"/>
  <c r="E31" i="6" s="1"/>
  <c r="E32" i="6" a="1"/>
  <c r="E32" i="6" s="1"/>
  <c r="E33" i="6" a="1"/>
  <c r="E33" i="6" s="1"/>
  <c r="E34" i="6" a="1"/>
  <c r="E34" i="6" s="1"/>
  <c r="E35" i="6" a="1"/>
  <c r="E35" i="6" s="1"/>
  <c r="E15" i="6" a="1"/>
  <c r="E15" i="6" s="1"/>
  <c r="F15" i="6" s="1"/>
  <c r="C16" i="6" a="1"/>
  <c r="C16" i="6" s="1"/>
  <c r="C17" i="6" a="1"/>
  <c r="C17" i="6" s="1"/>
  <c r="C18" i="6" a="1"/>
  <c r="C18" i="6" s="1"/>
  <c r="C19" i="6" a="1"/>
  <c r="C19" i="6" s="1"/>
  <c r="C20" i="6" a="1"/>
  <c r="C20" i="6" s="1"/>
  <c r="C21" i="6" a="1"/>
  <c r="C21" i="6" s="1"/>
  <c r="C22" i="6" a="1"/>
  <c r="C22" i="6" s="1"/>
  <c r="C23" i="6" a="1"/>
  <c r="C23" i="6" s="1"/>
  <c r="C24" i="6" a="1"/>
  <c r="C24" i="6" s="1"/>
  <c r="C25" i="6" a="1"/>
  <c r="C25" i="6" s="1"/>
  <c r="C26" i="6" a="1"/>
  <c r="C26" i="6" s="1"/>
  <c r="C27" i="6" a="1"/>
  <c r="C27" i="6" s="1"/>
  <c r="C28" i="6" a="1"/>
  <c r="C28" i="6" s="1"/>
  <c r="C29" i="6" a="1"/>
  <c r="C29" i="6" s="1"/>
  <c r="C30" i="6" a="1"/>
  <c r="C30" i="6" s="1"/>
  <c r="C31" i="6" a="1"/>
  <c r="C31" i="6" s="1"/>
  <c r="C32" i="6" a="1"/>
  <c r="C32" i="6" s="1"/>
  <c r="C33" i="6" a="1"/>
  <c r="C33" i="6" s="1"/>
  <c r="C34" i="6" a="1"/>
  <c r="C34" i="6" s="1"/>
  <c r="C35" i="6" a="1"/>
  <c r="C35" i="6" s="1"/>
  <c r="F16" i="6" l="1"/>
  <c r="F17" i="6" s="1"/>
  <c r="E14" i="6"/>
  <c r="G14" i="6" s="1"/>
  <c r="H5" i="8"/>
  <c r="D5" i="8"/>
  <c r="I5" i="8"/>
  <c r="E5" i="8"/>
  <c r="D9" i="12"/>
  <c r="D10" i="12"/>
  <c r="D11" i="12"/>
  <c r="D12" i="12"/>
  <c r="D13" i="12"/>
  <c r="D14" i="12"/>
  <c r="E13" i="6" s="1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K4" i="5"/>
  <c r="J51" i="4"/>
  <c r="F18" i="6" l="1"/>
  <c r="F19" i="6" s="1"/>
  <c r="F5" i="8"/>
  <c r="G5" i="8" s="1"/>
  <c r="J5" i="8" s="1"/>
  <c r="K5" i="8" s="1"/>
  <c r="B4" i="8"/>
  <c r="F3" i="10" s="1"/>
  <c r="C7" i="6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Q10" i="5"/>
  <c r="K10" i="5"/>
  <c r="O10" i="5" s="1"/>
  <c r="J10" i="5"/>
  <c r="Q9" i="5"/>
  <c r="K9" i="5"/>
  <c r="O9" i="5" s="1"/>
  <c r="J9" i="5"/>
  <c r="Q8" i="5"/>
  <c r="K8" i="5"/>
  <c r="O8" i="5" s="1"/>
  <c r="J8" i="5"/>
  <c r="Q7" i="5"/>
  <c r="K7" i="5"/>
  <c r="O7" i="5" s="1"/>
  <c r="J7" i="5"/>
  <c r="Q6" i="5"/>
  <c r="K6" i="5"/>
  <c r="P6" i="5" s="1"/>
  <c r="J6" i="5"/>
  <c r="Q5" i="5"/>
  <c r="K5" i="5"/>
  <c r="O5" i="5" s="1"/>
  <c r="J5" i="5"/>
  <c r="Q4" i="5"/>
  <c r="P4" i="5"/>
  <c r="J4" i="5"/>
  <c r="F55" i="4"/>
  <c r="J55" i="4"/>
  <c r="F54" i="4"/>
  <c r="J54" i="4"/>
  <c r="F39" i="4"/>
  <c r="J39" i="4"/>
  <c r="F14" i="4"/>
  <c r="J14" i="4"/>
  <c r="F10" i="4"/>
  <c r="F11" i="4"/>
  <c r="F12" i="4"/>
  <c r="F13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6" i="4"/>
  <c r="F57" i="4"/>
  <c r="F58" i="4"/>
  <c r="F59" i="4"/>
  <c r="J10" i="4"/>
  <c r="J11" i="4"/>
  <c r="J12" i="4"/>
  <c r="J13" i="4"/>
  <c r="J15" i="4"/>
  <c r="J16" i="4"/>
  <c r="J17" i="4"/>
  <c r="J18" i="4"/>
  <c r="J19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40" i="4"/>
  <c r="J41" i="4"/>
  <c r="J42" i="4"/>
  <c r="J43" i="4"/>
  <c r="J44" i="4"/>
  <c r="J45" i="4"/>
  <c r="J46" i="4"/>
  <c r="J47" i="4"/>
  <c r="J48" i="4"/>
  <c r="J49" i="4"/>
  <c r="J50" i="4"/>
  <c r="J52" i="4"/>
  <c r="J53" i="4"/>
  <c r="J56" i="4"/>
  <c r="J57" i="4"/>
  <c r="J58" i="4"/>
  <c r="J59" i="4"/>
  <c r="C14" i="6" l="1"/>
  <c r="F20" i="6"/>
  <c r="D4" i="8"/>
  <c r="F3" i="6"/>
  <c r="H4" i="8"/>
  <c r="I4" i="8"/>
  <c r="E4" i="8"/>
  <c r="C4" i="8"/>
  <c r="M4" i="5"/>
  <c r="O4" i="5"/>
  <c r="M6" i="5"/>
  <c r="O6" i="5"/>
  <c r="M9" i="5"/>
  <c r="L4" i="5"/>
  <c r="N4" i="5"/>
  <c r="L5" i="5"/>
  <c r="N5" i="5"/>
  <c r="P5" i="5"/>
  <c r="L6" i="5"/>
  <c r="N6" i="5"/>
  <c r="L7" i="5"/>
  <c r="N7" i="5"/>
  <c r="P7" i="5"/>
  <c r="L8" i="5"/>
  <c r="N8" i="5"/>
  <c r="P8" i="5"/>
  <c r="L9" i="5"/>
  <c r="N9" i="5"/>
  <c r="P9" i="5"/>
  <c r="L10" i="5"/>
  <c r="N10" i="5"/>
  <c r="P10" i="5"/>
  <c r="M5" i="5"/>
  <c r="M7" i="5"/>
  <c r="M8" i="5"/>
  <c r="M10" i="5"/>
  <c r="F21" i="6" l="1"/>
  <c r="F22" i="6" s="1"/>
  <c r="F23" i="6" s="1"/>
  <c r="F4" i="8"/>
  <c r="G4" i="8" s="1"/>
  <c r="J4" i="8" s="1"/>
  <c r="K4" i="8" s="1"/>
  <c r="F24" i="6" l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D6" i="6"/>
  <c r="C6" i="6" s="1"/>
  <c r="J5" i="4" l="1"/>
  <c r="J6" i="4"/>
  <c r="J7" i="4"/>
  <c r="J8" i="4"/>
  <c r="J9" i="4"/>
  <c r="J4" i="4"/>
  <c r="C4" i="12" l="1"/>
  <c r="E43" i="10" l="1"/>
  <c r="E16" i="10" a="1"/>
  <c r="E16" i="10" s="1"/>
  <c r="E17" i="10" a="1"/>
  <c r="E17" i="10" s="1"/>
  <c r="E18" i="10" a="1"/>
  <c r="E18" i="10" s="1"/>
  <c r="E19" i="10" a="1"/>
  <c r="E19" i="10" s="1"/>
  <c r="E20" i="10" a="1"/>
  <c r="E20" i="10" s="1"/>
  <c r="E21" i="10" a="1"/>
  <c r="E21" i="10" s="1"/>
  <c r="E22" i="10" a="1"/>
  <c r="E22" i="10" s="1"/>
  <c r="E23" i="10" a="1"/>
  <c r="E23" i="10" s="1"/>
  <c r="E24" i="10" a="1"/>
  <c r="E24" i="10" s="1"/>
  <c r="E25" i="10" a="1"/>
  <c r="E25" i="10" s="1"/>
  <c r="E26" i="10" a="1"/>
  <c r="E26" i="10" s="1"/>
  <c r="E27" i="10" a="1"/>
  <c r="E27" i="10" s="1"/>
  <c r="E28" i="10" a="1"/>
  <c r="E28" i="10" s="1"/>
  <c r="E29" i="10" a="1"/>
  <c r="E29" i="10" s="1"/>
  <c r="E30" i="10" a="1"/>
  <c r="E30" i="10" s="1"/>
  <c r="E31" i="10" a="1"/>
  <c r="E31" i="10" s="1"/>
  <c r="E32" i="10" a="1"/>
  <c r="E32" i="10" s="1"/>
  <c r="E33" i="10" a="1"/>
  <c r="E33" i="10" s="1"/>
  <c r="E34" i="10" a="1"/>
  <c r="E34" i="10" s="1"/>
  <c r="E35" i="10" a="1"/>
  <c r="E35" i="10" s="1"/>
  <c r="E36" i="10" a="1"/>
  <c r="E36" i="10" s="1"/>
  <c r="E37" i="10" a="1"/>
  <c r="E37" i="10" s="1"/>
  <c r="E38" i="10" a="1"/>
  <c r="E38" i="10" s="1"/>
  <c r="E39" i="10" a="1"/>
  <c r="E39" i="10" s="1"/>
  <c r="E15" i="10" a="1"/>
  <c r="E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C16" i="10" a="1"/>
  <c r="C16" i="10" s="1"/>
  <c r="C17" i="10" a="1"/>
  <c r="C17" i="10" s="1"/>
  <c r="C18" i="10" a="1"/>
  <c r="C18" i="10" s="1"/>
  <c r="C19" i="10" a="1"/>
  <c r="C19" i="10" s="1"/>
  <c r="C20" i="10" a="1"/>
  <c r="C20" i="10" s="1"/>
  <c r="C21" i="10" a="1"/>
  <c r="C21" i="10" s="1"/>
  <c r="C22" i="10" a="1"/>
  <c r="C22" i="10" s="1"/>
  <c r="C23" i="10" a="1"/>
  <c r="C23" i="10" s="1"/>
  <c r="C24" i="10" a="1"/>
  <c r="C24" i="10" s="1"/>
  <c r="C25" i="10" a="1"/>
  <c r="C25" i="10" s="1"/>
  <c r="C26" i="10" a="1"/>
  <c r="C26" i="10" s="1"/>
  <c r="C27" i="10" a="1"/>
  <c r="C27" i="10" s="1"/>
  <c r="C28" i="10" a="1"/>
  <c r="C28" i="10" s="1"/>
  <c r="C29" i="10" a="1"/>
  <c r="C29" i="10" s="1"/>
  <c r="C30" i="10" a="1"/>
  <c r="C30" i="10" s="1"/>
  <c r="C31" i="10" a="1"/>
  <c r="C31" i="10" s="1"/>
  <c r="C32" i="10" a="1"/>
  <c r="C32" i="10" s="1"/>
  <c r="C33" i="10" a="1"/>
  <c r="C33" i="10" s="1"/>
  <c r="C34" i="10" a="1"/>
  <c r="C34" i="10" s="1"/>
  <c r="C35" i="10" a="1"/>
  <c r="C35" i="10" s="1"/>
  <c r="C36" i="10" a="1"/>
  <c r="C36" i="10" s="1"/>
  <c r="C37" i="10" a="1"/>
  <c r="C37" i="10" s="1"/>
  <c r="C38" i="10" a="1"/>
  <c r="C38" i="10" s="1"/>
  <c r="C39" i="10" a="1"/>
  <c r="C39" i="10" s="1"/>
  <c r="D15" i="10" a="1"/>
  <c r="D15" i="10" s="1"/>
  <c r="C15" i="10" a="1"/>
  <c r="C15" i="10" s="1"/>
  <c r="B33" i="10" a="1"/>
  <c r="B33" i="10" s="1"/>
  <c r="B34" i="10" a="1"/>
  <c r="B34" i="10" s="1"/>
  <c r="B35" i="10" a="1"/>
  <c r="B35" i="10" s="1"/>
  <c r="B36" i="10" a="1"/>
  <c r="B36" i="10" s="1"/>
  <c r="B37" i="10" a="1"/>
  <c r="B37" i="10" s="1"/>
  <c r="B38" i="10" a="1"/>
  <c r="B38" i="10" s="1"/>
  <c r="B39" i="10" a="1"/>
  <c r="B39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25" i="10" a="1"/>
  <c r="B25" i="10" s="1"/>
  <c r="B26" i="10" a="1"/>
  <c r="B26" i="10" s="1"/>
  <c r="B27" i="10" a="1"/>
  <c r="B27" i="10" s="1"/>
  <c r="B28" i="10" a="1"/>
  <c r="B28" i="10" s="1"/>
  <c r="B29" i="10" a="1"/>
  <c r="B29" i="10" s="1"/>
  <c r="B30" i="10" a="1"/>
  <c r="B30" i="10" s="1"/>
  <c r="B31" i="10" a="1"/>
  <c r="B31" i="10" s="1"/>
  <c r="B32" i="10" a="1"/>
  <c r="B32" i="10" s="1"/>
  <c r="B16" i="10" a="1"/>
  <c r="B16" i="10" s="1"/>
  <c r="B17" i="10" a="1"/>
  <c r="B17" i="10" s="1"/>
  <c r="B18" i="10" a="1"/>
  <c r="B18" i="10" s="1"/>
  <c r="B15" i="10" a="1"/>
  <c r="B15" i="10" s="1"/>
  <c r="F39" i="10" l="1"/>
  <c r="F37" i="10"/>
  <c r="F35" i="10"/>
  <c r="F33" i="10"/>
  <c r="F31" i="10"/>
  <c r="F29" i="10"/>
  <c r="F27" i="10"/>
  <c r="F25" i="10"/>
  <c r="F23" i="10"/>
  <c r="F21" i="10"/>
  <c r="F19" i="10"/>
  <c r="F17" i="10"/>
  <c r="F15" i="10"/>
  <c r="F38" i="10"/>
  <c r="F36" i="10"/>
  <c r="F34" i="10"/>
  <c r="F32" i="10"/>
  <c r="F30" i="10"/>
  <c r="F28" i="10"/>
  <c r="F26" i="10"/>
  <c r="F24" i="10"/>
  <c r="F22" i="10"/>
  <c r="F20" i="10"/>
  <c r="F18" i="10"/>
  <c r="F16" i="10"/>
  <c r="F42" i="10" l="1"/>
  <c r="O4" i="6"/>
  <c r="K4" i="6"/>
  <c r="M4" i="6" s="1"/>
  <c r="F9" i="4"/>
  <c r="F4" i="4"/>
  <c r="F5" i="4"/>
  <c r="F6" i="4"/>
  <c r="F7" i="4"/>
  <c r="F8" i="4"/>
  <c r="F36" i="6"/>
  <c r="N4" i="6" l="1"/>
  <c r="E11" i="10" l="1"/>
  <c r="B42" i="10" s="1"/>
  <c r="F4" i="10"/>
  <c r="A1" i="8"/>
  <c r="I3" i="10" l="1"/>
  <c r="F45" i="10"/>
  <c r="F48" i="10" s="1"/>
</calcChain>
</file>

<file path=xl/sharedStrings.xml><?xml version="1.0" encoding="utf-8"?>
<sst xmlns="http://schemas.openxmlformats.org/spreadsheetml/2006/main" count="402" uniqueCount="269">
  <si>
    <t>Nr article</t>
  </si>
  <si>
    <t>Nom</t>
  </si>
  <si>
    <t>Image</t>
  </si>
  <si>
    <t>Description</t>
  </si>
  <si>
    <t>Adresse image</t>
  </si>
  <si>
    <t>Stock</t>
  </si>
  <si>
    <t>Nr client</t>
  </si>
  <si>
    <t>Code postal</t>
  </si>
  <si>
    <t>Ville</t>
  </si>
  <si>
    <t>Pays</t>
  </si>
  <si>
    <t>Mail</t>
  </si>
  <si>
    <t>Tél</t>
  </si>
  <si>
    <t>Niv fidélité</t>
  </si>
  <si>
    <t>info texte</t>
  </si>
  <si>
    <t>1</t>
  </si>
  <si>
    <t>2</t>
  </si>
  <si>
    <t>3</t>
  </si>
  <si>
    <t>4</t>
  </si>
  <si>
    <t>5</t>
  </si>
  <si>
    <t>Societe Togolaise de Medicaments SA</t>
  </si>
  <si>
    <t>OCDI</t>
  </si>
  <si>
    <t>Pharmacie ACI</t>
  </si>
  <si>
    <t>Bénin</t>
  </si>
  <si>
    <t>Cotonou</t>
  </si>
  <si>
    <t>vmarcus@came-benin.bj</t>
  </si>
  <si>
    <t>+22921333674 - +22996864672</t>
  </si>
  <si>
    <t>Nr de facture :</t>
  </si>
  <si>
    <t>Nr de client :</t>
  </si>
  <si>
    <t>Remise :</t>
  </si>
  <si>
    <t>Info client :</t>
  </si>
  <si>
    <t>Prix HTVA</t>
  </si>
  <si>
    <t>Article :</t>
  </si>
  <si>
    <t>Nombre :</t>
  </si>
  <si>
    <t>Date</t>
  </si>
  <si>
    <t>Nr facture</t>
  </si>
  <si>
    <t>article</t>
  </si>
  <si>
    <t>Prix htv</t>
  </si>
  <si>
    <t>Nombre</t>
  </si>
  <si>
    <t>remise</t>
  </si>
  <si>
    <t>Total</t>
  </si>
  <si>
    <t>Total HTVA</t>
  </si>
  <si>
    <t>Total remise</t>
  </si>
  <si>
    <t>Total TTC</t>
  </si>
  <si>
    <t>NB. Article</t>
  </si>
  <si>
    <t>Remise</t>
  </si>
  <si>
    <t>Acompte</t>
  </si>
  <si>
    <t>Versement</t>
  </si>
  <si>
    <t>Reste</t>
  </si>
  <si>
    <t>Status</t>
  </si>
  <si>
    <t>Prix htva</t>
  </si>
  <si>
    <t>Ministère de la Santé</t>
  </si>
  <si>
    <t>Réduction</t>
  </si>
  <si>
    <t>Level</t>
  </si>
  <si>
    <t>Conditions</t>
  </si>
  <si>
    <t>nb</t>
  </si>
  <si>
    <t>Nr client :</t>
  </si>
  <si>
    <t>Nom :</t>
  </si>
  <si>
    <t>Rue :</t>
  </si>
  <si>
    <t>CP + ville :</t>
  </si>
  <si>
    <t>Pays :</t>
  </si>
  <si>
    <t>Mail :</t>
  </si>
  <si>
    <t>Tél. :</t>
  </si>
  <si>
    <t>Nr de Facture :</t>
  </si>
  <si>
    <t>Date :</t>
  </si>
  <si>
    <t>Nr Article</t>
  </si>
  <si>
    <t>Article</t>
  </si>
  <si>
    <t>Prix unitaire</t>
  </si>
  <si>
    <t>Qté</t>
  </si>
  <si>
    <t>Montant HTVA</t>
  </si>
  <si>
    <t>Facture d'achat :</t>
  </si>
  <si>
    <t>Total HTVA :</t>
  </si>
  <si>
    <t>TVA 21% :</t>
  </si>
  <si>
    <t>TTC :</t>
  </si>
  <si>
    <t>Acompte :</t>
  </si>
  <si>
    <t>Somme dû :</t>
  </si>
  <si>
    <t>Total à payer :</t>
  </si>
  <si>
    <t>Type de payement :</t>
  </si>
  <si>
    <t xml:space="preserve">Montant : </t>
  </si>
  <si>
    <t>Client</t>
  </si>
  <si>
    <t>Type</t>
  </si>
  <si>
    <t>Montant</t>
  </si>
  <si>
    <t>versement</t>
  </si>
  <si>
    <t>Nr article :</t>
  </si>
  <si>
    <t>Quantité :</t>
  </si>
  <si>
    <t/>
  </si>
  <si>
    <t>GESTION CERTIFICATS D'ANALYSE KABS</t>
  </si>
  <si>
    <t>PF_ASPI1002</t>
  </si>
  <si>
    <t>PF_ASPI1001</t>
  </si>
  <si>
    <t>PF_ASPI5002</t>
  </si>
  <si>
    <t>PF_ASPI5001</t>
  </si>
  <si>
    <t>PF_ALBE4002</t>
  </si>
  <si>
    <t>PF_ALBE4001</t>
  </si>
  <si>
    <t>PF_AMOX5002</t>
  </si>
  <si>
    <t>PF_AMOX5001</t>
  </si>
  <si>
    <t>PF_CHLR5002</t>
  </si>
  <si>
    <t>PF_CHLR5001</t>
  </si>
  <si>
    <t>PF_CIPR5002</t>
  </si>
  <si>
    <t>PF_CIPR5001</t>
  </si>
  <si>
    <t>PF_CLOX2502</t>
  </si>
  <si>
    <t>PF_CLOX2501</t>
  </si>
  <si>
    <t>PF_COTR4802</t>
  </si>
  <si>
    <t>PF_COTR4801</t>
  </si>
  <si>
    <t>PF_DIAZ0052</t>
  </si>
  <si>
    <t>PF_DIAZ0051</t>
  </si>
  <si>
    <t>PF_DICL0502</t>
  </si>
  <si>
    <t>PF_DICL0501</t>
  </si>
  <si>
    <t>PF_FERR2002</t>
  </si>
  <si>
    <t>PF_FERR2001</t>
  </si>
  <si>
    <t>PF_FOLI0052</t>
  </si>
  <si>
    <t>PF_FOLI0051</t>
  </si>
  <si>
    <t>PF_FEFO3502</t>
  </si>
  <si>
    <t>PF_FEFO3501</t>
  </si>
  <si>
    <t>PF_HCTH0502</t>
  </si>
  <si>
    <t>PF_HCTH0501</t>
  </si>
  <si>
    <t>PF_IBUP4002</t>
  </si>
  <si>
    <t>PF_IBUP4001</t>
  </si>
  <si>
    <t>PF_INDO0252</t>
  </si>
  <si>
    <t>PF_INDO0251</t>
  </si>
  <si>
    <t>PF_MEBE1002</t>
  </si>
  <si>
    <t>PF_MEBE1001</t>
  </si>
  <si>
    <t>PF_METR2502</t>
  </si>
  <si>
    <t>PF_METR2501</t>
  </si>
  <si>
    <t>PF_NYST5002</t>
  </si>
  <si>
    <t>PF_NYST5001</t>
  </si>
  <si>
    <t>PF_PARA5002</t>
  </si>
  <si>
    <t>PF_PARA5001</t>
  </si>
  <si>
    <t>PF_PHEB1002</t>
  </si>
  <si>
    <t>PF_PHEB1001</t>
  </si>
  <si>
    <t>PF_PHEB0502</t>
  </si>
  <si>
    <t>PF_PHEB0501</t>
  </si>
  <si>
    <t>PF_POTA5002</t>
  </si>
  <si>
    <t>PF_POTA5001</t>
  </si>
  <si>
    <t>PF_PROM0252</t>
  </si>
  <si>
    <t>PF_PROM0251</t>
  </si>
  <si>
    <t>PF_SUPY5252</t>
  </si>
  <si>
    <t>PF_SUPY5251</t>
  </si>
  <si>
    <t>PF_THIA5002</t>
  </si>
  <si>
    <t>PF_THIA5001</t>
  </si>
  <si>
    <t>Acetylsalicylic Acid 100 mg, Blister, 10 × 10</t>
  </si>
  <si>
    <t>Acetylsalicylic Acid 100 mg, Blister, 100 × 10</t>
  </si>
  <si>
    <t>Acetylsalicylic Acid 500 mg, Blister, 10 × 10</t>
  </si>
  <si>
    <t>Acetylsalicylic Acid 500 mg, Blister, 100 × 10</t>
  </si>
  <si>
    <t>Albendazole 400 mg, Blister, 50 × 4*</t>
  </si>
  <si>
    <t>Albendazole 400 mg, Vrac, 500</t>
  </si>
  <si>
    <t>Amoxicillin 500 mg, Blister, 10 × 10</t>
  </si>
  <si>
    <t>Amoxicillin 500 mg, Blister, 100 × 10</t>
  </si>
  <si>
    <t>Chlorpromazine 100 mg, Blister, 10 × 10</t>
  </si>
  <si>
    <t>Chlorpromazine 100 mg, Blister, 100 × 10</t>
  </si>
  <si>
    <t>Ciprofloxacin 500 mg, Blister, 10 × 10</t>
  </si>
  <si>
    <t>Ciprofloxacin 500 mg, Blister, 100 × 10</t>
  </si>
  <si>
    <t>Cloxacillin Sodium 250 mg, Blister, 10 × 10</t>
  </si>
  <si>
    <t>Cloxacillin Sodium 250 mg, Blister, 100 × 10</t>
  </si>
  <si>
    <t>Cotrimoxazole 480 mg, Blister, 10 × 10</t>
  </si>
  <si>
    <t>Cotrimoxazole 480 mg, Blister, 100 × 10</t>
  </si>
  <si>
    <t>Diazepam 5 mg, Blister, 10 × 10</t>
  </si>
  <si>
    <t>Diazepam 5 mg, Blister, 100 × 10</t>
  </si>
  <si>
    <t>Diclofenac Sodium 50 mg, Blister, 10 × 10</t>
  </si>
  <si>
    <t>Diclofenac Sodium 50 mg, Blister, 100 × 10</t>
  </si>
  <si>
    <t>Ferrous Fumarate 200 mg, Blister, 10 × 10</t>
  </si>
  <si>
    <t>Ferrous Fumarate 200 mg, Blister, 100 × 10</t>
  </si>
  <si>
    <t>Folic Acid 5 mg, Blister, 10 × 10</t>
  </si>
  <si>
    <t>Folic Acid 5 mg, Blister, 100 × 10</t>
  </si>
  <si>
    <t>Folic Acid/Iron 0.35 mg / 50 mg, Blister, 10 × 10</t>
  </si>
  <si>
    <t>Folic Acid/Iron 0.35 mg / 50 mg, Blister, 100 × 10</t>
  </si>
  <si>
    <t>Hydrochlorothiazide 50 mg, Blister, 10 × 10</t>
  </si>
  <si>
    <t>Hydrochlorothiazide 50 mg, Blister, 100 × 10</t>
  </si>
  <si>
    <t>Ibuprofen 400 mg, Blister, 10 × 10</t>
  </si>
  <si>
    <t>Ibuprofen 400 mg, Blister, 100 × 10</t>
  </si>
  <si>
    <t>Indometacin 25 mg, Blister, 10 × 10</t>
  </si>
  <si>
    <t>Indometacin 25 mg, Blister, 100 × 10</t>
  </si>
  <si>
    <t>Mebendazole 100 mg, Blister, 10 × 10</t>
  </si>
  <si>
    <t>Mebendazole 100 mg, Blister, 100 × 10</t>
  </si>
  <si>
    <t>Metronidazole 250 mg, Blister, 10 × 10</t>
  </si>
  <si>
    <t>Metronidazole 250 mg, Blister, 100 × 10</t>
  </si>
  <si>
    <t>Nystatin 500 000 IU, Blister, 10 × 10</t>
  </si>
  <si>
    <t>Nystatin 500 000 IU, Blister, 100 × 10</t>
  </si>
  <si>
    <t>Paracetamol 500 mg, Blister, 10 × 10</t>
  </si>
  <si>
    <t>Paracetamol 500 mg, Blister, 100 × 10</t>
  </si>
  <si>
    <t>Phenobarbital 100 mg, Blister, 10 × 10</t>
  </si>
  <si>
    <t>Phenobarbital 100 mg, Blister, 100 × 10</t>
  </si>
  <si>
    <t>Phenobarbital 50 mg, Blister, 10 × 10</t>
  </si>
  <si>
    <t>Phenobarbital 50 mg, Blister, 100 × 10</t>
  </si>
  <si>
    <t>Potassium Permaganate 500 mg, Blister, 10 × 10</t>
  </si>
  <si>
    <t>Potassium Permaganate 500 mg, Vrac, 100*</t>
  </si>
  <si>
    <t xml:space="preserve">Promethazine 25 mg, Blister, 10 × 10 </t>
  </si>
  <si>
    <t xml:space="preserve">Promethazine 25 mg, Blister, 100 × 10 </t>
  </si>
  <si>
    <t>Sulfadoxine/Pyrimethamine 500 mg / 25 mg, Blister, 40 × 3</t>
  </si>
  <si>
    <t>Sulfadoxine/Pyrimethamine 500 mg / 25 mg, Blister, 100 × 10</t>
  </si>
  <si>
    <t>Thiabendazole 500 mg, Blister, 10 × 10</t>
  </si>
  <si>
    <t>Thiabendazole 500 mg, Blister, 100 × 10</t>
  </si>
  <si>
    <t>Blister, 10 × 10</t>
  </si>
  <si>
    <t>Blister, 100 × 10</t>
  </si>
  <si>
    <t>Vrac, 100*</t>
  </si>
  <si>
    <t>Blister, 40 × 3</t>
  </si>
  <si>
    <t>Blister, 50 × 4*</t>
  </si>
  <si>
    <t>Vrac, 500</t>
  </si>
  <si>
    <t>PF-CIME2001</t>
  </si>
  <si>
    <t>PF_MEBE5001</t>
  </si>
  <si>
    <t>PF_QUIN1001</t>
  </si>
  <si>
    <t>PF_QUIN3001</t>
  </si>
  <si>
    <t>PHARMASTORE S.A.R.L.</t>
  </si>
  <si>
    <t xml:space="preserve">BP : 300 </t>
  </si>
  <si>
    <t>Docteur LATIF Sani</t>
  </si>
  <si>
    <t>Maradi</t>
  </si>
  <si>
    <t>Niger</t>
  </si>
  <si>
    <t>Tél. : 20 410 257  -  Cel : 96 59 24 54</t>
  </si>
  <si>
    <t>BP 80263</t>
  </si>
  <si>
    <t>Dr GNASSINGBE Bawizibadi ép. WALLA-AZOUMARO</t>
  </si>
  <si>
    <t>Lomé, quartier Tokoin Cassablanca, 1978, Boulevard de la Victoire</t>
  </si>
  <si>
    <t>Togo</t>
  </si>
  <si>
    <t>Tél. : (228) 22 21 35 01  -  Fax : (228) 22 21 35 28</t>
  </si>
  <si>
    <t>B.P. : 10346</t>
  </si>
  <si>
    <t>Docteur FANTOHOU</t>
  </si>
  <si>
    <t>Lomé</t>
  </si>
  <si>
    <t>Tél : (228) 22 25 94 29 - Fax : (228) 22 26 12 38</t>
  </si>
  <si>
    <t xml:space="preserve">Hôpital Saint Camille </t>
  </si>
  <si>
    <t>M. AHONGBONON Grégoire</t>
  </si>
  <si>
    <t>Avrankou</t>
  </si>
  <si>
    <t>e-mail : associationsaintcamille@gmail.com</t>
  </si>
  <si>
    <t>Tél. : 97 72 79 10 - 94 01 03 57</t>
  </si>
  <si>
    <t>Qunine sulfate 100 mg, Blister, 100 x 10</t>
  </si>
  <si>
    <t>Qunine sulfate 300 mg, Blister, 100 x 10</t>
  </si>
  <si>
    <t>Mebendazole 500 mg, Blister, 100 × 10</t>
  </si>
  <si>
    <t>Nr Fiche d'entrée :</t>
  </si>
  <si>
    <t>Nr fiche d'entrée :</t>
  </si>
  <si>
    <t>Lot</t>
  </si>
  <si>
    <t>Péremption</t>
  </si>
  <si>
    <t>8538 01</t>
  </si>
  <si>
    <t>9610 00</t>
  </si>
  <si>
    <t>A042 00</t>
  </si>
  <si>
    <t>A209 00</t>
  </si>
  <si>
    <t>A185 00</t>
  </si>
  <si>
    <t>A186 00</t>
  </si>
  <si>
    <t>A192 00</t>
  </si>
  <si>
    <t>A193 00</t>
  </si>
  <si>
    <t>A218 00</t>
  </si>
  <si>
    <t>A222 00</t>
  </si>
  <si>
    <t>A223 00</t>
  </si>
  <si>
    <t>A228 00</t>
  </si>
  <si>
    <t>A232 00</t>
  </si>
  <si>
    <t>A234 00</t>
  </si>
  <si>
    <t>A235 00</t>
  </si>
  <si>
    <t>A248 00</t>
  </si>
  <si>
    <t>9987 00</t>
  </si>
  <si>
    <t>A323 00</t>
  </si>
  <si>
    <t>A319 00</t>
  </si>
  <si>
    <t>A268 00</t>
  </si>
  <si>
    <t>A317 00</t>
  </si>
  <si>
    <t>Statut :</t>
  </si>
  <si>
    <t>Statut</t>
  </si>
  <si>
    <t>Centrale d'Achat</t>
  </si>
  <si>
    <t>Grossiste</t>
  </si>
  <si>
    <t>Extérieur</t>
  </si>
  <si>
    <t>PAASR</t>
  </si>
  <si>
    <t>Cimétidine 200 mg, Blister, 100 x 10</t>
  </si>
  <si>
    <t>Lots</t>
  </si>
  <si>
    <t>Stock/lot :</t>
  </si>
  <si>
    <t>stock total</t>
  </si>
  <si>
    <t>Quantité</t>
  </si>
  <si>
    <t>Qté sortie</t>
  </si>
  <si>
    <t>lot1</t>
  </si>
  <si>
    <t>Secteur</t>
  </si>
  <si>
    <t>Diallo ali</t>
  </si>
  <si>
    <t>Abidjan</t>
  </si>
  <si>
    <t>gesco</t>
  </si>
  <si>
    <t>yop</t>
  </si>
  <si>
    <t>Hotel</t>
  </si>
  <si>
    <t>1 unité</t>
  </si>
  <si>
    <t>LOT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</si>
</sst>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dd\-mmm\-yy;@"/>
    <numFmt numFmtId="167" formatCode="&quot;F&quot;#,##0.00_);[Red]\(&quot;F&quot;#,##0.00\)"/>
    <numFmt numFmtId="168" formatCode="#,##0.00&quot;F&quot;_);[Red]\(#,##0.00&quot;F&quot;\)"/>
    <numFmt numFmtId="169" formatCode="#,##0;[Red]\-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name val="MS Sans Serif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141414"/>
      <name val="Segoe UI"/>
      <family val="2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Segoe UI"/>
      <family val="2"/>
    </font>
    <font>
      <sz val="12"/>
      <color theme="1"/>
      <name val="Calibri"/>
      <scheme val="minor"/>
    </font>
    <font>
      <sz val="12"/>
      <color rgb="FF000000"/>
      <name val="Calibri"/>
      <scheme val="minor"/>
    </font>
    <font>
      <b/>
      <sz val="12"/>
      <color rgb="FFFF0000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EFEFE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</cellStyleXfs>
  <cellXfs count="15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2" fillId="0" borderId="0" xfId="0" applyFont="1"/>
    <xf numFmtId="164" fontId="7" fillId="0" borderId="0" xfId="1" applyFont="1" applyAlignment="1">
      <alignment horizontal="center" vertical="center"/>
    </xf>
    <xf numFmtId="0" fontId="3" fillId="0" borderId="0" xfId="0" applyFont="1"/>
    <xf numFmtId="16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9" fontId="7" fillId="0" borderId="0" xfId="2" applyFont="1" applyAlignment="1">
      <alignment horizontal="center"/>
    </xf>
    <xf numFmtId="164" fontId="7" fillId="0" borderId="0" xfId="1" applyFont="1" applyAlignment="1">
      <alignment horizontal="center"/>
    </xf>
    <xf numFmtId="14" fontId="7" fillId="0" borderId="0" xfId="0" applyNumberFormat="1" applyFont="1"/>
    <xf numFmtId="0" fontId="7" fillId="3" borderId="11" xfId="0" applyFont="1" applyFill="1" applyBorder="1"/>
    <xf numFmtId="0" fontId="7" fillId="3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3" xfId="0" applyFont="1" applyFill="1" applyBorder="1"/>
    <xf numFmtId="0" fontId="7" fillId="0" borderId="14" xfId="0" applyFont="1" applyFill="1" applyBorder="1" applyAlignment="1">
      <alignment horizontal="center" vertical="center"/>
    </xf>
    <xf numFmtId="0" fontId="7" fillId="3" borderId="15" xfId="0" applyFont="1" applyFill="1" applyBorder="1"/>
    <xf numFmtId="9" fontId="7" fillId="3" borderId="16" xfId="2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vertical="center"/>
    </xf>
    <xf numFmtId="9" fontId="7" fillId="3" borderId="16" xfId="2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/>
    </xf>
    <xf numFmtId="0" fontId="7" fillId="0" borderId="0" xfId="0" applyFont="1" applyBorder="1"/>
    <xf numFmtId="49" fontId="7" fillId="0" borderId="0" xfId="3" applyNumberFormat="1" applyFont="1" applyAlignment="1">
      <alignment horizontal="center" vertical="center"/>
    </xf>
    <xf numFmtId="166" fontId="7" fillId="9" borderId="2" xfId="0" applyNumberFormat="1" applyFont="1" applyFill="1" applyBorder="1" applyAlignment="1">
      <alignment horizontal="left" vertical="center"/>
    </xf>
    <xf numFmtId="0" fontId="7" fillId="9" borderId="2" xfId="0" applyFont="1" applyFill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166" fontId="7" fillId="9" borderId="2" xfId="0" applyNumberFormat="1" applyFont="1" applyFill="1" applyBorder="1" applyAlignment="1">
      <alignment horizontal="left" vertical="center" wrapText="1"/>
    </xf>
    <xf numFmtId="49" fontId="7" fillId="9" borderId="17" xfId="3" applyNumberFormat="1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7" fontId="7" fillId="0" borderId="10" xfId="0" applyNumberFormat="1" applyFont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 wrapText="1"/>
    </xf>
    <xf numFmtId="49" fontId="7" fillId="4" borderId="0" xfId="3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quotePrefix="1" applyFont="1" applyAlignment="1">
      <alignment vertical="center" wrapText="1"/>
    </xf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9" fontId="9" fillId="0" borderId="0" xfId="3" applyNumberFormat="1" applyFont="1" applyAlignment="1">
      <alignment vertical="center" wrapText="1"/>
    </xf>
    <xf numFmtId="169" fontId="9" fillId="0" borderId="0" xfId="3" applyNumberFormat="1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169" fontId="9" fillId="0" borderId="0" xfId="3" applyNumberFormat="1" applyFont="1" applyAlignment="1">
      <alignment horizontal="left" vertical="center"/>
    </xf>
    <xf numFmtId="164" fontId="9" fillId="0" borderId="0" xfId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8" fontId="7" fillId="0" borderId="0" xfId="1" applyNumberFormat="1" applyFont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168" fontId="7" fillId="0" borderId="0" xfId="1" applyNumberFormat="1" applyFont="1" applyBorder="1" applyAlignment="1">
      <alignment horizontal="center" vertical="center"/>
    </xf>
    <xf numFmtId="0" fontId="7" fillId="8" borderId="0" xfId="0" applyFont="1" applyFill="1" applyBorder="1" applyAlignment="1">
      <alignment horizontal="left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22" xfId="0" applyFont="1" applyBorder="1"/>
    <xf numFmtId="0" fontId="7" fillId="0" borderId="17" xfId="0" applyFont="1" applyBorder="1"/>
    <xf numFmtId="0" fontId="2" fillId="0" borderId="6" xfId="0" applyFont="1" applyBorder="1"/>
    <xf numFmtId="0" fontId="7" fillId="0" borderId="7" xfId="0" applyFont="1" applyBorder="1"/>
    <xf numFmtId="0" fontId="7" fillId="0" borderId="17" xfId="0" applyFont="1" applyBorder="1" applyAlignment="1">
      <alignment horizontal="right"/>
    </xf>
    <xf numFmtId="166" fontId="2" fillId="0" borderId="0" xfId="0" applyNumberFormat="1" applyFont="1"/>
    <xf numFmtId="0" fontId="7" fillId="5" borderId="0" xfId="0" applyFont="1" applyFill="1"/>
    <xf numFmtId="0" fontId="6" fillId="6" borderId="1" xfId="0" applyFont="1" applyFill="1" applyBorder="1" applyAlignment="1">
      <alignment horizontal="center"/>
    </xf>
    <xf numFmtId="0" fontId="7" fillId="0" borderId="1" xfId="0" applyFont="1" applyBorder="1"/>
    <xf numFmtId="0" fontId="2" fillId="0" borderId="19" xfId="0" applyFont="1" applyBorder="1"/>
    <xf numFmtId="0" fontId="2" fillId="0" borderId="14" xfId="0" applyFont="1" applyBorder="1"/>
    <xf numFmtId="0" fontId="2" fillId="0" borderId="20" xfId="0" applyFont="1" applyBorder="1"/>
    <xf numFmtId="0" fontId="2" fillId="0" borderId="18" xfId="0" applyFont="1" applyBorder="1"/>
    <xf numFmtId="0" fontId="2" fillId="0" borderId="21" xfId="0" applyFont="1" applyBorder="1"/>
    <xf numFmtId="0" fontId="2" fillId="0" borderId="16" xfId="0" applyFont="1" applyBorder="1"/>
    <xf numFmtId="0" fontId="7" fillId="7" borderId="0" xfId="0" applyFont="1" applyFill="1"/>
    <xf numFmtId="9" fontId="7" fillId="0" borderId="0" xfId="0" applyNumberFormat="1" applyFont="1" applyAlignment="1">
      <alignment horizontal="center" vertical="center"/>
    </xf>
    <xf numFmtId="0" fontId="7" fillId="3" borderId="8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2" fontId="7" fillId="3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14" xfId="0" applyFont="1" applyBorder="1"/>
    <xf numFmtId="0" fontId="0" fillId="0" borderId="0" xfId="0" applyFont="1" applyAlignment="1">
      <alignment horizontal="left"/>
    </xf>
    <xf numFmtId="0" fontId="7" fillId="0" borderId="0" xfId="0" applyNumberFormat="1" applyFont="1" applyAlignment="1">
      <alignment horizontal="center" vertical="center"/>
    </xf>
    <xf numFmtId="3" fontId="11" fillId="10" borderId="28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10" borderId="28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/>
    </xf>
    <xf numFmtId="166" fontId="16" fillId="0" borderId="0" xfId="0" applyNumberFormat="1" applyFont="1" applyAlignment="1">
      <alignment horizontal="center" vertical="center"/>
    </xf>
    <xf numFmtId="49" fontId="16" fillId="0" borderId="1" xfId="3" applyNumberFormat="1" applyFont="1" applyFill="1" applyBorder="1" applyAlignment="1">
      <alignment vertical="center"/>
    </xf>
    <xf numFmtId="0" fontId="16" fillId="0" borderId="1" xfId="0" applyNumberFormat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1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9" fontId="16" fillId="0" borderId="0" xfId="2" applyFont="1" applyAlignment="1">
      <alignment horizontal="center"/>
    </xf>
    <xf numFmtId="164" fontId="16" fillId="0" borderId="0" xfId="1" applyFont="1" applyAlignment="1">
      <alignment horizontal="center"/>
    </xf>
    <xf numFmtId="14" fontId="7" fillId="4" borderId="0" xfId="0" applyNumberFormat="1" applyFont="1" applyFill="1" applyAlignment="1">
      <alignment horizontal="center" vertical="center" wrapText="1"/>
    </xf>
    <xf numFmtId="14" fontId="8" fillId="0" borderId="1" xfId="0" applyNumberFormat="1" applyFont="1" applyBorder="1" applyAlignment="1">
      <alignment horizontal="right" vertical="center"/>
    </xf>
    <xf numFmtId="14" fontId="17" fillId="0" borderId="29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top"/>
    </xf>
    <xf numFmtId="0" fontId="10" fillId="3" borderId="25" xfId="0" applyFont="1" applyFill="1" applyBorder="1" applyAlignment="1">
      <alignment horizontal="center" vertical="top"/>
    </xf>
    <xf numFmtId="0" fontId="10" fillId="3" borderId="26" xfId="0" applyFont="1" applyFill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</cellXfs>
  <cellStyles count="8">
    <cellStyle name="Milliers" xfId="3" builtinId="3"/>
    <cellStyle name="Milliers 2" xfId="4"/>
    <cellStyle name="Monétaire" xfId="1" builtinId="4"/>
    <cellStyle name="Monétaire 2" xfId="5"/>
    <cellStyle name="Normal" xfId="0" builtinId="0"/>
    <cellStyle name="Normal 2" xfId="6"/>
    <cellStyle name="Normal 3" xfId="7"/>
    <cellStyle name="Pourcentage" xfId="2" builtinId="5"/>
  </cellStyles>
  <dxfs count="92">
    <dxf>
      <font>
        <b/>
        <i val="0"/>
        <color theme="0"/>
      </font>
      <fill>
        <patternFill>
          <bgColor rgb="FFFF0000"/>
        </patternFill>
      </fill>
      <border>
        <vertical/>
        <horizontal/>
      </border>
    </dxf>
    <dxf>
      <font>
        <color theme="0"/>
      </font>
      <fill>
        <patternFill>
          <bgColor rgb="FF00B050"/>
        </patternFill>
      </fill>
      <border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z val="12"/>
      </font>
      <numFmt numFmtId="170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font>
        <sz val="12"/>
      </font>
      <numFmt numFmtId="170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numFmt numFmtId="170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numFmt numFmtId="166" formatCode="[$-40C]d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71" formatCode="m/d/yyyy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&quot;F&quot;_);[Red]\(#,##0.00&quot;F&quot;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&quot;F&quot;_);[Red]\(#,##0.00&quot;F&quot;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&quot;F&quot;_);[Red]\(#,##0.00&quot;F&quot;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istorique_vente!A1"/><Relationship Id="rId7" Type="http://schemas.openxmlformats.org/officeDocument/2006/relationships/hyperlink" Target="#reception!A1"/><Relationship Id="rId2" Type="http://schemas.openxmlformats.org/officeDocument/2006/relationships/hyperlink" Target="#client!A1"/><Relationship Id="rId1" Type="http://schemas.openxmlformats.org/officeDocument/2006/relationships/hyperlink" Target="#article!A1"/><Relationship Id="rId6" Type="http://schemas.openxmlformats.org/officeDocument/2006/relationships/hyperlink" Target="#panier!A1"/><Relationship Id="rId5" Type="http://schemas.openxmlformats.org/officeDocument/2006/relationships/hyperlink" Target="#suivi_facture!A1"/><Relationship Id="rId4" Type="http://schemas.openxmlformats.org/officeDocument/2006/relationships/hyperlink" Target="#fac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anier!A1"/><Relationship Id="rId2" Type="http://schemas.openxmlformats.org/officeDocument/2006/relationships/hyperlink" Target="#reception!A1"/><Relationship Id="rId1" Type="http://schemas.openxmlformats.org/officeDocument/2006/relationships/hyperlink" Target="#article!A1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suivi_facture!A1"/><Relationship Id="rId2" Type="http://schemas.openxmlformats.org/officeDocument/2006/relationships/hyperlink" Target="#panier!A1"/><Relationship Id="rId1" Type="http://schemas.openxmlformats.org/officeDocument/2006/relationships/hyperlink" Target="#home!A1"/><Relationship Id="rId6" Type="http://schemas.openxmlformats.org/officeDocument/2006/relationships/hyperlink" Target="#payement!A1"/><Relationship Id="rId5" Type="http://schemas.openxmlformats.org/officeDocument/2006/relationships/image" Target="../media/image8.jpeg"/><Relationship Id="rId4" Type="http://schemas.openxmlformats.org/officeDocument/2006/relationships/hyperlink" Target="#factur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hyperlink" Target="#client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hyperlink" Target="#panier!A1"/><Relationship Id="rId1" Type="http://schemas.openxmlformats.org/officeDocument/2006/relationships/hyperlink" Target="#home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523874</xdr:colOff>
      <xdr:row>1</xdr:row>
      <xdr:rowOff>119061</xdr:rowOff>
    </xdr:from>
    <xdr:to>
      <xdr:col>6</xdr:col>
      <xdr:colOff>343874</xdr:colOff>
      <xdr:row>8</xdr:row>
      <xdr:rowOff>135561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3874" y="309561"/>
          <a:ext cx="4392000" cy="135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FACTURE</a:t>
          </a:r>
        </a:p>
      </xdr:txBody>
    </xdr:sp>
    <xdr:clientData/>
  </xdr:twoCellAnchor>
  <xdr:twoCellAnchor>
    <xdr:from>
      <xdr:col>6</xdr:col>
      <xdr:colOff>495299</xdr:colOff>
      <xdr:row>1</xdr:row>
      <xdr:rowOff>119061</xdr:rowOff>
    </xdr:from>
    <xdr:to>
      <xdr:col>12</xdr:col>
      <xdr:colOff>315299</xdr:colOff>
      <xdr:row>8</xdr:row>
      <xdr:rowOff>135561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67299" y="309561"/>
          <a:ext cx="4392000" cy="135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ARTICLE</a:t>
          </a:r>
        </a:p>
      </xdr:txBody>
    </xdr:sp>
    <xdr:clientData/>
  </xdr:twoCellAnchor>
  <xdr:twoCellAnchor>
    <xdr:from>
      <xdr:col>12</xdr:col>
      <xdr:colOff>476249</xdr:colOff>
      <xdr:row>1</xdr:row>
      <xdr:rowOff>119061</xdr:rowOff>
    </xdr:from>
    <xdr:to>
      <xdr:col>18</xdr:col>
      <xdr:colOff>296249</xdr:colOff>
      <xdr:row>8</xdr:row>
      <xdr:rowOff>135561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620249" y="309561"/>
          <a:ext cx="4392000" cy="135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CLIENT</a:t>
          </a:r>
        </a:p>
      </xdr:txBody>
    </xdr:sp>
    <xdr:clientData/>
  </xdr:twoCellAnchor>
  <xdr:twoCellAnchor>
    <xdr:from>
      <xdr:col>1</xdr:col>
      <xdr:colOff>319874</xdr:colOff>
      <xdr:row>9</xdr:row>
      <xdr:rowOff>109536</xdr:rowOff>
    </xdr:from>
    <xdr:to>
      <xdr:col>5</xdr:col>
      <xdr:colOff>547874</xdr:colOff>
      <xdr:row>14</xdr:row>
      <xdr:rowOff>129036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81874" y="1824036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Historique des ventes</a:t>
          </a:r>
        </a:p>
      </xdr:txBody>
    </xdr:sp>
    <xdr:clientData/>
  </xdr:twoCellAnchor>
  <xdr:twoCellAnchor>
    <xdr:from>
      <xdr:col>1</xdr:col>
      <xdr:colOff>319874</xdr:colOff>
      <xdr:row>15</xdr:row>
      <xdr:rowOff>100011</xdr:rowOff>
    </xdr:from>
    <xdr:to>
      <xdr:col>5</xdr:col>
      <xdr:colOff>547874</xdr:colOff>
      <xdr:row>20</xdr:row>
      <xdr:rowOff>119511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81874" y="29575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Payements</a:t>
          </a:r>
        </a:p>
      </xdr:txBody>
    </xdr:sp>
    <xdr:clientData/>
  </xdr:twoCellAnchor>
  <xdr:twoCellAnchor>
    <xdr:from>
      <xdr:col>1</xdr:col>
      <xdr:colOff>319874</xdr:colOff>
      <xdr:row>21</xdr:row>
      <xdr:rowOff>100011</xdr:rowOff>
    </xdr:from>
    <xdr:to>
      <xdr:col>5</xdr:col>
      <xdr:colOff>547874</xdr:colOff>
      <xdr:row>26</xdr:row>
      <xdr:rowOff>119511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81874" y="41005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Suivi des factures</a:t>
          </a:r>
        </a:p>
      </xdr:txBody>
    </xdr:sp>
    <xdr:clientData/>
  </xdr:twoCellAnchor>
  <xdr:twoCellAnchor>
    <xdr:from>
      <xdr:col>7</xdr:col>
      <xdr:colOff>291299</xdr:colOff>
      <xdr:row>9</xdr:row>
      <xdr:rowOff>109536</xdr:rowOff>
    </xdr:from>
    <xdr:to>
      <xdr:col>11</xdr:col>
      <xdr:colOff>519299</xdr:colOff>
      <xdr:row>14</xdr:row>
      <xdr:rowOff>129036</xdr:rowOff>
    </xdr:to>
    <xdr:sp macro="" textlink="">
      <xdr:nvSpPr>
        <xdr:cNvPr id="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625299" y="1824036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Panier</a:t>
          </a:r>
        </a:p>
      </xdr:txBody>
    </xdr:sp>
    <xdr:clientData/>
  </xdr:twoCellAnchor>
  <xdr:twoCellAnchor>
    <xdr:from>
      <xdr:col>7</xdr:col>
      <xdr:colOff>291299</xdr:colOff>
      <xdr:row>15</xdr:row>
      <xdr:rowOff>100011</xdr:rowOff>
    </xdr:from>
    <xdr:to>
      <xdr:col>11</xdr:col>
      <xdr:colOff>519299</xdr:colOff>
      <xdr:row>20</xdr:row>
      <xdr:rowOff>119511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625299" y="29575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Réception</a:t>
          </a:r>
        </a:p>
      </xdr:txBody>
    </xdr:sp>
    <xdr:clientData/>
  </xdr:twoCellAnchor>
  <xdr:twoCellAnchor>
    <xdr:from>
      <xdr:col>13</xdr:col>
      <xdr:colOff>272249</xdr:colOff>
      <xdr:row>9</xdr:row>
      <xdr:rowOff>61911</xdr:rowOff>
    </xdr:from>
    <xdr:to>
      <xdr:col>17</xdr:col>
      <xdr:colOff>500249</xdr:colOff>
      <xdr:row>14</xdr:row>
      <xdr:rowOff>81411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178249" y="17764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Config</a:t>
          </a:r>
          <a:r>
            <a:rPr lang="fr-FR" sz="2000" b="1" baseline="0"/>
            <a:t> fidélisation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682943</xdr:colOff>
      <xdr:row>9</xdr:row>
      <xdr:rowOff>94297</xdr:rowOff>
    </xdr:from>
    <xdr:to>
      <xdr:col>9</xdr:col>
      <xdr:colOff>0</xdr:colOff>
      <xdr:row>16</xdr:row>
      <xdr:rowOff>103822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25993" y="1856422"/>
          <a:ext cx="4717732" cy="1343025"/>
        </a:xfrm>
        <a:prstGeom prst="roundRect">
          <a:avLst/>
        </a:prstGeom>
        <a:gradFill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</a:gradFill>
        <a:effectLst>
          <a:glow rad="228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glow" dir="t">
            <a:rot lat="0" lon="0" rev="7200000"/>
          </a:lightRig>
        </a:scene3d>
        <a:sp3d prstMaterial="matte"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11</xdr:row>
          <xdr:rowOff>0</xdr:rowOff>
        </xdr:from>
        <xdr:to>
          <xdr:col>7</xdr:col>
          <xdr:colOff>95250</xdr:colOff>
          <xdr:row>12</xdr:row>
          <xdr:rowOff>76200</xdr:rowOff>
        </xdr:to>
        <xdr:sp macro="" textlink="">
          <xdr:nvSpPr>
            <xdr:cNvPr id="33793" name="Txt_user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1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13</xdr:row>
          <xdr:rowOff>123825</xdr:rowOff>
        </xdr:from>
        <xdr:to>
          <xdr:col>7</xdr:col>
          <xdr:colOff>114300</xdr:colOff>
          <xdr:row>15</xdr:row>
          <xdr:rowOff>9525</xdr:rowOff>
        </xdr:to>
        <xdr:sp macro="" textlink="">
          <xdr:nvSpPr>
            <xdr:cNvPr id="33794" name="Txt_pass" hidden="1">
              <a:extLst>
                <a:ext uri="{63B3BB69-23CF-44E3-9099-C40C66FF867C}">
                  <a14:compatExt spid="_x0000_s33794"/>
                </a:ext>
                <a:ext uri="{FF2B5EF4-FFF2-40B4-BE49-F238E27FC236}">
                  <a16:creationId xmlns:a16="http://schemas.microsoft.com/office/drawing/2014/main" id="{00000000-0008-0000-0100-00000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10</xdr:row>
          <xdr:rowOff>161925</xdr:rowOff>
        </xdr:from>
        <xdr:to>
          <xdr:col>8</xdr:col>
          <xdr:colOff>657225</xdr:colOff>
          <xdr:row>12</xdr:row>
          <xdr:rowOff>133350</xdr:rowOff>
        </xdr:to>
        <xdr:sp macro="" textlink="">
          <xdr:nvSpPr>
            <xdr:cNvPr id="33795" name="btn_loging" hidden="1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00000000-0008-0000-0100-00000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38101</xdr:colOff>
      <xdr:row>11</xdr:row>
      <xdr:rowOff>0</xdr:rowOff>
    </xdr:from>
    <xdr:to>
      <xdr:col>4</xdr:col>
      <xdr:colOff>390525</xdr:colOff>
      <xdr:row>12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352676" y="2143125"/>
          <a:ext cx="1123949" cy="276225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UTILISATEUR</a:t>
          </a:r>
        </a:p>
      </xdr:txBody>
    </xdr:sp>
    <xdr:clientData/>
  </xdr:twoCellAnchor>
  <xdr:twoCellAnchor>
    <xdr:from>
      <xdr:col>3</xdr:col>
      <xdr:colOff>40005</xdr:colOff>
      <xdr:row>13</xdr:row>
      <xdr:rowOff>123825</xdr:rowOff>
    </xdr:from>
    <xdr:to>
      <xdr:col>4</xdr:col>
      <xdr:colOff>390525</xdr:colOff>
      <xdr:row>15</xdr:row>
      <xdr:rowOff>19050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54580" y="2647950"/>
          <a:ext cx="1122045" cy="276225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MOT DE PASSE</a:t>
          </a:r>
        </a:p>
      </xdr:txBody>
    </xdr:sp>
    <xdr:clientData/>
  </xdr:twoCellAnchor>
  <xdr:twoCellAnchor>
    <xdr:from>
      <xdr:col>7</xdr:col>
      <xdr:colOff>160020</xdr:colOff>
      <xdr:row>13</xdr:row>
      <xdr:rowOff>89535</xdr:rowOff>
    </xdr:from>
    <xdr:to>
      <xdr:col>8</xdr:col>
      <xdr:colOff>647700</xdr:colOff>
      <xdr:row>15</xdr:row>
      <xdr:rowOff>34767</xdr:rowOff>
    </xdr:to>
    <xdr:sp macro="[4]!quittermdp" textlink="">
      <xdr:nvSpPr>
        <xdr:cNvPr id="8" name="Rectangle : coins arrondis 1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560695" y="2613660"/>
          <a:ext cx="1259205" cy="32623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QUITTER</a:t>
          </a:r>
        </a:p>
      </xdr:txBody>
    </xdr:sp>
    <xdr:clientData/>
  </xdr:twoCellAnchor>
  <xdr:twoCellAnchor>
    <xdr:from>
      <xdr:col>0</xdr:col>
      <xdr:colOff>0</xdr:colOff>
      <xdr:row>1</xdr:row>
      <xdr:rowOff>19049</xdr:rowOff>
    </xdr:from>
    <xdr:to>
      <xdr:col>2</xdr:col>
      <xdr:colOff>314324</xdr:colOff>
      <xdr:row>10</xdr:row>
      <xdr:rowOff>43251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49"/>
          <a:ext cx="1857374" cy="178632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18</xdr:row>
      <xdr:rowOff>0</xdr:rowOff>
    </xdr:from>
    <xdr:to>
      <xdr:col>11</xdr:col>
      <xdr:colOff>304800</xdr:colOff>
      <xdr:row>19</xdr:row>
      <xdr:rowOff>114300</xdr:rowOff>
    </xdr:to>
    <xdr:sp macro="" textlink="">
      <xdr:nvSpPr>
        <xdr:cNvPr id="2" name="AutoShape 1" descr="https://apis.mail.yahoo.com/ws/v3/mailboxes/@.id==VjN-gqFbi0m-xkd4n-qDnDm2mLrYGakFpdpw7MkDUmyAHYjMZubIbnxZH0esIM1jyLxy1B4IMMjRV1Y1VJhk5y1llQ/messages/@.id==AMt7nZUPaRZCXiCFHAj0-JW7hzI/content/parts/@.id==2/thumbnail?appId=YMailNorrinLaunch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486775" y="3438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552450</xdr:colOff>
      <xdr:row>7</xdr:row>
      <xdr:rowOff>123825</xdr:rowOff>
    </xdr:from>
    <xdr:to>
      <xdr:col>9</xdr:col>
      <xdr:colOff>733424</xdr:colOff>
      <xdr:row>26</xdr:row>
      <xdr:rowOff>142875</xdr:rowOff>
    </xdr:to>
    <xdr:sp macro="" textlink="">
      <xdr:nvSpPr>
        <xdr:cNvPr id="6" name="Rogner un rectangle avec un coin diagonal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52450" y="1466850"/>
          <a:ext cx="7124699" cy="3638550"/>
        </a:xfrm>
        <a:prstGeom prst="snip2Diag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428626</xdr:colOff>
      <xdr:row>11</xdr:row>
      <xdr:rowOff>152400</xdr:rowOff>
    </xdr:from>
    <xdr:to>
      <xdr:col>5</xdr:col>
      <xdr:colOff>381001</xdr:colOff>
      <xdr:row>12</xdr:row>
      <xdr:rowOff>180975</xdr:rowOff>
    </xdr:to>
    <xdr:sp macro="" textlink="">
      <xdr:nvSpPr>
        <xdr:cNvPr id="7" name="Texte 20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743201" y="2257425"/>
          <a:ext cx="1495425" cy="219075"/>
        </a:xfrm>
        <a:prstGeom prst="rect">
          <a:avLst/>
        </a:prstGeom>
        <a:solidFill>
          <a:srgbClr val="000080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FFFFFF"/>
              </a:solidFill>
              <a:latin typeface="Arial"/>
              <a:cs typeface="Arial"/>
            </a:rPr>
            <a:t>Menu  Principal</a:t>
          </a:r>
        </a:p>
      </xdr:txBody>
    </xdr:sp>
    <xdr:clientData/>
  </xdr:twoCellAnchor>
  <xdr:twoCellAnchor>
    <xdr:from>
      <xdr:col>1</xdr:col>
      <xdr:colOff>190501</xdr:colOff>
      <xdr:row>13</xdr:row>
      <xdr:rowOff>95250</xdr:rowOff>
    </xdr:from>
    <xdr:to>
      <xdr:col>3</xdr:col>
      <xdr:colOff>238127</xdr:colOff>
      <xdr:row>15</xdr:row>
      <xdr:rowOff>40482</xdr:rowOff>
    </xdr:to>
    <xdr:sp macro="[0]!article" textlink="">
      <xdr:nvSpPr>
        <xdr:cNvPr id="8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962026" y="2581275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Stock</a:t>
          </a:r>
        </a:p>
      </xdr:txBody>
    </xdr:sp>
    <xdr:clientData/>
  </xdr:twoCellAnchor>
  <xdr:twoCellAnchor>
    <xdr:from>
      <xdr:col>1</xdr:col>
      <xdr:colOff>190501</xdr:colOff>
      <xdr:row>16</xdr:row>
      <xdr:rowOff>9525</xdr:rowOff>
    </xdr:from>
    <xdr:to>
      <xdr:col>3</xdr:col>
      <xdr:colOff>238127</xdr:colOff>
      <xdr:row>17</xdr:row>
      <xdr:rowOff>145257</xdr:rowOff>
    </xdr:to>
    <xdr:sp macro="[4]!listecert" textlink="">
      <xdr:nvSpPr>
        <xdr:cNvPr id="9" name="Rectangle :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62026" y="3067050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Réception</a:t>
          </a:r>
        </a:p>
      </xdr:txBody>
    </xdr:sp>
    <xdr:clientData/>
  </xdr:twoCellAnchor>
  <xdr:twoCellAnchor>
    <xdr:from>
      <xdr:col>4</xdr:col>
      <xdr:colOff>485775</xdr:colOff>
      <xdr:row>22</xdr:row>
      <xdr:rowOff>114300</xdr:rowOff>
    </xdr:from>
    <xdr:to>
      <xdr:col>7</xdr:col>
      <xdr:colOff>142876</xdr:colOff>
      <xdr:row>25</xdr:row>
      <xdr:rowOff>38100</xdr:rowOff>
    </xdr:to>
    <xdr:sp macro="[4]!imprimcer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3571875" y="4314825"/>
          <a:ext cx="1971676" cy="4953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TOUS LES CERTIFICATS</a:t>
          </a:r>
        </a:p>
      </xdr:txBody>
    </xdr:sp>
    <xdr:clientData/>
  </xdr:twoCellAnchor>
  <xdr:twoCellAnchor>
    <xdr:from>
      <xdr:col>4</xdr:col>
      <xdr:colOff>476252</xdr:colOff>
      <xdr:row>16</xdr:row>
      <xdr:rowOff>123824</xdr:rowOff>
    </xdr:from>
    <xdr:to>
      <xdr:col>5</xdr:col>
      <xdr:colOff>609601</xdr:colOff>
      <xdr:row>18</xdr:row>
      <xdr:rowOff>66675</xdr:rowOff>
    </xdr:to>
    <xdr:sp macro="[4]!saisienomp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3562352" y="3181349"/>
          <a:ext cx="904874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Produit (s)</a:t>
          </a:r>
          <a:endParaRPr lang="fr-FR" sz="1100"/>
        </a:p>
      </xdr:txBody>
    </xdr:sp>
    <xdr:clientData/>
  </xdr:twoCellAnchor>
  <xdr:twoCellAnchor>
    <xdr:from>
      <xdr:col>5</xdr:col>
      <xdr:colOff>495301</xdr:colOff>
      <xdr:row>14</xdr:row>
      <xdr:rowOff>76200</xdr:rowOff>
    </xdr:from>
    <xdr:to>
      <xdr:col>7</xdr:col>
      <xdr:colOff>733426</xdr:colOff>
      <xdr:row>15</xdr:row>
      <xdr:rowOff>161925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4352926" y="2752725"/>
          <a:ext cx="17811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AJOUT NOUVEAUX</a:t>
          </a:r>
        </a:p>
      </xdr:txBody>
    </xdr:sp>
    <xdr:clientData/>
  </xdr:twoCellAnchor>
  <xdr:twoCellAnchor>
    <xdr:from>
      <xdr:col>5</xdr:col>
      <xdr:colOff>752477</xdr:colOff>
      <xdr:row>16</xdr:row>
      <xdr:rowOff>123824</xdr:rowOff>
    </xdr:from>
    <xdr:to>
      <xdr:col>7</xdr:col>
      <xdr:colOff>371477</xdr:colOff>
      <xdr:row>18</xdr:row>
      <xdr:rowOff>66675</xdr:rowOff>
    </xdr:to>
    <xdr:sp macro="[4]!saisienvfourn" textlink="">
      <xdr:nvSpPr>
        <xdr:cNvPr id="13" name="Rectangle : coins arrondis 8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4610102" y="3181349"/>
          <a:ext cx="1162050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Fournisseur (s)</a:t>
          </a:r>
          <a:endParaRPr lang="fr-FR" sz="1100"/>
        </a:p>
      </xdr:txBody>
    </xdr:sp>
    <xdr:clientData/>
  </xdr:twoCellAnchor>
  <xdr:twoCellAnchor>
    <xdr:from>
      <xdr:col>7</xdr:col>
      <xdr:colOff>504827</xdr:colOff>
      <xdr:row>16</xdr:row>
      <xdr:rowOff>133349</xdr:rowOff>
    </xdr:from>
    <xdr:to>
      <xdr:col>9</xdr:col>
      <xdr:colOff>9527</xdr:colOff>
      <xdr:row>18</xdr:row>
      <xdr:rowOff>76200</xdr:rowOff>
    </xdr:to>
    <xdr:sp macro="[4]!Module1.saisienvfab" textlink="">
      <xdr:nvSpPr>
        <xdr:cNvPr id="14" name="Rectangle : coins arrondis 1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5905502" y="3190874"/>
          <a:ext cx="1047750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Fabricant (s)</a:t>
          </a:r>
          <a:endParaRPr lang="fr-FR" sz="1100"/>
        </a:p>
      </xdr:txBody>
    </xdr:sp>
    <xdr:clientData/>
  </xdr:twoCellAnchor>
  <xdr:twoCellAnchor>
    <xdr:from>
      <xdr:col>4</xdr:col>
      <xdr:colOff>485777</xdr:colOff>
      <xdr:row>19</xdr:row>
      <xdr:rowOff>19049</xdr:rowOff>
    </xdr:from>
    <xdr:to>
      <xdr:col>5</xdr:col>
      <xdr:colOff>619126</xdr:colOff>
      <xdr:row>20</xdr:row>
      <xdr:rowOff>152400</xdr:rowOff>
    </xdr:to>
    <xdr:sp macro="[4]!saisienvtype" textlink="">
      <xdr:nvSpPr>
        <xdr:cNvPr id="15" name="Rectangle : coins arrondis 12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3571877" y="3648074"/>
          <a:ext cx="904874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Type (s)</a:t>
          </a:r>
          <a:endParaRPr lang="fr-FR" sz="1100"/>
        </a:p>
      </xdr:txBody>
    </xdr:sp>
    <xdr:clientData/>
  </xdr:twoCellAnchor>
  <xdr:twoCellAnchor>
    <xdr:from>
      <xdr:col>5</xdr:col>
      <xdr:colOff>770331</xdr:colOff>
      <xdr:row>19</xdr:row>
      <xdr:rowOff>5901</xdr:rowOff>
    </xdr:from>
    <xdr:to>
      <xdr:col>7</xdr:col>
      <xdr:colOff>141680</xdr:colOff>
      <xdr:row>20</xdr:row>
      <xdr:rowOff>139252</xdr:rowOff>
    </xdr:to>
    <xdr:sp macro="[4]!saisienvconf" textlink="">
      <xdr:nvSpPr>
        <xdr:cNvPr id="16" name="Rectangle : coins arrondis 1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4627956" y="3634926"/>
          <a:ext cx="914399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Conf</a:t>
          </a:r>
          <a:endParaRPr lang="fr-FR" sz="1100"/>
        </a:p>
      </xdr:txBody>
    </xdr:sp>
    <xdr:clientData/>
  </xdr:twoCellAnchor>
  <xdr:twoCellAnchor>
    <xdr:from>
      <xdr:col>1</xdr:col>
      <xdr:colOff>495301</xdr:colOff>
      <xdr:row>24</xdr:row>
      <xdr:rowOff>0</xdr:rowOff>
    </xdr:from>
    <xdr:to>
      <xdr:col>2</xdr:col>
      <xdr:colOff>542926</xdr:colOff>
      <xdr:row>25</xdr:row>
      <xdr:rowOff>135732</xdr:rowOff>
    </xdr:to>
    <xdr:sp macro="[4]!quitter" textlink="">
      <xdr:nvSpPr>
        <xdr:cNvPr id="17" name="Rectangle : coins arrondis 13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1266826" y="4581525"/>
          <a:ext cx="819150" cy="32623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/>
  </xdr:twoCellAnchor>
  <xdr:twoCellAnchor>
    <xdr:from>
      <xdr:col>2</xdr:col>
      <xdr:colOff>114302</xdr:colOff>
      <xdr:row>7</xdr:row>
      <xdr:rowOff>180974</xdr:rowOff>
    </xdr:from>
    <xdr:to>
      <xdr:col>7</xdr:col>
      <xdr:colOff>76200</xdr:colOff>
      <xdr:row>11</xdr:row>
      <xdr:rowOff>38099</xdr:rowOff>
    </xdr:to>
    <xdr:sp macro="" textlink="">
      <xdr:nvSpPr>
        <xdr:cNvPr id="18" name="Texte 20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657352" y="1523999"/>
          <a:ext cx="3819523" cy="619125"/>
        </a:xfrm>
        <a:prstGeom prst="rect">
          <a:avLst/>
        </a:prstGeom>
        <a:solidFill>
          <a:srgbClr val="000080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 sz="600" b="1" i="0" strike="noStrike">
            <a:solidFill>
              <a:srgbClr val="FFC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600" b="1" i="0" strike="noStrike">
              <a:solidFill>
                <a:srgbClr val="FFC000"/>
              </a:solidFill>
              <a:latin typeface="Arial"/>
              <a:cs typeface="Arial"/>
            </a:rPr>
            <a:t>GESTION STOCK PRODUITS FINIS &amp;</a:t>
          </a:r>
          <a:r>
            <a:rPr lang="fr-FR" sz="1600" b="1" i="0" strike="noStrike" baseline="0">
              <a:solidFill>
                <a:srgbClr val="FFC000"/>
              </a:solidFill>
              <a:latin typeface="Arial"/>
              <a:cs typeface="Arial"/>
            </a:rPr>
            <a:t> FACTURATION</a:t>
          </a:r>
          <a:endParaRPr lang="fr-FR" sz="1600" b="1" i="0" strike="noStrike">
            <a:solidFill>
              <a:srgbClr val="FFC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285750</xdr:colOff>
      <xdr:row>22</xdr:row>
      <xdr:rowOff>95249</xdr:rowOff>
    </xdr:from>
    <xdr:to>
      <xdr:col>9</xdr:col>
      <xdr:colOff>342900</xdr:colOff>
      <xdr:row>25</xdr:row>
      <xdr:rowOff>38100</xdr:rowOff>
    </xdr:to>
    <xdr:sp macro="[4]!IMPRIMECRITERE" textlink="">
      <xdr:nvSpPr>
        <xdr:cNvPr id="19" name="Rectangle : coins arrondis 16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5686425" y="4295774"/>
          <a:ext cx="1600200" cy="514351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SUIVANT CRITERES</a:t>
          </a:r>
        </a:p>
      </xdr:txBody>
    </xdr:sp>
    <xdr:clientData/>
  </xdr:twoCellAnchor>
  <xdr:twoCellAnchor>
    <xdr:from>
      <xdr:col>0</xdr:col>
      <xdr:colOff>552451</xdr:colOff>
      <xdr:row>5</xdr:row>
      <xdr:rowOff>47625</xdr:rowOff>
    </xdr:from>
    <xdr:to>
      <xdr:col>2</xdr:col>
      <xdr:colOff>600077</xdr:colOff>
      <xdr:row>6</xdr:row>
      <xdr:rowOff>183357</xdr:rowOff>
    </xdr:to>
    <xdr:sp macro="[4]!operateur" textlink="">
      <xdr:nvSpPr>
        <xdr:cNvPr id="20" name="Rectangle : coins arrondis 5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552451" y="1009650"/>
          <a:ext cx="1590676" cy="326232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Changer d'utilisateur</a:t>
          </a:r>
        </a:p>
      </xdr:txBody>
    </xdr:sp>
    <xdr:clientData/>
  </xdr:twoCellAnchor>
  <xdr:twoCellAnchor>
    <xdr:from>
      <xdr:col>3</xdr:col>
      <xdr:colOff>9526</xdr:colOff>
      <xdr:row>24</xdr:row>
      <xdr:rowOff>19050</xdr:rowOff>
    </xdr:from>
    <xdr:to>
      <xdr:col>4</xdr:col>
      <xdr:colOff>57151</xdr:colOff>
      <xdr:row>25</xdr:row>
      <xdr:rowOff>154782</xdr:rowOff>
    </xdr:to>
    <xdr:sp macro="[4]!aide" textlink="">
      <xdr:nvSpPr>
        <xdr:cNvPr id="21" name="Rectangle : coins arrondis 13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2324101" y="4600575"/>
          <a:ext cx="819150" cy="326232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Aide </a:t>
          </a:r>
          <a:r>
            <a:rPr lang="fr-FR" sz="1400" b="1" baseline="0">
              <a:solidFill>
                <a:srgbClr val="FF0000"/>
              </a:solidFill>
            </a:rPr>
            <a:t> ?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190501</xdr:colOff>
      <xdr:row>18</xdr:row>
      <xdr:rowOff>133350</xdr:rowOff>
    </xdr:from>
    <xdr:to>
      <xdr:col>3</xdr:col>
      <xdr:colOff>238127</xdr:colOff>
      <xdr:row>20</xdr:row>
      <xdr:rowOff>78582</xdr:rowOff>
    </xdr:to>
    <xdr:sp macro="[4]!analyse" textlink="">
      <xdr:nvSpPr>
        <xdr:cNvPr id="22" name="Rectangle : coins arrondis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962026" y="3571875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190501</xdr:colOff>
      <xdr:row>21</xdr:row>
      <xdr:rowOff>0</xdr:rowOff>
    </xdr:from>
    <xdr:to>
      <xdr:col>3</xdr:col>
      <xdr:colOff>238127</xdr:colOff>
      <xdr:row>22</xdr:row>
      <xdr:rowOff>135732</xdr:rowOff>
    </xdr:to>
    <xdr:sp macro="[4]!visualisercert" textlink="">
      <xdr:nvSpPr>
        <xdr:cNvPr id="23" name="Rectangle : coins arrondis 7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962026" y="4010025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Visualiser un certificat</a:t>
          </a:r>
        </a:p>
      </xdr:txBody>
    </xdr:sp>
    <xdr:clientData/>
  </xdr:twoCellAnchor>
  <xdr:twoCellAnchor>
    <xdr:from>
      <xdr:col>7</xdr:col>
      <xdr:colOff>657225</xdr:colOff>
      <xdr:row>4</xdr:row>
      <xdr:rowOff>5102</xdr:rowOff>
    </xdr:from>
    <xdr:to>
      <xdr:col>9</xdr:col>
      <xdr:colOff>535023</xdr:colOff>
      <xdr:row>11</xdr:row>
      <xdr:rowOff>38100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57900" y="776627"/>
          <a:ext cx="1420848" cy="136649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57150</xdr:rowOff>
        </xdr:from>
        <xdr:to>
          <xdr:col>2</xdr:col>
          <xdr:colOff>790575</xdr:colOff>
          <xdr:row>5</xdr:row>
          <xdr:rowOff>171450</xdr:rowOff>
        </xdr:to>
        <xdr:sp macro="" textlink="">
          <xdr:nvSpPr>
            <xdr:cNvPr id="22531" name="CommandButton1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5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12</xdr:row>
          <xdr:rowOff>9525</xdr:rowOff>
        </xdr:from>
        <xdr:to>
          <xdr:col>9</xdr:col>
          <xdr:colOff>28575</xdr:colOff>
          <xdr:row>12</xdr:row>
          <xdr:rowOff>552450</xdr:rowOff>
        </xdr:to>
        <xdr:sp macro="" textlink="">
          <xdr:nvSpPr>
            <xdr:cNvPr id="6163" name="CommandButton1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6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2</xdr:row>
          <xdr:rowOff>0</xdr:rowOff>
        </xdr:from>
        <xdr:to>
          <xdr:col>16</xdr:col>
          <xdr:colOff>409575</xdr:colOff>
          <xdr:row>4</xdr:row>
          <xdr:rowOff>123825</xdr:rowOff>
        </xdr:to>
        <xdr:sp macro="" textlink="">
          <xdr:nvSpPr>
            <xdr:cNvPr id="6196" name="CommandButton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6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7</xdr:row>
          <xdr:rowOff>85725</xdr:rowOff>
        </xdr:from>
        <xdr:to>
          <xdr:col>8</xdr:col>
          <xdr:colOff>1390650</xdr:colOff>
          <xdr:row>10</xdr:row>
          <xdr:rowOff>200025</xdr:rowOff>
        </xdr:to>
        <xdr:sp macro="" textlink="">
          <xdr:nvSpPr>
            <xdr:cNvPr id="13329" name="CommandButton1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7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0</xdr:row>
      <xdr:rowOff>136923</xdr:rowOff>
    </xdr:from>
    <xdr:to>
      <xdr:col>11</xdr:col>
      <xdr:colOff>369092</xdr:colOff>
      <xdr:row>0</xdr:row>
      <xdr:rowOff>952500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07156" y="136923"/>
          <a:ext cx="14858999" cy="815577"/>
          <a:chOff x="142875" y="148829"/>
          <a:chExt cx="14858999" cy="815577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/>
        </xdr:nvSpPr>
        <xdr:spPr>
          <a:xfrm>
            <a:off x="147638" y="164306"/>
            <a:ext cx="14850000" cy="792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5400" b="1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142875" y="154782"/>
            <a:ext cx="2809875" cy="79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HISTORIQUE</a:t>
            </a:r>
            <a:r>
              <a:rPr lang="fr-FR" sz="1800" b="1" baseline="0"/>
              <a:t> DES VENTES</a:t>
            </a:r>
            <a:endParaRPr lang="fr-FR" sz="1800" b="1"/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 txBox="1"/>
        </xdr:nvSpPr>
        <xdr:spPr>
          <a:xfrm>
            <a:off x="3202782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Home</a:t>
            </a:r>
            <a:endParaRPr lang="fr-FR" sz="2000" b="0">
              <a:solidFill>
                <a:schemeClr val="bg1"/>
              </a:solidFill>
            </a:endParaRPr>
          </a:p>
        </xdr:txBody>
      </xdr:sp>
      <xdr:sp macro="" textlink="">
        <xdr:nvSpPr>
          <xdr:cNvPr id="6" name="ZoneTexte 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 txBox="1"/>
        </xdr:nvSpPr>
        <xdr:spPr>
          <a:xfrm>
            <a:off x="4583907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0">
                <a:solidFill>
                  <a:schemeClr val="bg1"/>
                </a:solidFill>
              </a:rPr>
              <a:t>Panier</a:t>
            </a:r>
          </a:p>
        </xdr:txBody>
      </xdr:sp>
      <xdr:sp macro="" textlink="">
        <xdr:nvSpPr>
          <xdr:cNvPr id="7" name="ZoneTexte 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 txBox="1"/>
        </xdr:nvSpPr>
        <xdr:spPr>
          <a:xfrm>
            <a:off x="5881689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0">
                <a:solidFill>
                  <a:schemeClr val="bg1"/>
                </a:solidFill>
              </a:rPr>
              <a:t>Suivi</a:t>
            </a:r>
            <a:r>
              <a:rPr lang="fr-FR" sz="1600" b="0" baseline="0">
                <a:solidFill>
                  <a:schemeClr val="bg1"/>
                </a:solidFill>
              </a:rPr>
              <a:t> des factures</a:t>
            </a:r>
            <a:endParaRPr lang="fr-FR" sz="1600" b="0">
              <a:solidFill>
                <a:schemeClr val="bg1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 txBox="1"/>
        </xdr:nvSpPr>
        <xdr:spPr>
          <a:xfrm>
            <a:off x="7191376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Facture</a:t>
            </a:r>
          </a:p>
        </xdr:txBody>
      </xdr:sp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PicPr/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68438" y="154780"/>
            <a:ext cx="833436" cy="809626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10" name="ZoneTexte 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 txBox="1"/>
        </xdr:nvSpPr>
        <xdr:spPr>
          <a:xfrm>
            <a:off x="8346282" y="148829"/>
            <a:ext cx="119062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Payement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0</xdr:row>
      <xdr:rowOff>142874</xdr:rowOff>
    </xdr:from>
    <xdr:to>
      <xdr:col>16</xdr:col>
      <xdr:colOff>631030</xdr:colOff>
      <xdr:row>0</xdr:row>
      <xdr:rowOff>952500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107156" y="142874"/>
          <a:ext cx="14858999" cy="809626"/>
          <a:chOff x="142875" y="154780"/>
          <a:chExt cx="14858999" cy="809626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/>
        </xdr:nvSpPr>
        <xdr:spPr>
          <a:xfrm>
            <a:off x="147638" y="164306"/>
            <a:ext cx="14850000" cy="792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5400" b="1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142875" y="154782"/>
            <a:ext cx="2809875" cy="79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/>
              <a:t>FIDELISATION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 txBox="1"/>
        </xdr:nvSpPr>
        <xdr:spPr>
          <a:xfrm>
            <a:off x="3202782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Client</a:t>
            </a:r>
            <a:endParaRPr lang="fr-FR" sz="2000" b="0">
              <a:solidFill>
                <a:schemeClr val="bg1"/>
              </a:solidFill>
            </a:endParaRPr>
          </a:p>
        </xdr:txBody>
      </xdr:sp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68438" y="154780"/>
            <a:ext cx="833436" cy="809626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0</xdr:row>
      <xdr:rowOff>142874</xdr:rowOff>
    </xdr:from>
    <xdr:to>
      <xdr:col>20</xdr:col>
      <xdr:colOff>369092</xdr:colOff>
      <xdr:row>0</xdr:row>
      <xdr:rowOff>952500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GrpSpPr/>
      </xdr:nvGrpSpPr>
      <xdr:grpSpPr>
        <a:xfrm>
          <a:off x="107156" y="142874"/>
          <a:ext cx="14858999" cy="809626"/>
          <a:chOff x="142875" y="154780"/>
          <a:chExt cx="14858999" cy="809626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C00-000002000000}"/>
              </a:ext>
            </a:extLst>
          </xdr:cNvPr>
          <xdr:cNvSpPr/>
        </xdr:nvSpPr>
        <xdr:spPr>
          <a:xfrm>
            <a:off x="147638" y="164306"/>
            <a:ext cx="14850000" cy="792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5400" b="1"/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/>
        </xdr:nvSpPr>
        <xdr:spPr>
          <a:xfrm>
            <a:off x="142875" y="154782"/>
            <a:ext cx="2809875" cy="79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/>
              <a:t>TITRE DE PAGE</a:t>
            </a:r>
          </a:p>
        </xdr:txBody>
      </xdr:sp>
      <xdr:sp macro="" textlink="">
        <xdr:nvSpPr>
          <xdr:cNvPr id="4" name="ZoneTexte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 txBox="1"/>
        </xdr:nvSpPr>
        <xdr:spPr>
          <a:xfrm>
            <a:off x="3202782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Home</a:t>
            </a:r>
            <a:endParaRPr lang="fr-FR" sz="2000" b="0">
              <a:solidFill>
                <a:schemeClr val="bg1"/>
              </a:solidFill>
            </a:endParaRPr>
          </a:p>
        </xdr:txBody>
      </xdr:sp>
      <xdr:sp macro="" textlink="">
        <xdr:nvSpPr>
          <xdr:cNvPr id="5" name="ZoneTexte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 txBox="1"/>
        </xdr:nvSpPr>
        <xdr:spPr>
          <a:xfrm>
            <a:off x="4583907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0">
                <a:solidFill>
                  <a:schemeClr val="bg1"/>
                </a:solidFill>
              </a:rPr>
              <a:t>Panier</a:t>
            </a:r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SpPr txBox="1"/>
        </xdr:nvSpPr>
        <xdr:spPr>
          <a:xfrm>
            <a:off x="5881689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0">
                <a:solidFill>
                  <a:schemeClr val="bg1"/>
                </a:solidFill>
              </a:rPr>
              <a:t>PAGE 2</a:t>
            </a:r>
          </a:p>
        </xdr:txBody>
      </xdr:sp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 txBox="1"/>
        </xdr:nvSpPr>
        <xdr:spPr>
          <a:xfrm>
            <a:off x="7191376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PAGE 2</a:t>
            </a:r>
          </a:p>
        </xdr:txBody>
      </xdr:sp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68438" y="154780"/>
            <a:ext cx="833436" cy="809626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SAUVE/FICHEXCE/CLIENTS/PAIEMENTS/ETATPAIEMEN%2020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mesprogrammes/2019-12-20_Follow_Up_KABS_Certificate_of_Analysi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DOSSIERS/LAFIASO/2000/REO/P2167RE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artage\SECRETARIAT_DIRECTION\Suivie_Certificat%20d'analyse_KABS1_mod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t/Downloads/gestion%20entreprise%20essai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DOSSIBEN/FAB/21JUIN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DOSSIERS/LAFIASO/2000/STOC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PAIEMENT"/>
      <sheetName val="impaye du jour "/>
      <sheetName val="impaye du jour  (31-12-08)"/>
      <sheetName val="impayes 31-12-08"/>
      <sheetName val="impayes ca 31-12-08"/>
      <sheetName val="CA CAME 08"/>
      <sheetName val="impa came 31-12-08"/>
      <sheetName val="Graph2"/>
      <sheetName val="ca promo 2003-2008"/>
      <sheetName val="situation afogbe"/>
      <sheetName val="Graph3"/>
      <sheetName val="bp cp + ca"/>
      <sheetName val="chiff061"/>
      <sheetName val="chiff08"/>
      <sheetName val="ca2008"/>
      <sheetName val="chiffres 08"/>
      <sheetName val="dec 08"/>
      <sheetName val="dec 08 (exp)"/>
      <sheetName val="NOV 08"/>
      <sheetName val="NOV 08 (exp)"/>
      <sheetName val="OCT 08"/>
      <sheetName val="OCT 08 (exp)"/>
      <sheetName val="sept 08"/>
      <sheetName val="sept 08 (exp)"/>
      <sheetName val="août 08"/>
      <sheetName val="août 08 (exp)"/>
      <sheetName val="juillet 08"/>
      <sheetName val="juillet 08 (exp)"/>
      <sheetName val="juin 08"/>
      <sheetName val="juin 08 (exp)"/>
      <sheetName val="mai 08 "/>
      <sheetName val="mai 08  (exp)"/>
      <sheetName val="AVRIL 08"/>
      <sheetName val="AVRIL 08 (exp)"/>
      <sheetName val="mars 08"/>
      <sheetName val="mars 08 (exp)"/>
      <sheetName val="FEV 08"/>
      <sheetName val="FEV 08 (exp)"/>
      <sheetName val="jan 08"/>
      <sheetName val="jan 08 (exp)"/>
      <sheetName val="ca2008 (exp)"/>
      <sheetName val="Graph1"/>
      <sheetName val="imp ubp 31-12-07"/>
      <sheetName val="imp ca 31-12-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euil1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167REO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menu"/>
      <sheetName val="listes"/>
      <sheetName val="CERT"/>
      <sheetName val="source"/>
      <sheetName val="procedure"/>
      <sheetName val="members"/>
      <sheetName val="analyse"/>
      <sheetName val="Suivie_Certificat d'analyse_KAB"/>
    </sheetNames>
    <definedNames>
      <definedName name="aide"/>
      <definedName name="analyse"/>
      <definedName name="imprimcert"/>
      <definedName name="IMPRIMECRITERE"/>
      <definedName name="listecert"/>
      <definedName name="Module1.saisienvfab"/>
      <definedName name="operateur"/>
      <definedName name="quitter"/>
      <definedName name="quittermdp"/>
      <definedName name="saisienomp"/>
      <definedName name="saisienvconf"/>
      <definedName name="saisienvfourn"/>
      <definedName name="saisienvtype"/>
      <definedName name="visualiserce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login"/>
      <sheetName val="Feuil1"/>
      <sheetName val="home"/>
      <sheetName val="source"/>
      <sheetName val="reception"/>
      <sheetName val="panier"/>
      <sheetName val="Stock"/>
      <sheetName val="facture"/>
      <sheetName val="payement"/>
      <sheetName val="fidélisation"/>
      <sheetName val="suivi_facture"/>
      <sheetName val="historique_vente"/>
      <sheetName val="client"/>
      <sheetName val="layout"/>
      <sheetName val="Feuil2"/>
      <sheetName val="gestion entreprise essai1"/>
    </sheetNames>
    <sheetDataSet>
      <sheetData sheetId="0"/>
      <sheetData sheetId="1"/>
      <sheetData sheetId="2"/>
      <sheetData sheetId="3"/>
      <sheetData sheetId="4">
        <row r="4">
          <cell r="B4" t="str">
            <v>PF_ASPI5001</v>
          </cell>
        </row>
        <row r="5">
          <cell r="B5" t="str">
            <v>PF_ASPI5001</v>
          </cell>
        </row>
        <row r="6">
          <cell r="B6" t="str">
            <v>PF_FOLI0051</v>
          </cell>
        </row>
        <row r="7">
          <cell r="B7" t="str">
            <v>PF_ALBE4002</v>
          </cell>
        </row>
        <row r="8">
          <cell r="B8" t="str">
            <v>PF_AMOX5001</v>
          </cell>
        </row>
        <row r="9">
          <cell r="B9" t="str">
            <v>PF_CHLR5001</v>
          </cell>
        </row>
        <row r="10">
          <cell r="B10" t="str">
            <v>PF_CIME2001</v>
          </cell>
        </row>
        <row r="11">
          <cell r="B11" t="str">
            <v>PF_CIPR5001</v>
          </cell>
        </row>
        <row r="12">
          <cell r="B12" t="str">
            <v>PF_CLOX2501</v>
          </cell>
        </row>
        <row r="13">
          <cell r="B13" t="str">
            <v>PF_DIAZ0051</v>
          </cell>
        </row>
        <row r="14">
          <cell r="B14" t="str">
            <v>PF_DICL0501</v>
          </cell>
        </row>
        <row r="15">
          <cell r="B15" t="str">
            <v>PF_FERR2001</v>
          </cell>
        </row>
        <row r="16">
          <cell r="B16" t="str">
            <v>PF_IBUP4001</v>
          </cell>
        </row>
        <row r="17">
          <cell r="B17" t="str">
            <v>PF_INDO0251</v>
          </cell>
        </row>
        <row r="18">
          <cell r="B18" t="str">
            <v>PF_MEBE1001</v>
          </cell>
        </row>
        <row r="19">
          <cell r="B19" t="str">
            <v>PF_MEBE5001</v>
          </cell>
        </row>
        <row r="20">
          <cell r="B20" t="str">
            <v>PF_METR2501</v>
          </cell>
        </row>
        <row r="21">
          <cell r="B21" t="str">
            <v>PF_NYST5001</v>
          </cell>
        </row>
        <row r="22">
          <cell r="B22" t="str">
            <v>PF_PARA5001</v>
          </cell>
        </row>
        <row r="23">
          <cell r="B23" t="str">
            <v>PF_POTA5001</v>
          </cell>
        </row>
        <row r="24">
          <cell r="B24" t="str">
            <v>PF_PROM0251</v>
          </cell>
        </row>
        <row r="25">
          <cell r="B25" t="str">
            <v>PF_QUIN1001</v>
          </cell>
        </row>
        <row r="26">
          <cell r="B26" t="str">
            <v>PF_QUIN3001</v>
          </cell>
        </row>
      </sheetData>
      <sheetData sheetId="5"/>
      <sheetData sheetId="6"/>
      <sheetData sheetId="7"/>
      <sheetData sheetId="8"/>
      <sheetData sheetId="9"/>
      <sheetData sheetId="10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</sheetData>
      <sheetData sheetId="11">
        <row r="4">
          <cell r="C4">
            <v>4</v>
          </cell>
        </row>
        <row r="5">
          <cell r="C5" t="str">
            <v/>
          </cell>
        </row>
      </sheetData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943 GBEKO"/>
      <sheetName val="3942salembaore"/>
      <sheetName val="3942coli ("/>
      <sheetName val="p2367"/>
      <sheetName val="p2368"/>
      <sheetName val="p2369"/>
      <sheetName val="p237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099base1"/>
      <sheetName val="avoir"/>
      <sheetName val="coli global"/>
      <sheetName val="8284"/>
      <sheetName val="8284 base 2"/>
      <sheetName val="coli global (2)"/>
      <sheetName val="coli global (3)"/>
      <sheetName val="8364base3"/>
      <sheetName val="8694 stock4"/>
      <sheetName val="8821BASE5"/>
      <sheetName val="9050BASE6"/>
      <sheetName val="9050BASE6 (2)"/>
      <sheetName val="9338BASE7"/>
      <sheetName val="9614BASE8"/>
      <sheetName val="9824BASE9"/>
      <sheetName val="9876BASE10"/>
      <sheetName val="prevision"/>
      <sheetName val="p2656"/>
      <sheetName val="10017BASE"/>
      <sheetName val="10104BASE"/>
      <sheetName val="10280BASE"/>
      <sheetName val="ORI&lt;04-9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33">
          <cell r="F33" t="str">
            <v>Prix Total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id="2" name="Tableau1" displayName="Tableau1" ref="B3:J59" totalsRowShown="0" headerRowDxfId="91" dataDxfId="90">
  <autoFilter ref="B3:J59"/>
  <tableColumns count="9">
    <tableColumn id="1" name="Nr article" dataDxfId="89"/>
    <tableColumn id="2" name="Nom" dataDxfId="88"/>
    <tableColumn id="3" name="Description" dataDxfId="87"/>
    <tableColumn id="4" name="Image" dataDxfId="86"/>
    <tableColumn id="5" name="Adresse image" dataDxfId="85">
      <calculatedColumnFormula>"article!"&amp;ADDRESS(ROW(E4),COLUMN(E4))</calculatedColumnFormula>
    </tableColumn>
    <tableColumn id="6" name="Centrale d'Achat" dataDxfId="84" dataCellStyle="Monétaire"/>
    <tableColumn id="8" name="Grossiste" dataDxfId="83" dataCellStyle="Monétaire">
      <calculatedColumnFormula>Tableau1[[#This Row],[Centrale d''Achat]]*(1+5%)</calculatedColumnFormula>
    </tableColumn>
    <tableColumn id="9" name="Extérieur" dataDxfId="82" dataCellStyle="Monétaire">
      <calculatedColumnFormula>Tableau1[[#This Row],[Centrale d''Achat]]*(1+20%)</calculatedColumnFormula>
    </tableColumn>
    <tableColumn id="7" name="Stock" dataDxfId="81">
      <calculatedColumnFormula>SUMIF(Tableau8[Nr article],Tableau1[[#This Row],[Nr article]],Tableau8[Quantité :])-SUMIF(Tableau4[Nr article],Tableau1[[#This Row],[Nr article]],Tableau4[Nombre])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3:R10" totalsRowShown="0" headerRowDxfId="80" dataDxfId="79">
  <autoFilter ref="B3:R10"/>
  <tableColumns count="17">
    <tableColumn id="1" name="Nr client" dataDxfId="78"/>
    <tableColumn id="2" name="Nom" dataDxfId="77"/>
    <tableColumn id="3" name="Secteur" dataDxfId="76"/>
    <tableColumn id="4" name="Code postal" dataDxfId="75"/>
    <tableColumn id="5" name="Ville" dataDxfId="74"/>
    <tableColumn id="6" name="Pays" dataDxfId="73"/>
    <tableColumn id="7" name="Mail" dataDxfId="72"/>
    <tableColumn id="8" name="Tél" dataDxfId="71"/>
    <tableColumn id="16" name="nb" dataDxfId="70">
      <calculatedColumnFormula>IFERROR(COUNTIFS([5]suivi_facture!C4:C4,[5]!Tableau2[[#This Row],[Nr client]],[5]suivi_facture!J4:J4,0),"")</calculatedColumnFormula>
    </tableColumn>
    <tableColumn id="9" name="Niv fidélité" dataDxfId="69">
      <calculatedColumnFormula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calculatedColumnFormula>
    </tableColumn>
    <tableColumn id="10" name="1" dataDxfId="68">
      <calculatedColumnFormula>IFERROR(IF($K4&gt;=1,1,""),"")</calculatedColumnFormula>
    </tableColumn>
    <tableColumn id="11" name="2" dataDxfId="67">
      <calculatedColumnFormula>IFERROR(IF($K4&gt;=2,1,""),"")</calculatedColumnFormula>
    </tableColumn>
    <tableColumn id="12" name="3" dataDxfId="66">
      <calculatedColumnFormula>IFERROR(IF($K4&gt;=3,1,""),"")</calculatedColumnFormula>
    </tableColumn>
    <tableColumn id="13" name="4" dataDxfId="65">
      <calculatedColumnFormula>IFERROR(IF($K4&gt;=4,1,""),"")</calculatedColumnFormula>
    </tableColumn>
    <tableColumn id="14" name="5" dataDxfId="64">
      <calculatedColumnFormula>IFERROR(IF($K4&gt;=5,1,""),"")</calculatedColumnFormula>
    </tableColumn>
    <tableColumn id="15" name="info texte" dataDxfId="63">
      <calculatedColumnFormula>CONCATENATE(C4,CHAR(10),D4,CHAR(10),E4," - ",F4,CHAR(10),G4,CHAR(10),H4,CHAR(10),I4)</calculatedColumnFormula>
    </tableColumn>
    <tableColumn id="17" name="Statut" dataDxfId="6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Tableau8" displayName="Tableau8" ref="B8:I33" totalsRowShown="0" headerRowDxfId="61" dataDxfId="60">
  <autoFilter ref="B8:I33"/>
  <tableColumns count="8">
    <tableColumn id="1" name="Date" dataDxfId="59"/>
    <tableColumn id="7" name="Nr article" dataDxfId="58" dataCellStyle="Milliers"/>
    <tableColumn id="2" name="Nom :" dataDxfId="57">
      <calculatedColumnFormula>INDEX(Tableau1[Nom],MATCH(Tableau8[[#This Row],[Nr article]],Tableau1[Nr article],0))</calculatedColumnFormula>
    </tableColumn>
    <tableColumn id="3" name="Quantité :" dataDxfId="56"/>
    <tableColumn id="4" name="Nr fiche d'entrée :" dataDxfId="55"/>
    <tableColumn id="5" name="Lot" dataDxfId="54"/>
    <tableColumn id="6" name="Péremption" dataDxfId="53"/>
    <tableColumn id="8" name="Qté sortie" dataDxfId="52">
      <calculatedColumnFormula>IF(Tableau8[[#This Row],[Nr article]]=panier!$C$13,IF(SUM(OFFSET($E$9,$I$1-1,0,ROW()-$I$1-7,1))&lt;=panier!$G$13,$E9,IF(ROW()=$I$1+8,$E9-(SUM(OFFSET($E$9,$I$1-1,0,1))-panier!$G$13),IF(SUM(OFFSET($E$9,$I$1-1,0,ROW()-$I$1-7))&lt;=panier!$G$13,panier!$G$13-SUM(OFFSET($E$9,$I$1-1,0,ROW()-$I$1-8)),""))),"")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K6:U7" insertRow="1" totalsRowShown="0" headerRowDxfId="51" dataDxfId="50">
  <autoFilter ref="K6:U7"/>
  <tableColumns count="11">
    <tableColumn id="1" name="Date" dataDxfId="49"/>
    <tableColumn id="2" name="Nr facture" dataDxfId="48"/>
    <tableColumn id="3" name="Nr article" dataDxfId="47"/>
    <tableColumn id="4" name="article" dataDxfId="46"/>
    <tableColumn id="5" name="Prix htv" dataDxfId="45"/>
    <tableColumn id="6" name="Quantité" dataDxfId="44"/>
    <tableColumn id="7" name="Nr client" dataDxfId="43"/>
    <tableColumn id="8" name="remise" dataDxfId="42" dataCellStyle="Pourcentage"/>
    <tableColumn id="9" name="Total" dataDxfId="41" dataCellStyle="Monétaire"/>
    <tableColumn id="10" name="Lot" dataDxfId="40"/>
    <tableColumn id="11" name="Péremption" dataDxfId="3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B3:J9" totalsRowShown="0" headerRowDxfId="38">
  <autoFilter ref="B3:J9"/>
  <tableColumns count="9">
    <tableColumn id="1" name="Date" dataDxfId="37"/>
    <tableColumn id="2" name="Nr facture" dataDxfId="36"/>
    <tableColumn id="3" name="Nr article" dataDxfId="35"/>
    <tableColumn id="4" name="article" dataDxfId="34"/>
    <tableColumn id="5" name="Prix htva" dataDxfId="33" dataCellStyle="Monétaire"/>
    <tableColumn id="6" name="Nombre" dataDxfId="32"/>
    <tableColumn id="7" name="Nr client" dataDxfId="31"/>
    <tableColumn id="8" name="remise" dataDxfId="30" dataCellStyle="Pourcentage"/>
    <tableColumn id="9" name="Total" dataDxfId="29" dataCellStyle="Moné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au5" displayName="Tableau5" ref="B3:K8" totalsRowShown="0" headerRowDxfId="28" dataDxfId="27">
  <autoFilter ref="B3:K8"/>
  <tableColumns count="10">
    <tableColumn id="1" name="Nr facture" dataDxfId="26">
      <calculatedColumnFormula>IFERROR(SMALL(Tableau4[Nr facture],ROW(1:1)),"")</calculatedColumnFormula>
    </tableColumn>
    <tableColumn id="2" name="Nr client" dataDxfId="25">
      <calculatedColumnFormula>IFERROR(INDEX(Tableau4[Nr client],MATCH(suivi_facture!B4,Tableau4[Nr facture],0)),"")</calculatedColumnFormula>
    </tableColumn>
    <tableColumn id="3" name="Date" dataDxfId="24">
      <calculatedColumnFormula>IFERROR(INDEX(Tableau4[Date],MATCH(suivi_facture!B4,Tableau4[Nr facture],0)),"")</calculatedColumnFormula>
    </tableColumn>
    <tableColumn id="4" name="Total HTVA" dataDxfId="23">
      <calculatedColumnFormula>IFERROR(SUMIF(Tableau4[Nr facture],suivi_facture!B4,Tableau4[Total]),"")</calculatedColumnFormula>
    </tableColumn>
    <tableColumn id="5" name="Remise" dataDxfId="22">
      <calculatedColumnFormula>IFERROR(E4*INDEX(Tableau4[remise],MATCH(suivi_facture!B4,Tableau4[Nr facture],0)),"")</calculatedColumnFormula>
    </tableColumn>
    <tableColumn id="6" name="Total TTC" dataDxfId="21">
      <calculatedColumnFormula>IFERROR(((E4-F4)*1.21),"")</calculatedColumnFormula>
    </tableColumn>
    <tableColumn id="7" name="Acompte" dataDxfId="20">
      <calculatedColumnFormula>IFERROR(SUMIFS(Tableau7[Montant],Tableau7[Type],"acompte",Tableau7[Nr facture],Tableau5[[#This Row],[Nr facture]]),"")</calculatedColumnFormula>
    </tableColumn>
    <tableColumn id="8" name="Versement" dataDxfId="19">
      <calculatedColumnFormula>IFERROR(SUMIFS(Tableau7[Montant],Tableau7[Type],"versement",Tableau7[Nr facture],Tableau5[[#This Row],[Nr facture]]),"")</calculatedColumnFormula>
    </tableColumn>
    <tableColumn id="9" name="Reste" dataDxfId="18">
      <calculatedColumnFormula>IFERROR(ROUND((G4-H4-I4),2),"")</calculatedColumnFormula>
    </tableColumn>
    <tableColumn id="10" name="Status" dataDxfId="17">
      <calculatedColumnFormula>IFERROR(IF(AND(J4&gt;0,D4+30&lt;TODAY()),"Alerte",IF(J4&gt;0,"Open","Close")),"")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B3:F6" totalsRowShown="0" headerRowDxfId="16" dataDxfId="15">
  <autoFilter ref="B3:F6"/>
  <tableColumns count="5">
    <tableColumn id="1" name="Date" dataDxfId="14"/>
    <tableColumn id="2" name="Nr facture" dataDxfId="13"/>
    <tableColumn id="3" name="Client" dataDxfId="12"/>
    <tableColumn id="4" name="Type" dataDxfId="11"/>
    <tableColumn id="5" name="Montant" dataDxfId="1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B3:D8" totalsRowShown="0" headerRowDxfId="9" dataDxfId="8">
  <autoFilter ref="B3:D8"/>
  <tableColumns count="3">
    <tableColumn id="1" name="Level" dataDxfId="7"/>
    <tableColumn id="2" name="Conditions" dataDxfId="6"/>
    <tableColumn id="3" name="Réduction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moriabak_01@yahoo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3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G29" sqref="G29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C7:J7"/>
  <sheetViews>
    <sheetView showGridLines="0" showRowColHeaders="0" workbookViewId="0">
      <selection activeCell="L7" sqref="L7"/>
    </sheetView>
  </sheetViews>
  <sheetFormatPr baseColWidth="10" defaultColWidth="11.5703125" defaultRowHeight="15" x14ac:dyDescent="0.25"/>
  <sheetData>
    <row r="7" spans="3:10" ht="18.75" x14ac:dyDescent="0.3">
      <c r="C7" s="112" t="s">
        <v>85</v>
      </c>
      <c r="D7" s="112"/>
      <c r="E7" s="112"/>
      <c r="F7" s="112"/>
      <c r="G7" s="112"/>
      <c r="H7" s="112"/>
      <c r="I7" s="112"/>
      <c r="J7" s="112"/>
    </row>
  </sheetData>
  <sheetProtection algorithmName="SHA-512" hashValue="/lQbSlIpDgejUAwYAgaV/zquDCNxDbt6ezn0KiWf2m2viQJBrTRCygKPKu2GirkDGRvoHzJSZb0LHXYCUtr1Kg==" saltValue="TpFucRoFawgZJAXVqZLqxA==" spinCount="100000" sheet="1" objects="1" scenarios="1"/>
  <mergeCells count="1">
    <mergeCell ref="C7:J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3793" r:id="rId4" name="Txt_user">
          <controlPr defaultSize="0" autoLine="0" r:id="rId5">
            <anchor moveWithCells="1">
              <from>
                <xdr:col>4</xdr:col>
                <xdr:colOff>476250</xdr:colOff>
                <xdr:row>11</xdr:row>
                <xdr:rowOff>0</xdr:rowOff>
              </from>
              <to>
                <xdr:col>7</xdr:col>
                <xdr:colOff>95250</xdr:colOff>
                <xdr:row>12</xdr:row>
                <xdr:rowOff>76200</xdr:rowOff>
              </to>
            </anchor>
          </controlPr>
        </control>
      </mc:Choice>
      <mc:Fallback>
        <control shapeId="33793" r:id="rId4" name="Txt_user"/>
      </mc:Fallback>
    </mc:AlternateContent>
    <mc:AlternateContent xmlns:mc="http://schemas.openxmlformats.org/markup-compatibility/2006">
      <mc:Choice Requires="x14">
        <control shapeId="33794" r:id="rId6" name="Txt_pass">
          <controlPr defaultSize="0" autoLine="0" r:id="rId5">
            <anchor moveWithCells="1">
              <from>
                <xdr:col>4</xdr:col>
                <xdr:colOff>495300</xdr:colOff>
                <xdr:row>13</xdr:row>
                <xdr:rowOff>123825</xdr:rowOff>
              </from>
              <to>
                <xdr:col>7</xdr:col>
                <xdr:colOff>114300</xdr:colOff>
                <xdr:row>15</xdr:row>
                <xdr:rowOff>9525</xdr:rowOff>
              </to>
            </anchor>
          </controlPr>
        </control>
      </mc:Choice>
      <mc:Fallback>
        <control shapeId="33794" r:id="rId6" name="Txt_pass"/>
      </mc:Fallback>
    </mc:AlternateContent>
    <mc:AlternateContent xmlns:mc="http://schemas.openxmlformats.org/markup-compatibility/2006">
      <mc:Choice Requires="x14">
        <control shapeId="33795" r:id="rId7" name="btn_loging">
          <controlPr defaultSize="0" autoLine="0" r:id="rId8">
            <anchor moveWithCells="1">
              <from>
                <xdr:col>7</xdr:col>
                <xdr:colOff>152400</xdr:colOff>
                <xdr:row>10</xdr:row>
                <xdr:rowOff>161925</xdr:rowOff>
              </from>
              <to>
                <xdr:col>8</xdr:col>
                <xdr:colOff>657225</xdr:colOff>
                <xdr:row>12</xdr:row>
                <xdr:rowOff>133350</xdr:rowOff>
              </to>
            </anchor>
          </controlPr>
        </control>
      </mc:Choice>
      <mc:Fallback>
        <control shapeId="33795" r:id="rId7" name="btn_loging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"/>
  <sheetViews>
    <sheetView showGridLines="0" topLeftCell="A4" workbookViewId="0">
      <selection activeCell="K20" sqref="K20"/>
    </sheetView>
  </sheetViews>
  <sheetFormatPr baseColWidth="10" defaultColWidth="11.5703125" defaultRowHeight="15" x14ac:dyDescent="0.25"/>
  <sheetData>
    <row r="1" spans="2:2" ht="15.75" x14ac:dyDescent="0.25">
      <c r="B1" s="4"/>
    </row>
  </sheetData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59"/>
  <sheetViews>
    <sheetView showGridLines="0" zoomScale="91" zoomScaleNormal="91" workbookViewId="0">
      <selection activeCell="B4" sqref="B4"/>
    </sheetView>
  </sheetViews>
  <sheetFormatPr baseColWidth="10" defaultRowHeight="15.75" x14ac:dyDescent="0.25"/>
  <cols>
    <col min="1" max="1" width="1.7109375" style="5" customWidth="1"/>
    <col min="2" max="2" width="15" style="6" bestFit="1" customWidth="1"/>
    <col min="3" max="3" width="60.7109375" style="6" bestFit="1" customWidth="1"/>
    <col min="4" max="4" width="17.28515625" style="53" bestFit="1" customWidth="1"/>
    <col min="5" max="6" width="25" style="6" hidden="1" customWidth="1"/>
    <col min="7" max="7" width="15.85546875" style="54" customWidth="1"/>
    <col min="8" max="8" width="7.7109375" style="5" hidden="1" customWidth="1"/>
    <col min="9" max="9" width="7" style="5" hidden="1" customWidth="1"/>
    <col min="10" max="10" width="11.28515625" style="5" bestFit="1" customWidth="1"/>
    <col min="11" max="11" width="25" style="6" customWidth="1"/>
    <col min="12" max="12" width="11.42578125" style="5"/>
    <col min="13" max="13" width="11.42578125" style="5" customWidth="1"/>
    <col min="14" max="16384" width="11.42578125" style="5"/>
  </cols>
  <sheetData>
    <row r="1" spans="2:10" s="5" customFormat="1" ht="86.25" customHeight="1" x14ac:dyDescent="0.25">
      <c r="B1" s="6"/>
      <c r="C1" s="6"/>
      <c r="D1" s="53"/>
      <c r="E1" s="6"/>
      <c r="F1" s="6"/>
      <c r="G1" s="54"/>
      <c r="J1" s="6"/>
    </row>
    <row r="2" spans="2:10" s="5" customFormat="1" x14ac:dyDescent="0.25">
      <c r="B2" s="6"/>
      <c r="C2" s="6"/>
      <c r="D2" s="53"/>
      <c r="E2" s="6"/>
      <c r="F2" s="6"/>
      <c r="G2" s="54"/>
      <c r="J2" s="6"/>
    </row>
    <row r="3" spans="2:10" s="5" customFormat="1" ht="27" customHeight="1" x14ac:dyDescent="0.25">
      <c r="B3" s="6" t="s">
        <v>0</v>
      </c>
      <c r="C3" s="6" t="s">
        <v>1</v>
      </c>
      <c r="D3" s="6" t="s">
        <v>3</v>
      </c>
      <c r="E3" s="6" t="s">
        <v>2</v>
      </c>
      <c r="F3" s="6" t="s">
        <v>4</v>
      </c>
      <c r="G3" s="54" t="s">
        <v>250</v>
      </c>
      <c r="H3" s="6" t="s">
        <v>251</v>
      </c>
      <c r="I3" s="6" t="s">
        <v>252</v>
      </c>
      <c r="J3" s="6" t="s">
        <v>5</v>
      </c>
    </row>
    <row r="4" spans="2:10" s="6" customFormat="1" x14ac:dyDescent="0.25">
      <c r="B4" s="26" t="s">
        <v>86</v>
      </c>
      <c r="C4" s="55" t="s">
        <v>138</v>
      </c>
      <c r="D4" s="55" t="s">
        <v>267</v>
      </c>
      <c r="E4" s="56"/>
      <c r="F4" s="56" t="str">
        <f t="shared" ref="F4:F8" si="0">"article!"&amp;ADDRESS(ROW(E4),COLUMN(E4))</f>
        <v>article!$E$4</v>
      </c>
      <c r="G4" s="57">
        <v>1000</v>
      </c>
      <c r="H4" s="57">
        <f>Tableau1[[#This Row],[Centrale d''Achat]]*(1+5%)</f>
        <v>1050</v>
      </c>
      <c r="I4" s="57">
        <f>Tableau1[[#This Row],[Centrale d''Achat]]*(1+20%)</f>
        <v>1200</v>
      </c>
      <c r="J4" s="56">
        <f>SUMIF(Tableau8[Nr article],Tableau1[[#This Row],[Nr article]],Tableau8[Quantité :])-SUMIF(Tableau4[Nr article],Tableau1[[#This Row],[Nr article]],Tableau4[Nombre])</f>
        <v>100</v>
      </c>
    </row>
    <row r="5" spans="2:10" s="5" customFormat="1" x14ac:dyDescent="0.25">
      <c r="B5" s="26" t="s">
        <v>87</v>
      </c>
      <c r="C5" s="58" t="s">
        <v>139</v>
      </c>
      <c r="D5" s="58" t="s">
        <v>191</v>
      </c>
      <c r="E5" s="56"/>
      <c r="F5" s="56" t="str">
        <f t="shared" si="0"/>
        <v>article!$E$5</v>
      </c>
      <c r="G5" s="57">
        <v>3.5</v>
      </c>
      <c r="H5" s="57">
        <f>Tableau1[[#This Row],[Centrale d''Achat]]*(1+5%)</f>
        <v>3.6750000000000003</v>
      </c>
      <c r="I5" s="57">
        <f>Tableau1[[#This Row],[Centrale d''Achat]]*(1+20%)</f>
        <v>4.2</v>
      </c>
      <c r="J5" s="56">
        <f>SUMIF(Tableau8[Nr article],Tableau1[[#This Row],[Nr article]],Tableau8[Quantité :])-SUMIF(Tableau4[Nr article],Tableau1[[#This Row],[Nr article]],Tableau4[Nombre])</f>
        <v>0</v>
      </c>
    </row>
    <row r="6" spans="2:10" s="5" customFormat="1" x14ac:dyDescent="0.25">
      <c r="B6" s="26" t="s">
        <v>88</v>
      </c>
      <c r="C6" s="55" t="s">
        <v>140</v>
      </c>
      <c r="D6" s="55" t="s">
        <v>190</v>
      </c>
      <c r="E6" s="56"/>
      <c r="F6" s="56" t="str">
        <f t="shared" si="0"/>
        <v>article!$E$6</v>
      </c>
      <c r="G6" s="57"/>
      <c r="H6" s="57">
        <f>Tableau1[[#This Row],[Centrale d''Achat]]*(1+5%)</f>
        <v>0</v>
      </c>
      <c r="I6" s="57">
        <f>Tableau1[[#This Row],[Centrale d''Achat]]*(1+20%)</f>
        <v>0</v>
      </c>
      <c r="J6" s="56">
        <f>SUMIF(Tableau8[Nr article],Tableau1[[#This Row],[Nr article]],Tableau8[Quantité :])-SUMIF(Tableau4[Nr article],Tableau1[[#This Row],[Nr article]],Tableau4[Nombre])</f>
        <v>0</v>
      </c>
    </row>
    <row r="7" spans="2:10" s="5" customFormat="1" x14ac:dyDescent="0.25">
      <c r="B7" s="26" t="s">
        <v>89</v>
      </c>
      <c r="C7" s="58" t="s">
        <v>141</v>
      </c>
      <c r="D7" s="58" t="s">
        <v>191</v>
      </c>
      <c r="E7" s="56"/>
      <c r="F7" s="56" t="str">
        <f t="shared" si="0"/>
        <v>article!$E$7</v>
      </c>
      <c r="G7" s="57">
        <v>4.25</v>
      </c>
      <c r="H7" s="57">
        <f>Tableau1[[#This Row],[Centrale d''Achat]]*(1+5%)</f>
        <v>4.4625000000000004</v>
      </c>
      <c r="I7" s="57">
        <f>Tableau1[[#This Row],[Centrale d''Achat]]*(1+20%)</f>
        <v>5.0999999999999996</v>
      </c>
      <c r="J7" s="56">
        <f>SUMIF(Tableau8[Nr article],Tableau1[[#This Row],[Nr article]],Tableau8[Quantité :])-SUMIF(Tableau4[Nr article],Tableau1[[#This Row],[Nr article]],Tableau4[Nombre])</f>
        <v>0</v>
      </c>
    </row>
    <row r="8" spans="2:10" s="5" customFormat="1" x14ac:dyDescent="0.25">
      <c r="B8" s="26" t="s">
        <v>90</v>
      </c>
      <c r="C8" s="58" t="s">
        <v>142</v>
      </c>
      <c r="D8" s="58" t="s">
        <v>194</v>
      </c>
      <c r="E8" s="56"/>
      <c r="F8" s="56" t="str">
        <f t="shared" si="0"/>
        <v>article!$E$8</v>
      </c>
      <c r="G8" s="57">
        <v>16</v>
      </c>
      <c r="H8" s="57">
        <f>Tableau1[[#This Row],[Centrale d''Achat]]*(1+5%)</f>
        <v>16.8</v>
      </c>
      <c r="I8" s="57">
        <f>Tableau1[[#This Row],[Centrale d''Achat]]*(1+20%)</f>
        <v>19.2</v>
      </c>
      <c r="J8" s="56">
        <f>SUMIF(Tableau8[Nr article],Tableau1[[#This Row],[Nr article]],Tableau8[Quantité :])-SUMIF(Tableau4[Nr article],Tableau1[[#This Row],[Nr article]],Tableau4[Nombre])</f>
        <v>0</v>
      </c>
    </row>
    <row r="9" spans="2:10" s="5" customFormat="1" x14ac:dyDescent="0.25">
      <c r="B9" s="26" t="s">
        <v>91</v>
      </c>
      <c r="C9" s="55" t="s">
        <v>143</v>
      </c>
      <c r="D9" s="55" t="s">
        <v>195</v>
      </c>
      <c r="E9" s="56"/>
      <c r="F9" s="59" t="str">
        <f>"article!"&amp;ADDRESS(ROW(E9),COLUMN(E9))</f>
        <v>article!$E$9</v>
      </c>
      <c r="G9" s="57"/>
      <c r="H9" s="57">
        <f>Tableau1[[#This Row],[Centrale d''Achat]]*(1+5%)</f>
        <v>0</v>
      </c>
      <c r="I9" s="57">
        <f>Tableau1[[#This Row],[Centrale d''Achat]]*(1+20%)</f>
        <v>0</v>
      </c>
      <c r="J9" s="56">
        <f>SUMIF(Tableau8[Nr article],Tableau1[[#This Row],[Nr article]],Tableau8[Quantité :])-SUMIF(Tableau4[Nr article],Tableau1[[#This Row],[Nr article]],Tableau4[Nombre])</f>
        <v>0</v>
      </c>
    </row>
    <row r="10" spans="2:10" s="5" customFormat="1" x14ac:dyDescent="0.25">
      <c r="B10" s="26" t="s">
        <v>92</v>
      </c>
      <c r="C10" s="55" t="s">
        <v>144</v>
      </c>
      <c r="D10" s="55" t="s">
        <v>190</v>
      </c>
      <c r="E10" s="56"/>
      <c r="F10" s="59" t="str">
        <f t="shared" ref="F10:F59" si="1">"article!"&amp;ADDRESS(ROW(E10),COLUMN(E10))</f>
        <v>article!$E$10</v>
      </c>
      <c r="G10" s="57"/>
      <c r="H10" s="57">
        <f>Tableau1[[#This Row],[Centrale d''Achat]]*(1+5%)</f>
        <v>0</v>
      </c>
      <c r="I10" s="57">
        <f>Tableau1[[#This Row],[Centrale d''Achat]]*(1+20%)</f>
        <v>0</v>
      </c>
      <c r="J10" s="59">
        <f>SUMIF(Tableau8[Nr article],Tableau1[[#This Row],[Nr article]],Tableau8[Quantité :])-SUMIF(Tableau4[Nr article],Tableau1[[#This Row],[Nr article]],Tableau4[Nombre])</f>
        <v>2</v>
      </c>
    </row>
    <row r="11" spans="2:10" s="5" customFormat="1" x14ac:dyDescent="0.25">
      <c r="B11" s="26" t="s">
        <v>93</v>
      </c>
      <c r="C11" s="58" t="s">
        <v>145</v>
      </c>
      <c r="D11" s="58" t="s">
        <v>191</v>
      </c>
      <c r="E11" s="56"/>
      <c r="F11" s="59" t="str">
        <f t="shared" si="1"/>
        <v>article!$E$11</v>
      </c>
      <c r="G11" s="57">
        <v>20.149999999999999</v>
      </c>
      <c r="H11" s="57">
        <f>Tableau1[[#This Row],[Centrale d''Achat]]*(1+5%)</f>
        <v>21.157499999999999</v>
      </c>
      <c r="I11" s="57">
        <f>Tableau1[[#This Row],[Centrale d''Achat]]*(1+20%)</f>
        <v>24.179999999999996</v>
      </c>
      <c r="J11" s="59">
        <f>SUMIF(Tableau8[Nr article],Tableau1[[#This Row],[Nr article]],Tableau8[Quantité :])-SUMIF(Tableau4[Nr article],Tableau1[[#This Row],[Nr article]],Tableau4[Nombre])</f>
        <v>0</v>
      </c>
    </row>
    <row r="12" spans="2:10" s="5" customFormat="1" x14ac:dyDescent="0.25">
      <c r="B12" s="26" t="s">
        <v>94</v>
      </c>
      <c r="C12" s="55" t="s">
        <v>146</v>
      </c>
      <c r="D12" s="55" t="s">
        <v>190</v>
      </c>
      <c r="E12" s="56"/>
      <c r="F12" s="59" t="str">
        <f t="shared" si="1"/>
        <v>article!$E$12</v>
      </c>
      <c r="G12" s="57"/>
      <c r="H12" s="57">
        <f>Tableau1[[#This Row],[Centrale d''Achat]]*(1+5%)</f>
        <v>0</v>
      </c>
      <c r="I12" s="57">
        <f>Tableau1[[#This Row],[Centrale d''Achat]]*(1+20%)</f>
        <v>0</v>
      </c>
      <c r="J12" s="59">
        <f>SUMIF(Tableau8[Nr article],Tableau1[[#This Row],[Nr article]],Tableau8[Quantité :])-SUMIF(Tableau4[Nr article],Tableau1[[#This Row],[Nr article]],Tableau4[Nombre])</f>
        <v>0</v>
      </c>
    </row>
    <row r="13" spans="2:10" s="5" customFormat="1" x14ac:dyDescent="0.25">
      <c r="B13" s="26" t="s">
        <v>95</v>
      </c>
      <c r="C13" s="58" t="s">
        <v>147</v>
      </c>
      <c r="D13" s="58" t="s">
        <v>191</v>
      </c>
      <c r="E13" s="56"/>
      <c r="F13" s="59" t="str">
        <f t="shared" si="1"/>
        <v>article!$E$13</v>
      </c>
      <c r="G13" s="57">
        <v>9.25</v>
      </c>
      <c r="H13" s="57">
        <f>Tableau1[[#This Row],[Centrale d''Achat]]*(1+5%)</f>
        <v>9.7125000000000004</v>
      </c>
      <c r="I13" s="57">
        <f>Tableau1[[#This Row],[Centrale d''Achat]]*(1+20%)</f>
        <v>11.1</v>
      </c>
      <c r="J13" s="59">
        <f>SUMIF(Tableau8[Nr article],Tableau1[[#This Row],[Nr article]],Tableau8[Quantité :])-SUMIF(Tableau4[Nr article],Tableau1[[#This Row],[Nr article]],Tableau4[Nombre])</f>
        <v>0</v>
      </c>
    </row>
    <row r="14" spans="2:10" s="5" customFormat="1" x14ac:dyDescent="0.25">
      <c r="B14" s="26" t="s">
        <v>196</v>
      </c>
      <c r="C14" s="58" t="s">
        <v>254</v>
      </c>
      <c r="D14" s="58" t="s">
        <v>191</v>
      </c>
      <c r="E14" s="56"/>
      <c r="F14" s="59" t="str">
        <f>"article!"&amp;ADDRESS(ROW(E14),COLUMN(E14))</f>
        <v>article!$E$14</v>
      </c>
      <c r="G14" s="57">
        <v>12.62</v>
      </c>
      <c r="H14" s="57">
        <f>Tableau1[[#This Row],[Centrale d''Achat]]*(1+5%)</f>
        <v>13.250999999999999</v>
      </c>
      <c r="I14" s="57">
        <f>Tableau1[[#This Row],[Centrale d''Achat]]*(1+20%)</f>
        <v>15.143999999999998</v>
      </c>
      <c r="J14" s="59">
        <f>SUMIF(Tableau8[Nr article],Tableau1[[#This Row],[Nr article]],Tableau8[Quantité :])-SUMIF(Tableau4[Nr article],Tableau1[[#This Row],[Nr article]],Tableau4[Nombre])</f>
        <v>0</v>
      </c>
    </row>
    <row r="15" spans="2:10" s="5" customFormat="1" x14ac:dyDescent="0.25">
      <c r="B15" s="26" t="s">
        <v>96</v>
      </c>
      <c r="C15" s="55" t="s">
        <v>148</v>
      </c>
      <c r="D15" s="55" t="s">
        <v>190</v>
      </c>
      <c r="E15" s="56"/>
      <c r="F15" s="59" t="str">
        <f t="shared" si="1"/>
        <v>article!$E$15</v>
      </c>
      <c r="G15" s="57"/>
      <c r="H15" s="57">
        <f>Tableau1[[#This Row],[Centrale d''Achat]]*(1+5%)</f>
        <v>0</v>
      </c>
      <c r="I15" s="57">
        <f>Tableau1[[#This Row],[Centrale d''Achat]]*(1+20%)</f>
        <v>0</v>
      </c>
      <c r="J15" s="59">
        <f>SUMIF(Tableau8[Nr article],Tableau1[[#This Row],[Nr article]],Tableau8[Quantité :])-SUMIF(Tableau4[Nr article],Tableau1[[#This Row],[Nr article]],Tableau4[Nombre])</f>
        <v>0</v>
      </c>
    </row>
    <row r="16" spans="2:10" s="5" customFormat="1" x14ac:dyDescent="0.25">
      <c r="B16" s="26" t="s">
        <v>97</v>
      </c>
      <c r="C16" s="58" t="s">
        <v>149</v>
      </c>
      <c r="D16" s="58" t="s">
        <v>191</v>
      </c>
      <c r="E16" s="56"/>
      <c r="F16" s="59" t="str">
        <f t="shared" si="1"/>
        <v>article!$E$16</v>
      </c>
      <c r="G16" s="57">
        <v>19.649999999999999</v>
      </c>
      <c r="H16" s="57">
        <f>Tableau1[[#This Row],[Centrale d''Achat]]*(1+5%)</f>
        <v>20.6325</v>
      </c>
      <c r="I16" s="57">
        <f>Tableau1[[#This Row],[Centrale d''Achat]]*(1+20%)</f>
        <v>23.58</v>
      </c>
      <c r="J16" s="59">
        <f>SUMIF(Tableau8[Nr article],Tableau1[[#This Row],[Nr article]],Tableau8[Quantité :])-SUMIF(Tableau4[Nr article],Tableau1[[#This Row],[Nr article]],Tableau4[Nombre])</f>
        <v>0</v>
      </c>
    </row>
    <row r="17" spans="2:10" s="5" customFormat="1" x14ac:dyDescent="0.25">
      <c r="B17" s="26" t="s">
        <v>98</v>
      </c>
      <c r="C17" s="55" t="s">
        <v>150</v>
      </c>
      <c r="D17" s="55" t="s">
        <v>190</v>
      </c>
      <c r="E17" s="56"/>
      <c r="F17" s="59" t="str">
        <f t="shared" si="1"/>
        <v>article!$E$17</v>
      </c>
      <c r="G17" s="57"/>
      <c r="H17" s="57">
        <f>Tableau1[[#This Row],[Centrale d''Achat]]*(1+5%)</f>
        <v>0</v>
      </c>
      <c r="I17" s="57">
        <f>Tableau1[[#This Row],[Centrale d''Achat]]*(1+20%)</f>
        <v>0</v>
      </c>
      <c r="J17" s="59">
        <f>SUMIF(Tableau8[Nr article],Tableau1[[#This Row],[Nr article]],Tableau8[Quantité :])-SUMIF(Tableau4[Nr article],Tableau1[[#This Row],[Nr article]],Tableau4[Nombre])</f>
        <v>0</v>
      </c>
    </row>
    <row r="18" spans="2:10" s="5" customFormat="1" x14ac:dyDescent="0.25">
      <c r="B18" s="26" t="s">
        <v>99</v>
      </c>
      <c r="C18" s="58" t="s">
        <v>151</v>
      </c>
      <c r="D18" s="58" t="s">
        <v>191</v>
      </c>
      <c r="E18" s="56"/>
      <c r="F18" s="59" t="str">
        <f t="shared" si="1"/>
        <v>article!$E$18</v>
      </c>
      <c r="G18" s="57">
        <v>11.5</v>
      </c>
      <c r="H18" s="57">
        <f>Tableau1[[#This Row],[Centrale d''Achat]]*(1+5%)</f>
        <v>12.075000000000001</v>
      </c>
      <c r="I18" s="57">
        <f>Tableau1[[#This Row],[Centrale d''Achat]]*(1+20%)</f>
        <v>13.799999999999999</v>
      </c>
      <c r="J18" s="59">
        <f>SUMIF(Tableau8[Nr article],Tableau1[[#This Row],[Nr article]],Tableau8[Quantité :])-SUMIF(Tableau4[Nr article],Tableau1[[#This Row],[Nr article]],Tableau4[Nombre])</f>
        <v>0</v>
      </c>
    </row>
    <row r="19" spans="2:10" s="5" customFormat="1" x14ac:dyDescent="0.25">
      <c r="B19" s="26" t="s">
        <v>100</v>
      </c>
      <c r="C19" s="60" t="s">
        <v>152</v>
      </c>
      <c r="D19" s="55" t="s">
        <v>190</v>
      </c>
      <c r="E19" s="56"/>
      <c r="F19" s="59" t="str">
        <f t="shared" si="1"/>
        <v>article!$E$19</v>
      </c>
      <c r="G19" s="57"/>
      <c r="H19" s="57">
        <f>Tableau1[[#This Row],[Centrale d''Achat]]*(1+5%)</f>
        <v>0</v>
      </c>
      <c r="I19" s="57">
        <f>Tableau1[[#This Row],[Centrale d''Achat]]*(1+20%)</f>
        <v>0</v>
      </c>
      <c r="J19" s="59">
        <f>SUMIF(Tableau8[Nr article],Tableau1[[#This Row],[Nr article]],Tableau8[Quantité :])-SUMIF(Tableau4[Nr article],Tableau1[[#This Row],[Nr article]],Tableau4[Nombre])</f>
        <v>0</v>
      </c>
    </row>
    <row r="20" spans="2:10" s="5" customFormat="1" x14ac:dyDescent="0.25">
      <c r="B20" s="26" t="s">
        <v>101</v>
      </c>
      <c r="C20" s="60" t="s">
        <v>153</v>
      </c>
      <c r="D20" s="55" t="s">
        <v>190</v>
      </c>
      <c r="E20" s="56"/>
      <c r="F20" s="59" t="str">
        <f t="shared" si="1"/>
        <v>article!$E$20</v>
      </c>
      <c r="G20" s="57">
        <v>1000</v>
      </c>
      <c r="H20" s="57">
        <f>Tableau1[[#This Row],[Centrale d''Achat]]*(1+5%)</f>
        <v>1050</v>
      </c>
      <c r="I20" s="57">
        <f>Tableau1[[#This Row],[Centrale d''Achat]]*(1+20%)</f>
        <v>1200</v>
      </c>
      <c r="J20" s="59">
        <f>SUMIF(Tableau8[Nr article],Tableau1[[#This Row],[Nr article]],Tableau8[Quantité :])-SUMIF(Tableau4[Nr article],Tableau1[[#This Row],[Nr article]],Tableau4[Nombre])</f>
        <v>4</v>
      </c>
    </row>
    <row r="21" spans="2:10" s="5" customFormat="1" x14ac:dyDescent="0.25">
      <c r="B21" s="26" t="s">
        <v>102</v>
      </c>
      <c r="C21" s="55" t="s">
        <v>154</v>
      </c>
      <c r="D21" s="55" t="s">
        <v>190</v>
      </c>
      <c r="E21" s="56"/>
      <c r="F21" s="59" t="str">
        <f t="shared" si="1"/>
        <v>article!$E$21</v>
      </c>
      <c r="G21" s="57"/>
      <c r="H21" s="57">
        <f>Tableau1[[#This Row],[Centrale d''Achat]]*(1+5%)</f>
        <v>0</v>
      </c>
      <c r="I21" s="57">
        <f>Tableau1[[#This Row],[Centrale d''Achat]]*(1+20%)</f>
        <v>0</v>
      </c>
      <c r="J21" s="59">
        <f>SUMIF(Tableau8[Nr article],Tableau1[[#This Row],[Nr article]],Tableau8[Quantité :])-SUMIF(Tableau4[Nr article],Tableau1[[#This Row],[Nr article]],Tableau4[Nombre])</f>
        <v>0</v>
      </c>
    </row>
    <row r="22" spans="2:10" s="5" customFormat="1" x14ac:dyDescent="0.25">
      <c r="B22" s="26" t="s">
        <v>103</v>
      </c>
      <c r="C22" s="58" t="s">
        <v>155</v>
      </c>
      <c r="D22" s="58" t="s">
        <v>191</v>
      </c>
      <c r="E22" s="56"/>
      <c r="F22" s="59" t="str">
        <f t="shared" si="1"/>
        <v>article!$E$22</v>
      </c>
      <c r="G22" s="57">
        <v>3.12</v>
      </c>
      <c r="H22" s="57">
        <f>Tableau1[[#This Row],[Centrale d''Achat]]*(1+5%)</f>
        <v>3.2760000000000002</v>
      </c>
      <c r="I22" s="57">
        <f>Tableau1[[#This Row],[Centrale d''Achat]]*(1+20%)</f>
        <v>3.7439999999999998</v>
      </c>
      <c r="J22" s="59">
        <f>SUMIF(Tableau8[Nr article],Tableau1[[#This Row],[Nr article]],Tableau8[Quantité :])-SUMIF(Tableau4[Nr article],Tableau1[[#This Row],[Nr article]],Tableau4[Nombre])</f>
        <v>0</v>
      </c>
    </row>
    <row r="23" spans="2:10" s="5" customFormat="1" x14ac:dyDescent="0.25">
      <c r="B23" s="26" t="s">
        <v>104</v>
      </c>
      <c r="C23" s="55" t="s">
        <v>156</v>
      </c>
      <c r="D23" s="55" t="s">
        <v>190</v>
      </c>
      <c r="E23" s="56"/>
      <c r="F23" s="59" t="str">
        <f t="shared" si="1"/>
        <v>article!$E$23</v>
      </c>
      <c r="G23" s="57"/>
      <c r="H23" s="57">
        <f>Tableau1[[#This Row],[Centrale d''Achat]]*(1+5%)</f>
        <v>0</v>
      </c>
      <c r="I23" s="57">
        <f>Tableau1[[#This Row],[Centrale d''Achat]]*(1+20%)</f>
        <v>0</v>
      </c>
      <c r="J23" s="59">
        <f>SUMIF(Tableau8[Nr article],Tableau1[[#This Row],[Nr article]],Tableau8[Quantité :])-SUMIF(Tableau4[Nr article],Tableau1[[#This Row],[Nr article]],Tableau4[Nombre])</f>
        <v>0</v>
      </c>
    </row>
    <row r="24" spans="2:10" s="5" customFormat="1" x14ac:dyDescent="0.25">
      <c r="B24" s="26" t="s">
        <v>105</v>
      </c>
      <c r="C24" s="58" t="s">
        <v>157</v>
      </c>
      <c r="D24" s="58" t="s">
        <v>191</v>
      </c>
      <c r="E24" s="56"/>
      <c r="F24" s="59" t="str">
        <f t="shared" si="1"/>
        <v>article!$E$24</v>
      </c>
      <c r="G24" s="57">
        <v>4</v>
      </c>
      <c r="H24" s="57">
        <f>Tableau1[[#This Row],[Centrale d''Achat]]*(1+5%)</f>
        <v>4.2</v>
      </c>
      <c r="I24" s="57">
        <f>Tableau1[[#This Row],[Centrale d''Achat]]*(1+20%)</f>
        <v>4.8</v>
      </c>
      <c r="J24" s="59">
        <f>SUMIF(Tableau8[Nr article],Tableau1[[#This Row],[Nr article]],Tableau8[Quantité :])-SUMIF(Tableau4[Nr article],Tableau1[[#This Row],[Nr article]],Tableau4[Nombre])</f>
        <v>1240</v>
      </c>
    </row>
    <row r="25" spans="2:10" s="5" customFormat="1" x14ac:dyDescent="0.25">
      <c r="B25" s="26" t="s">
        <v>106</v>
      </c>
      <c r="C25" s="55" t="s">
        <v>158</v>
      </c>
      <c r="D25" s="55" t="s">
        <v>190</v>
      </c>
      <c r="E25" s="56"/>
      <c r="F25" s="59" t="str">
        <f t="shared" si="1"/>
        <v>article!$E$25</v>
      </c>
      <c r="G25" s="57"/>
      <c r="H25" s="57">
        <f>Tableau1[[#This Row],[Centrale d''Achat]]*(1+5%)</f>
        <v>0</v>
      </c>
      <c r="I25" s="57">
        <f>Tableau1[[#This Row],[Centrale d''Achat]]*(1+20%)</f>
        <v>0</v>
      </c>
      <c r="J25" s="59">
        <f>SUMIF(Tableau8[Nr article],Tableau1[[#This Row],[Nr article]],Tableau8[Quantité :])-SUMIF(Tableau4[Nr article],Tableau1[[#This Row],[Nr article]],Tableau4[Nombre])</f>
        <v>0</v>
      </c>
    </row>
    <row r="26" spans="2:10" s="5" customFormat="1" x14ac:dyDescent="0.25">
      <c r="B26" s="26" t="s">
        <v>107</v>
      </c>
      <c r="C26" s="58" t="s">
        <v>159</v>
      </c>
      <c r="D26" s="58" t="s">
        <v>191</v>
      </c>
      <c r="E26" s="56"/>
      <c r="F26" s="59" t="str">
        <f t="shared" si="1"/>
        <v>article!$E$26</v>
      </c>
      <c r="G26" s="57">
        <v>3.5</v>
      </c>
      <c r="H26" s="57">
        <f>Tableau1[[#This Row],[Centrale d''Achat]]*(1+5%)</f>
        <v>3.6750000000000003</v>
      </c>
      <c r="I26" s="57">
        <f>Tableau1[[#This Row],[Centrale d''Achat]]*(1+20%)</f>
        <v>4.2</v>
      </c>
      <c r="J26" s="59">
        <f>SUMIF(Tableau8[Nr article],Tableau1[[#This Row],[Nr article]],Tableau8[Quantité :])-SUMIF(Tableau4[Nr article],Tableau1[[#This Row],[Nr article]],Tableau4[Nombre])</f>
        <v>0</v>
      </c>
    </row>
    <row r="27" spans="2:10" s="5" customFormat="1" x14ac:dyDescent="0.25">
      <c r="B27" s="26" t="s">
        <v>108</v>
      </c>
      <c r="C27" s="55" t="s">
        <v>160</v>
      </c>
      <c r="D27" s="55" t="s">
        <v>190</v>
      </c>
      <c r="E27" s="56"/>
      <c r="F27" s="59" t="str">
        <f t="shared" si="1"/>
        <v>article!$E$27</v>
      </c>
      <c r="G27" s="57"/>
      <c r="H27" s="57">
        <f>Tableau1[[#This Row],[Centrale d''Achat]]*(1+5%)</f>
        <v>0</v>
      </c>
      <c r="I27" s="57">
        <f>Tableau1[[#This Row],[Centrale d''Achat]]*(1+20%)</f>
        <v>0</v>
      </c>
      <c r="J27" s="59">
        <f>SUMIF(Tableau8[Nr article],Tableau1[[#This Row],[Nr article]],Tableau8[Quantité :])-SUMIF(Tableau4[Nr article],Tableau1[[#This Row],[Nr article]],Tableau4[Nombre])</f>
        <v>0</v>
      </c>
    </row>
    <row r="28" spans="2:10" s="5" customFormat="1" x14ac:dyDescent="0.25">
      <c r="B28" s="26" t="s">
        <v>109</v>
      </c>
      <c r="C28" s="58" t="s">
        <v>161</v>
      </c>
      <c r="D28" s="58" t="s">
        <v>191</v>
      </c>
      <c r="E28" s="56"/>
      <c r="F28" s="59" t="str">
        <f t="shared" si="1"/>
        <v>article!$E$28</v>
      </c>
      <c r="G28" s="57">
        <v>3</v>
      </c>
      <c r="H28" s="57">
        <f>Tableau1[[#This Row],[Centrale d''Achat]]*(1+5%)</f>
        <v>3.1500000000000004</v>
      </c>
      <c r="I28" s="57">
        <f>Tableau1[[#This Row],[Centrale d''Achat]]*(1+20%)</f>
        <v>3.5999999999999996</v>
      </c>
      <c r="J28" s="59">
        <f>SUMIF(Tableau8[Nr article],Tableau1[[#This Row],[Nr article]],Tableau8[Quantité :])-SUMIF(Tableau4[Nr article],Tableau1[[#This Row],[Nr article]],Tableau4[Nombre])</f>
        <v>0</v>
      </c>
    </row>
    <row r="29" spans="2:10" s="5" customFormat="1" x14ac:dyDescent="0.25">
      <c r="B29" s="26" t="s">
        <v>110</v>
      </c>
      <c r="C29" s="55" t="s">
        <v>162</v>
      </c>
      <c r="D29" s="55" t="s">
        <v>190</v>
      </c>
      <c r="E29" s="56"/>
      <c r="F29" s="59" t="str">
        <f t="shared" si="1"/>
        <v>article!$E$29</v>
      </c>
      <c r="G29" s="57"/>
      <c r="H29" s="57">
        <f>Tableau1[[#This Row],[Centrale d''Achat]]*(1+5%)</f>
        <v>0</v>
      </c>
      <c r="I29" s="57">
        <f>Tableau1[[#This Row],[Centrale d''Achat]]*(1+20%)</f>
        <v>0</v>
      </c>
      <c r="J29" s="59">
        <f>SUMIF(Tableau8[Nr article],Tableau1[[#This Row],[Nr article]],Tableau8[Quantité :])-SUMIF(Tableau4[Nr article],Tableau1[[#This Row],[Nr article]],Tableau4[Nombre])</f>
        <v>0</v>
      </c>
    </row>
    <row r="30" spans="2:10" s="5" customFormat="1" x14ac:dyDescent="0.25">
      <c r="B30" s="26" t="s">
        <v>111</v>
      </c>
      <c r="C30" s="58" t="s">
        <v>163</v>
      </c>
      <c r="D30" s="58" t="s">
        <v>191</v>
      </c>
      <c r="E30" s="56"/>
      <c r="F30" s="59" t="str">
        <f t="shared" si="1"/>
        <v>article!$E$30</v>
      </c>
      <c r="G30" s="57"/>
      <c r="H30" s="57">
        <f>Tableau1[[#This Row],[Centrale d''Achat]]*(1+5%)</f>
        <v>0</v>
      </c>
      <c r="I30" s="57">
        <f>Tableau1[[#This Row],[Centrale d''Achat]]*(1+20%)</f>
        <v>0</v>
      </c>
      <c r="J30" s="59">
        <f>SUMIF(Tableau8[Nr article],Tableau1[[#This Row],[Nr article]],Tableau8[Quantité :])-SUMIF(Tableau4[Nr article],Tableau1[[#This Row],[Nr article]],Tableau4[Nombre])</f>
        <v>0</v>
      </c>
    </row>
    <row r="31" spans="2:10" s="5" customFormat="1" x14ac:dyDescent="0.25">
      <c r="B31" s="26" t="s">
        <v>112</v>
      </c>
      <c r="C31" s="55" t="s">
        <v>164</v>
      </c>
      <c r="D31" s="55" t="s">
        <v>190</v>
      </c>
      <c r="E31" s="56"/>
      <c r="F31" s="59" t="str">
        <f t="shared" si="1"/>
        <v>article!$E$31</v>
      </c>
      <c r="G31" s="57"/>
      <c r="H31" s="57">
        <f>Tableau1[[#This Row],[Centrale d''Achat]]*(1+5%)</f>
        <v>0</v>
      </c>
      <c r="I31" s="57">
        <f>Tableau1[[#This Row],[Centrale d''Achat]]*(1+20%)</f>
        <v>0</v>
      </c>
      <c r="J31" s="59">
        <f>SUMIF(Tableau8[Nr article],Tableau1[[#This Row],[Nr article]],Tableau8[Quantité :])-SUMIF(Tableau4[Nr article],Tableau1[[#This Row],[Nr article]],Tableau4[Nombre])</f>
        <v>0</v>
      </c>
    </row>
    <row r="32" spans="2:10" s="5" customFormat="1" x14ac:dyDescent="0.25">
      <c r="B32" s="26" t="s">
        <v>113</v>
      </c>
      <c r="C32" s="58" t="s">
        <v>165</v>
      </c>
      <c r="D32" s="58" t="s">
        <v>191</v>
      </c>
      <c r="E32" s="56"/>
      <c r="F32" s="59" t="str">
        <f t="shared" si="1"/>
        <v>article!$E$32</v>
      </c>
      <c r="G32" s="57"/>
      <c r="H32" s="57">
        <f>Tableau1[[#This Row],[Centrale d''Achat]]*(1+5%)</f>
        <v>0</v>
      </c>
      <c r="I32" s="57">
        <f>Tableau1[[#This Row],[Centrale d''Achat]]*(1+20%)</f>
        <v>0</v>
      </c>
      <c r="J32" s="59">
        <f>SUMIF(Tableau8[Nr article],Tableau1[[#This Row],[Nr article]],Tableau8[Quantité :])-SUMIF(Tableau4[Nr article],Tableau1[[#This Row],[Nr article]],Tableau4[Nombre])</f>
        <v>0</v>
      </c>
    </row>
    <row r="33" spans="2:10" s="5" customFormat="1" x14ac:dyDescent="0.25">
      <c r="B33" s="26" t="s">
        <v>114</v>
      </c>
      <c r="C33" s="55" t="s">
        <v>166</v>
      </c>
      <c r="D33" s="55" t="s">
        <v>190</v>
      </c>
      <c r="E33" s="56"/>
      <c r="F33" s="59" t="str">
        <f t="shared" si="1"/>
        <v>article!$E$33</v>
      </c>
      <c r="G33" s="57"/>
      <c r="H33" s="57">
        <f>Tableau1[[#This Row],[Centrale d''Achat]]*(1+5%)</f>
        <v>0</v>
      </c>
      <c r="I33" s="57">
        <f>Tableau1[[#This Row],[Centrale d''Achat]]*(1+20%)</f>
        <v>0</v>
      </c>
      <c r="J33" s="59">
        <f>SUMIF(Tableau8[Nr article],Tableau1[[#This Row],[Nr article]],Tableau8[Quantité :])-SUMIF(Tableau4[Nr article],Tableau1[[#This Row],[Nr article]],Tableau4[Nombre])</f>
        <v>0</v>
      </c>
    </row>
    <row r="34" spans="2:10" s="5" customFormat="1" x14ac:dyDescent="0.25">
      <c r="B34" s="26" t="s">
        <v>115</v>
      </c>
      <c r="C34" s="58" t="s">
        <v>167</v>
      </c>
      <c r="D34" s="58" t="s">
        <v>191</v>
      </c>
      <c r="E34" s="56"/>
      <c r="F34" s="59" t="str">
        <f t="shared" si="1"/>
        <v>article!$E$34</v>
      </c>
      <c r="G34" s="57">
        <v>11</v>
      </c>
      <c r="H34" s="57">
        <f>Tableau1[[#This Row],[Centrale d''Achat]]*(1+5%)</f>
        <v>11.55</v>
      </c>
      <c r="I34" s="57">
        <f>Tableau1[[#This Row],[Centrale d''Achat]]*(1+20%)</f>
        <v>13.2</v>
      </c>
      <c r="J34" s="59">
        <f>SUMIF(Tableau8[Nr article],Tableau1[[#This Row],[Nr article]],Tableau8[Quantité :])-SUMIF(Tableau4[Nr article],Tableau1[[#This Row],[Nr article]],Tableau4[Nombre])</f>
        <v>0</v>
      </c>
    </row>
    <row r="35" spans="2:10" s="5" customFormat="1" x14ac:dyDescent="0.25">
      <c r="B35" s="26" t="s">
        <v>116</v>
      </c>
      <c r="C35" s="55" t="s">
        <v>168</v>
      </c>
      <c r="D35" s="55" t="s">
        <v>190</v>
      </c>
      <c r="E35" s="56"/>
      <c r="F35" s="59" t="str">
        <f t="shared" si="1"/>
        <v>article!$E$35</v>
      </c>
      <c r="G35" s="57"/>
      <c r="H35" s="57">
        <f>Tableau1[[#This Row],[Centrale d''Achat]]*(1+5%)</f>
        <v>0</v>
      </c>
      <c r="I35" s="57">
        <f>Tableau1[[#This Row],[Centrale d''Achat]]*(1+20%)</f>
        <v>0</v>
      </c>
      <c r="J35" s="59">
        <f>SUMIF(Tableau8[Nr article],Tableau1[[#This Row],[Nr article]],Tableau8[Quantité :])-SUMIF(Tableau4[Nr article],Tableau1[[#This Row],[Nr article]],Tableau4[Nombre])</f>
        <v>0</v>
      </c>
    </row>
    <row r="36" spans="2:10" s="5" customFormat="1" x14ac:dyDescent="0.25">
      <c r="B36" s="26" t="s">
        <v>117</v>
      </c>
      <c r="C36" s="58" t="s">
        <v>169</v>
      </c>
      <c r="D36" s="58" t="s">
        <v>191</v>
      </c>
      <c r="E36" s="56"/>
      <c r="F36" s="59" t="str">
        <f t="shared" si="1"/>
        <v>article!$E$36</v>
      </c>
      <c r="G36" s="57">
        <v>3.15</v>
      </c>
      <c r="H36" s="57">
        <f>Tableau1[[#This Row],[Centrale d''Achat]]*(1+5%)</f>
        <v>3.3075000000000001</v>
      </c>
      <c r="I36" s="57">
        <f>Tableau1[[#This Row],[Centrale d''Achat]]*(1+20%)</f>
        <v>3.78</v>
      </c>
      <c r="J36" s="59">
        <f>SUMIF(Tableau8[Nr article],Tableau1[[#This Row],[Nr article]],Tableau8[Quantité :])-SUMIF(Tableau4[Nr article],Tableau1[[#This Row],[Nr article]],Tableau4[Nombre])</f>
        <v>0</v>
      </c>
    </row>
    <row r="37" spans="2:10" s="5" customFormat="1" x14ac:dyDescent="0.25">
      <c r="B37" s="26" t="s">
        <v>118</v>
      </c>
      <c r="C37" s="55" t="s">
        <v>170</v>
      </c>
      <c r="D37" s="55" t="s">
        <v>190</v>
      </c>
      <c r="E37" s="56"/>
      <c r="F37" s="59" t="str">
        <f t="shared" si="1"/>
        <v>article!$E$37</v>
      </c>
      <c r="G37" s="57"/>
      <c r="H37" s="57">
        <f>Tableau1[[#This Row],[Centrale d''Achat]]*(1+5%)</f>
        <v>0</v>
      </c>
      <c r="I37" s="57">
        <f>Tableau1[[#This Row],[Centrale d''Achat]]*(1+20%)</f>
        <v>0</v>
      </c>
      <c r="J37" s="59">
        <f>SUMIF(Tableau8[Nr article],Tableau1[[#This Row],[Nr article]],Tableau8[Quantité :])-SUMIF(Tableau4[Nr article],Tableau1[[#This Row],[Nr article]],Tableau4[Nombre])</f>
        <v>0</v>
      </c>
    </row>
    <row r="38" spans="2:10" s="5" customFormat="1" x14ac:dyDescent="0.25">
      <c r="B38" s="26" t="s">
        <v>119</v>
      </c>
      <c r="C38" s="58" t="s">
        <v>171</v>
      </c>
      <c r="D38" s="58" t="s">
        <v>191</v>
      </c>
      <c r="E38" s="56"/>
      <c r="F38" s="59" t="str">
        <f t="shared" si="1"/>
        <v>article!$E$38</v>
      </c>
      <c r="G38" s="57">
        <v>4.3</v>
      </c>
      <c r="H38" s="57">
        <f>Tableau1[[#This Row],[Centrale d''Achat]]*(1+5%)</f>
        <v>4.5149999999999997</v>
      </c>
      <c r="I38" s="57">
        <f>Tableau1[[#This Row],[Centrale d''Achat]]*(1+20%)</f>
        <v>5.1599999999999993</v>
      </c>
      <c r="J38" s="59">
        <f>SUMIF(Tableau8[Nr article],Tableau1[[#This Row],[Nr article]],Tableau8[Quantité :])-SUMIF(Tableau4[Nr article],Tableau1[[#This Row],[Nr article]],Tableau4[Nombre])</f>
        <v>0</v>
      </c>
    </row>
    <row r="39" spans="2:10" s="5" customFormat="1" x14ac:dyDescent="0.25">
      <c r="B39" s="26" t="s">
        <v>197</v>
      </c>
      <c r="C39" s="58" t="s">
        <v>222</v>
      </c>
      <c r="D39" s="58" t="s">
        <v>191</v>
      </c>
      <c r="E39" s="56"/>
      <c r="F39" s="59" t="str">
        <f>"article!"&amp;ADDRESS(ROW(E39),COLUMN(E39))</f>
        <v>article!$E$39</v>
      </c>
      <c r="G39" s="57">
        <v>18.5</v>
      </c>
      <c r="H39" s="57">
        <f>Tableau1[[#This Row],[Centrale d''Achat]]*(1+5%)</f>
        <v>19.425000000000001</v>
      </c>
      <c r="I39" s="57">
        <f>Tableau1[[#This Row],[Centrale d''Achat]]*(1+20%)</f>
        <v>22.2</v>
      </c>
      <c r="J39" s="59">
        <f>SUMIF(Tableau8[Nr article],Tableau1[[#This Row],[Nr article]],Tableau8[Quantité :])-SUMIF(Tableau4[Nr article],Tableau1[[#This Row],[Nr article]],Tableau4[Nombre])</f>
        <v>0</v>
      </c>
    </row>
    <row r="40" spans="2:10" s="5" customFormat="1" x14ac:dyDescent="0.25">
      <c r="B40" s="26" t="s">
        <v>120</v>
      </c>
      <c r="C40" s="55" t="s">
        <v>172</v>
      </c>
      <c r="D40" s="55" t="s">
        <v>190</v>
      </c>
      <c r="E40" s="56"/>
      <c r="F40" s="59" t="str">
        <f t="shared" si="1"/>
        <v>article!$E$40</v>
      </c>
      <c r="G40" s="57"/>
      <c r="H40" s="57">
        <f>Tableau1[[#This Row],[Centrale d''Achat]]*(1+5%)</f>
        <v>0</v>
      </c>
      <c r="I40" s="57">
        <f>Tableau1[[#This Row],[Centrale d''Achat]]*(1+20%)</f>
        <v>0</v>
      </c>
      <c r="J40" s="59">
        <f>SUMIF(Tableau8[Nr article],Tableau1[[#This Row],[Nr article]],Tableau8[Quantité :])-SUMIF(Tableau4[Nr article],Tableau1[[#This Row],[Nr article]],Tableau4[Nombre])</f>
        <v>314</v>
      </c>
    </row>
    <row r="41" spans="2:10" s="5" customFormat="1" x14ac:dyDescent="0.25">
      <c r="B41" s="26" t="s">
        <v>121</v>
      </c>
      <c r="C41" s="58" t="s">
        <v>173</v>
      </c>
      <c r="D41" s="58" t="s">
        <v>191</v>
      </c>
      <c r="E41" s="56"/>
      <c r="F41" s="59" t="str">
        <f t="shared" si="1"/>
        <v>article!$E$41</v>
      </c>
      <c r="G41" s="57">
        <v>5.4</v>
      </c>
      <c r="H41" s="57">
        <f>Tableau1[[#This Row],[Centrale d''Achat]]*(1+5%)</f>
        <v>5.6700000000000008</v>
      </c>
      <c r="I41" s="57">
        <f>Tableau1[[#This Row],[Centrale d''Achat]]*(1+20%)</f>
        <v>6.48</v>
      </c>
      <c r="J41" s="59">
        <f>SUMIF(Tableau8[Nr article],Tableau1[[#This Row],[Nr article]],Tableau8[Quantité :])-SUMIF(Tableau4[Nr article],Tableau1[[#This Row],[Nr article]],Tableau4[Nombre])</f>
        <v>0</v>
      </c>
    </row>
    <row r="42" spans="2:10" s="5" customFormat="1" x14ac:dyDescent="0.25">
      <c r="B42" s="26" t="s">
        <v>122</v>
      </c>
      <c r="C42" s="55" t="s">
        <v>174</v>
      </c>
      <c r="D42" s="55" t="s">
        <v>190</v>
      </c>
      <c r="E42" s="56"/>
      <c r="F42" s="59" t="str">
        <f t="shared" si="1"/>
        <v>article!$E$42</v>
      </c>
      <c r="G42" s="57"/>
      <c r="H42" s="57">
        <f>Tableau1[[#This Row],[Centrale d''Achat]]*(1+5%)</f>
        <v>0</v>
      </c>
      <c r="I42" s="57">
        <f>Tableau1[[#This Row],[Centrale d''Achat]]*(1+20%)</f>
        <v>0</v>
      </c>
      <c r="J42" s="59">
        <f>SUMIF(Tableau8[Nr article],Tableau1[[#This Row],[Nr article]],Tableau8[Quantité :])-SUMIF(Tableau4[Nr article],Tableau1[[#This Row],[Nr article]],Tableau4[Nombre])</f>
        <v>0</v>
      </c>
    </row>
    <row r="43" spans="2:10" s="5" customFormat="1" x14ac:dyDescent="0.25">
      <c r="B43" s="26" t="s">
        <v>123</v>
      </c>
      <c r="C43" s="58" t="s">
        <v>175</v>
      </c>
      <c r="D43" s="58" t="s">
        <v>191</v>
      </c>
      <c r="E43" s="56"/>
      <c r="F43" s="59" t="str">
        <f t="shared" si="1"/>
        <v>article!$E$43</v>
      </c>
      <c r="G43" s="57">
        <v>27.15</v>
      </c>
      <c r="H43" s="57">
        <f>Tableau1[[#This Row],[Centrale d''Achat]]*(1+5%)</f>
        <v>28.5075</v>
      </c>
      <c r="I43" s="57">
        <f>Tableau1[[#This Row],[Centrale d''Achat]]*(1+20%)</f>
        <v>32.58</v>
      </c>
      <c r="J43" s="59">
        <f>SUMIF(Tableau8[Nr article],Tableau1[[#This Row],[Nr article]],Tableau8[Quantité :])-SUMIF(Tableau4[Nr article],Tableau1[[#This Row],[Nr article]],Tableau4[Nombre])</f>
        <v>0</v>
      </c>
    </row>
    <row r="44" spans="2:10" s="5" customFormat="1" x14ac:dyDescent="0.25">
      <c r="B44" s="26" t="s">
        <v>124</v>
      </c>
      <c r="C44" s="55" t="s">
        <v>176</v>
      </c>
      <c r="D44" s="55" t="s">
        <v>190</v>
      </c>
      <c r="E44" s="56"/>
      <c r="F44" s="59" t="str">
        <f t="shared" si="1"/>
        <v>article!$E$44</v>
      </c>
      <c r="G44" s="57"/>
      <c r="H44" s="57">
        <f>Tableau1[[#This Row],[Centrale d''Achat]]*(1+5%)</f>
        <v>0</v>
      </c>
      <c r="I44" s="57">
        <f>Tableau1[[#This Row],[Centrale d''Achat]]*(1+20%)</f>
        <v>0</v>
      </c>
      <c r="J44" s="59">
        <f>SUMIF(Tableau8[Nr article],Tableau1[[#This Row],[Nr article]],Tableau8[Quantité :])-SUMIF(Tableau4[Nr article],Tableau1[[#This Row],[Nr article]],Tableau4[Nombre])</f>
        <v>160</v>
      </c>
    </row>
    <row r="45" spans="2:10" s="5" customFormat="1" x14ac:dyDescent="0.25">
      <c r="B45" s="26" t="s">
        <v>125</v>
      </c>
      <c r="C45" s="58" t="s">
        <v>177</v>
      </c>
      <c r="D45" s="58" t="s">
        <v>191</v>
      </c>
      <c r="E45" s="56"/>
      <c r="F45" s="59" t="str">
        <f t="shared" si="1"/>
        <v>article!$E$45</v>
      </c>
      <c r="G45" s="57">
        <v>3.9</v>
      </c>
      <c r="H45" s="57">
        <f>Tableau1[[#This Row],[Centrale d''Achat]]*(1+5%)</f>
        <v>4.0949999999999998</v>
      </c>
      <c r="I45" s="57">
        <f>Tableau1[[#This Row],[Centrale d''Achat]]*(1+20%)</f>
        <v>4.68</v>
      </c>
      <c r="J45" s="59">
        <f>SUMIF(Tableau8[Nr article],Tableau1[[#This Row],[Nr article]],Tableau8[Quantité :])-SUMIF(Tableau4[Nr article],Tableau1[[#This Row],[Nr article]],Tableau4[Nombre])</f>
        <v>7</v>
      </c>
    </row>
    <row r="46" spans="2:10" s="5" customFormat="1" x14ac:dyDescent="0.25">
      <c r="B46" s="26" t="s">
        <v>126</v>
      </c>
      <c r="C46" s="55" t="s">
        <v>178</v>
      </c>
      <c r="D46" s="55" t="s">
        <v>190</v>
      </c>
      <c r="E46" s="56"/>
      <c r="F46" s="59" t="str">
        <f t="shared" si="1"/>
        <v>article!$E$46</v>
      </c>
      <c r="G46" s="57"/>
      <c r="H46" s="57">
        <f>Tableau1[[#This Row],[Centrale d''Achat]]*(1+5%)</f>
        <v>0</v>
      </c>
      <c r="I46" s="57">
        <f>Tableau1[[#This Row],[Centrale d''Achat]]*(1+20%)</f>
        <v>0</v>
      </c>
      <c r="J46" s="59">
        <f>SUMIF(Tableau8[Nr article],Tableau1[[#This Row],[Nr article]],Tableau8[Quantité :])-SUMIF(Tableau4[Nr article],Tableau1[[#This Row],[Nr article]],Tableau4[Nombre])</f>
        <v>0</v>
      </c>
    </row>
    <row r="47" spans="2:10" s="5" customFormat="1" x14ac:dyDescent="0.25">
      <c r="B47" s="26" t="s">
        <v>127</v>
      </c>
      <c r="C47" s="58" t="s">
        <v>179</v>
      </c>
      <c r="D47" s="58" t="s">
        <v>191</v>
      </c>
      <c r="E47" s="56"/>
      <c r="F47" s="59" t="str">
        <f t="shared" si="1"/>
        <v>article!$E$47</v>
      </c>
      <c r="G47" s="57"/>
      <c r="H47" s="57">
        <f>Tableau1[[#This Row],[Centrale d''Achat]]*(1+5%)</f>
        <v>0</v>
      </c>
      <c r="I47" s="57">
        <f>Tableau1[[#This Row],[Centrale d''Achat]]*(1+20%)</f>
        <v>0</v>
      </c>
      <c r="J47" s="59">
        <f>SUMIF(Tableau8[Nr article],Tableau1[[#This Row],[Nr article]],Tableau8[Quantité :])-SUMIF(Tableau4[Nr article],Tableau1[[#This Row],[Nr article]],Tableau4[Nombre])</f>
        <v>0</v>
      </c>
    </row>
    <row r="48" spans="2:10" s="5" customFormat="1" x14ac:dyDescent="0.25">
      <c r="B48" s="26" t="s">
        <v>128</v>
      </c>
      <c r="C48" s="55" t="s">
        <v>180</v>
      </c>
      <c r="D48" s="55" t="s">
        <v>190</v>
      </c>
      <c r="E48" s="56"/>
      <c r="F48" s="59" t="str">
        <f t="shared" si="1"/>
        <v>article!$E$48</v>
      </c>
      <c r="G48" s="57"/>
      <c r="H48" s="57">
        <f>Tableau1[[#This Row],[Centrale d''Achat]]*(1+5%)</f>
        <v>0</v>
      </c>
      <c r="I48" s="57">
        <f>Tableau1[[#This Row],[Centrale d''Achat]]*(1+20%)</f>
        <v>0</v>
      </c>
      <c r="J48" s="59">
        <f>SUMIF(Tableau8[Nr article],Tableau1[[#This Row],[Nr article]],Tableau8[Quantité :])-SUMIF(Tableau4[Nr article],Tableau1[[#This Row],[Nr article]],Tableau4[Nombre])</f>
        <v>0</v>
      </c>
    </row>
    <row r="49" spans="2:10" s="5" customFormat="1" x14ac:dyDescent="0.25">
      <c r="B49" s="26" t="s">
        <v>129</v>
      </c>
      <c r="C49" s="58" t="s">
        <v>181</v>
      </c>
      <c r="D49" s="58" t="s">
        <v>191</v>
      </c>
      <c r="E49" s="56"/>
      <c r="F49" s="59" t="str">
        <f t="shared" si="1"/>
        <v>article!$E$49</v>
      </c>
      <c r="G49" s="57"/>
      <c r="H49" s="57">
        <f>Tableau1[[#This Row],[Centrale d''Achat]]*(1+5%)</f>
        <v>0</v>
      </c>
      <c r="I49" s="57">
        <f>Tableau1[[#This Row],[Centrale d''Achat]]*(1+20%)</f>
        <v>0</v>
      </c>
      <c r="J49" s="59">
        <f>SUMIF(Tableau8[Nr article],Tableau1[[#This Row],[Nr article]],Tableau8[Quantité :])-SUMIF(Tableau4[Nr article],Tableau1[[#This Row],[Nr article]],Tableau4[Nombre])</f>
        <v>0</v>
      </c>
    </row>
    <row r="50" spans="2:10" s="5" customFormat="1" x14ac:dyDescent="0.25">
      <c r="B50" s="26" t="s">
        <v>130</v>
      </c>
      <c r="C50" s="55" t="s">
        <v>182</v>
      </c>
      <c r="D50" s="55" t="s">
        <v>190</v>
      </c>
      <c r="E50" s="56"/>
      <c r="F50" s="59" t="str">
        <f t="shared" si="1"/>
        <v>article!$E$50</v>
      </c>
      <c r="G50" s="57"/>
      <c r="H50" s="57">
        <f>Tableau1[[#This Row],[Centrale d''Achat]]*(1+5%)</f>
        <v>0</v>
      </c>
      <c r="I50" s="57">
        <f>Tableau1[[#This Row],[Centrale d''Achat]]*(1+20%)</f>
        <v>0</v>
      </c>
      <c r="J50" s="59">
        <f>SUMIF(Tableau8[Nr article],Tableau1[[#This Row],[Nr article]],Tableau8[Quantité :])-SUMIF(Tableau4[Nr article],Tableau1[[#This Row],[Nr article]],Tableau4[Nombre])</f>
        <v>0</v>
      </c>
    </row>
    <row r="51" spans="2:10" s="5" customFormat="1" x14ac:dyDescent="0.25">
      <c r="B51" s="26" t="s">
        <v>131</v>
      </c>
      <c r="C51" s="58" t="s">
        <v>183</v>
      </c>
      <c r="D51" s="58" t="s">
        <v>192</v>
      </c>
      <c r="E51" s="56"/>
      <c r="F51" s="59" t="str">
        <f t="shared" si="1"/>
        <v>article!$E$51</v>
      </c>
      <c r="G51" s="57">
        <v>500</v>
      </c>
      <c r="H51" s="57">
        <f>Tableau1[[#This Row],[Centrale d''Achat]]*(1+5%)</f>
        <v>525</v>
      </c>
      <c r="I51" s="57">
        <f>Tableau1[[#This Row],[Centrale d''Achat]]*(1+20%)</f>
        <v>600</v>
      </c>
      <c r="J51" s="59">
        <f>SUMIF(Tableau8[Nr article],Tableau1[[#This Row],[Nr article]],Tableau8[Quantité :])-SUMIF(Tableau4[Nr article],Tableau1[[#This Row],[Nr article]],Tableau4[Nombre])</f>
        <v>-5</v>
      </c>
    </row>
    <row r="52" spans="2:10" s="5" customFormat="1" x14ac:dyDescent="0.25">
      <c r="B52" s="26" t="s">
        <v>132</v>
      </c>
      <c r="C52" s="55" t="s">
        <v>184</v>
      </c>
      <c r="D52" s="55" t="s">
        <v>190</v>
      </c>
      <c r="E52" s="56"/>
      <c r="F52" s="59" t="str">
        <f t="shared" si="1"/>
        <v>article!$E$52</v>
      </c>
      <c r="G52" s="57"/>
      <c r="H52" s="57">
        <f>Tableau1[[#This Row],[Centrale d''Achat]]*(1+5%)</f>
        <v>0</v>
      </c>
      <c r="I52" s="57">
        <f>Tableau1[[#This Row],[Centrale d''Achat]]*(1+20%)</f>
        <v>0</v>
      </c>
      <c r="J52" s="59">
        <f>SUMIF(Tableau8[Nr article],Tableau1[[#This Row],[Nr article]],Tableau8[Quantité :])-SUMIF(Tableau4[Nr article],Tableau1[[#This Row],[Nr article]],Tableau4[Nombre])</f>
        <v>0</v>
      </c>
    </row>
    <row r="53" spans="2:10" s="5" customFormat="1" x14ac:dyDescent="0.25">
      <c r="B53" s="26" t="s">
        <v>133</v>
      </c>
      <c r="C53" s="58" t="s">
        <v>185</v>
      </c>
      <c r="D53" s="58" t="s">
        <v>191</v>
      </c>
      <c r="E53" s="56"/>
      <c r="F53" s="59" t="str">
        <f t="shared" si="1"/>
        <v>article!$E$53</v>
      </c>
      <c r="G53" s="57">
        <v>4</v>
      </c>
      <c r="H53" s="57">
        <f>Tableau1[[#This Row],[Centrale d''Achat]]*(1+5%)</f>
        <v>4.2</v>
      </c>
      <c r="I53" s="57">
        <f>Tableau1[[#This Row],[Centrale d''Achat]]*(1+20%)</f>
        <v>4.8</v>
      </c>
      <c r="J53" s="59">
        <f>SUMIF(Tableau8[Nr article],Tableau1[[#This Row],[Nr article]],Tableau8[Quantité :])-SUMIF(Tableau4[Nr article],Tableau1[[#This Row],[Nr article]],Tableau4[Nombre])</f>
        <v>0</v>
      </c>
    </row>
    <row r="54" spans="2:10" s="5" customFormat="1" x14ac:dyDescent="0.25">
      <c r="B54" s="26" t="s">
        <v>198</v>
      </c>
      <c r="C54" s="58" t="s">
        <v>220</v>
      </c>
      <c r="D54" s="58" t="s">
        <v>191</v>
      </c>
      <c r="E54" s="56"/>
      <c r="F54" s="59" t="str">
        <f>"article!"&amp;ADDRESS(ROW(E54),COLUMN(E54))</f>
        <v>article!$E$54</v>
      </c>
      <c r="G54" s="57">
        <v>12.3</v>
      </c>
      <c r="H54" s="57">
        <f>Tableau1[[#This Row],[Centrale d''Achat]]*(1+5%)</f>
        <v>12.915000000000001</v>
      </c>
      <c r="I54" s="57">
        <f>Tableau1[[#This Row],[Centrale d''Achat]]*(1+20%)</f>
        <v>14.76</v>
      </c>
      <c r="J54" s="59">
        <f>SUMIF(Tableau8[Nr article],Tableau1[[#This Row],[Nr article]],Tableau8[Quantité :])-SUMIF(Tableau4[Nr article],Tableau1[[#This Row],[Nr article]],Tableau4[Nombre])</f>
        <v>0</v>
      </c>
    </row>
    <row r="55" spans="2:10" s="5" customFormat="1" x14ac:dyDescent="0.25">
      <c r="B55" s="26" t="s">
        <v>199</v>
      </c>
      <c r="C55" s="58" t="s">
        <v>221</v>
      </c>
      <c r="D55" s="58" t="s">
        <v>191</v>
      </c>
      <c r="E55" s="56"/>
      <c r="F55" s="59" t="str">
        <f>"article!"&amp;ADDRESS(ROW(E55),COLUMN(E55))</f>
        <v>article!$E$55</v>
      </c>
      <c r="G55" s="57">
        <v>31.5</v>
      </c>
      <c r="H55" s="57">
        <f>Tableau1[[#This Row],[Centrale d''Achat]]*(1+5%)</f>
        <v>33.075000000000003</v>
      </c>
      <c r="I55" s="57">
        <f>Tableau1[[#This Row],[Centrale d''Achat]]*(1+20%)</f>
        <v>37.799999999999997</v>
      </c>
      <c r="J55" s="59">
        <f>SUMIF(Tableau8[Nr article],Tableau1[[#This Row],[Nr article]],Tableau8[Quantité :])-SUMIF(Tableau4[Nr article],Tableau1[[#This Row],[Nr article]],Tableau4[Nombre])</f>
        <v>0</v>
      </c>
    </row>
    <row r="56" spans="2:10" s="5" customFormat="1" x14ac:dyDescent="0.25">
      <c r="B56" s="26" t="s">
        <v>134</v>
      </c>
      <c r="C56" s="26" t="s">
        <v>186</v>
      </c>
      <c r="D56" s="26" t="s">
        <v>193</v>
      </c>
      <c r="E56" s="56"/>
      <c r="F56" s="59" t="str">
        <f t="shared" si="1"/>
        <v>article!$E$56</v>
      </c>
      <c r="G56" s="57"/>
      <c r="H56" s="57">
        <f>Tableau1[[#This Row],[Centrale d''Achat]]*(1+5%)</f>
        <v>0</v>
      </c>
      <c r="I56" s="57">
        <f>Tableau1[[#This Row],[Centrale d''Achat]]*(1+20%)</f>
        <v>0</v>
      </c>
      <c r="J56" s="59">
        <f>SUMIF(Tableau8[Nr article],Tableau1[[#This Row],[Nr article]],Tableau8[Quantité :])-SUMIF(Tableau4[Nr article],Tableau1[[#This Row],[Nr article]],Tableau4[Nombre])</f>
        <v>2567</v>
      </c>
    </row>
    <row r="57" spans="2:10" s="5" customFormat="1" x14ac:dyDescent="0.25">
      <c r="B57" s="26" t="s">
        <v>135</v>
      </c>
      <c r="C57" s="26" t="s">
        <v>187</v>
      </c>
      <c r="D57" s="58" t="s">
        <v>191</v>
      </c>
      <c r="E57" s="56"/>
      <c r="F57" s="59" t="str">
        <f t="shared" si="1"/>
        <v>article!$E$57</v>
      </c>
      <c r="G57" s="57"/>
      <c r="H57" s="57">
        <f>Tableau1[[#This Row],[Centrale d''Achat]]*(1+5%)</f>
        <v>0</v>
      </c>
      <c r="I57" s="57">
        <f>Tableau1[[#This Row],[Centrale d''Achat]]*(1+20%)</f>
        <v>0</v>
      </c>
      <c r="J57" s="59">
        <f>SUMIF(Tableau8[Nr article],Tableau1[[#This Row],[Nr article]],Tableau8[Quantité :])-SUMIF(Tableau4[Nr article],Tableau1[[#This Row],[Nr article]],Tableau4[Nombre])</f>
        <v>0</v>
      </c>
    </row>
    <row r="58" spans="2:10" s="5" customFormat="1" x14ac:dyDescent="0.25">
      <c r="B58" s="26" t="s">
        <v>136</v>
      </c>
      <c r="C58" s="26" t="s">
        <v>188</v>
      </c>
      <c r="D58" s="55" t="s">
        <v>190</v>
      </c>
      <c r="E58" s="56"/>
      <c r="F58" s="59" t="str">
        <f t="shared" si="1"/>
        <v>article!$E$58</v>
      </c>
      <c r="G58" s="57"/>
      <c r="H58" s="57">
        <f>Tableau1[[#This Row],[Centrale d''Achat]]*(1+5%)</f>
        <v>0</v>
      </c>
      <c r="I58" s="57">
        <f>Tableau1[[#This Row],[Centrale d''Achat]]*(1+20%)</f>
        <v>0</v>
      </c>
      <c r="J58" s="59">
        <f>SUMIF(Tableau8[Nr article],Tableau1[[#This Row],[Nr article]],Tableau8[Quantité :])-SUMIF(Tableau4[Nr article],Tableau1[[#This Row],[Nr article]],Tableau4[Nombre])</f>
        <v>106</v>
      </c>
    </row>
    <row r="59" spans="2:10" s="5" customFormat="1" x14ac:dyDescent="0.25">
      <c r="B59" s="26" t="s">
        <v>137</v>
      </c>
      <c r="C59" s="26" t="s">
        <v>189</v>
      </c>
      <c r="D59" s="58" t="s">
        <v>191</v>
      </c>
      <c r="E59" s="56"/>
      <c r="F59" s="59" t="str">
        <f t="shared" si="1"/>
        <v>article!$E$59</v>
      </c>
      <c r="G59" s="57"/>
      <c r="H59" s="57">
        <f>Tableau1[[#This Row],[Centrale d''Achat]]*(1+5%)</f>
        <v>0</v>
      </c>
      <c r="I59" s="57">
        <f>Tableau1[[#This Row],[Centrale d''Achat]]*(1+20%)</f>
        <v>0</v>
      </c>
      <c r="J59" s="59">
        <f>SUMIF(Tableau8[Nr article],Tableau1[[#This Row],[Nr article]],Tableau8[Quantité :])-SUMIF(Tableau4[Nr article],Tableau1[[#This Row],[Nr article]],Tableau4[Nombre])</f>
        <v>80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10"/>
  <sheetViews>
    <sheetView topLeftCell="A2" zoomScale="98" zoomScaleNormal="98" workbookViewId="0">
      <selection activeCell="R5" sqref="R5"/>
    </sheetView>
  </sheetViews>
  <sheetFormatPr baseColWidth="10" defaultRowHeight="15.75" x14ac:dyDescent="0.25"/>
  <cols>
    <col min="1" max="1" width="1.7109375" style="5" customWidth="1"/>
    <col min="2" max="2" width="17.28515625" style="6" customWidth="1"/>
    <col min="3" max="3" width="23.140625" style="6" bestFit="1" customWidth="1"/>
    <col min="4" max="4" width="21.42578125" style="6" bestFit="1" customWidth="1"/>
    <col min="5" max="8" width="17.28515625" style="6" customWidth="1"/>
    <col min="9" max="9" width="43.7109375" style="6" bestFit="1" customWidth="1"/>
    <col min="10" max="10" width="17.28515625" style="6" customWidth="1"/>
    <col min="11" max="11" width="17.28515625" style="6" hidden="1" customWidth="1"/>
    <col min="12" max="16" width="5.28515625" style="6" customWidth="1"/>
    <col min="17" max="17" width="37.85546875" style="6" customWidth="1"/>
    <col min="18" max="16384" width="11.42578125" style="5"/>
  </cols>
  <sheetData>
    <row r="1" spans="2:18" ht="86.25" customHeight="1" x14ac:dyDescent="0.25"/>
    <row r="3" spans="2:18" ht="24" customHeight="1" x14ac:dyDescent="0.25">
      <c r="B3" s="6" t="s">
        <v>6</v>
      </c>
      <c r="C3" s="6" t="s">
        <v>1</v>
      </c>
      <c r="D3" s="6" t="s">
        <v>261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54</v>
      </c>
      <c r="K3" s="6" t="s">
        <v>12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18</v>
      </c>
      <c r="Q3" s="6" t="s">
        <v>13</v>
      </c>
      <c r="R3" s="6" t="s">
        <v>249</v>
      </c>
    </row>
    <row r="4" spans="2:18" ht="94.5" x14ac:dyDescent="0.25">
      <c r="B4" s="43">
        <v>10205</v>
      </c>
      <c r="C4" s="44" t="s">
        <v>262</v>
      </c>
      <c r="D4" s="44" t="s">
        <v>264</v>
      </c>
      <c r="E4" s="44"/>
      <c r="F4" s="43" t="s">
        <v>265</v>
      </c>
      <c r="G4" s="43" t="s">
        <v>263</v>
      </c>
      <c r="H4" s="45" t="s">
        <v>24</v>
      </c>
      <c r="I4" s="45" t="s">
        <v>25</v>
      </c>
      <c r="J4" s="46" t="str">
        <f>IFERROR(COUNTIFS([5]suivi_facture!C4:C4,[5]!Tableau2[[#This Row],[Nr client]],[5]suivi_facture!J4:J4,0),"")</f>
        <v/>
      </c>
      <c r="K4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4" s="43" t="str">
        <f>IFERROR(IF($K4&gt;=1,1,""),"")</f>
        <v/>
      </c>
      <c r="M4" s="43" t="str">
        <f>IFERROR(IF($K4&gt;=2,1,""),"")</f>
        <v/>
      </c>
      <c r="N4" s="43" t="str">
        <f>IFERROR(IF($K4&gt;=3,1,""),"")</f>
        <v/>
      </c>
      <c r="O4" s="43" t="str">
        <f>IFERROR(IF($K4&gt;=4,1,""),"")</f>
        <v/>
      </c>
      <c r="P4" s="43" t="str">
        <f>IFERROR(IF($K4&gt;=5,1,""),"")</f>
        <v/>
      </c>
      <c r="Q4" s="47" t="str">
        <f>CONCATENATE(C4,CHAR(10),D4,CHAR(10),E4," - ",F4,CHAR(10),G4,CHAR(10),H4,CHAR(10),I4)</f>
        <v>Diallo ali
gesco
 - yop
Abidjan
vmarcus@came-benin.bj
+22921333674 - +22996864672</v>
      </c>
      <c r="R4" s="43" t="s">
        <v>266</v>
      </c>
    </row>
    <row r="5" spans="2:18" ht="94.5" x14ac:dyDescent="0.25">
      <c r="B5" s="43">
        <v>11551</v>
      </c>
      <c r="C5" s="48" t="s">
        <v>200</v>
      </c>
      <c r="D5" s="49" t="s">
        <v>201</v>
      </c>
      <c r="E5" s="47" t="s">
        <v>202</v>
      </c>
      <c r="F5" s="43" t="s">
        <v>203</v>
      </c>
      <c r="G5" s="43" t="s">
        <v>204</v>
      </c>
      <c r="H5" s="43"/>
      <c r="I5" s="49" t="s">
        <v>205</v>
      </c>
      <c r="J5" s="43" t="str">
        <f>IFERROR(COUNTIFS([5]suivi_facture!C5:C5,[5]!Tableau2[[#This Row],[Nr client]],[5]suivi_facture!J5:J5,0),"")</f>
        <v/>
      </c>
      <c r="K5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5" s="43" t="str">
        <f t="shared" ref="L5:L10" si="0">IFERROR(IF($K5&gt;=1,1,""),"")</f>
        <v/>
      </c>
      <c r="M5" s="43" t="str">
        <f t="shared" ref="M5:M10" si="1">IFERROR(IF($K5&gt;=2,1,""),"")</f>
        <v/>
      </c>
      <c r="N5" s="43" t="str">
        <f t="shared" ref="N5:N10" si="2">IFERROR(IF($K5&gt;=3,1,""),"")</f>
        <v/>
      </c>
      <c r="O5" s="43" t="str">
        <f t="shared" ref="O5:O10" si="3">IFERROR(IF($K5&gt;=4,1,""),"")</f>
        <v/>
      </c>
      <c r="P5" s="43" t="str">
        <f t="shared" ref="P5:P10" si="4">IFERROR(IF($K5&gt;=5,1,""),"")</f>
        <v/>
      </c>
      <c r="Q5" s="47" t="str">
        <f t="shared" ref="Q5:Q10" si="5">CONCATENATE(C5,CHAR(10),D5,CHAR(10),E5," - ",F5,CHAR(10),G5,CHAR(10),H5,CHAR(10),I5)</f>
        <v>PHARMASTORE S.A.R.L.
BP : 300 
Docteur LATIF Sani - Maradi
Niger
Tél. : 20 410 257  -  Cel : 96 59 24 54</v>
      </c>
      <c r="R5" s="43" t="s">
        <v>251</v>
      </c>
    </row>
    <row r="6" spans="2:18" ht="157.5" x14ac:dyDescent="0.25">
      <c r="B6" s="43">
        <v>11816</v>
      </c>
      <c r="C6" s="44" t="s">
        <v>19</v>
      </c>
      <c r="D6" s="50" t="s">
        <v>206</v>
      </c>
      <c r="E6" s="43" t="s">
        <v>207</v>
      </c>
      <c r="F6" s="50" t="s">
        <v>208</v>
      </c>
      <c r="G6" s="43" t="s">
        <v>209</v>
      </c>
      <c r="H6" s="43"/>
      <c r="I6" s="43" t="s">
        <v>210</v>
      </c>
      <c r="J6" s="43" t="str">
        <f>IFERROR(COUNTIFS([5]suivi_facture!C6:C6,[5]!Tableau2[[#This Row],[Nr client]],[5]suivi_facture!J6:J6,0),"")</f>
        <v/>
      </c>
      <c r="K6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6" s="43" t="str">
        <f t="shared" si="0"/>
        <v/>
      </c>
      <c r="M6" s="43" t="str">
        <f t="shared" si="1"/>
        <v/>
      </c>
      <c r="N6" s="43" t="str">
        <f t="shared" si="2"/>
        <v/>
      </c>
      <c r="O6" s="43" t="str">
        <f t="shared" si="3"/>
        <v/>
      </c>
      <c r="P6" s="43" t="str">
        <f t="shared" si="4"/>
        <v/>
      </c>
      <c r="Q6" s="47" t="str">
        <f t="shared" si="5"/>
        <v>Societe Togolaise de Medicaments SA
BP 80263
Dr GNASSINGBE Bawizibadi ép. WALLA-AZOUMARO - Lomé, quartier Tokoin Cassablanca, 1978, Boulevard de la Victoire
Togo
Tél. : (228) 22 21 35 01  -  Fax : (228) 22 21 35 28</v>
      </c>
      <c r="R6" s="43" t="s">
        <v>251</v>
      </c>
    </row>
    <row r="7" spans="2:18" ht="110.25" x14ac:dyDescent="0.25">
      <c r="B7" s="43">
        <v>11407</v>
      </c>
      <c r="C7" s="44" t="s">
        <v>20</v>
      </c>
      <c r="D7" s="43" t="s">
        <v>211</v>
      </c>
      <c r="E7" s="43" t="s">
        <v>212</v>
      </c>
      <c r="F7" s="43" t="s">
        <v>213</v>
      </c>
      <c r="G7" s="43" t="s">
        <v>209</v>
      </c>
      <c r="H7" s="43"/>
      <c r="I7" s="51" t="s">
        <v>214</v>
      </c>
      <c r="J7" s="43" t="str">
        <f>IFERROR(COUNTIFS([5]suivi_facture!C7:C7,[5]!Tableau2[[#This Row],[Nr client]],[5]suivi_facture!J7:J7,0),"")</f>
        <v/>
      </c>
      <c r="K7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7" s="43" t="str">
        <f t="shared" si="0"/>
        <v/>
      </c>
      <c r="M7" s="43" t="str">
        <f t="shared" si="1"/>
        <v/>
      </c>
      <c r="N7" s="43" t="str">
        <f t="shared" si="2"/>
        <v/>
      </c>
      <c r="O7" s="43" t="str">
        <f t="shared" si="3"/>
        <v/>
      </c>
      <c r="P7" s="43" t="str">
        <f t="shared" si="4"/>
        <v/>
      </c>
      <c r="Q7" s="47" t="str">
        <f t="shared" si="5"/>
        <v>OCDI
B.P. : 10346
Docteur FANTOHOU - Lomé
Togo
Tél : (228) 22 25 94 29 - Fax : (228) 22 26 12 38</v>
      </c>
      <c r="R7" s="43" t="s">
        <v>251</v>
      </c>
    </row>
    <row r="8" spans="2:18" ht="126" x14ac:dyDescent="0.25">
      <c r="B8" s="43">
        <v>10233</v>
      </c>
      <c r="C8" s="52" t="s">
        <v>215</v>
      </c>
      <c r="D8" s="43"/>
      <c r="E8" s="43" t="s">
        <v>216</v>
      </c>
      <c r="F8" s="43" t="s">
        <v>217</v>
      </c>
      <c r="G8" s="43" t="s">
        <v>22</v>
      </c>
      <c r="H8" s="50" t="s">
        <v>218</v>
      </c>
      <c r="I8" s="50" t="s">
        <v>219</v>
      </c>
      <c r="J8" s="43" t="str">
        <f>IFERROR(COUNTIFS([5]suivi_facture!C8:C8,[5]!Tableau2[[#This Row],[Nr client]],[5]suivi_facture!J8:J8,0),"")</f>
        <v/>
      </c>
      <c r="K8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8" s="43" t="str">
        <f t="shared" si="0"/>
        <v/>
      </c>
      <c r="M8" s="43" t="str">
        <f t="shared" si="1"/>
        <v/>
      </c>
      <c r="N8" s="43" t="str">
        <f t="shared" si="2"/>
        <v/>
      </c>
      <c r="O8" s="43" t="str">
        <f t="shared" si="3"/>
        <v/>
      </c>
      <c r="P8" s="43" t="str">
        <f t="shared" si="4"/>
        <v/>
      </c>
      <c r="Q8" s="47" t="str">
        <f t="shared" si="5"/>
        <v>Hôpital Saint Camille 
M. AHONGBONON Grégoire - Avrankou
Bénin
e-mail : associationsaintcamille@gmail.com
Tél. : 97 72 79 10 - 94 01 03 57</v>
      </c>
      <c r="R8" s="43" t="s">
        <v>251</v>
      </c>
    </row>
    <row r="9" spans="2:18" ht="94.5" x14ac:dyDescent="0.25">
      <c r="B9" s="43">
        <v>6</v>
      </c>
      <c r="C9" s="44" t="s">
        <v>50</v>
      </c>
      <c r="D9" s="43"/>
      <c r="E9" s="43" t="s">
        <v>253</v>
      </c>
      <c r="F9" s="43" t="s">
        <v>23</v>
      </c>
      <c r="G9" s="43" t="s">
        <v>22</v>
      </c>
      <c r="H9" s="43"/>
      <c r="I9" s="43"/>
      <c r="J9" s="43" t="str">
        <f>IFERROR(COUNTIFS([5]suivi_facture!C9:C9,[5]!Tableau2[[#This Row],[Nr client]],[5]suivi_facture!J9:J9,0),"")</f>
        <v/>
      </c>
      <c r="K9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9" s="43" t="str">
        <f t="shared" si="0"/>
        <v/>
      </c>
      <c r="M9" s="43" t="str">
        <f t="shared" si="1"/>
        <v/>
      </c>
      <c r="N9" s="43" t="str">
        <f t="shared" si="2"/>
        <v/>
      </c>
      <c r="O9" s="43" t="str">
        <f t="shared" si="3"/>
        <v/>
      </c>
      <c r="P9" s="43" t="str">
        <f t="shared" si="4"/>
        <v/>
      </c>
      <c r="Q9" s="47" t="str">
        <f t="shared" si="5"/>
        <v xml:space="preserve">Ministère de la Santé
PAASR - Cotonou
Bénin
</v>
      </c>
      <c r="R9" s="43" t="s">
        <v>250</v>
      </c>
    </row>
    <row r="10" spans="2:18" ht="94.5" x14ac:dyDescent="0.25">
      <c r="B10" s="43">
        <v>7</v>
      </c>
      <c r="C10" s="44" t="s">
        <v>21</v>
      </c>
      <c r="D10" s="43"/>
      <c r="E10" s="43"/>
      <c r="F10" s="43"/>
      <c r="G10" s="43"/>
      <c r="H10" s="43"/>
      <c r="I10" s="43"/>
      <c r="J10" s="43" t="str">
        <f>IFERROR(COUNTIFS([5]suivi_facture!C10:C10,[5]!Tableau2[[#This Row],[Nr client]],[5]suivi_facture!J10:J10,0),"")</f>
        <v/>
      </c>
      <c r="K10" s="43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10" s="43" t="str">
        <f t="shared" si="0"/>
        <v/>
      </c>
      <c r="M10" s="43" t="str">
        <f t="shared" si="1"/>
        <v/>
      </c>
      <c r="N10" s="43" t="str">
        <f t="shared" si="2"/>
        <v/>
      </c>
      <c r="O10" s="43" t="str">
        <f t="shared" si="3"/>
        <v/>
      </c>
      <c r="P10" s="43" t="str">
        <f t="shared" si="4"/>
        <v/>
      </c>
      <c r="Q10" s="47" t="str">
        <f t="shared" si="5"/>
        <v xml:space="preserve">Pharmacie ACI
 - 
</v>
      </c>
      <c r="R10" s="43" t="s">
        <v>252</v>
      </c>
    </row>
  </sheetData>
  <hyperlinks>
    <hyperlink ref="H4" r:id="rId1" display="moriabak_01@yahoo.com"/>
  </hyperlinks>
  <pageMargins left="0.7" right="0.7" top="0.75" bottom="0.75" header="0.3" footer="0.3"/>
  <pageSetup paperSize="9" orientation="portrait" verticalDpi="0"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344B03D7-AB21-480C-97F9-468B3BAE36D6}">
            <x14:iconSet iconSet="3Star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L4:P10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B1:I33"/>
  <sheetViews>
    <sheetView zoomScale="80" zoomScaleNormal="80" workbookViewId="0">
      <selection activeCell="H9" sqref="H9"/>
    </sheetView>
  </sheetViews>
  <sheetFormatPr baseColWidth="10" defaultRowHeight="15.75" x14ac:dyDescent="0.25"/>
  <cols>
    <col min="1" max="1" width="1.7109375" style="5" customWidth="1"/>
    <col min="2" max="2" width="15.140625" style="10" customWidth="1"/>
    <col min="3" max="3" width="17.42578125" style="27" customWidth="1"/>
    <col min="4" max="4" width="45.28515625" style="6" customWidth="1"/>
    <col min="5" max="5" width="14.140625" style="6" customWidth="1"/>
    <col min="6" max="6" width="19.140625" style="6" customWidth="1"/>
    <col min="7" max="7" width="12.5703125" style="5" customWidth="1"/>
    <col min="8" max="8" width="15.42578125" style="14" customWidth="1"/>
    <col min="9" max="9" width="17.28515625" style="93" customWidth="1"/>
    <col min="10" max="10" width="11.42578125" style="5"/>
    <col min="11" max="11" width="11.42578125" style="5" customWidth="1"/>
    <col min="12" max="16384" width="11.42578125" style="5"/>
  </cols>
  <sheetData>
    <row r="1" spans="2:9" x14ac:dyDescent="0.25">
      <c r="I1" s="95" t="e">
        <f>MATCH(panier!$C$13,Tableau8[Nr article],0)</f>
        <v>#N/A</v>
      </c>
    </row>
    <row r="2" spans="2:9" ht="16.5" thickBot="1" x14ac:dyDescent="0.3"/>
    <row r="3" spans="2:9" ht="31.5" customHeight="1" thickBot="1" x14ac:dyDescent="0.3">
      <c r="B3" s="28" t="s">
        <v>82</v>
      </c>
      <c r="C3" s="97"/>
      <c r="D3" s="29" t="s">
        <v>83</v>
      </c>
      <c r="E3" s="30"/>
      <c r="F3" s="29" t="s">
        <v>225</v>
      </c>
      <c r="G3" s="30"/>
    </row>
    <row r="4" spans="2:9" ht="27" customHeight="1" thickBot="1" x14ac:dyDescent="0.3">
      <c r="B4" s="31" t="s">
        <v>56</v>
      </c>
      <c r="C4" s="32" t="str">
        <f>IFERROR(INDEX(Tableau1[Nom],MATCH(reception!C3,Tableau1[Nr article],0)),"")</f>
        <v/>
      </c>
      <c r="D4" s="33" t="s">
        <v>223</v>
      </c>
      <c r="E4" s="34"/>
      <c r="F4" s="33" t="s">
        <v>226</v>
      </c>
      <c r="G4" s="35"/>
    </row>
    <row r="8" spans="2:9" ht="16.5" thickBot="1" x14ac:dyDescent="0.3">
      <c r="B8" s="36" t="s">
        <v>33</v>
      </c>
      <c r="C8" s="37" t="s">
        <v>0</v>
      </c>
      <c r="D8" s="38" t="s">
        <v>56</v>
      </c>
      <c r="E8" s="38" t="s">
        <v>83</v>
      </c>
      <c r="F8" s="38" t="s">
        <v>224</v>
      </c>
      <c r="G8" s="39" t="s">
        <v>225</v>
      </c>
      <c r="H8" s="109" t="s">
        <v>226</v>
      </c>
      <c r="I8" s="94" t="s">
        <v>259</v>
      </c>
    </row>
    <row r="9" spans="2:9" ht="17.25" thickBot="1" x14ac:dyDescent="0.3">
      <c r="B9" s="10">
        <v>43849.025578703702</v>
      </c>
      <c r="C9" s="40" t="s">
        <v>131</v>
      </c>
      <c r="D9" s="41" t="str">
        <f>INDEX(Tableau1[Nom],MATCH(Tableau8[[#This Row],[Nr article]],Tableau1[Nr article],0))</f>
        <v>Potassium Permaganate 500 mg, Vrac, 100*</v>
      </c>
      <c r="E9" s="6">
        <v>5</v>
      </c>
      <c r="F9" s="6">
        <v>8</v>
      </c>
      <c r="G9" s="42" t="s">
        <v>227</v>
      </c>
      <c r="H9" s="110">
        <v>44336</v>
      </c>
      <c r="I9" s="96" t="str">
        <f ca="1">IF(Tableau8[[#This Row],[Nr article]]=panier!$C$13,IF(SUM(OFFSET($E$9,$I$1-1,0,ROW()-$I$1-7,1))&lt;=panier!$G$13,$E9,IF(ROW()=$I$1+8,$E9-(SUM(OFFSET($E$9,$I$1-1,0,1))-panier!$G$13),IF(SUM(OFFSET($E$9,$I$1-1,0,ROW()-$I$1-7))&lt;=panier!$G$13,panier!$G$13-SUM(OFFSET($E$9,$I$1-1,0,ROW()-$I$1-8)),""))),"")</f>
        <v/>
      </c>
    </row>
    <row r="10" spans="2:9" ht="17.25" thickBot="1" x14ac:dyDescent="0.3">
      <c r="B10" s="10">
        <v>43849.027800925927</v>
      </c>
      <c r="C10" s="40" t="s">
        <v>131</v>
      </c>
      <c r="D10" s="41" t="str">
        <f>INDEX(Tableau1[Nom],MATCH(Tableau8[[#This Row],[Nr article]],Tableau1[Nr article],0))</f>
        <v>Potassium Permaganate 500 mg, Vrac, 100*</v>
      </c>
      <c r="E10" s="6">
        <v>3</v>
      </c>
      <c r="F10" s="6">
        <v>8</v>
      </c>
      <c r="G10" s="42" t="s">
        <v>228</v>
      </c>
      <c r="H10" s="110">
        <v>44338</v>
      </c>
      <c r="I10" s="96" t="str">
        <f ca="1">IF(Tableau8[[#This Row],[Nr article]]=panier!$C$13,IF(SUM(OFFSET($E$9,$I$1-1,0,ROW()-$I$1-7,1))&lt;=panier!$G$13,$E10,IF(ROW()=$I$1+8,$E10-(SUM(OFFSET($E$9,$I$1-1,0,1))-panier!$G$13),IF(SUM(OFFSET($E$9,$I$1-1,0,ROW()-$I$1-7))&lt;=panier!$G$13,panier!$G$13-SUM(OFFSET($E$9,$I$1-1,0,ROW()-$I$1-8)),""))),"")</f>
        <v/>
      </c>
    </row>
    <row r="11" spans="2:9" ht="17.25" thickBot="1" x14ac:dyDescent="0.3">
      <c r="B11" s="10">
        <v>43849.030694444446</v>
      </c>
      <c r="C11" s="40" t="s">
        <v>137</v>
      </c>
      <c r="D11" s="41" t="str">
        <f>INDEX(Tableau1[Nom],MATCH(Tableau8[[#This Row],[Nr article]],Tableau1[Nr article],0))</f>
        <v>Thiabendazole 500 mg, Blister, 100 × 10</v>
      </c>
      <c r="E11" s="6">
        <v>80</v>
      </c>
      <c r="F11" s="6">
        <v>8</v>
      </c>
      <c r="G11" s="42" t="s">
        <v>229</v>
      </c>
      <c r="H11" s="110">
        <v>44342</v>
      </c>
      <c r="I11" s="96" t="str">
        <f ca="1">IF(Tableau8[[#This Row],[Nr article]]=panier!$C$13,IF(SUM(OFFSET($E$9,$I$1-1,0,ROW()-$I$1-7,1))&lt;=panier!$G$13,$E11,IF(ROW()=$I$1+8,$E11-(SUM(OFFSET($E$9,$I$1-1,0,1))-panier!$G$13),IF(SUM(OFFSET($E$9,$I$1-1,0,ROW()-$I$1-7))&lt;=panier!$G$13,panier!$G$13-SUM(OFFSET($E$9,$I$1-1,0,ROW()-$I$1-8)),""))),"")</f>
        <v/>
      </c>
    </row>
    <row r="12" spans="2:9" ht="17.25" thickBot="1" x14ac:dyDescent="0.3">
      <c r="B12" s="10">
        <v>43849.032372685186</v>
      </c>
      <c r="C12" s="40" t="s">
        <v>136</v>
      </c>
      <c r="D12" s="41" t="str">
        <f>INDEX(Tableau1[Nom],MATCH(Tableau8[[#This Row],[Nr article]],Tableau1[Nr article],0))</f>
        <v>Thiabendazole 500 mg, Blister, 10 × 10</v>
      </c>
      <c r="E12" s="6">
        <v>106</v>
      </c>
      <c r="F12" s="6">
        <v>2</v>
      </c>
      <c r="G12" s="42" t="s">
        <v>229</v>
      </c>
      <c r="H12" s="110">
        <v>43891</v>
      </c>
      <c r="I12" s="96" t="str">
        <f ca="1">IF(Tableau8[[#This Row],[Nr article]]=panier!$C$13,IF(SUM(OFFSET($E$9,$I$1-1,0,ROW()-$I$1-7,1))&lt;=panier!$G$13,$E12,IF(ROW()=$I$1+8,$E12-(SUM(OFFSET($E$9,$I$1-1,0,1))-panier!$G$13),IF(SUM(OFFSET($E$9,$I$1-1,0,ROW()-$I$1-7))&lt;=panier!$G$13,panier!$G$13-SUM(OFFSET($E$9,$I$1-1,0,ROW()-$I$1-8)),""))),"")</f>
        <v/>
      </c>
    </row>
    <row r="13" spans="2:9" ht="17.25" thickBot="1" x14ac:dyDescent="0.3">
      <c r="B13" s="10">
        <v>43849.046435185184</v>
      </c>
      <c r="C13" s="40" t="s">
        <v>101</v>
      </c>
      <c r="D13" s="41" t="str">
        <f>INDEX(Tableau1[Nom],MATCH(Tableau8[[#This Row],[Nr article]],Tableau1[Nr article],0))</f>
        <v>Cotrimoxazole 480 mg, Blister, 100 × 10</v>
      </c>
      <c r="E13" s="6">
        <v>1</v>
      </c>
      <c r="F13" s="6">
        <v>10</v>
      </c>
      <c r="G13" s="42" t="s">
        <v>230</v>
      </c>
      <c r="H13" s="110">
        <v>44339</v>
      </c>
      <c r="I13" s="96" t="str">
        <f ca="1">IF(Tableau8[[#This Row],[Nr article]]=panier!$C$13,IF(SUM(OFFSET($E$9,$I$1-1,0,ROW()-$I$1-7,1))&lt;=panier!$G$13,$E13,IF(ROW()=$I$1+8,$E13-(SUM(OFFSET($E$9,$I$1-1,0,1))-panier!$G$13),IF(SUM(OFFSET($E$9,$I$1-1,0,ROW()-$I$1-7))&lt;=panier!$G$13,panier!$G$13-SUM(OFFSET($E$9,$I$1-1,0,ROW()-$I$1-8)),""))),"")</f>
        <v/>
      </c>
    </row>
    <row r="14" spans="2:9" ht="17.25" thickBot="1" x14ac:dyDescent="0.3">
      <c r="C14" s="40" t="s">
        <v>125</v>
      </c>
      <c r="D14" s="41" t="str">
        <f>INDEX(Tableau1[Nom],MATCH(Tableau8[[#This Row],[Nr article]],Tableau1[Nr article],0))</f>
        <v>Paracetamol 500 mg, Blister, 100 × 10</v>
      </c>
      <c r="E14" s="6">
        <v>2</v>
      </c>
      <c r="G14" s="42" t="s">
        <v>231</v>
      </c>
      <c r="H14" s="110">
        <v>44075</v>
      </c>
      <c r="I14" s="96" t="str">
        <f ca="1">IF(Tableau8[[#This Row],[Nr article]]=panier!$C$13,IF(SUM(OFFSET($E$9,$I$1-1,0,ROW()-$I$1-7,1))&lt;=panier!$G$13,$E14,IF(ROW()=$I$1+8,$E14-(SUM(OFFSET($E$9,$I$1-1,0,1))-panier!$G$13),IF(SUM(OFFSET($E$9,$I$1-1,0,ROW()-$I$1-7))&lt;=panier!$G$13,panier!$G$13-SUM(OFFSET($E$9,$I$1-1,0,ROW()-$I$1-8)),""))),"")</f>
        <v/>
      </c>
    </row>
    <row r="15" spans="2:9" ht="17.25" thickBot="1" x14ac:dyDescent="0.3">
      <c r="C15" s="40" t="s">
        <v>125</v>
      </c>
      <c r="D15" s="41" t="str">
        <f>INDEX(Tableau1[Nom],MATCH(Tableau8[[#This Row],[Nr article]],Tableau1[Nr article],0))</f>
        <v>Paracetamol 500 mg, Blister, 100 × 10</v>
      </c>
      <c r="E15" s="6">
        <v>2</v>
      </c>
      <c r="G15" s="42" t="s">
        <v>232</v>
      </c>
      <c r="H15" s="110">
        <v>44075</v>
      </c>
      <c r="I15" s="96" t="str">
        <f ca="1">IF(Tableau8[[#This Row],[Nr article]]=panier!$C$13,IF(SUM(OFFSET($E$9,$I$1-1,0,ROW()-$I$1-7,1))&lt;=panier!$G$13,$E15,IF(ROW()=$I$1+8,$E15-(SUM(OFFSET($E$9,$I$1-1,0,1))-panier!$G$13),IF(SUM(OFFSET($E$9,$I$1-1,0,ROW()-$I$1-7))&lt;=panier!$G$13,panier!$G$13-SUM(OFFSET($E$9,$I$1-1,0,ROW()-$I$1-8)),""))),"")</f>
        <v/>
      </c>
    </row>
    <row r="16" spans="2:9" ht="17.25" thickBot="1" x14ac:dyDescent="0.3">
      <c r="C16" s="40" t="s">
        <v>125</v>
      </c>
      <c r="D16" s="41" t="str">
        <f>INDEX(Tableau1[Nom],MATCH(Tableau8[[#This Row],[Nr article]],Tableau1[Nr article],0))</f>
        <v>Paracetamol 500 mg, Blister, 100 × 10</v>
      </c>
      <c r="E16" s="6">
        <v>2</v>
      </c>
      <c r="G16" s="42" t="s">
        <v>233</v>
      </c>
      <c r="H16" s="110">
        <v>44105</v>
      </c>
      <c r="I16" s="96" t="str">
        <f ca="1">IF(Tableau8[[#This Row],[Nr article]]=panier!$C$13,IF(SUM(OFFSET($E$9,$I$1-1,0,ROW()-$I$1-7,1))&lt;=panier!$G$13,$E16,IF(ROW()=$I$1+8,$E16-(SUM(OFFSET($E$9,$I$1-1,0,1))-panier!$G$13),IF(SUM(OFFSET($E$9,$I$1-1,0,ROW()-$I$1-7))&lt;=panier!$G$13,panier!$G$13-SUM(OFFSET($E$9,$I$1-1,0,ROW()-$I$1-8)),""))),"")</f>
        <v/>
      </c>
    </row>
    <row r="17" spans="2:9" ht="17.25" thickBot="1" x14ac:dyDescent="0.3">
      <c r="C17" s="40" t="s">
        <v>125</v>
      </c>
      <c r="D17" s="41" t="str">
        <f>INDEX(Tableau1[Nom],MATCH(Tableau8[[#This Row],[Nr article]],Tableau1[Nr article],0))</f>
        <v>Paracetamol 500 mg, Blister, 100 × 10</v>
      </c>
      <c r="E17" s="6">
        <v>2</v>
      </c>
      <c r="G17" s="42" t="s">
        <v>234</v>
      </c>
      <c r="H17" s="110">
        <v>44105</v>
      </c>
      <c r="I17" s="96" t="str">
        <f ca="1">IF(Tableau8[[#This Row],[Nr article]]=panier!$C$13,IF(SUM(OFFSET($E$9,$I$1-1,0,ROW()-$I$1-7,1))&lt;=panier!$G$13,$E17,IF(ROW()=$I$1+8,$E17-(SUM(OFFSET($E$9,$I$1-1,0,1))-panier!$G$13),IF(SUM(OFFSET($E$9,$I$1-1,0,ROW()-$I$1-7))&lt;=panier!$G$13,panier!$G$13-SUM(OFFSET($E$9,$I$1-1,0,ROW()-$I$1-8)),""))),"")</f>
        <v/>
      </c>
    </row>
    <row r="18" spans="2:9" ht="17.25" thickBot="1" x14ac:dyDescent="0.3">
      <c r="C18" s="40" t="s">
        <v>125</v>
      </c>
      <c r="D18" s="41" t="str">
        <f>INDEX(Tableau1[Nom],MATCH(Tableau8[[#This Row],[Nr article]],Tableau1[Nr article],0))</f>
        <v>Paracetamol 500 mg, Blister, 100 × 10</v>
      </c>
      <c r="E18" s="6">
        <v>2</v>
      </c>
      <c r="G18" s="42" t="s">
        <v>235</v>
      </c>
      <c r="H18" s="110">
        <v>44136</v>
      </c>
      <c r="I18" s="96" t="str">
        <f ca="1">IF(Tableau8[[#This Row],[Nr article]]=panier!$C$13,IF(SUM(OFFSET($E$9,$I$1-1,0,ROW()-$I$1-7,1))&lt;=panier!$G$13,$E18,IF(ROW()=$I$1+8,$E18-(SUM(OFFSET($E$9,$I$1-1,0,1))-panier!$G$13),IF(SUM(OFFSET($E$9,$I$1-1,0,ROW()-$I$1-7))&lt;=panier!$G$13,panier!$G$13-SUM(OFFSET($E$9,$I$1-1,0,ROW()-$I$1-8)),""))),"")</f>
        <v/>
      </c>
    </row>
    <row r="19" spans="2:9" ht="17.25" thickBot="1" x14ac:dyDescent="0.3">
      <c r="C19" s="40" t="s">
        <v>125</v>
      </c>
      <c r="D19" s="41" t="str">
        <f>INDEX(Tableau1[Nom],MATCH(Tableau8[[#This Row],[Nr article]],Tableau1[Nr article],0))</f>
        <v>Paracetamol 500 mg, Blister, 100 × 10</v>
      </c>
      <c r="E19" s="6">
        <v>2</v>
      </c>
      <c r="G19" s="42" t="s">
        <v>236</v>
      </c>
      <c r="H19" s="110">
        <v>44166</v>
      </c>
      <c r="I19" s="96" t="str">
        <f ca="1">IF(Tableau8[[#This Row],[Nr article]]=panier!$C$13,IF(SUM(OFFSET($E$9,$I$1-1,0,ROW()-$I$1-7,1))&lt;=panier!$G$13,$E19,IF(ROW()=$I$1+8,$E19-(SUM(OFFSET($E$9,$I$1-1,0,1))-panier!$G$13),IF(SUM(OFFSET($E$9,$I$1-1,0,ROW()-$I$1-7))&lt;=panier!$G$13,panier!$G$13-SUM(OFFSET($E$9,$I$1-1,0,ROW()-$I$1-8)),""))),"")</f>
        <v/>
      </c>
    </row>
    <row r="20" spans="2:9" ht="17.25" thickBot="1" x14ac:dyDescent="0.3">
      <c r="C20" s="40" t="s">
        <v>125</v>
      </c>
      <c r="D20" s="41" t="str">
        <f>INDEX(Tableau1[Nom],MATCH(Tableau8[[#This Row],[Nr article]],Tableau1[Nr article],0))</f>
        <v>Paracetamol 500 mg, Blister, 100 × 10</v>
      </c>
      <c r="E20" s="6">
        <v>2</v>
      </c>
      <c r="G20" s="42" t="s">
        <v>237</v>
      </c>
      <c r="H20" s="110">
        <v>44166</v>
      </c>
      <c r="I20" s="96" t="str">
        <f ca="1">IF(Tableau8[[#This Row],[Nr article]]=panier!$C$13,IF(SUM(OFFSET($E$9,$I$1-1,0,ROW()-$I$1-7,1))&lt;=panier!$G$13,$E20,IF(ROW()=$I$1+8,$E20-(SUM(OFFSET($E$9,$I$1-1,0,1))-panier!$G$13),IF(SUM(OFFSET($E$9,$I$1-1,0,ROW()-$I$1-7))&lt;=panier!$G$13,panier!$G$13-SUM(OFFSET($E$9,$I$1-1,0,ROW()-$I$1-8)),""))),"")</f>
        <v/>
      </c>
    </row>
    <row r="21" spans="2:9" ht="17.25" thickBot="1" x14ac:dyDescent="0.3">
      <c r="C21" s="40" t="s">
        <v>125</v>
      </c>
      <c r="D21" s="41" t="str">
        <f>INDEX(Tableau1[Nom],MATCH(Tableau8[[#This Row],[Nr article]],Tableau1[Nr article],0))</f>
        <v>Paracetamol 500 mg, Blister, 100 × 10</v>
      </c>
      <c r="E21" s="6">
        <v>2</v>
      </c>
      <c r="G21" s="42" t="s">
        <v>238</v>
      </c>
      <c r="H21" s="110">
        <v>44166</v>
      </c>
      <c r="I21" s="96" t="str">
        <f ca="1">IF(Tableau8[[#This Row],[Nr article]]=panier!$C$13,IF(SUM(OFFSET($E$9,$I$1-1,0,ROW()-$I$1-7,1))&lt;=panier!$G$13,$E21,IF(ROW()=$I$1+8,$E21-(SUM(OFFSET($E$9,$I$1-1,0,1))-panier!$G$13),IF(SUM(OFFSET($E$9,$I$1-1,0,ROW()-$I$1-7))&lt;=panier!$G$13,panier!$G$13-SUM(OFFSET($E$9,$I$1-1,0,ROW()-$I$1-8)),""))),"")</f>
        <v/>
      </c>
    </row>
    <row r="22" spans="2:9" ht="17.25" thickBot="1" x14ac:dyDescent="0.3">
      <c r="C22" s="40" t="s">
        <v>125</v>
      </c>
      <c r="D22" s="41" t="str">
        <f>INDEX(Tableau1[Nom],MATCH(Tableau8[[#This Row],[Nr article]],Tableau1[Nr article],0))</f>
        <v>Paracetamol 500 mg, Blister, 100 × 10</v>
      </c>
      <c r="E22" s="6">
        <v>2</v>
      </c>
      <c r="G22" s="42" t="s">
        <v>239</v>
      </c>
      <c r="H22" s="110">
        <v>44197</v>
      </c>
      <c r="I22" s="96" t="str">
        <f ca="1">IF(Tableau8[[#This Row],[Nr article]]=panier!$C$13,IF(SUM(OFFSET($E$9,$I$1-1,0,ROW()-$I$1-7,1))&lt;=panier!$G$13,$E22,IF(ROW()=$I$1+8,$E22-(SUM(OFFSET($E$9,$I$1-1,0,1))-panier!$G$13),IF(SUM(OFFSET($E$9,$I$1-1,0,ROW()-$I$1-7))&lt;=panier!$G$13,panier!$G$13-SUM(OFFSET($E$9,$I$1-1,0,ROW()-$I$1-8)),""))),"")</f>
        <v/>
      </c>
    </row>
    <row r="23" spans="2:9" ht="17.25" thickBot="1" x14ac:dyDescent="0.3">
      <c r="C23" s="40" t="s">
        <v>125</v>
      </c>
      <c r="D23" s="41" t="str">
        <f>INDEX(Tableau1[Nom],MATCH(Tableau8[[#This Row],[Nr article]],Tableau1[Nr article],0))</f>
        <v>Paracetamol 500 mg, Blister, 100 × 10</v>
      </c>
      <c r="E23" s="6">
        <v>2</v>
      </c>
      <c r="G23" s="42" t="s">
        <v>240</v>
      </c>
      <c r="H23" s="110">
        <v>44197</v>
      </c>
      <c r="I23" s="96" t="str">
        <f ca="1">IF(Tableau8[[#This Row],[Nr article]]=panier!$C$13,IF(SUM(OFFSET($E$9,$I$1-1,0,ROW()-$I$1-7,1))&lt;=panier!$G$13,$E23,IF(ROW()=$I$1+8,$E23-(SUM(OFFSET($E$9,$I$1-1,0,1))-panier!$G$13),IF(SUM(OFFSET($E$9,$I$1-1,0,ROW()-$I$1-7))&lt;=panier!$G$13,panier!$G$13-SUM(OFFSET($E$9,$I$1-1,0,ROW()-$I$1-8)),""))),"")</f>
        <v/>
      </c>
    </row>
    <row r="24" spans="2:9" ht="17.25" thickBot="1" x14ac:dyDescent="0.3">
      <c r="C24" s="40" t="s">
        <v>125</v>
      </c>
      <c r="D24" s="41" t="str">
        <f>INDEX(Tableau1[Nom],MATCH(Tableau8[[#This Row],[Nr article]],Tableau1[Nr article],0))</f>
        <v>Paracetamol 500 mg, Blister, 100 × 10</v>
      </c>
      <c r="E24" s="6">
        <v>2</v>
      </c>
      <c r="G24" s="42" t="s">
        <v>241</v>
      </c>
      <c r="H24" s="110">
        <v>44228</v>
      </c>
      <c r="I24" s="96" t="str">
        <f ca="1">IF(Tableau8[[#This Row],[Nr article]]=panier!$C$13,IF(SUM(OFFSET($E$9,$I$1-1,0,ROW()-$I$1-7,1))&lt;=panier!$G$13,$E24,IF(ROW()=$I$1+8,$E24-(SUM(OFFSET($E$9,$I$1-1,0,1))-panier!$G$13),IF(SUM(OFFSET($E$9,$I$1-1,0,ROW()-$I$1-7))&lt;=panier!$G$13,panier!$G$13-SUM(OFFSET($E$9,$I$1-1,0,ROW()-$I$1-8)),""))),"")</f>
        <v/>
      </c>
    </row>
    <row r="25" spans="2:9" ht="17.25" thickBot="1" x14ac:dyDescent="0.3">
      <c r="C25" s="40" t="s">
        <v>92</v>
      </c>
      <c r="D25" s="41" t="str">
        <f>INDEX(Tableau1[Nom],MATCH(Tableau8[[#This Row],[Nr article]],Tableau1[Nr article],0))</f>
        <v>Amoxicillin 500 mg, Blister, 10 × 10</v>
      </c>
      <c r="E25" s="6">
        <v>2</v>
      </c>
      <c r="G25" s="42" t="s">
        <v>242</v>
      </c>
      <c r="H25" s="110">
        <v>44287</v>
      </c>
      <c r="I25" s="96" t="str">
        <f ca="1">IF(Tableau8[[#This Row],[Nr article]]=panier!$C$13,IF(SUM(OFFSET($E$9,$I$1-1,0,ROW()-$I$1-7,1))&lt;=panier!$G$13,$E25,IF(ROW()=$I$1+8,$E25-(SUM(OFFSET($E$9,$I$1-1,0,1))-panier!$G$13),IF(SUM(OFFSET($E$9,$I$1-1,0,ROW()-$I$1-7))&lt;=panier!$G$13,panier!$G$13-SUM(OFFSET($E$9,$I$1-1,0,ROW()-$I$1-8)),""))),"")</f>
        <v/>
      </c>
    </row>
    <row r="26" spans="2:9" ht="17.25" thickBot="1" x14ac:dyDescent="0.3">
      <c r="C26" s="40" t="s">
        <v>134</v>
      </c>
      <c r="D26" s="41" t="str">
        <f>INDEX(Tableau1[Nom],MATCH(Tableau8[[#This Row],[Nr article]],Tableau1[Nr article],0))</f>
        <v>Sulfadoxine/Pyrimethamine 500 mg / 25 mg, Blister, 40 × 3</v>
      </c>
      <c r="E26" s="6">
        <v>2567</v>
      </c>
      <c r="G26" s="42" t="s">
        <v>243</v>
      </c>
      <c r="H26" s="110">
        <v>44317</v>
      </c>
      <c r="I26" s="96" t="str">
        <f ca="1">IF(Tableau8[[#This Row],[Nr article]]=panier!$C$13,IF(SUM(OFFSET($E$9,$I$1-1,0,ROW()-$I$1-7,1))&lt;=panier!$G$13,$E26,IF(ROW()=$I$1+8,$E26-(SUM(OFFSET($E$9,$I$1-1,0,1))-panier!$G$13),IF(SUM(OFFSET($E$9,$I$1-1,0,ROW()-$I$1-7))&lt;=panier!$G$13,panier!$G$13-SUM(OFFSET($E$9,$I$1-1,0,ROW()-$I$1-8)),""))),"")</f>
        <v/>
      </c>
    </row>
    <row r="27" spans="2:9" ht="17.25" thickBot="1" x14ac:dyDescent="0.3">
      <c r="C27" s="40" t="s">
        <v>105</v>
      </c>
      <c r="D27" s="41" t="str">
        <f>INDEX(Tableau1[Nom],MATCH(Tableau8[[#This Row],[Nr article]],Tableau1[Nr article],0))</f>
        <v>Diclofenac Sodium 50 mg, Blister, 100 × 10</v>
      </c>
      <c r="E27" s="6">
        <v>1250</v>
      </c>
      <c r="G27" s="42" t="s">
        <v>244</v>
      </c>
      <c r="H27" s="110">
        <v>44562</v>
      </c>
      <c r="I27" s="96" t="str">
        <f ca="1">IF(Tableau8[[#This Row],[Nr article]]=panier!$C$13,IF(SUM(OFFSET($E$9,$I$1-1,0,ROW()-$I$1-7,1))&lt;=panier!$G$13,$E27,IF(ROW()=$I$1+8,$E27-(SUM(OFFSET($E$9,$I$1-1,0,1))-panier!$G$13),IF(SUM(OFFSET($E$9,$I$1-1,0,ROW()-$I$1-7))&lt;=panier!$G$13,panier!$G$13-SUM(OFFSET($E$9,$I$1-1,0,ROW()-$I$1-8)),""))),"")</f>
        <v/>
      </c>
    </row>
    <row r="28" spans="2:9" ht="17.25" thickBot="1" x14ac:dyDescent="0.3">
      <c r="C28" s="40" t="s">
        <v>124</v>
      </c>
      <c r="D28" s="41" t="str">
        <f>INDEX(Tableau1[Nom],MATCH(Tableau8[[#This Row],[Nr article]],Tableau1[Nr article],0))</f>
        <v>Paracetamol 500 mg, Blister, 10 × 10</v>
      </c>
      <c r="E28" s="6">
        <v>160</v>
      </c>
      <c r="G28" s="42" t="s">
        <v>245</v>
      </c>
      <c r="H28" s="110">
        <v>44562</v>
      </c>
      <c r="I28" s="96" t="str">
        <f ca="1">IF(Tableau8[[#This Row],[Nr article]]=panier!$C$13,IF(SUM(OFFSET($E$9,$I$1-1,0,ROW()-$I$1-7,1))&lt;=panier!$G$13,$E28,IF(ROW()=$I$1+8,$E28-(SUM(OFFSET($E$9,$I$1-1,0,1))-panier!$G$13),IF(SUM(OFFSET($E$9,$I$1-1,0,ROW()-$I$1-7))&lt;=panier!$G$13,panier!$G$13-SUM(OFFSET($E$9,$I$1-1,0,ROW()-$I$1-8)),""))),"")</f>
        <v/>
      </c>
    </row>
    <row r="29" spans="2:9" ht="17.25" thickBot="1" x14ac:dyDescent="0.3">
      <c r="C29" s="40" t="s">
        <v>120</v>
      </c>
      <c r="D29" s="41" t="str">
        <f>INDEX(Tableau1[Nom],MATCH(Tableau8[[#This Row],[Nr article]],Tableau1[Nr article],0))</f>
        <v>Metronidazole 250 mg, Blister, 10 × 10</v>
      </c>
      <c r="E29" s="6">
        <v>39</v>
      </c>
      <c r="G29" s="42" t="s">
        <v>246</v>
      </c>
      <c r="H29" s="110">
        <v>44713</v>
      </c>
      <c r="I29" s="96" t="str">
        <f ca="1">IF(Tableau8[[#This Row],[Nr article]]=panier!$C$13,IF(SUM(OFFSET($E$9,$I$1-1,0,ROW()-$I$1-7,1))&lt;=panier!$G$13,$E29,IF(ROW()=$I$1+8,$E29-(SUM(OFFSET($E$9,$I$1-1,0,1))-panier!$G$13),IF(SUM(OFFSET($E$9,$I$1-1,0,ROW()-$I$1-7))&lt;=panier!$G$13,panier!$G$13-SUM(OFFSET($E$9,$I$1-1,0,ROW()-$I$1-8)),""))),"")</f>
        <v/>
      </c>
    </row>
    <row r="30" spans="2:9" ht="17.25" thickBot="1" x14ac:dyDescent="0.3">
      <c r="C30" s="40" t="s">
        <v>120</v>
      </c>
      <c r="D30" s="41" t="str">
        <f>INDEX(Tableau1[Nom],MATCH(Tableau8[[#This Row],[Nr article]],Tableau1[Nr article],0))</f>
        <v>Metronidazole 250 mg, Blister, 10 × 10</v>
      </c>
      <c r="E30" s="6">
        <v>275</v>
      </c>
      <c r="G30" s="42" t="s">
        <v>247</v>
      </c>
      <c r="H30" s="110">
        <v>44927</v>
      </c>
      <c r="I30" s="96" t="str">
        <f ca="1">IF(Tableau8[[#This Row],[Nr article]]=panier!$C$13,IF(SUM(OFFSET($E$9,$I$1-1,0,ROW()-$I$1-7,1))&lt;=panier!$G$13,$E30,IF(ROW()=$I$1+8,$E30-(SUM(OFFSET($E$9,$I$1-1,0,1))-panier!$G$13),IF(SUM(OFFSET($E$9,$I$1-1,0,ROW()-$I$1-7))&lt;=panier!$G$13,panier!$G$13-SUM(OFFSET($E$9,$I$1-1,0,ROW()-$I$1-8)),""))),"")</f>
        <v/>
      </c>
    </row>
    <row r="31" spans="2:9" x14ac:dyDescent="0.25">
      <c r="B31" s="98">
        <v>44335.928865740738</v>
      </c>
      <c r="C31" s="99" t="s">
        <v>131</v>
      </c>
      <c r="D31" s="100" t="s">
        <v>183</v>
      </c>
      <c r="E31" s="101">
        <v>10</v>
      </c>
      <c r="F31" s="101">
        <v>11</v>
      </c>
      <c r="G31" s="102">
        <v>1</v>
      </c>
      <c r="H31" s="111">
        <v>44342</v>
      </c>
      <c r="I31" s="103" t="str">
        <f ca="1">IF(Tableau8[[#This Row],[Nr article]]=panier!$C$13,IF(SUM(OFFSET($E$9,$I$1-1,0,ROW()-$I$1-7,1))&lt;=panier!$G$13,$E31,IF(ROW()=$I$1+8,$E31-(SUM(OFFSET($E$9,$I$1-1,0,1))-panier!$G$13),IF(SUM(OFFSET($E$9,$I$1-1,0,ROW()-$I$1-7))&lt;=panier!$G$13,panier!$G$13-SUM(OFFSET($E$9,$I$1-1,0,ROW()-$I$1-8)),""))),"")</f>
        <v/>
      </c>
    </row>
    <row r="32" spans="2:9" x14ac:dyDescent="0.25">
      <c r="B32" s="98">
        <v>44335.999143518522</v>
      </c>
      <c r="C32" s="99" t="s">
        <v>101</v>
      </c>
      <c r="D32" s="100" t="s">
        <v>153</v>
      </c>
      <c r="E32" s="101">
        <v>10</v>
      </c>
      <c r="F32" s="101">
        <v>1</v>
      </c>
      <c r="G32" s="102" t="s">
        <v>260</v>
      </c>
      <c r="H32" s="111">
        <v>44341</v>
      </c>
      <c r="I32" s="103" t="str">
        <f ca="1">IF(Tableau8[[#This Row],[Nr article]]=panier!$C$13,IF(SUM(OFFSET($E$9,$I$1-1,0,ROW()-$I$1-7,1))&lt;=panier!$G$13,$E32,IF(ROW()=$I$1+8,$E32-(SUM(OFFSET($E$9,$I$1-1,0,1))-panier!$G$13),IF(SUM(OFFSET($E$9,$I$1-1,0,ROW()-$I$1-7))&lt;=panier!$G$13,panier!$G$13-SUM(OFFSET($E$9,$I$1-1,0,ROW()-$I$1-8)),""))),"")</f>
        <v/>
      </c>
    </row>
    <row r="33" spans="2:9" x14ac:dyDescent="0.25">
      <c r="B33" s="98">
        <v>44336.915798611109</v>
      </c>
      <c r="C33" s="99" t="s">
        <v>86</v>
      </c>
      <c r="D33" s="100" t="s">
        <v>138</v>
      </c>
      <c r="E33" s="101">
        <v>100</v>
      </c>
      <c r="F33" s="101">
        <v>1</v>
      </c>
      <c r="G33" s="102" t="s">
        <v>268</v>
      </c>
      <c r="H33" s="111">
        <v>44341</v>
      </c>
      <c r="I33" s="103" t="str">
        <f ca="1">IF(Tableau8[[#This Row],[Nr article]]=panier!$C$13,IF(SUM(OFFSET($E$9,$I$1-1,0,ROW()-$I$1-7,1))&lt;=panier!$G$13,$E33,IF(ROW()=$I$1+8,$E33-(SUM(OFFSET($E$9,$I$1-1,0,1))-panier!$G$13),IF(SUM(OFFSET($E$9,$I$1-1,0,ROW()-$I$1-7))&lt;=panier!$G$13,panier!$G$13-SUM(OFFSET($E$9,$I$1-1,0,ROW()-$I$1-8)),""))),"")</f>
        <v/>
      </c>
    </row>
  </sheetData>
  <conditionalFormatting sqref="H9:H33">
    <cfRule type="cellIs" dxfId="4" priority="1" operator="lessThanOrEqual">
      <formula>NOW()</formula>
    </cfRule>
    <cfRule type="cellIs" dxfId="3" priority="2" operator="lessThanOrEqual">
      <formula>NOW()+365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531" r:id="rId4" name="CommandButton1">
          <controlPr defaultSize="0" autoLine="0" r:id="rId5">
            <anchor moveWithCells="1">
              <from>
                <xdr:col>1</xdr:col>
                <xdr:colOff>57150</xdr:colOff>
                <xdr:row>4</xdr:row>
                <xdr:rowOff>57150</xdr:rowOff>
              </from>
              <to>
                <xdr:col>2</xdr:col>
                <xdr:colOff>781050</xdr:colOff>
                <xdr:row>5</xdr:row>
                <xdr:rowOff>161925</xdr:rowOff>
              </to>
            </anchor>
          </controlPr>
        </control>
      </mc:Choice>
      <mc:Fallback>
        <control shapeId="22531" r:id="rId4" name="CommandButton1"/>
      </mc:Fallback>
    </mc:AlternateContent>
  </controls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U45"/>
  <sheetViews>
    <sheetView showGridLines="0" zoomScale="80" zoomScaleNormal="80" workbookViewId="0">
      <selection activeCell="K7" sqref="K7:U9"/>
    </sheetView>
  </sheetViews>
  <sheetFormatPr baseColWidth="10" defaultRowHeight="15.75" x14ac:dyDescent="0.25"/>
  <cols>
    <col min="1" max="1" width="1.7109375" style="5" customWidth="1"/>
    <col min="2" max="2" width="19.7109375" style="5" customWidth="1"/>
    <col min="3" max="3" width="17.42578125" style="6" customWidth="1"/>
    <col min="4" max="4" width="15" style="5" customWidth="1"/>
    <col min="5" max="5" width="21.28515625" style="5" customWidth="1"/>
    <col min="6" max="6" width="14.140625" style="5" customWidth="1"/>
    <col min="7" max="7" width="14.28515625" style="5" customWidth="1"/>
    <col min="8" max="9" width="11.42578125" style="5"/>
    <col min="10" max="10" width="2.85546875" style="5" customWidth="1"/>
    <col min="11" max="11" width="15.5703125" style="5" customWidth="1"/>
    <col min="12" max="12" width="13.85546875" style="5" customWidth="1"/>
    <col min="13" max="13" width="14.5703125" style="5" customWidth="1"/>
    <col min="14" max="14" width="13.42578125" style="5" customWidth="1"/>
    <col min="15" max="15" width="16" style="5" customWidth="1"/>
    <col min="16" max="16" width="14.42578125" style="5" customWidth="1"/>
    <col min="17" max="17" width="14" style="5" customWidth="1"/>
    <col min="18" max="18" width="13.85546875" style="5" customWidth="1"/>
    <col min="19" max="19" width="13" style="5" customWidth="1"/>
    <col min="20" max="16384" width="11.42578125" style="5"/>
  </cols>
  <sheetData>
    <row r="1" spans="2:21" ht="86.25" customHeight="1" x14ac:dyDescent="0.25"/>
    <row r="2" spans="2:21" ht="16.5" thickBot="1" x14ac:dyDescent="0.3"/>
    <row r="3" spans="2:21" ht="16.5" thickBot="1" x14ac:dyDescent="0.3">
      <c r="B3" s="15" t="s">
        <v>26</v>
      </c>
      <c r="C3" s="16">
        <v>17</v>
      </c>
      <c r="E3" s="5" t="s">
        <v>29</v>
      </c>
      <c r="F3" s="113" t="str">
        <f>IFERROR(INDEX(Tableau2[info texte],MATCH(panier!C5,Tableau2[Nr client],0)),"")</f>
        <v/>
      </c>
      <c r="G3" s="114"/>
      <c r="H3" s="114"/>
      <c r="I3" s="115"/>
      <c r="K3" s="17" t="s">
        <v>40</v>
      </c>
      <c r="L3" s="17"/>
      <c r="M3" s="17" t="s">
        <v>41</v>
      </c>
      <c r="N3" s="17" t="s">
        <v>42</v>
      </c>
      <c r="O3" s="17" t="s">
        <v>43</v>
      </c>
    </row>
    <row r="4" spans="2:21" ht="16.5" thickBot="1" x14ac:dyDescent="0.3">
      <c r="F4" s="116"/>
      <c r="G4" s="117"/>
      <c r="H4" s="117"/>
      <c r="I4" s="118"/>
      <c r="K4" s="8">
        <f>IFERROR(SUM(Tableau3[Total]),"")</f>
        <v>0</v>
      </c>
      <c r="L4" s="6"/>
      <c r="M4" s="8" t="str">
        <f>IFERROR((K4*C6),"")</f>
        <v/>
      </c>
      <c r="N4" s="8" t="str">
        <f>IFERROR(((K4-M4)*1.21),"")</f>
        <v/>
      </c>
      <c r="O4" s="6">
        <f>IFERROR(COUNT(Tableau3[Date]),"")</f>
        <v>0</v>
      </c>
    </row>
    <row r="5" spans="2:21" x14ac:dyDescent="0.25">
      <c r="B5" s="18" t="s">
        <v>27</v>
      </c>
      <c r="C5" s="19"/>
      <c r="F5" s="116"/>
      <c r="G5" s="117"/>
      <c r="H5" s="117"/>
      <c r="I5" s="118"/>
    </row>
    <row r="6" spans="2:21" ht="16.5" thickBot="1" x14ac:dyDescent="0.3">
      <c r="B6" s="20" t="s">
        <v>28</v>
      </c>
      <c r="C6" s="21" t="str">
        <f>IFERROR(INDEX(Tableau6[Réduction],MATCH(panier!D6,Tableau6[Level],0)),"")</f>
        <v/>
      </c>
      <c r="D6" s="9" t="str">
        <f>IFERROR(INDEX(Tableau2[Niv fidélité],MATCH(Tableau2[Nr client],0)),"")</f>
        <v/>
      </c>
      <c r="F6" s="116"/>
      <c r="G6" s="117"/>
      <c r="H6" s="117"/>
      <c r="I6" s="118"/>
      <c r="K6" s="6" t="s">
        <v>33</v>
      </c>
      <c r="L6" s="6" t="s">
        <v>34</v>
      </c>
      <c r="M6" s="6" t="s">
        <v>0</v>
      </c>
      <c r="N6" s="6" t="s">
        <v>35</v>
      </c>
      <c r="O6" s="6" t="s">
        <v>36</v>
      </c>
      <c r="P6" s="6" t="s">
        <v>258</v>
      </c>
      <c r="Q6" s="6" t="s">
        <v>6</v>
      </c>
      <c r="R6" s="6" t="s">
        <v>38</v>
      </c>
      <c r="S6" s="6" t="s">
        <v>39</v>
      </c>
      <c r="T6" s="6" t="s">
        <v>225</v>
      </c>
      <c r="U6" s="6" t="s">
        <v>226</v>
      </c>
    </row>
    <row r="7" spans="2:21" ht="34.5" customHeight="1" thickBot="1" x14ac:dyDescent="0.3">
      <c r="B7" s="22" t="s">
        <v>248</v>
      </c>
      <c r="C7" s="23" t="str">
        <f>IFERROR(INDEX(Tableau2[Statut],MATCH(panier!C5,Tableau2[Nr client],0)),"")</f>
        <v/>
      </c>
      <c r="F7" s="116"/>
      <c r="G7" s="117"/>
      <c r="H7" s="117"/>
      <c r="I7" s="118"/>
      <c r="K7" s="10"/>
      <c r="L7" s="11"/>
      <c r="M7" s="11"/>
      <c r="N7" s="87"/>
      <c r="O7" s="11"/>
      <c r="P7" s="11"/>
      <c r="Q7" s="11"/>
      <c r="R7" s="12"/>
      <c r="S7" s="13"/>
      <c r="T7" s="11"/>
      <c r="U7" s="11"/>
    </row>
    <row r="8" spans="2:21" ht="33" customHeight="1" thickBot="1" x14ac:dyDescent="0.3">
      <c r="F8" s="119"/>
      <c r="G8" s="120"/>
      <c r="H8" s="120"/>
      <c r="I8" s="121"/>
    </row>
    <row r="12" spans="2:21" ht="16.5" thickBot="1" x14ac:dyDescent="0.3"/>
    <row r="13" spans="2:21" ht="45.75" customHeight="1" thickBot="1" x14ac:dyDescent="0.3">
      <c r="B13" s="81" t="s">
        <v>0</v>
      </c>
      <c r="C13" s="84"/>
      <c r="D13" s="83" t="s">
        <v>31</v>
      </c>
      <c r="E13" s="24" t="str">
        <f>IFERROR(INDEX(Tableau8[Nom :],MATCH(panier!C13,Tableau8[Nr article],0)),"")</f>
        <v/>
      </c>
      <c r="F13" s="25" t="s">
        <v>32</v>
      </c>
      <c r="G13" s="92"/>
    </row>
    <row r="14" spans="2:21" ht="24" customHeight="1" thickBot="1" x14ac:dyDescent="0.35">
      <c r="B14" s="80" t="s">
        <v>30</v>
      </c>
      <c r="C14" s="85" t="str">
        <f>IFERROR(INDEX(Tableau1[[Centrale d''Achat]:[Extérieur]],MATCH(panier!E13,Tableau1[Nom],0),MATCH(panier!C7,Tableau1[[#Headers],[Centrale d''Achat]:[Extérieur]],0)),"")</f>
        <v/>
      </c>
      <c r="D14" s="25" t="s">
        <v>257</v>
      </c>
      <c r="E14" s="86">
        <f>SUM(E15:E35)</f>
        <v>0</v>
      </c>
      <c r="F14" s="26"/>
      <c r="G14" s="11">
        <f>E14-G13</f>
        <v>0</v>
      </c>
    </row>
    <row r="15" spans="2:21" ht="16.5" customHeight="1" thickBot="1" x14ac:dyDescent="0.3">
      <c r="B15" s="140" t="s">
        <v>255</v>
      </c>
      <c r="C15" s="82" t="str">
        <f>IFERROR(INDEX(Tableau8[Lot],SMALL(IF(panier!$C$13=Tableau8[Nr article],ROW(Tableau8[Nr article])-MIN(ROW(reception!$C$9))+1,""),ROWS(C$13:C13))),"")</f>
        <v/>
      </c>
      <c r="D15" s="140" t="s">
        <v>256</v>
      </c>
      <c r="E15" s="82" t="str">
        <f t="array" ref="E15">IFERROR(INDEX(Tableau8[Quantité :],SMALL(IF(panier!$C$13=Tableau8[Nr article],ROW(Tableau8[Nr article])-MIN(ROW(reception!$C$9))+1,""),ROWS(E$13:E13))),"")</f>
        <v/>
      </c>
      <c r="F15" s="91" t="str">
        <f>IF($E$15&lt;=$G$13,$E$15,$G$13)</f>
        <v/>
      </c>
      <c r="G15" s="14" t="str">
        <f>IFERROR(INDEX(Tableau8[Péremption],SMALL(IF(panier!$C$13=Tableau8[Nr article],ROW(Tableau8[Nr article])-MIN(ROW(reception!$C$9))+1,""),ROWS(C$13:C13))),"")</f>
        <v/>
      </c>
      <c r="J15" s="14"/>
    </row>
    <row r="16" spans="2:21" ht="15" customHeight="1" thickBot="1" x14ac:dyDescent="0.3">
      <c r="B16" s="141"/>
      <c r="C16" s="82" t="str">
        <f t="array" ref="C16">IFERROR(INDEX(Tableau8[Lot],SMALL(IF(panier!$C$13=Tableau8[Nr article],ROW(Tableau8[Nr article])-MIN(ROW(reception!$C$9))+1,""),ROWS(C$13:C14))),"")</f>
        <v/>
      </c>
      <c r="D16" s="141"/>
      <c r="E16" s="82" t="str">
        <f t="array" ref="E16">IFERROR(INDEX(Tableau8[Quantité :],SMALL(IF(panier!$C$13=Tableau8[Nr article],ROW(Tableau8[Nr article])-MIN(ROW(reception!$C$9))+1,""),ROWS(E$13:E14))),"")</f>
        <v/>
      </c>
      <c r="F16" s="91">
        <f>IF(SUM($E$15:E15)&gt;=$G$13,0,IF(SUM($F$15:F15,E16)&lt;=$G$13,E16,SUM($F$15:F15,E16)-$G$13))</f>
        <v>0</v>
      </c>
    </row>
    <row r="17" spans="2:6" ht="15" customHeight="1" thickBot="1" x14ac:dyDescent="0.3">
      <c r="B17" s="141"/>
      <c r="C17" s="82" t="str">
        <f t="array" ref="C17">IFERROR(INDEX(Tableau8[Lot],SMALL(IF(panier!$C$13=Tableau8[Nr article],ROW(Tableau8[Nr article])-MIN(ROW(reception!$C$9))+1,""),ROWS(C$13:C15))),"")</f>
        <v/>
      </c>
      <c r="D17" s="141"/>
      <c r="E17" s="82" t="str">
        <f t="array" ref="E17">IFERROR(INDEX(Tableau8[Quantité :],SMALL(IF(panier!$C$13=Tableau8[Nr article],ROW(Tableau8[Nr article])-MIN(ROW(reception!$C$9))+1,""),ROWS(E$13:E15))),"")</f>
        <v/>
      </c>
      <c r="F17" s="91">
        <f>IF(SUM($E$15:E16)&gt;=$G$13,0,IF(SUM($F$15:F16,E17)&lt;=$G$13,E17,SUM($F$15:F16,E17)-$G$13))</f>
        <v>0</v>
      </c>
    </row>
    <row r="18" spans="2:6" ht="15" customHeight="1" thickBot="1" x14ac:dyDescent="0.3">
      <c r="B18" s="141"/>
      <c r="C18" s="82" t="str">
        <f t="array" ref="C18">IFERROR(INDEX(Tableau8[Lot],SMALL(IF(panier!$C$13=Tableau8[Nr article],ROW(Tableau8[Nr article])-MIN(ROW(reception!$C$9))+1,""),ROWS(C$13:C16))),"")</f>
        <v/>
      </c>
      <c r="D18" s="141"/>
      <c r="E18" s="82" t="str">
        <f t="array" ref="E18">IFERROR(INDEX(Tableau8[Quantité :],SMALL(IF(panier!$C$13=Tableau8[Nr article],ROW(Tableau8[Nr article])-MIN(ROW(reception!$C$9))+1,""),ROWS(E$13:E16))),"")</f>
        <v/>
      </c>
      <c r="F18" s="91">
        <f>IF(SUM($E$15:E17)&gt;=$G$13,0,IF(SUM($F$15:F17,E18)&lt;=$G$13,E18,SUM($F$15:F17,E18)-$G$13))</f>
        <v>0</v>
      </c>
    </row>
    <row r="19" spans="2:6" ht="15" customHeight="1" thickBot="1" x14ac:dyDescent="0.3">
      <c r="B19" s="141"/>
      <c r="C19" s="82" t="str">
        <f t="array" ref="C19">IFERROR(INDEX(Tableau8[Lot],SMALL(IF(panier!$C$13=Tableau8[Nr article],ROW(Tableau8[Nr article])-MIN(ROW(reception!$C$9))+1,""),ROWS(C$13:C17))),"")</f>
        <v/>
      </c>
      <c r="D19" s="141"/>
      <c r="E19" s="82" t="str">
        <f t="array" ref="E19">IFERROR(INDEX(Tableau8[Quantité :],SMALL(IF(panier!$C$13=Tableau8[Nr article],ROW(Tableau8[Nr article])-MIN(ROW(reception!$C$9))+1,""),ROWS(E$13:E17))),"")</f>
        <v/>
      </c>
      <c r="F19" s="91">
        <f>IF(SUM($E$15:E18)&gt;=$G$13,0,IF(SUM($F$15:F18,E19)&lt;=$G$13,E19,SUM($F$15:F18,E19)-$G$13))</f>
        <v>0</v>
      </c>
    </row>
    <row r="20" spans="2:6" ht="15" customHeight="1" thickBot="1" x14ac:dyDescent="0.3">
      <c r="B20" s="141"/>
      <c r="C20" s="82" t="str">
        <f t="array" ref="C20">IFERROR(INDEX(Tableau8[Lot],SMALL(IF(panier!$C$13=Tableau8[Nr article],ROW(Tableau8[Nr article])-MIN(ROW(reception!$C$9))+1,""),ROWS(C$13:C18))),"")</f>
        <v/>
      </c>
      <c r="D20" s="141"/>
      <c r="E20" s="82" t="str">
        <f t="array" ref="E20">IFERROR(INDEX(Tableau8[Quantité :],SMALL(IF(panier!$C$13=Tableau8[Nr article],ROW(Tableau8[Nr article])-MIN(ROW(reception!$C$9))+1,""),ROWS(E$13:E18))),"")</f>
        <v/>
      </c>
      <c r="F20" s="91">
        <f>IF(SUM($E$15:E19)&gt;=$G$13,0,IF(SUM($F$15:F19,E20)&lt;=$G$13,E20,SUM($F$15:F19,E20)-$G$13))</f>
        <v>0</v>
      </c>
    </row>
    <row r="21" spans="2:6" ht="15" customHeight="1" thickBot="1" x14ac:dyDescent="0.3">
      <c r="B21" s="141"/>
      <c r="C21" s="82" t="str">
        <f t="array" ref="C21">IFERROR(INDEX(Tableau8[Lot],SMALL(IF(panier!$C$13=Tableau8[Nr article],ROW(Tableau8[Nr article])-MIN(ROW(reception!$C$9))+1,""),ROWS(C$13:C19))),"")</f>
        <v/>
      </c>
      <c r="D21" s="141"/>
      <c r="E21" s="82" t="str">
        <f t="array" ref="E21">IFERROR(INDEX(Tableau8[Quantité :],SMALL(IF(panier!$C$13=Tableau8[Nr article],ROW(Tableau8[Nr article])-MIN(ROW(reception!$C$9))+1,""),ROWS(E$13:E19))),"")</f>
        <v/>
      </c>
      <c r="F21" s="91">
        <f>IF(SUM($E$15:E20)&gt;=$G$13,0,IF(SUM($F$15:F20,E21)&lt;=$G$13,E21,SUM($F$15:F20,E21)-$G$13))</f>
        <v>0</v>
      </c>
    </row>
    <row r="22" spans="2:6" ht="15" customHeight="1" thickBot="1" x14ac:dyDescent="0.3">
      <c r="B22" s="141"/>
      <c r="C22" s="82" t="str">
        <f t="array" ref="C22">IFERROR(INDEX(Tableau8[Lot],SMALL(IF(panier!$C$13=Tableau8[Nr article],ROW(Tableau8[Nr article])-MIN(ROW(reception!$C$9))+1,""),ROWS(C$13:C20))),"")</f>
        <v/>
      </c>
      <c r="D22" s="141"/>
      <c r="E22" s="82" t="str">
        <f t="array" ref="E22">IFERROR(INDEX(Tableau8[Quantité :],SMALL(IF(panier!$C$13=Tableau8[Nr article],ROW(Tableau8[Nr article])-MIN(ROW(reception!$C$9))+1,""),ROWS(E$13:E20))),"")</f>
        <v/>
      </c>
      <c r="F22" s="91">
        <f>IF(SUM($E$15:E21)&gt;=$G$13,0,IF(SUM($F$15:F21,E22)&lt;=$G$13,E22,SUM($F$15:F21,E22)-$G$13))</f>
        <v>0</v>
      </c>
    </row>
    <row r="23" spans="2:6" ht="15" customHeight="1" thickBot="1" x14ac:dyDescent="0.3">
      <c r="B23" s="141"/>
      <c r="C23" s="82" t="str">
        <f t="array" ref="C23">IFERROR(INDEX(Tableau8[Lot],SMALL(IF(panier!$C$13=Tableau8[Nr article],ROW(Tableau8[Nr article])-MIN(ROW(reception!$C$9))+1,""),ROWS(C$13:C21))),"")</f>
        <v/>
      </c>
      <c r="D23" s="141"/>
      <c r="E23" s="82" t="str">
        <f t="array" ref="E23">IFERROR(INDEX(Tableau8[Quantité :],SMALL(IF(panier!$C$13=Tableau8[Nr article],ROW(Tableau8[Nr article])-MIN(ROW(reception!$C$9))+1,""),ROWS(E$13:E21))),"")</f>
        <v/>
      </c>
      <c r="F23" s="91">
        <f>IF(SUM($E$15:E22)&gt;=$G$13,0,IF(SUM($F$15:F22,E23)&lt;=$G$13,E23,SUM($F$15:F22,E23)-$G$13))</f>
        <v>0</v>
      </c>
    </row>
    <row r="24" spans="2:6" ht="15" customHeight="1" thickBot="1" x14ac:dyDescent="0.3">
      <c r="B24" s="141"/>
      <c r="C24" s="82" t="str">
        <f t="array" ref="C24">IFERROR(INDEX(Tableau8[Lot],SMALL(IF(panier!$C$13=Tableau8[Nr article],ROW(Tableau8[Nr article])-MIN(ROW(reception!$C$9))+1,""),ROWS(C$13:C22))),"")</f>
        <v/>
      </c>
      <c r="D24" s="141"/>
      <c r="E24" s="82" t="str">
        <f t="array" ref="E24">IFERROR(INDEX(Tableau8[Quantité :],SMALL(IF(panier!$C$13=Tableau8[Nr article],ROW(Tableau8[Nr article])-MIN(ROW(reception!$C$9))+1,""),ROWS(E$13:E22))),"")</f>
        <v/>
      </c>
      <c r="F24" s="91">
        <f>IF(SUM($E$15:E23)&gt;=$G$13,0,IF(SUM($F$15:F23,E24)&lt;=$G$13,E24,SUM($F$15:F23,E24)-$G$13))</f>
        <v>0</v>
      </c>
    </row>
    <row r="25" spans="2:6" ht="15" customHeight="1" thickBot="1" x14ac:dyDescent="0.3">
      <c r="B25" s="141"/>
      <c r="C25" s="82" t="str">
        <f t="array" ref="C25">IFERROR(INDEX(Tableau8[Lot],SMALL(IF(panier!$C$13=Tableau8[Nr article],ROW(Tableau8[Nr article])-MIN(ROW(reception!$C$9))+1,""),ROWS(C$13:C23))),"")</f>
        <v/>
      </c>
      <c r="D25" s="141"/>
      <c r="E25" s="82" t="str">
        <f t="array" ref="E25">IFERROR(INDEX(Tableau8[Quantité :],SMALL(IF(panier!$C$13=Tableau8[Nr article],ROW(Tableau8[Nr article])-MIN(ROW(reception!$C$9))+1,""),ROWS(E$13:E23))),"")</f>
        <v/>
      </c>
      <c r="F25" s="91">
        <f>IF(SUM($E$15:E24)&gt;=$G$13,0,IF(SUM($F$15:F24,E25)&lt;=$G$13,E25,SUM($F$15:F24,E25)-$G$13))</f>
        <v>0</v>
      </c>
    </row>
    <row r="26" spans="2:6" ht="15" customHeight="1" thickBot="1" x14ac:dyDescent="0.3">
      <c r="B26" s="141"/>
      <c r="C26" s="82" t="str">
        <f t="array" ref="C26">IFERROR(INDEX(Tableau8[Lot],SMALL(IF(panier!$C$13=Tableau8[Nr article],ROW(Tableau8[Nr article])-MIN(ROW(reception!$C$9))+1,""),ROWS(C$13:C24))),"")</f>
        <v/>
      </c>
      <c r="D26" s="141"/>
      <c r="E26" s="82" t="str">
        <f t="array" ref="E26">IFERROR(INDEX(Tableau8[Quantité :],SMALL(IF(panier!$C$13=Tableau8[Nr article],ROW(Tableau8[Nr article])-MIN(ROW(reception!$C$9))+1,""),ROWS(E$13:E24))),"")</f>
        <v/>
      </c>
      <c r="F26" s="91">
        <f>IF(SUM($E$15:E25)&gt;=$G$13,0,IF(SUM($F$15:F25,E26)&lt;=$G$13,E26,SUM($F$15:F25,E26)-$G$13))</f>
        <v>0</v>
      </c>
    </row>
    <row r="27" spans="2:6" ht="15" customHeight="1" thickBot="1" x14ac:dyDescent="0.3">
      <c r="B27" s="141"/>
      <c r="C27" s="82" t="str">
        <f t="array" ref="C27">IFERROR(INDEX(Tableau8[Lot],SMALL(IF(panier!$C$13=Tableau8[Nr article],ROW(Tableau8[Nr article])-MIN(ROW(reception!$C$9))+1,""),ROWS(C$13:C25))),"")</f>
        <v/>
      </c>
      <c r="D27" s="141"/>
      <c r="E27" s="82" t="str">
        <f t="array" ref="E27">IFERROR(INDEX(Tableau8[Quantité :],SMALL(IF(panier!$C$13=Tableau8[Nr article],ROW(Tableau8[Nr article])-MIN(ROW(reception!$C$9))+1,""),ROWS(E$13:E25))),"")</f>
        <v/>
      </c>
      <c r="F27" s="91">
        <f>IF(SUM($E$15:E26)&gt;=$G$13,0,IF(SUM($F$15:F26,E27)&lt;=$G$13,E27,SUM($F$15:F26,E27)-$G$13))</f>
        <v>0</v>
      </c>
    </row>
    <row r="28" spans="2:6" ht="15" customHeight="1" thickBot="1" x14ac:dyDescent="0.3">
      <c r="B28" s="141"/>
      <c r="C28" s="82" t="str">
        <f t="array" ref="C28">IFERROR(INDEX(Tableau8[Lot],SMALL(IF(panier!$C$13=Tableau8[Nr article],ROW(Tableau8[Nr article])-MIN(ROW(reception!$C$9))+1,""),ROWS(C$13:C26))),"")</f>
        <v/>
      </c>
      <c r="D28" s="141"/>
      <c r="E28" s="82" t="str">
        <f t="array" ref="E28">IFERROR(INDEX(Tableau8[Quantité :],SMALL(IF(panier!$C$13=Tableau8[Nr article],ROW(Tableau8[Nr article])-MIN(ROW(reception!$C$9))+1,""),ROWS(E$13:E26))),"")</f>
        <v/>
      </c>
      <c r="F28" s="91">
        <f>IF(SUM($E$15:E27)&gt;=$G$13,0,IF(SUM($F$15:F27,E28)&lt;=$G$13,E28,SUM($F$15:F27,E28)-$G$13))</f>
        <v>0</v>
      </c>
    </row>
    <row r="29" spans="2:6" ht="15" customHeight="1" thickBot="1" x14ac:dyDescent="0.3">
      <c r="B29" s="141"/>
      <c r="C29" s="82" t="str">
        <f t="array" ref="C29">IFERROR(INDEX(Tableau8[Lot],SMALL(IF(panier!$C$13=Tableau8[Nr article],ROW(Tableau8[Nr article])-MIN(ROW(reception!$C$9))+1,""),ROWS(C$13:C27))),"")</f>
        <v/>
      </c>
      <c r="D29" s="141"/>
      <c r="E29" s="82" t="str">
        <f t="array" ref="E29">IFERROR(INDEX(Tableau8[Quantité :],SMALL(IF(panier!$C$13=Tableau8[Nr article],ROW(Tableau8[Nr article])-MIN(ROW(reception!$C$9))+1,""),ROWS(E$13:E27))),"")</f>
        <v/>
      </c>
      <c r="F29" s="91">
        <f>IF(SUM($E$15:E28)&gt;=$G$13,0,IF(SUM($F$15:F28,E29)&lt;=$G$13,E29,SUM($F$15:F28,E29)-$G$13))</f>
        <v>0</v>
      </c>
    </row>
    <row r="30" spans="2:6" ht="15" customHeight="1" thickBot="1" x14ac:dyDescent="0.3">
      <c r="B30" s="141"/>
      <c r="C30" s="82" t="str">
        <f t="array" ref="C30">IFERROR(INDEX(Tableau8[Lot],SMALL(IF(panier!$C$13=Tableau8[Nr article],ROW(Tableau8[Nr article])-MIN(ROW(reception!$C$9))+1,""),ROWS(C$13:C28))),"")</f>
        <v/>
      </c>
      <c r="D30" s="141"/>
      <c r="E30" s="82" t="str">
        <f t="array" ref="E30">IFERROR(INDEX(Tableau8[Quantité :],SMALL(IF(panier!$C$13=Tableau8[Nr article],ROW(Tableau8[Nr article])-MIN(ROW(reception!$C$9))+1,""),ROWS(E$13:E28))),"")</f>
        <v/>
      </c>
      <c r="F30" s="91">
        <f>IF(SUM($E$15:E29)&gt;=$G$13,0,IF(SUM($F$15:F29,E30)&lt;=$G$13,E30,SUM($F$15:F29,E30)-$G$13))</f>
        <v>0</v>
      </c>
    </row>
    <row r="31" spans="2:6" ht="15" customHeight="1" thickBot="1" x14ac:dyDescent="0.3">
      <c r="B31" s="141"/>
      <c r="C31" s="82" t="str">
        <f t="array" ref="C31">IFERROR(INDEX(Tableau8[Lot],SMALL(IF(panier!$C$13=Tableau8[Nr article],ROW(Tableau8[Nr article])-MIN(ROW(reception!$C$9))+1,""),ROWS(C$13:C29))),"")</f>
        <v/>
      </c>
      <c r="D31" s="141"/>
      <c r="E31" s="82" t="str">
        <f t="array" ref="E31">IFERROR(INDEX(Tableau8[Quantité :],SMALL(IF(panier!$C$13=Tableau8[Nr article],ROW(Tableau8[Nr article])-MIN(ROW(reception!$C$9))+1,""),ROWS(E$13:E29))),"")</f>
        <v/>
      </c>
      <c r="F31" s="91">
        <f>IF(SUM($E$15:E30)&gt;=$G$13,0,IF(SUM($F$15:F30,E31)&lt;=$G$13,E31,SUM($F$15:F30,E31)-$G$13))</f>
        <v>0</v>
      </c>
    </row>
    <row r="32" spans="2:6" ht="15" customHeight="1" thickBot="1" x14ac:dyDescent="0.3">
      <c r="B32" s="141"/>
      <c r="C32" s="82" t="str">
        <f t="array" ref="C32">IFERROR(INDEX(Tableau8[Lot],SMALL(IF(panier!$C$13=Tableau8[Nr article],ROW(Tableau8[Nr article])-MIN(ROW(reception!$C$9))+1,""),ROWS(C$13:C30))),"")</f>
        <v/>
      </c>
      <c r="D32" s="141"/>
      <c r="E32" s="82" t="str">
        <f t="array" ref="E32">IFERROR(INDEX(Tableau8[Quantité :],SMALL(IF(panier!$C$13=Tableau8[Nr article],ROW(Tableau8[Nr article])-MIN(ROW(reception!$C$9))+1,""),ROWS(E$13:E30))),"")</f>
        <v/>
      </c>
      <c r="F32" s="91">
        <f>IF(SUM($E$15:E31)&gt;=$G$13,0,IF(SUM($F$15:F31,E32)&lt;=$G$13,E32,SUM($F$15:F31,E32)-$G$13))</f>
        <v>0</v>
      </c>
    </row>
    <row r="33" spans="2:9" ht="15" customHeight="1" thickBot="1" x14ac:dyDescent="0.3">
      <c r="B33" s="141"/>
      <c r="C33" s="82" t="str">
        <f t="array" ref="C33">IFERROR(INDEX(Tableau8[Lot],SMALL(IF(panier!$C$13=Tableau8[Nr article],ROW(Tableau8[Nr article])-MIN(ROW(reception!$C$9))+1,""),ROWS(C$13:C31))),"")</f>
        <v/>
      </c>
      <c r="D33" s="141"/>
      <c r="E33" s="82" t="str">
        <f t="array" ref="E33">IFERROR(INDEX(Tableau8[Quantité :],SMALL(IF(panier!$C$13=Tableau8[Nr article],ROW(Tableau8[Nr article])-MIN(ROW(reception!$C$9))+1,""),ROWS(E$13:E31))),"")</f>
        <v/>
      </c>
      <c r="F33" s="91">
        <f>IF(SUM($E$15:E32)&gt;=$G$13,0,IF(SUM($F$15:F32,E33)&lt;=$G$13,E33,SUM($F$15:F32,E33)-$G$13))</f>
        <v>0</v>
      </c>
    </row>
    <row r="34" spans="2:9" ht="15" customHeight="1" thickBot="1" x14ac:dyDescent="0.3">
      <c r="B34" s="141"/>
      <c r="C34" s="82" t="str">
        <f t="array" ref="C34">IFERROR(INDEX(Tableau8[Lot],SMALL(IF(panier!$C$13=Tableau8[Nr article],ROW(Tableau8[Nr article])-MIN(ROW(reception!$C$9))+1,""),ROWS(C$13:C32))),"")</f>
        <v/>
      </c>
      <c r="D34" s="141"/>
      <c r="E34" s="82" t="str">
        <f t="array" ref="E34">IFERROR(INDEX(Tableau8[Quantité :],SMALL(IF(panier!$C$13=Tableau8[Nr article],ROW(Tableau8[Nr article])-MIN(ROW(reception!$C$9))+1,""),ROWS(E$13:E32))),"")</f>
        <v/>
      </c>
      <c r="F34" s="91">
        <f>IF(SUM($E$15:E33)&gt;=$G$13,0,IF(SUM($F$15:F33,E34)&lt;=$G$13,E34,SUM($F$15:F33,E34)-$G$13))</f>
        <v>0</v>
      </c>
    </row>
    <row r="35" spans="2:9" ht="15" customHeight="1" thickBot="1" x14ac:dyDescent="0.3">
      <c r="B35" s="142"/>
      <c r="C35" s="82" t="str">
        <f t="array" ref="C35">IFERROR(INDEX(Tableau8[Lot],SMALL(IF(panier!$C$13=Tableau8[Nr article],ROW(Tableau8[Nr article])-MIN(ROW(reception!$C$9))+1,""),ROWS(C$13:C33))),"")</f>
        <v/>
      </c>
      <c r="D35" s="142"/>
      <c r="E35" s="82" t="str">
        <f t="array" ref="E35">IFERROR(INDEX(Tableau8[Quantité :],SMALL(IF(panier!$C$13=Tableau8[Nr article],ROW(Tableau8[Nr article])-MIN(ROW(reception!$C$9))+1,""),ROWS(E$13:E33))),"")</f>
        <v/>
      </c>
      <c r="F35" s="91">
        <f>IF(SUM($E$15:E34)&gt;=$G$13,0,IF(SUM($F$15:F34,E35)&lt;=$G$13,E35,SUM($F$15:F34,E35)-$G$13))</f>
        <v>0</v>
      </c>
    </row>
    <row r="36" spans="2:9" ht="15" customHeight="1" x14ac:dyDescent="0.25">
      <c r="B36" s="122"/>
      <c r="C36" s="123"/>
      <c r="D36" s="123"/>
      <c r="E36" s="124"/>
      <c r="F36" s="131" t="str">
        <f>IFERROR(INDEX(Tableau1[Description],MATCH(panier!C13,Tableau1[Nr article],0)),"")</f>
        <v/>
      </c>
      <c r="G36" s="132"/>
      <c r="H36" s="132"/>
      <c r="I36" s="133"/>
    </row>
    <row r="37" spans="2:9" ht="15" customHeight="1" x14ac:dyDescent="0.25">
      <c r="B37" s="125"/>
      <c r="C37" s="126"/>
      <c r="D37" s="126"/>
      <c r="E37" s="127"/>
      <c r="F37" s="134"/>
      <c r="G37" s="135"/>
      <c r="H37" s="135"/>
      <c r="I37" s="136"/>
    </row>
    <row r="38" spans="2:9" ht="15" customHeight="1" x14ac:dyDescent="0.25">
      <c r="B38" s="125"/>
      <c r="C38" s="126"/>
      <c r="D38" s="126"/>
      <c r="E38" s="127"/>
      <c r="F38" s="134"/>
      <c r="G38" s="135"/>
      <c r="H38" s="135"/>
      <c r="I38" s="136"/>
    </row>
    <row r="39" spans="2:9" ht="15" customHeight="1" x14ac:dyDescent="0.25">
      <c r="B39" s="125"/>
      <c r="C39" s="126"/>
      <c r="D39" s="126"/>
      <c r="E39" s="127"/>
      <c r="F39" s="134"/>
      <c r="G39" s="135"/>
      <c r="H39" s="135"/>
      <c r="I39" s="136"/>
    </row>
    <row r="40" spans="2:9" ht="15" customHeight="1" x14ac:dyDescent="0.25">
      <c r="B40" s="125"/>
      <c r="C40" s="126"/>
      <c r="D40" s="126"/>
      <c r="E40" s="127"/>
      <c r="F40" s="134"/>
      <c r="G40" s="135"/>
      <c r="H40" s="135"/>
      <c r="I40" s="136"/>
    </row>
    <row r="41" spans="2:9" ht="15" customHeight="1" x14ac:dyDescent="0.25">
      <c r="B41" s="125"/>
      <c r="C41" s="126"/>
      <c r="D41" s="126"/>
      <c r="E41" s="127"/>
      <c r="F41" s="134"/>
      <c r="G41" s="135"/>
      <c r="H41" s="135"/>
      <c r="I41" s="136"/>
    </row>
    <row r="42" spans="2:9" ht="15" customHeight="1" x14ac:dyDescent="0.25">
      <c r="B42" s="125"/>
      <c r="C42" s="126"/>
      <c r="D42" s="126"/>
      <c r="E42" s="127"/>
      <c r="F42" s="134"/>
      <c r="G42" s="135"/>
      <c r="H42" s="135"/>
      <c r="I42" s="136"/>
    </row>
    <row r="43" spans="2:9" ht="15" customHeight="1" x14ac:dyDescent="0.25">
      <c r="B43" s="125"/>
      <c r="C43" s="126"/>
      <c r="D43" s="126"/>
      <c r="E43" s="127"/>
      <c r="F43" s="134"/>
      <c r="G43" s="135"/>
      <c r="H43" s="135"/>
      <c r="I43" s="136"/>
    </row>
    <row r="44" spans="2:9" ht="15" customHeight="1" x14ac:dyDescent="0.25">
      <c r="B44" s="125"/>
      <c r="C44" s="126"/>
      <c r="D44" s="126"/>
      <c r="E44" s="127"/>
      <c r="F44" s="134"/>
      <c r="G44" s="135"/>
      <c r="H44" s="135"/>
      <c r="I44" s="136"/>
    </row>
    <row r="45" spans="2:9" ht="15" customHeight="1" thickBot="1" x14ac:dyDescent="0.3">
      <c r="B45" s="128"/>
      <c r="C45" s="129"/>
      <c r="D45" s="129"/>
      <c r="E45" s="130"/>
      <c r="F45" s="137"/>
      <c r="G45" s="138"/>
      <c r="H45" s="138"/>
      <c r="I45" s="139"/>
    </row>
  </sheetData>
  <mergeCells count="5">
    <mergeCell ref="F3:I8"/>
    <mergeCell ref="B36:E45"/>
    <mergeCell ref="F36:I45"/>
    <mergeCell ref="B15:B35"/>
    <mergeCell ref="D15:D35"/>
  </mergeCells>
  <dataValidations count="2">
    <dataValidation type="list" allowBlank="1" showInputMessage="1" showErrorMessage="1" sqref="C5">
      <formula1>nr_client</formula1>
    </dataValidation>
    <dataValidation type="list" allowBlank="1" showInputMessage="1" showErrorMessage="1" sqref="C13">
      <formula1>nr_art_reception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96" r:id="rId4" name="CommandButton2">
          <controlPr defaultSize="0" autoLine="0" r:id="rId5">
            <anchor moveWithCells="1">
              <from>
                <xdr:col>15</xdr:col>
                <xdr:colOff>247650</xdr:colOff>
                <xdr:row>2</xdr:row>
                <xdr:rowOff>0</xdr:rowOff>
              </from>
              <to>
                <xdr:col>16</xdr:col>
                <xdr:colOff>409575</xdr:colOff>
                <xdr:row>4</xdr:row>
                <xdr:rowOff>123825</xdr:rowOff>
              </to>
            </anchor>
          </controlPr>
        </control>
      </mc:Choice>
      <mc:Fallback>
        <control shapeId="6196" r:id="rId4" name="CommandButton2"/>
      </mc:Fallback>
    </mc:AlternateContent>
    <mc:AlternateContent xmlns:mc="http://schemas.openxmlformats.org/markup-compatibility/2006">
      <mc:Choice Requires="x14">
        <control shapeId="6163" r:id="rId6" name="CommandButton1">
          <controlPr defaultSize="0" autoLine="0" r:id="rId7">
            <anchor moveWithCells="1">
              <from>
                <xdr:col>7</xdr:col>
                <xdr:colOff>428625</xdr:colOff>
                <xdr:row>12</xdr:row>
                <xdr:rowOff>9525</xdr:rowOff>
              </from>
              <to>
                <xdr:col>9</xdr:col>
                <xdr:colOff>28575</xdr:colOff>
                <xdr:row>12</xdr:row>
                <xdr:rowOff>552450</xdr:rowOff>
              </to>
            </anchor>
          </controlPr>
        </control>
      </mc:Choice>
      <mc:Fallback>
        <control shapeId="6163" r:id="rId6" name="CommandButton1"/>
      </mc:Fallback>
    </mc:AlternateContent>
  </controls>
  <tableParts count="1">
    <tablePart r:id="rId8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I48"/>
  <sheetViews>
    <sheetView tabSelected="1" zoomScale="80" zoomScaleNormal="80" workbookViewId="0">
      <selection activeCell="I3" sqref="I3"/>
    </sheetView>
  </sheetViews>
  <sheetFormatPr baseColWidth="10" defaultColWidth="14.28515625" defaultRowHeight="15.75" x14ac:dyDescent="0.25"/>
  <cols>
    <col min="1" max="1" width="1.28515625" style="5" customWidth="1"/>
    <col min="2" max="2" width="21.5703125" style="5" customWidth="1"/>
    <col min="3" max="3" width="34.85546875" style="5" customWidth="1"/>
    <col min="4" max="4" width="15.85546875" style="5" customWidth="1"/>
    <col min="5" max="5" width="21.7109375" style="5" customWidth="1"/>
    <col min="6" max="6" width="31.140625" style="5" customWidth="1"/>
    <col min="7" max="7" width="14.28515625" style="5"/>
    <col min="8" max="8" width="24.140625" style="5" customWidth="1"/>
    <col min="9" max="9" width="21.28515625" style="5" customWidth="1"/>
    <col min="10" max="16384" width="14.28515625" style="5"/>
  </cols>
  <sheetData>
    <row r="1" spans="2:9" ht="86.25" customHeight="1" x14ac:dyDescent="0.25"/>
    <row r="2" spans="2:9" ht="16.5" thickBot="1" x14ac:dyDescent="0.3"/>
    <row r="3" spans="2:9" ht="16.5" thickBot="1" x14ac:dyDescent="0.3">
      <c r="E3" s="61" t="s">
        <v>55</v>
      </c>
      <c r="F3" s="89">
        <f>IFERROR(INDEX(suivi_facture!C4:C8,MATCH(facture!C11,suivi_facture!B4:B8,0)),"")</f>
        <v>11551</v>
      </c>
      <c r="H3" s="63" t="s">
        <v>75</v>
      </c>
      <c r="I3" s="64" t="str">
        <f>IFERROR(INDEX(Tableau5[Reste],MATCH(facture!C11,Tableau5[Nr facture],0)),"")</f>
        <v/>
      </c>
    </row>
    <row r="4" spans="2:9" ht="16.5" thickBot="1" x14ac:dyDescent="0.3">
      <c r="E4" s="61" t="s">
        <v>56</v>
      </c>
      <c r="F4" s="143" t="str">
        <f>IFERROR(INDEX(client!Q4:Q8,MATCH(facture!F3,client!B4:B8,0)),"")</f>
        <v>PHARMASTORE S.A.R.L.
BP : 300 
Docteur LATIF Sani - Maradi
Niger
Tél. : 20 410 257  -  Cel : 96 59 24 54</v>
      </c>
      <c r="H4" s="65"/>
      <c r="I4" s="66"/>
    </row>
    <row r="5" spans="2:9" ht="16.5" thickBot="1" x14ac:dyDescent="0.3">
      <c r="E5" s="61" t="s">
        <v>57</v>
      </c>
      <c r="F5" s="143"/>
      <c r="H5" s="63" t="s">
        <v>76</v>
      </c>
      <c r="I5" s="67" t="s">
        <v>45</v>
      </c>
    </row>
    <row r="6" spans="2:9" ht="16.5" thickBot="1" x14ac:dyDescent="0.3">
      <c r="E6" s="61" t="s">
        <v>58</v>
      </c>
      <c r="F6" s="143"/>
      <c r="H6" s="65"/>
      <c r="I6" s="66"/>
    </row>
    <row r="7" spans="2:9" ht="16.5" thickBot="1" x14ac:dyDescent="0.3">
      <c r="E7" s="61" t="s">
        <v>59</v>
      </c>
      <c r="F7" s="143"/>
      <c r="H7" s="63" t="s">
        <v>77</v>
      </c>
      <c r="I7" s="64"/>
    </row>
    <row r="8" spans="2:9" x14ac:dyDescent="0.25">
      <c r="E8" s="61" t="s">
        <v>60</v>
      </c>
      <c r="F8" s="143"/>
      <c r="H8" s="122"/>
      <c r="I8" s="124"/>
    </row>
    <row r="9" spans="2:9" x14ac:dyDescent="0.25">
      <c r="E9" s="61" t="s">
        <v>61</v>
      </c>
      <c r="F9" s="143"/>
      <c r="H9" s="125"/>
      <c r="I9" s="127"/>
    </row>
    <row r="10" spans="2:9" x14ac:dyDescent="0.25">
      <c r="H10" s="125"/>
      <c r="I10" s="127"/>
    </row>
    <row r="11" spans="2:9" ht="16.5" thickBot="1" x14ac:dyDescent="0.3">
      <c r="B11" s="7" t="s">
        <v>62</v>
      </c>
      <c r="C11" s="62">
        <v>16</v>
      </c>
      <c r="D11" s="61" t="s">
        <v>63</v>
      </c>
      <c r="E11" s="68">
        <f>IFERROR(INDEX(Tableau5[Date],MATCH(facture!C11,Tableau5[Nr facture],0)),"")</f>
        <v>44336.000625000001</v>
      </c>
      <c r="F11" s="62" t="s">
        <v>69</v>
      </c>
      <c r="H11" s="128"/>
      <c r="I11" s="130"/>
    </row>
    <row r="12" spans="2:9" ht="5.25" customHeight="1" x14ac:dyDescent="0.25">
      <c r="B12" s="69"/>
      <c r="C12" s="69"/>
      <c r="D12" s="69"/>
      <c r="E12" s="69"/>
      <c r="F12" s="69"/>
    </row>
    <row r="13" spans="2:9" ht="7.5" customHeight="1" x14ac:dyDescent="0.25"/>
    <row r="14" spans="2:9" x14ac:dyDescent="0.25">
      <c r="B14" s="70" t="s">
        <v>64</v>
      </c>
      <c r="C14" s="70" t="s">
        <v>65</v>
      </c>
      <c r="D14" s="70" t="s">
        <v>66</v>
      </c>
      <c r="E14" s="70" t="s">
        <v>67</v>
      </c>
      <c r="F14" s="70" t="s">
        <v>68</v>
      </c>
    </row>
    <row r="15" spans="2:9" x14ac:dyDescent="0.25">
      <c r="B15" s="71" t="str">
        <f t="array" ref="B15">IFERROR(INDEX(Tableau4[Nr article],SMALL(IF(Tableau4[Nr facture]=facture!$C$11,ROW(Tableau4[Nr facture])-ROW(historique_vente!$C$4)+1,""),ROWS($B$15:B15))),"")</f>
        <v>PF_COTR4801</v>
      </c>
      <c r="C15" s="71" t="str">
        <f t="array" ref="C15">IFERROR(INDEX(Tableau4[article],SMALL(IF(Tableau4[Nr facture]=facture!$C$11,ROW(Tableau4[Nr facture])-ROW(historique_vente!$C$4)+1,""),ROWS($B$15:C15))),"")</f>
        <v>Cotrimoxazole 480 mg, Blister, 100 × 10</v>
      </c>
      <c r="D15" s="71">
        <f t="array" ref="D15">IFERROR(INDEX(Tableau4[Prix htva],SMALL(IF(Tableau4[Nr facture]=facture!$C$11,ROW(Tableau4[Nr facture])-ROW(historique_vente!$C$4)+1,""),ROWS($B$15:D15))),"")</f>
        <v>1050</v>
      </c>
      <c r="E15" s="71">
        <f t="array" ref="E15">IFERROR(INDEX(Tableau4[Nombre],SMALL(IF(Tableau4[Nr facture]=facture!$C$11,ROW(Tableau4[Nr facture])-ROW(historique_vente!$C$4)+1,""),ROWS($B$15:E15))),"")</f>
        <v>7</v>
      </c>
      <c r="F15" s="71">
        <f>IFERROR((E15*D15),"")</f>
        <v>7350</v>
      </c>
    </row>
    <row r="16" spans="2:9" x14ac:dyDescent="0.25">
      <c r="B16" s="71" t="str">
        <f t="array" ref="B16">IFERROR(INDEX(Tableau4[Nr article],SMALL(IF(Tableau4[Nr facture]=facture!$C$11,ROW(Tableau4[Nr facture])-ROW(historique_vente!$C$4)+1,""),ROWS($B$15:B16))),"")</f>
        <v>PF_DICL0501</v>
      </c>
      <c r="C16" s="71" t="str">
        <f t="array" ref="C16">IFERROR(INDEX(Tableau4[article],SMALL(IF(Tableau4[Nr facture]=facture!$C$11,ROW(Tableau4[Nr facture])-ROW(historique_vente!$C$4)+1,""),ROWS($B$15:C16))),"")</f>
        <v>Diclofenac Sodium 50 mg, Blister, 100 × 10</v>
      </c>
      <c r="D16" s="71">
        <f t="array" ref="D16">IFERROR(INDEX(Tableau4[Prix htva],SMALL(IF(Tableau4[Nr facture]=facture!$C$11,ROW(Tableau4[Nr facture])-ROW(historique_vente!$C$4)+1,""),ROWS($B$15:D16))),"")</f>
        <v>4.2</v>
      </c>
      <c r="E16" s="71">
        <f t="array" ref="E16">IFERROR(INDEX(Tableau4[Nombre],SMALL(IF(Tableau4[Nr facture]=facture!$C$11,ROW(Tableau4[Nr facture])-ROW(historique_vente!$C$4)+1,""),ROWS($B$15:E16))),"")</f>
        <v>10</v>
      </c>
      <c r="F16" s="71">
        <f t="shared" ref="F16:F39" si="0">IFERROR((E16*D16),"")</f>
        <v>42</v>
      </c>
    </row>
    <row r="17" spans="2:6" x14ac:dyDescent="0.25">
      <c r="B17" s="71" t="str">
        <f t="array" ref="B17">IFERROR(INDEX(Tableau4[Nr article],SMALL(IF(Tableau4[Nr facture]=facture!$C$11,ROW(Tableau4[Nr facture])-ROW(historique_vente!$C$4)+1,""),ROWS($B$15:B17))),"")</f>
        <v>PF_PARA5001</v>
      </c>
      <c r="C17" s="71" t="str">
        <f t="array" ref="C17">IFERROR(INDEX(Tableau4[article],SMALL(IF(Tableau4[Nr facture]=facture!$C$11,ROW(Tableau4[Nr facture])-ROW(historique_vente!$C$4)+1,""),ROWS($B$15:C17))),"")</f>
        <v>Paracetamol 500 mg, Blister, 100 × 10</v>
      </c>
      <c r="D17" s="71">
        <f t="array" ref="D17">IFERROR(INDEX(Tableau4[Prix htva],SMALL(IF(Tableau4[Nr facture]=facture!$C$11,ROW(Tableau4[Nr facture])-ROW(historique_vente!$C$4)+1,""),ROWS($B$15:D17))),"")</f>
        <v>4.0949999999999998</v>
      </c>
      <c r="E17" s="71">
        <f t="array" ref="E17">IFERROR(INDEX(Tableau4[Nombre],SMALL(IF(Tableau4[Nr facture]=facture!$C$11,ROW(Tableau4[Nr facture])-ROW(historique_vente!$C$4)+1,""),ROWS($B$15:E17))),"")</f>
        <v>15</v>
      </c>
      <c r="F17" s="71">
        <f t="shared" si="0"/>
        <v>61.424999999999997</v>
      </c>
    </row>
    <row r="18" spans="2:6" x14ac:dyDescent="0.25">
      <c r="B18" s="71" t="str">
        <f t="array" ref="B18">IFERROR(INDEX(Tableau4[Nr article],SMALL(IF(Tableau4[Nr facture]=facture!$C$11,ROW(Tableau4[Nr facture])-ROW(historique_vente!$C$4)+1,""),ROWS($B$15:B18))),"")</f>
        <v/>
      </c>
      <c r="C18" s="71" t="str">
        <f t="array" ref="C18">IFERROR(INDEX(Tableau4[article],SMALL(IF(Tableau4[Nr facture]=facture!$C$11,ROW(Tableau4[Nr facture])-ROW(historique_vente!$C$4)+1,""),ROWS($B$15:C18))),"")</f>
        <v/>
      </c>
      <c r="D18" s="71" t="str">
        <f t="array" ref="D18">IFERROR(INDEX(Tableau4[Prix htva],SMALL(IF(Tableau4[Nr facture]=facture!$C$11,ROW(Tableau4[Nr facture])-ROW(historique_vente!$C$4)+1,""),ROWS($B$15:D18))),"")</f>
        <v/>
      </c>
      <c r="E18" s="71" t="str">
        <f t="array" ref="E18">IFERROR(INDEX(Tableau4[Nombre],SMALL(IF(Tableau4[Nr facture]=facture!$C$11,ROW(Tableau4[Nr facture])-ROW(historique_vente!$C$4)+1,""),ROWS($B$15:E18))),"")</f>
        <v/>
      </c>
      <c r="F18" s="71" t="str">
        <f t="shared" si="0"/>
        <v/>
      </c>
    </row>
    <row r="19" spans="2:6" x14ac:dyDescent="0.25">
      <c r="B19" s="71" t="str">
        <f t="array" ref="B19">IFERROR(INDEX(Tableau4[Nr article],SMALL(IF(Tableau4[Nr facture]=facture!$C$11,ROW(Tableau4[Nr facture])-ROW(historique_vente!$C$4)+1,""),ROWS($B$15:B19))),"")</f>
        <v/>
      </c>
      <c r="C19" s="71" t="str">
        <f t="array" ref="C19">IFERROR(INDEX(Tableau4[article],SMALL(IF(Tableau4[Nr facture]=facture!$C$11,ROW(Tableau4[Nr facture])-ROW(historique_vente!$C$4)+1,""),ROWS($B$15:C19))),"")</f>
        <v/>
      </c>
      <c r="D19" s="71" t="str">
        <f t="array" ref="D19">IFERROR(INDEX(Tableau4[Prix htva],SMALL(IF(Tableau4[Nr facture]=facture!$C$11,ROW(Tableau4[Nr facture])-ROW(historique_vente!$C$4)+1,""),ROWS($B$15:D19))),"")</f>
        <v/>
      </c>
      <c r="E19" s="71" t="str">
        <f t="array" ref="E19">IFERROR(INDEX(Tableau4[Nombre],SMALL(IF(Tableau4[Nr facture]=facture!$C$11,ROW(Tableau4[Nr facture])-ROW(historique_vente!$C$4)+1,""),ROWS($B$15:E19))),"")</f>
        <v/>
      </c>
      <c r="F19" s="71" t="str">
        <f t="shared" si="0"/>
        <v/>
      </c>
    </row>
    <row r="20" spans="2:6" x14ac:dyDescent="0.25">
      <c r="B20" s="71" t="str">
        <f t="array" ref="B20">IFERROR(INDEX(Tableau4[Nr article],SMALL(IF(Tableau4[Nr facture]=facture!$C$11,ROW(Tableau4[Nr facture])-ROW(historique_vente!$C$4)+1,""),ROWS($B$15:B20))),"")</f>
        <v/>
      </c>
      <c r="C20" s="71" t="str">
        <f t="array" ref="C20">IFERROR(INDEX(Tableau4[article],SMALL(IF(Tableau4[Nr facture]=facture!$C$11,ROW(Tableau4[Nr facture])-ROW(historique_vente!$C$4)+1,""),ROWS($B$15:C20))),"")</f>
        <v/>
      </c>
      <c r="D20" s="71" t="str">
        <f t="array" ref="D20">IFERROR(INDEX(Tableau4[Prix htva],SMALL(IF(Tableau4[Nr facture]=facture!$C$11,ROW(Tableau4[Nr facture])-ROW(historique_vente!$C$4)+1,""),ROWS($B$15:D20))),"")</f>
        <v/>
      </c>
      <c r="E20" s="71" t="str">
        <f t="array" ref="E20">IFERROR(INDEX(Tableau4[Nombre],SMALL(IF(Tableau4[Nr facture]=facture!$C$11,ROW(Tableau4[Nr facture])-ROW(historique_vente!$C$4)+1,""),ROWS($B$15:E20))),"")</f>
        <v/>
      </c>
      <c r="F20" s="71" t="str">
        <f t="shared" si="0"/>
        <v/>
      </c>
    </row>
    <row r="21" spans="2:6" x14ac:dyDescent="0.25">
      <c r="B21" s="71" t="str">
        <f t="array" ref="B21">IFERROR(INDEX(Tableau4[Nr article],SMALL(IF(Tableau4[Nr facture]=facture!$C$11,ROW(Tableau4[Nr facture])-ROW(historique_vente!$C$4)+1,""),ROWS($B$15:B21))),"")</f>
        <v/>
      </c>
      <c r="C21" s="71" t="str">
        <f t="array" ref="C21">IFERROR(INDEX(Tableau4[article],SMALL(IF(Tableau4[Nr facture]=facture!$C$11,ROW(Tableau4[Nr facture])-ROW(historique_vente!$C$4)+1,""),ROWS($B$15:C21))),"")</f>
        <v/>
      </c>
      <c r="D21" s="71" t="str">
        <f t="array" ref="D21">IFERROR(INDEX(Tableau4[Prix htva],SMALL(IF(Tableau4[Nr facture]=facture!$C$11,ROW(Tableau4[Nr facture])-ROW(historique_vente!$C$4)+1,""),ROWS($B$15:D21))),"")</f>
        <v/>
      </c>
      <c r="E21" s="71" t="str">
        <f t="array" ref="E21">IFERROR(INDEX(Tableau4[Nombre],SMALL(IF(Tableau4[Nr facture]=facture!$C$11,ROW(Tableau4[Nr facture])-ROW(historique_vente!$C$4)+1,""),ROWS($B$15:E21))),"")</f>
        <v/>
      </c>
      <c r="F21" s="71" t="str">
        <f t="shared" si="0"/>
        <v/>
      </c>
    </row>
    <row r="22" spans="2:6" x14ac:dyDescent="0.25">
      <c r="B22" s="71" t="str">
        <f t="array" ref="B22">IFERROR(INDEX(Tableau4[Nr article],SMALL(IF(Tableau4[Nr facture]=facture!$C$11,ROW(Tableau4[Nr facture])-ROW(historique_vente!$C$4)+1,""),ROWS($B$15:B22))),"")</f>
        <v/>
      </c>
      <c r="C22" s="71" t="str">
        <f t="array" ref="C22">IFERROR(INDEX(Tableau4[article],SMALL(IF(Tableau4[Nr facture]=facture!$C$11,ROW(Tableau4[Nr facture])-ROW(historique_vente!$C$4)+1,""),ROWS($B$15:C22))),"")</f>
        <v/>
      </c>
      <c r="D22" s="71" t="str">
        <f t="array" ref="D22">IFERROR(INDEX(Tableau4[Prix htva],SMALL(IF(Tableau4[Nr facture]=facture!$C$11,ROW(Tableau4[Nr facture])-ROW(historique_vente!$C$4)+1,""),ROWS($B$15:D22))),"")</f>
        <v/>
      </c>
      <c r="E22" s="71" t="str">
        <f t="array" ref="E22">IFERROR(INDEX(Tableau4[Nombre],SMALL(IF(Tableau4[Nr facture]=facture!$C$11,ROW(Tableau4[Nr facture])-ROW(historique_vente!$C$4)+1,""),ROWS($B$15:E22))),"")</f>
        <v/>
      </c>
      <c r="F22" s="71" t="str">
        <f t="shared" si="0"/>
        <v/>
      </c>
    </row>
    <row r="23" spans="2:6" x14ac:dyDescent="0.25">
      <c r="B23" s="71" t="str">
        <f t="array" ref="B23">IFERROR(INDEX(Tableau4[Nr article],SMALL(IF(Tableau4[Nr facture]=facture!$C$11,ROW(Tableau4[Nr facture])-ROW(historique_vente!$C$4)+1,""),ROWS($B$15:B23))),"")</f>
        <v/>
      </c>
      <c r="C23" s="71" t="str">
        <f t="array" ref="C23">IFERROR(INDEX(Tableau4[article],SMALL(IF(Tableau4[Nr facture]=facture!$C$11,ROW(Tableau4[Nr facture])-ROW(historique_vente!$C$4)+1,""),ROWS($B$15:C23))),"")</f>
        <v/>
      </c>
      <c r="D23" s="71" t="str">
        <f t="array" ref="D23">IFERROR(INDEX(Tableau4[Prix htva],SMALL(IF(Tableau4[Nr facture]=facture!$C$11,ROW(Tableau4[Nr facture])-ROW(historique_vente!$C$4)+1,""),ROWS($B$15:D23))),"")</f>
        <v/>
      </c>
      <c r="E23" s="71" t="str">
        <f t="array" ref="E23">IFERROR(INDEX(Tableau4[Nombre],SMALL(IF(Tableau4[Nr facture]=facture!$C$11,ROW(Tableau4[Nr facture])-ROW(historique_vente!$C$4)+1,""),ROWS($B$15:E23))),"")</f>
        <v/>
      </c>
      <c r="F23" s="71" t="str">
        <f t="shared" si="0"/>
        <v/>
      </c>
    </row>
    <row r="24" spans="2:6" x14ac:dyDescent="0.25">
      <c r="B24" s="71" t="str">
        <f t="array" ref="B24">IFERROR(INDEX(Tableau4[Nr article],SMALL(IF(Tableau4[Nr facture]=facture!$C$11,ROW(Tableau4[Nr facture])-ROW(historique_vente!$C$4)+1,""),ROWS($B$15:B24))),"")</f>
        <v/>
      </c>
      <c r="C24" s="71" t="str">
        <f t="array" ref="C24">IFERROR(INDEX(Tableau4[article],SMALL(IF(Tableau4[Nr facture]=facture!$C$11,ROW(Tableau4[Nr facture])-ROW(historique_vente!$C$4)+1,""),ROWS($B$15:C24))),"")</f>
        <v/>
      </c>
      <c r="D24" s="71" t="str">
        <f t="array" ref="D24">IFERROR(INDEX(Tableau4[Prix htva],SMALL(IF(Tableau4[Nr facture]=facture!$C$11,ROW(Tableau4[Nr facture])-ROW(historique_vente!$C$4)+1,""),ROWS($B$15:D24))),"")</f>
        <v/>
      </c>
      <c r="E24" s="71" t="str">
        <f t="array" ref="E24">IFERROR(INDEX(Tableau4[Nombre],SMALL(IF(Tableau4[Nr facture]=facture!$C$11,ROW(Tableau4[Nr facture])-ROW(historique_vente!$C$4)+1,""),ROWS($B$15:E24))),"")</f>
        <v/>
      </c>
      <c r="F24" s="71" t="str">
        <f t="shared" si="0"/>
        <v/>
      </c>
    </row>
    <row r="25" spans="2:6" x14ac:dyDescent="0.25">
      <c r="B25" s="71" t="str">
        <f t="array" ref="B25">IFERROR(INDEX(Tableau4[Nr article],SMALL(IF(Tableau4[Nr facture]=facture!$C$11,ROW(Tableau4[Nr facture])-ROW(historique_vente!$C$4)+1,""),ROWS($B$15:B25))),"")</f>
        <v/>
      </c>
      <c r="C25" s="71" t="str">
        <f t="array" ref="C25">IFERROR(INDEX(Tableau4[article],SMALL(IF(Tableau4[Nr facture]=facture!$C$11,ROW(Tableau4[Nr facture])-ROW(historique_vente!$C$4)+1,""),ROWS($B$15:C25))),"")</f>
        <v/>
      </c>
      <c r="D25" s="71" t="str">
        <f t="array" ref="D25">IFERROR(INDEX(Tableau4[Prix htva],SMALL(IF(Tableau4[Nr facture]=facture!$C$11,ROW(Tableau4[Nr facture])-ROW(historique_vente!$C$4)+1,""),ROWS($B$15:D25))),"")</f>
        <v/>
      </c>
      <c r="E25" s="71" t="str">
        <f t="array" ref="E25">IFERROR(INDEX(Tableau4[Nombre],SMALL(IF(Tableau4[Nr facture]=facture!$C$11,ROW(Tableau4[Nr facture])-ROW(historique_vente!$C$4)+1,""),ROWS($B$15:E25))),"")</f>
        <v/>
      </c>
      <c r="F25" s="71" t="str">
        <f t="shared" si="0"/>
        <v/>
      </c>
    </row>
    <row r="26" spans="2:6" x14ac:dyDescent="0.25">
      <c r="B26" s="71" t="str">
        <f t="array" ref="B26">IFERROR(INDEX(Tableau4[Nr article],SMALL(IF(Tableau4[Nr facture]=facture!$C$11,ROW(Tableau4[Nr facture])-ROW(historique_vente!$C$4)+1,""),ROWS($B$15:B26))),"")</f>
        <v/>
      </c>
      <c r="C26" s="71" t="str">
        <f t="array" ref="C26">IFERROR(INDEX(Tableau4[article],SMALL(IF(Tableau4[Nr facture]=facture!$C$11,ROW(Tableau4[Nr facture])-ROW(historique_vente!$C$4)+1,""),ROWS($B$15:C26))),"")</f>
        <v/>
      </c>
      <c r="D26" s="71" t="str">
        <f t="array" ref="D26">IFERROR(INDEX(Tableau4[Prix htva],SMALL(IF(Tableau4[Nr facture]=facture!$C$11,ROW(Tableau4[Nr facture])-ROW(historique_vente!$C$4)+1,""),ROWS($B$15:D26))),"")</f>
        <v/>
      </c>
      <c r="E26" s="71" t="str">
        <f t="array" ref="E26">IFERROR(INDEX(Tableau4[Nombre],SMALL(IF(Tableau4[Nr facture]=facture!$C$11,ROW(Tableau4[Nr facture])-ROW(historique_vente!$C$4)+1,""),ROWS($B$15:E26))),"")</f>
        <v/>
      </c>
      <c r="F26" s="71" t="str">
        <f t="shared" si="0"/>
        <v/>
      </c>
    </row>
    <row r="27" spans="2:6" x14ac:dyDescent="0.25">
      <c r="B27" s="71" t="str">
        <f t="array" ref="B27">IFERROR(INDEX(Tableau4[Nr article],SMALL(IF(Tableau4[Nr facture]=facture!$C$11,ROW(Tableau4[Nr facture])-ROW(historique_vente!$C$4)+1,""),ROWS($B$15:B27))),"")</f>
        <v/>
      </c>
      <c r="C27" s="71" t="str">
        <f t="array" ref="C27">IFERROR(INDEX(Tableau4[article],SMALL(IF(Tableau4[Nr facture]=facture!$C$11,ROW(Tableau4[Nr facture])-ROW(historique_vente!$C$4)+1,""),ROWS($B$15:C27))),"")</f>
        <v/>
      </c>
      <c r="D27" s="71" t="str">
        <f t="array" ref="D27">IFERROR(INDEX(Tableau4[Prix htva],SMALL(IF(Tableau4[Nr facture]=facture!$C$11,ROW(Tableau4[Nr facture])-ROW(historique_vente!$C$4)+1,""),ROWS($B$15:D27))),"")</f>
        <v/>
      </c>
      <c r="E27" s="71" t="str">
        <f t="array" ref="E27">IFERROR(INDEX(Tableau4[Nombre],SMALL(IF(Tableau4[Nr facture]=facture!$C$11,ROW(Tableau4[Nr facture])-ROW(historique_vente!$C$4)+1,""),ROWS($B$15:E27))),"")</f>
        <v/>
      </c>
      <c r="F27" s="71" t="str">
        <f t="shared" si="0"/>
        <v/>
      </c>
    </row>
    <row r="28" spans="2:6" x14ac:dyDescent="0.25">
      <c r="B28" s="71" t="str">
        <f t="array" ref="B28">IFERROR(INDEX(Tableau4[Nr article],SMALL(IF(Tableau4[Nr facture]=facture!$C$11,ROW(Tableau4[Nr facture])-ROW(historique_vente!$C$4)+1,""),ROWS($B$15:B28))),"")</f>
        <v/>
      </c>
      <c r="C28" s="71" t="str">
        <f t="array" ref="C28">IFERROR(INDEX(Tableau4[article],SMALL(IF(Tableau4[Nr facture]=facture!$C$11,ROW(Tableau4[Nr facture])-ROW(historique_vente!$C$4)+1,""),ROWS($B$15:C28))),"")</f>
        <v/>
      </c>
      <c r="D28" s="71" t="str">
        <f t="array" ref="D28">IFERROR(INDEX(Tableau4[Prix htva],SMALL(IF(Tableau4[Nr facture]=facture!$C$11,ROW(Tableau4[Nr facture])-ROW(historique_vente!$C$4)+1,""),ROWS($B$15:D28))),"")</f>
        <v/>
      </c>
      <c r="E28" s="71" t="str">
        <f t="array" ref="E28">IFERROR(INDEX(Tableau4[Nombre],SMALL(IF(Tableau4[Nr facture]=facture!$C$11,ROW(Tableau4[Nr facture])-ROW(historique_vente!$C$4)+1,""),ROWS($B$15:E28))),"")</f>
        <v/>
      </c>
      <c r="F28" s="71" t="str">
        <f t="shared" si="0"/>
        <v/>
      </c>
    </row>
    <row r="29" spans="2:6" x14ac:dyDescent="0.25">
      <c r="B29" s="71" t="str">
        <f t="array" ref="B29">IFERROR(INDEX(Tableau4[Nr article],SMALL(IF(Tableau4[Nr facture]=facture!$C$11,ROW(Tableau4[Nr facture])-ROW(historique_vente!$C$4)+1,""),ROWS($B$15:B29))),"")</f>
        <v/>
      </c>
      <c r="C29" s="71" t="str">
        <f t="array" ref="C29">IFERROR(INDEX(Tableau4[article],SMALL(IF(Tableau4[Nr facture]=facture!$C$11,ROW(Tableau4[Nr facture])-ROW(historique_vente!$C$4)+1,""),ROWS($B$15:C29))),"")</f>
        <v/>
      </c>
      <c r="D29" s="71" t="str">
        <f t="array" ref="D29">IFERROR(INDEX(Tableau4[Prix htva],SMALL(IF(Tableau4[Nr facture]=facture!$C$11,ROW(Tableau4[Nr facture])-ROW(historique_vente!$C$4)+1,""),ROWS($B$15:D29))),"")</f>
        <v/>
      </c>
      <c r="E29" s="71" t="str">
        <f t="array" ref="E29">IFERROR(INDEX(Tableau4[Nombre],SMALL(IF(Tableau4[Nr facture]=facture!$C$11,ROW(Tableau4[Nr facture])-ROW(historique_vente!$C$4)+1,""),ROWS($B$15:E29))),"")</f>
        <v/>
      </c>
      <c r="F29" s="71" t="str">
        <f t="shared" si="0"/>
        <v/>
      </c>
    </row>
    <row r="30" spans="2:6" x14ac:dyDescent="0.25">
      <c r="B30" s="71" t="str">
        <f t="array" ref="B30">IFERROR(INDEX(Tableau4[Nr article],SMALL(IF(Tableau4[Nr facture]=facture!$C$11,ROW(Tableau4[Nr facture])-ROW(historique_vente!$C$4)+1,""),ROWS($B$15:B30))),"")</f>
        <v/>
      </c>
      <c r="C30" s="71" t="str">
        <f t="array" ref="C30">IFERROR(INDEX(Tableau4[article],SMALL(IF(Tableau4[Nr facture]=facture!$C$11,ROW(Tableau4[Nr facture])-ROW(historique_vente!$C$4)+1,""),ROWS($B$15:C30))),"")</f>
        <v/>
      </c>
      <c r="D30" s="71" t="str">
        <f t="array" ref="D30">IFERROR(INDEX(Tableau4[Prix htva],SMALL(IF(Tableau4[Nr facture]=facture!$C$11,ROW(Tableau4[Nr facture])-ROW(historique_vente!$C$4)+1,""),ROWS($B$15:D30))),"")</f>
        <v/>
      </c>
      <c r="E30" s="71" t="str">
        <f t="array" ref="E30">IFERROR(INDEX(Tableau4[Nombre],SMALL(IF(Tableau4[Nr facture]=facture!$C$11,ROW(Tableau4[Nr facture])-ROW(historique_vente!$C$4)+1,""),ROWS($B$15:E30))),"")</f>
        <v/>
      </c>
      <c r="F30" s="71" t="str">
        <f t="shared" si="0"/>
        <v/>
      </c>
    </row>
    <row r="31" spans="2:6" x14ac:dyDescent="0.25">
      <c r="B31" s="71" t="str">
        <f t="array" ref="B31">IFERROR(INDEX(Tableau4[Nr article],SMALL(IF(Tableau4[Nr facture]=facture!$C$11,ROW(Tableau4[Nr facture])-ROW(historique_vente!$C$4)+1,""),ROWS($B$15:B31))),"")</f>
        <v/>
      </c>
      <c r="C31" s="71" t="str">
        <f t="array" ref="C31">IFERROR(INDEX(Tableau4[article],SMALL(IF(Tableau4[Nr facture]=facture!$C$11,ROW(Tableau4[Nr facture])-ROW(historique_vente!$C$4)+1,""),ROWS($B$15:C31))),"")</f>
        <v/>
      </c>
      <c r="D31" s="71" t="str">
        <f t="array" ref="D31">IFERROR(INDEX(Tableau4[Prix htva],SMALL(IF(Tableau4[Nr facture]=facture!$C$11,ROW(Tableau4[Nr facture])-ROW(historique_vente!$C$4)+1,""),ROWS($B$15:D31))),"")</f>
        <v/>
      </c>
      <c r="E31" s="71" t="str">
        <f t="array" ref="E31">IFERROR(INDEX(Tableau4[Nombre],SMALL(IF(Tableau4[Nr facture]=facture!$C$11,ROW(Tableau4[Nr facture])-ROW(historique_vente!$C$4)+1,""),ROWS($B$15:E31))),"")</f>
        <v/>
      </c>
      <c r="F31" s="71" t="str">
        <f t="shared" si="0"/>
        <v/>
      </c>
    </row>
    <row r="32" spans="2:6" x14ac:dyDescent="0.25">
      <c r="B32" s="71" t="str">
        <f t="array" ref="B32">IFERROR(INDEX(Tableau4[Nr article],SMALL(IF(Tableau4[Nr facture]=facture!$C$11,ROW(Tableau4[Nr facture])-ROW(historique_vente!$C$4)+1,""),ROWS($B$15:B32))),"")</f>
        <v/>
      </c>
      <c r="C32" s="71" t="str">
        <f t="array" ref="C32">IFERROR(INDEX(Tableau4[article],SMALL(IF(Tableau4[Nr facture]=facture!$C$11,ROW(Tableau4[Nr facture])-ROW(historique_vente!$C$4)+1,""),ROWS($B$15:C32))),"")</f>
        <v/>
      </c>
      <c r="D32" s="71" t="str">
        <f t="array" ref="D32">IFERROR(INDEX(Tableau4[Prix htva],SMALL(IF(Tableau4[Nr facture]=facture!$C$11,ROW(Tableau4[Nr facture])-ROW(historique_vente!$C$4)+1,""),ROWS($B$15:D32))),"")</f>
        <v/>
      </c>
      <c r="E32" s="71" t="str">
        <f t="array" ref="E32">IFERROR(INDEX(Tableau4[Nombre],SMALL(IF(Tableau4[Nr facture]=facture!$C$11,ROW(Tableau4[Nr facture])-ROW(historique_vente!$C$4)+1,""),ROWS($B$15:E32))),"")</f>
        <v/>
      </c>
      <c r="F32" s="71" t="str">
        <f t="shared" si="0"/>
        <v/>
      </c>
    </row>
    <row r="33" spans="2:6" x14ac:dyDescent="0.25">
      <c r="B33" s="71" t="str">
        <f t="array" ref="B33">IFERROR(INDEX(Tableau4[Nr article],SMALL(IF(Tableau4[Nr facture]=facture!$C$11,ROW(Tableau4[Nr facture])-ROW(historique_vente!$C$4)+1,""),ROWS($B$15:B33))),"")</f>
        <v/>
      </c>
      <c r="C33" s="71" t="str">
        <f t="array" ref="C33">IFERROR(INDEX(Tableau4[article],SMALL(IF(Tableau4[Nr facture]=facture!$C$11,ROW(Tableau4[Nr facture])-ROW(historique_vente!$C$4)+1,""),ROWS($B$15:C33))),"")</f>
        <v/>
      </c>
      <c r="D33" s="71" t="str">
        <f t="array" ref="D33">IFERROR(INDEX(Tableau4[Prix htva],SMALL(IF(Tableau4[Nr facture]=facture!$C$11,ROW(Tableau4[Nr facture])-ROW(historique_vente!$C$4)+1,""),ROWS($B$15:D33))),"")</f>
        <v/>
      </c>
      <c r="E33" s="71" t="str">
        <f t="array" ref="E33">IFERROR(INDEX(Tableau4[Nombre],SMALL(IF(Tableau4[Nr facture]=facture!$C$11,ROW(Tableau4[Nr facture])-ROW(historique_vente!$C$4)+1,""),ROWS($B$15:E33))),"")</f>
        <v/>
      </c>
      <c r="F33" s="71" t="str">
        <f t="shared" si="0"/>
        <v/>
      </c>
    </row>
    <row r="34" spans="2:6" x14ac:dyDescent="0.25">
      <c r="B34" s="71" t="str">
        <f t="array" ref="B34">IFERROR(INDEX(Tableau4[Nr article],SMALL(IF(Tableau4[Nr facture]=facture!$C$11,ROW(Tableau4[Nr facture])-ROW(historique_vente!$C$4)+1,""),ROWS($B$15:B34))),"")</f>
        <v/>
      </c>
      <c r="C34" s="71" t="str">
        <f t="array" ref="C34">IFERROR(INDEX(Tableau4[article],SMALL(IF(Tableau4[Nr facture]=facture!$C$11,ROW(Tableau4[Nr facture])-ROW(historique_vente!$C$4)+1,""),ROWS($B$15:C34))),"")</f>
        <v/>
      </c>
      <c r="D34" s="71" t="str">
        <f t="array" ref="D34">IFERROR(INDEX(Tableau4[Prix htva],SMALL(IF(Tableau4[Nr facture]=facture!$C$11,ROW(Tableau4[Nr facture])-ROW(historique_vente!$C$4)+1,""),ROWS($B$15:D34))),"")</f>
        <v/>
      </c>
      <c r="E34" s="71" t="str">
        <f t="array" ref="E34">IFERROR(INDEX(Tableau4[Nombre],SMALL(IF(Tableau4[Nr facture]=facture!$C$11,ROW(Tableau4[Nr facture])-ROW(historique_vente!$C$4)+1,""),ROWS($B$15:E34))),"")</f>
        <v/>
      </c>
      <c r="F34" s="71" t="str">
        <f t="shared" si="0"/>
        <v/>
      </c>
    </row>
    <row r="35" spans="2:6" x14ac:dyDescent="0.25">
      <c r="B35" s="71" t="str">
        <f t="array" ref="B35">IFERROR(INDEX(Tableau4[Nr article],SMALL(IF(Tableau4[Nr facture]=facture!$C$11,ROW(Tableau4[Nr facture])-ROW(historique_vente!$C$4)+1,""),ROWS($B$15:B35))),"")</f>
        <v/>
      </c>
      <c r="C35" s="71" t="str">
        <f t="array" ref="C35">IFERROR(INDEX(Tableau4[article],SMALL(IF(Tableau4[Nr facture]=facture!$C$11,ROW(Tableau4[Nr facture])-ROW(historique_vente!$C$4)+1,""),ROWS($B$15:C35))),"")</f>
        <v/>
      </c>
      <c r="D35" s="71" t="str">
        <f t="array" ref="D35">IFERROR(INDEX(Tableau4[Prix htva],SMALL(IF(Tableau4[Nr facture]=facture!$C$11,ROW(Tableau4[Nr facture])-ROW(historique_vente!$C$4)+1,""),ROWS($B$15:D35))),"")</f>
        <v/>
      </c>
      <c r="E35" s="71" t="str">
        <f t="array" ref="E35">IFERROR(INDEX(Tableau4[Nombre],SMALL(IF(Tableau4[Nr facture]=facture!$C$11,ROW(Tableau4[Nr facture])-ROW(historique_vente!$C$4)+1,""),ROWS($B$15:E35))),"")</f>
        <v/>
      </c>
      <c r="F35" s="71" t="str">
        <f t="shared" si="0"/>
        <v/>
      </c>
    </row>
    <row r="36" spans="2:6" x14ac:dyDescent="0.25">
      <c r="B36" s="71" t="str">
        <f t="array" ref="B36">IFERROR(INDEX(Tableau4[Nr article],SMALL(IF(Tableau4[Nr facture]=facture!$C$11,ROW(Tableau4[Nr facture])-ROW(historique_vente!$C$4)+1,""),ROWS($B$15:B36))),"")</f>
        <v/>
      </c>
      <c r="C36" s="71" t="str">
        <f t="array" ref="C36">IFERROR(INDEX(Tableau4[article],SMALL(IF(Tableau4[Nr facture]=facture!$C$11,ROW(Tableau4[Nr facture])-ROW(historique_vente!$C$4)+1,""),ROWS($B$15:C36))),"")</f>
        <v/>
      </c>
      <c r="D36" s="71" t="str">
        <f t="array" ref="D36">IFERROR(INDEX(Tableau4[Prix htva],SMALL(IF(Tableau4[Nr facture]=facture!$C$11,ROW(Tableau4[Nr facture])-ROW(historique_vente!$C$4)+1,""),ROWS($B$15:D36))),"")</f>
        <v/>
      </c>
      <c r="E36" s="71" t="str">
        <f t="array" ref="E36">IFERROR(INDEX(Tableau4[Nombre],SMALL(IF(Tableau4[Nr facture]=facture!$C$11,ROW(Tableau4[Nr facture])-ROW(historique_vente!$C$4)+1,""),ROWS($B$15:E36))),"")</f>
        <v/>
      </c>
      <c r="F36" s="71" t="str">
        <f t="shared" si="0"/>
        <v/>
      </c>
    </row>
    <row r="37" spans="2:6" x14ac:dyDescent="0.25">
      <c r="B37" s="71" t="str">
        <f t="array" ref="B37">IFERROR(INDEX(Tableau4[Nr article],SMALL(IF(Tableau4[Nr facture]=facture!$C$11,ROW(Tableau4[Nr facture])-ROW(historique_vente!$C$4)+1,""),ROWS($B$15:B37))),"")</f>
        <v/>
      </c>
      <c r="C37" s="71" t="str">
        <f t="array" ref="C37">IFERROR(INDEX(Tableau4[article],SMALL(IF(Tableau4[Nr facture]=facture!$C$11,ROW(Tableau4[Nr facture])-ROW(historique_vente!$C$4)+1,""),ROWS($B$15:C37))),"")</f>
        <v/>
      </c>
      <c r="D37" s="71" t="str">
        <f t="array" ref="D37">IFERROR(INDEX(Tableau4[Prix htva],SMALL(IF(Tableau4[Nr facture]=facture!$C$11,ROW(Tableau4[Nr facture])-ROW(historique_vente!$C$4)+1,""),ROWS($B$15:D37))),"")</f>
        <v/>
      </c>
      <c r="E37" s="71" t="str">
        <f t="array" ref="E37">IFERROR(INDEX(Tableau4[Nombre],SMALL(IF(Tableau4[Nr facture]=facture!$C$11,ROW(Tableau4[Nr facture])-ROW(historique_vente!$C$4)+1,""),ROWS($B$15:E37))),"")</f>
        <v/>
      </c>
      <c r="F37" s="71" t="str">
        <f t="shared" si="0"/>
        <v/>
      </c>
    </row>
    <row r="38" spans="2:6" x14ac:dyDescent="0.25">
      <c r="B38" s="71" t="str">
        <f t="array" ref="B38">IFERROR(INDEX(Tableau4[Nr article],SMALL(IF(Tableau4[Nr facture]=facture!$C$11,ROW(Tableau4[Nr facture])-ROW(historique_vente!$C$4)+1,""),ROWS($B$15:B38))),"")</f>
        <v/>
      </c>
      <c r="C38" s="71" t="str">
        <f t="array" ref="C38">IFERROR(INDEX(Tableau4[article],SMALL(IF(Tableau4[Nr facture]=facture!$C$11,ROW(Tableau4[Nr facture])-ROW(historique_vente!$C$4)+1,""),ROWS($B$15:C38))),"")</f>
        <v/>
      </c>
      <c r="D38" s="71" t="str">
        <f t="array" ref="D38">IFERROR(INDEX(Tableau4[Prix htva],SMALL(IF(Tableau4[Nr facture]=facture!$C$11,ROW(Tableau4[Nr facture])-ROW(historique_vente!$C$4)+1,""),ROWS($B$15:D38))),"")</f>
        <v/>
      </c>
      <c r="E38" s="71" t="str">
        <f t="array" ref="E38">IFERROR(INDEX(Tableau4[Nombre],SMALL(IF(Tableau4[Nr facture]=facture!$C$11,ROW(Tableau4[Nr facture])-ROW(historique_vente!$C$4)+1,""),ROWS($B$15:E38))),"")</f>
        <v/>
      </c>
      <c r="F38" s="71" t="str">
        <f t="shared" si="0"/>
        <v/>
      </c>
    </row>
    <row r="39" spans="2:6" x14ac:dyDescent="0.25">
      <c r="B39" s="71" t="str">
        <f t="array" ref="B39">IFERROR(INDEX(Tableau4[Nr article],SMALL(IF(Tableau4[Nr facture]=facture!$C$11,ROW(Tableau4[Nr facture])-ROW(historique_vente!$C$4)+1,""),ROWS($B$15:B39))),"")</f>
        <v/>
      </c>
      <c r="C39" s="71" t="str">
        <f t="array" ref="C39">IFERROR(INDEX(Tableau4[article],SMALL(IF(Tableau4[Nr facture]=facture!$C$11,ROW(Tableau4[Nr facture])-ROW(historique_vente!$C$4)+1,""),ROWS($B$15:C39))),"")</f>
        <v/>
      </c>
      <c r="D39" s="71" t="str">
        <f t="array" ref="D39">IFERROR(INDEX(Tableau4[Prix htva],SMALL(IF(Tableau4[Nr facture]=facture!$C$11,ROW(Tableau4[Nr facture])-ROW(historique_vente!$C$4)+1,""),ROWS($B$15:D39))),"")</f>
        <v/>
      </c>
      <c r="E39" s="71" t="str">
        <f t="array" ref="E39">IFERROR(INDEX(Tableau4[Nombre],SMALL(IF(Tableau4[Nr facture]=facture!$C$11,ROW(Tableau4[Nr facture])-ROW(historique_vente!$C$4)+1,""),ROWS($B$15:E39))),"")</f>
        <v/>
      </c>
      <c r="F39" s="71" t="str">
        <f t="shared" si="0"/>
        <v/>
      </c>
    </row>
    <row r="40" spans="2:6" ht="6.75" customHeight="1" x14ac:dyDescent="0.25"/>
    <row r="41" spans="2:6" ht="5.25" customHeight="1" thickBot="1" x14ac:dyDescent="0.3">
      <c r="B41" s="69"/>
      <c r="C41" s="69"/>
      <c r="D41" s="69"/>
      <c r="E41" s="69"/>
      <c r="F41" s="69"/>
    </row>
    <row r="42" spans="2:6" x14ac:dyDescent="0.25">
      <c r="B42" s="144" t="str">
        <f>IFERROR("Montant à payer dans les 30 jours : "&amp;TEXT(E11+30,"jj/mm/aaaa"),"")</f>
        <v>Montant à payer dans les 30 jours : 19/06/2021</v>
      </c>
      <c r="C42" s="145"/>
      <c r="D42" s="146"/>
      <c r="E42" s="72" t="s">
        <v>70</v>
      </c>
      <c r="F42" s="73">
        <f>IFERROR(SUM(F15:F39),"")</f>
        <v>7453.4250000000002</v>
      </c>
    </row>
    <row r="43" spans="2:6" x14ac:dyDescent="0.25">
      <c r="B43" s="147"/>
      <c r="C43" s="148"/>
      <c r="D43" s="149"/>
      <c r="E43" s="74" t="str">
        <f>IFERROR("Remise :"&amp;TEXT(INDEX(Tableau4[remise],MATCH(facture!C11,Tableau4[Nr facture],0)),"0%"),"")</f>
        <v>Remise :</v>
      </c>
      <c r="F43" s="75">
        <v>0</v>
      </c>
    </row>
    <row r="44" spans="2:6" x14ac:dyDescent="0.25">
      <c r="B44" s="147"/>
      <c r="C44" s="148"/>
      <c r="D44" s="149"/>
      <c r="E44" s="74" t="s">
        <v>71</v>
      </c>
      <c r="F44" s="75">
        <v>21</v>
      </c>
    </row>
    <row r="45" spans="2:6" ht="16.5" thickBot="1" x14ac:dyDescent="0.3">
      <c r="B45" s="147"/>
      <c r="C45" s="148"/>
      <c r="D45" s="149"/>
      <c r="E45" s="76" t="s">
        <v>72</v>
      </c>
      <c r="F45" s="77">
        <f>IFERROR(((F42-F43)+F44),"")</f>
        <v>7474.4250000000002</v>
      </c>
    </row>
    <row r="46" spans="2:6" ht="6.75" customHeight="1" thickBot="1" x14ac:dyDescent="0.3">
      <c r="B46" s="147"/>
      <c r="C46" s="148"/>
      <c r="D46" s="149"/>
      <c r="E46" s="78"/>
      <c r="F46" s="78"/>
    </row>
    <row r="47" spans="2:6" x14ac:dyDescent="0.25">
      <c r="B47" s="147"/>
      <c r="C47" s="148"/>
      <c r="D47" s="149"/>
      <c r="E47" s="72" t="s">
        <v>73</v>
      </c>
      <c r="F47" s="88">
        <v>1000</v>
      </c>
    </row>
    <row r="48" spans="2:6" ht="16.5" thickBot="1" x14ac:dyDescent="0.3">
      <c r="B48" s="150"/>
      <c r="C48" s="151"/>
      <c r="D48" s="152"/>
      <c r="E48" s="76" t="s">
        <v>74</v>
      </c>
      <c r="F48" s="77">
        <f>IFERROR((F45-F47),"")</f>
        <v>6474.4250000000002</v>
      </c>
    </row>
  </sheetData>
  <mergeCells count="3">
    <mergeCell ref="F4:F9"/>
    <mergeCell ref="B42:D48"/>
    <mergeCell ref="H8:I11"/>
  </mergeCells>
  <dataValidations count="2">
    <dataValidation type="list" errorStyle="information" allowBlank="1" showInputMessage="1" showErrorMessage="1" errorTitle="Facture" error="Facture inexistante" sqref="C11">
      <formula1>nr_fac</formula1>
    </dataValidation>
    <dataValidation type="list" allowBlank="1" showInputMessage="1" showErrorMessage="1" sqref="I5">
      <formula1>"Acompte,versement"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29" r:id="rId4" name="CommandButton1">
          <controlPr defaultSize="0" autoLine="0" autoPict="0" r:id="rId5">
            <anchor moveWithCells="1">
              <from>
                <xdr:col>7</xdr:col>
                <xdr:colOff>38100</xdr:colOff>
                <xdr:row>7</xdr:row>
                <xdr:rowOff>85725</xdr:rowOff>
              </from>
              <to>
                <xdr:col>8</xdr:col>
                <xdr:colOff>1390650</xdr:colOff>
                <xdr:row>10</xdr:row>
                <xdr:rowOff>200025</xdr:rowOff>
              </to>
            </anchor>
          </controlPr>
        </control>
      </mc:Choice>
      <mc:Fallback>
        <control shapeId="13329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9"/>
  <sheetViews>
    <sheetView showGridLines="0" zoomScale="80" zoomScaleNormal="80" workbookViewId="0">
      <selection activeCell="B7" sqref="B7:L9"/>
    </sheetView>
  </sheetViews>
  <sheetFormatPr baseColWidth="10" defaultRowHeight="15" x14ac:dyDescent="0.25"/>
  <cols>
    <col min="1" max="1" width="1.7109375" customWidth="1"/>
    <col min="2" max="10" width="22.85546875" customWidth="1"/>
    <col min="12" max="12" width="11.42578125" customWidth="1"/>
  </cols>
  <sheetData>
    <row r="1" spans="2:12" ht="86.25" customHeight="1" x14ac:dyDescent="0.25"/>
    <row r="3" spans="2:12" x14ac:dyDescent="0.25">
      <c r="B3" s="2" t="s">
        <v>33</v>
      </c>
      <c r="C3" s="2" t="s">
        <v>34</v>
      </c>
      <c r="D3" s="2" t="s">
        <v>0</v>
      </c>
      <c r="E3" s="2" t="s">
        <v>35</v>
      </c>
      <c r="F3" s="2" t="s">
        <v>49</v>
      </c>
      <c r="G3" s="2" t="s">
        <v>37</v>
      </c>
      <c r="H3" s="2" t="s">
        <v>6</v>
      </c>
      <c r="I3" s="2" t="s">
        <v>38</v>
      </c>
      <c r="J3" s="2" t="s">
        <v>39</v>
      </c>
    </row>
    <row r="4" spans="2:12" ht="15.75" x14ac:dyDescent="0.25">
      <c r="B4" s="10">
        <v>44335.918900462966</v>
      </c>
      <c r="C4" s="11">
        <v>13</v>
      </c>
      <c r="D4" s="11" t="s">
        <v>131</v>
      </c>
      <c r="E4" s="87" t="s">
        <v>183</v>
      </c>
      <c r="F4" s="11">
        <v>525</v>
      </c>
      <c r="G4" s="11">
        <v>6</v>
      </c>
      <c r="H4" s="11">
        <v>11816</v>
      </c>
      <c r="I4" s="12" t="s">
        <v>84</v>
      </c>
      <c r="J4" s="13">
        <v>3150</v>
      </c>
      <c r="K4" s="11"/>
      <c r="L4" s="11"/>
    </row>
    <row r="5" spans="2:12" ht="15.75" x14ac:dyDescent="0.25">
      <c r="B5" s="10">
        <v>44335.931273148148</v>
      </c>
      <c r="C5" s="11">
        <v>14</v>
      </c>
      <c r="D5" s="11" t="s">
        <v>131</v>
      </c>
      <c r="E5" s="87" t="s">
        <v>183</v>
      </c>
      <c r="F5" s="11">
        <v>525</v>
      </c>
      <c r="G5" s="11">
        <v>8</v>
      </c>
      <c r="H5" s="11">
        <v>11816</v>
      </c>
      <c r="I5" s="12" t="s">
        <v>84</v>
      </c>
      <c r="J5" s="13">
        <v>4200</v>
      </c>
      <c r="K5" s="11"/>
      <c r="L5" s="11"/>
    </row>
    <row r="6" spans="2:12" ht="15.75" x14ac:dyDescent="0.25">
      <c r="B6" s="10">
        <v>44335.965138888889</v>
      </c>
      <c r="C6" s="11">
        <v>15</v>
      </c>
      <c r="D6" s="11" t="s">
        <v>131</v>
      </c>
      <c r="E6" s="87" t="s">
        <v>183</v>
      </c>
      <c r="F6" s="11">
        <v>525</v>
      </c>
      <c r="G6" s="11">
        <v>9</v>
      </c>
      <c r="H6" s="11">
        <v>11551</v>
      </c>
      <c r="I6" s="12" t="s">
        <v>84</v>
      </c>
      <c r="J6" s="13">
        <v>4725</v>
      </c>
      <c r="K6" s="11"/>
      <c r="L6" s="11"/>
    </row>
    <row r="7" spans="2:12" ht="15.75" x14ac:dyDescent="0.25">
      <c r="B7" s="10">
        <v>44336.000625000001</v>
      </c>
      <c r="C7" s="11">
        <v>16</v>
      </c>
      <c r="D7" s="11" t="s">
        <v>101</v>
      </c>
      <c r="E7" s="87" t="s">
        <v>153</v>
      </c>
      <c r="F7" s="11">
        <v>1050</v>
      </c>
      <c r="G7" s="11">
        <v>7</v>
      </c>
      <c r="H7" s="11">
        <v>11551</v>
      </c>
      <c r="I7" s="12" t="s">
        <v>84</v>
      </c>
      <c r="J7" s="13">
        <v>7350</v>
      </c>
      <c r="K7" s="11"/>
      <c r="L7" s="11"/>
    </row>
    <row r="8" spans="2:12" ht="15.75" x14ac:dyDescent="0.25">
      <c r="B8" s="98">
        <v>44336.014004629629</v>
      </c>
      <c r="C8" s="105">
        <v>16</v>
      </c>
      <c r="D8" s="105" t="s">
        <v>105</v>
      </c>
      <c r="E8" s="106" t="s">
        <v>157</v>
      </c>
      <c r="F8" s="105">
        <v>4.2</v>
      </c>
      <c r="G8" s="105">
        <v>10</v>
      </c>
      <c r="H8" s="105">
        <v>11551</v>
      </c>
      <c r="I8" s="107" t="s">
        <v>244</v>
      </c>
      <c r="J8" s="108">
        <v>42</v>
      </c>
      <c r="K8" s="105"/>
      <c r="L8" s="105"/>
    </row>
    <row r="9" spans="2:12" ht="15.75" x14ac:dyDescent="0.25">
      <c r="B9" s="98">
        <v>44337.68645833333</v>
      </c>
      <c r="C9" s="105">
        <v>16</v>
      </c>
      <c r="D9" s="105" t="s">
        <v>125</v>
      </c>
      <c r="E9" s="106" t="s">
        <v>177</v>
      </c>
      <c r="F9" s="105">
        <v>4.0949999999999998</v>
      </c>
      <c r="G9" s="105">
        <v>15</v>
      </c>
      <c r="H9" s="105">
        <v>11816</v>
      </c>
      <c r="I9" s="107" t="s">
        <v>227</v>
      </c>
      <c r="J9" s="108">
        <v>61.424999999999997</v>
      </c>
      <c r="K9" s="105"/>
      <c r="L9" s="105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8"/>
  <sheetViews>
    <sheetView zoomScale="80" zoomScaleNormal="80" workbookViewId="0">
      <selection activeCell="D10" sqref="D10"/>
    </sheetView>
  </sheetViews>
  <sheetFormatPr baseColWidth="10" defaultRowHeight="15.75" x14ac:dyDescent="0.25"/>
  <cols>
    <col min="1" max="1" width="1.7109375" style="5" customWidth="1"/>
    <col min="2" max="11" width="16.5703125" style="6" customWidth="1"/>
    <col min="12" max="12" width="11.42578125" style="5" customWidth="1"/>
    <col min="13" max="16384" width="11.42578125" style="5"/>
  </cols>
  <sheetData>
    <row r="1" spans="1:11" ht="86.25" customHeight="1" x14ac:dyDescent="0.25">
      <c r="A1" s="9">
        <f>COUNT(Tableau5[Nr facture])</f>
        <v>5</v>
      </c>
    </row>
    <row r="3" spans="1:11" x14ac:dyDescent="0.25">
      <c r="B3" s="3" t="s">
        <v>34</v>
      </c>
      <c r="C3" s="3" t="s">
        <v>6</v>
      </c>
      <c r="D3" s="3" t="s">
        <v>33</v>
      </c>
      <c r="E3" s="3" t="s">
        <v>40</v>
      </c>
      <c r="F3" s="3" t="s">
        <v>44</v>
      </c>
      <c r="G3" s="3" t="s">
        <v>42</v>
      </c>
      <c r="H3" s="3" t="s">
        <v>45</v>
      </c>
      <c r="I3" s="3" t="s">
        <v>46</v>
      </c>
      <c r="J3" s="3" t="s">
        <v>47</v>
      </c>
      <c r="K3" s="3" t="s">
        <v>48</v>
      </c>
    </row>
    <row r="4" spans="1:11" x14ac:dyDescent="0.25">
      <c r="B4" s="6">
        <f>IFERROR(SMALL(Tableau4[Nr facture],ROW(1:1)),"")</f>
        <v>13</v>
      </c>
      <c r="C4" s="6">
        <f>IFERROR(INDEX(Tableau4[Nr client],MATCH(suivi_facture!B4,Tableau4[Nr facture],0)),"")</f>
        <v>11816</v>
      </c>
      <c r="D4" s="10">
        <f>IFERROR(INDEX(Tableau4[Date],MATCH(suivi_facture!B4,Tableau4[Nr facture],0)),"")</f>
        <v>44335.918900462966</v>
      </c>
      <c r="E4" s="6">
        <f>IFERROR(SUMIF(Tableau4[Nr facture],suivi_facture!B4,Tableau4[Total]),"")</f>
        <v>3150</v>
      </c>
      <c r="F4" s="6" t="str">
        <f>IFERROR(E4*INDEX(Tableau4[remise],MATCH(suivi_facture!B4,Tableau4[Nr facture],0)),"")</f>
        <v/>
      </c>
      <c r="G4" s="6" t="str">
        <f>IFERROR(((E4-F4)*1.21),"")</f>
        <v/>
      </c>
      <c r="H4" s="6">
        <f>IFERROR(SUMIFS(Tableau7[Montant],Tableau7[Type],"acompte",Tableau7[Nr facture],Tableau5[[#This Row],[Nr facture]]),"")</f>
        <v>0</v>
      </c>
      <c r="I4" s="6">
        <f>IFERROR(SUMIFS(Tableau7[Montant],Tableau7[Type],"versement",Tableau7[Nr facture],Tableau5[[#This Row],[Nr facture]]),"")</f>
        <v>0</v>
      </c>
      <c r="J4" s="6" t="str">
        <f>IFERROR(ROUND((G4-H4-I4),2),"")</f>
        <v/>
      </c>
      <c r="K4" s="6" t="str">
        <f ca="1">IFERROR(IF(AND(J4&gt;0,D4+30&lt;TODAY()),"Alerte",IF(J4&gt;0,"Open","Close")),"")</f>
        <v>Open</v>
      </c>
    </row>
    <row r="5" spans="1:11" x14ac:dyDescent="0.25">
      <c r="B5" s="6">
        <f>IFERROR(SMALL(Tableau4[Nr facture],ROW(2:2)),"")</f>
        <v>14</v>
      </c>
      <c r="C5" s="6">
        <f>IFERROR(INDEX(Tableau4[Nr client],MATCH(suivi_facture!B5,Tableau4[Nr facture],0)),"")</f>
        <v>11816</v>
      </c>
      <c r="D5" s="10">
        <f>IFERROR(INDEX(Tableau4[Date],MATCH(suivi_facture!B5,Tableau4[Nr facture],0)),"")</f>
        <v>44335.931273148148</v>
      </c>
      <c r="E5" s="90">
        <f>IFERROR(SUMIF(Tableau4[Nr facture],suivi_facture!B5,Tableau4[Total]),"")</f>
        <v>4200</v>
      </c>
      <c r="F5" s="6" t="str">
        <f>IFERROR(E5*INDEX(Tableau4[remise],MATCH(suivi_facture!B5,Tableau4[Nr facture],0)),"")</f>
        <v/>
      </c>
      <c r="G5" s="6" t="str">
        <f>IFERROR(((E5-F5)*1.21),"")</f>
        <v/>
      </c>
      <c r="H5" s="90">
        <f>IFERROR(SUMIFS(Tableau7[Montant],Tableau7[Type],"acompte",Tableau7[Nr facture],Tableau5[[#This Row],[Nr facture]]),"")</f>
        <v>0</v>
      </c>
      <c r="I5" s="90">
        <f>IFERROR(SUMIFS(Tableau7[Montant],Tableau7[Type],"versement",Tableau7[Nr facture],Tableau5[[#This Row],[Nr facture]]),"")</f>
        <v>0</v>
      </c>
      <c r="J5" s="6" t="str">
        <f>IFERROR(ROUND((G5-H5-I5),2),"")</f>
        <v/>
      </c>
      <c r="K5" s="6" t="str">
        <f ca="1">IFERROR(IF(AND(J5&gt;0,D5+30&lt;TODAY()),"Alerte",IF(J5&gt;0,"Open","Close")),"")</f>
        <v>Open</v>
      </c>
    </row>
    <row r="6" spans="1:11" x14ac:dyDescent="0.25">
      <c r="B6" s="101">
        <f>IFERROR(SMALL(Tableau4[Nr facture],ROW(3:3)),"")</f>
        <v>15</v>
      </c>
      <c r="C6" s="101">
        <f>IFERROR(INDEX(Tableau4[Nr client],MATCH(suivi_facture!B6,Tableau4[Nr facture],0)),"")</f>
        <v>11551</v>
      </c>
      <c r="D6" s="98">
        <f>IFERROR(INDEX(Tableau4[Date],MATCH(suivi_facture!B6,Tableau4[Nr facture],0)),"")</f>
        <v>44335.965138888889</v>
      </c>
      <c r="E6" s="104">
        <f>IFERROR(SUMIF(Tableau4[Nr facture],suivi_facture!B6,Tableau4[Total]),"")</f>
        <v>4725</v>
      </c>
      <c r="F6" s="101" t="str">
        <f>IFERROR(E6*INDEX(Tableau4[remise],MATCH(suivi_facture!B6,Tableau4[Nr facture],0)),"")</f>
        <v/>
      </c>
      <c r="G6" s="101" t="str">
        <f>IFERROR(((E6-F6)*1.21),"")</f>
        <v/>
      </c>
      <c r="H6" s="104">
        <f>IFERROR(SUMIFS(Tableau7[Montant],Tableau7[Type],"acompte",Tableau7[Nr facture],Tableau5[[#This Row],[Nr facture]]),"")</f>
        <v>0</v>
      </c>
      <c r="I6" s="104">
        <f>IFERROR(SUMIFS(Tableau7[Montant],Tableau7[Type],"versement",Tableau7[Nr facture],Tableau5[[#This Row],[Nr facture]]),"")</f>
        <v>0</v>
      </c>
      <c r="J6" s="101" t="str">
        <f>IFERROR(ROUND((G6-H6-I6),2),"")</f>
        <v/>
      </c>
      <c r="K6" s="101" t="str">
        <f ca="1">IFERROR(IF(AND(J6&gt;0,D6+30&lt;TODAY()),"Alerte",IF(J6&gt;0,"Open","Close")),"")</f>
        <v>Open</v>
      </c>
    </row>
    <row r="7" spans="1:11" x14ac:dyDescent="0.25">
      <c r="B7" s="101">
        <f>IFERROR(SMALL(Tableau4[Nr facture],ROW(4:4)),"")</f>
        <v>16</v>
      </c>
      <c r="C7" s="101">
        <f>IFERROR(INDEX(Tableau4[Nr client],MATCH(suivi_facture!B7,Tableau4[Nr facture],0)),"")</f>
        <v>11551</v>
      </c>
      <c r="D7" s="98">
        <f>IFERROR(INDEX(Tableau4[Date],MATCH(suivi_facture!B7,Tableau4[Nr facture],0)),"")</f>
        <v>44336.000625000001</v>
      </c>
      <c r="E7" s="104">
        <f>IFERROR(SUMIF(Tableau4[Nr facture],suivi_facture!B7,Tableau4[Total]),"")</f>
        <v>7453.4250000000002</v>
      </c>
      <c r="F7" s="101" t="str">
        <f>IFERROR(E7*INDEX(Tableau4[remise],MATCH(suivi_facture!B7,Tableau4[Nr facture],0)),"")</f>
        <v/>
      </c>
      <c r="G7" s="101" t="str">
        <f>IFERROR(((E7-F7)*1.21),"")</f>
        <v/>
      </c>
      <c r="H7" s="104">
        <f>IFERROR(SUMIFS(Tableau7[Montant],Tableau7[Type],"acompte",Tableau7[Nr facture],Tableau5[[#This Row],[Nr facture]]),"")</f>
        <v>0</v>
      </c>
      <c r="I7" s="104">
        <f>IFERROR(SUMIFS(Tableau7[Montant],Tableau7[Type],"versement",Tableau7[Nr facture],Tableau5[[#This Row],[Nr facture]]),"")</f>
        <v>0</v>
      </c>
      <c r="J7" s="101" t="str">
        <f>IFERROR(ROUND((G7-H7-I7),2),"")</f>
        <v/>
      </c>
      <c r="K7" s="101" t="str">
        <f ca="1">IFERROR(IF(AND(J7&gt;0,D7+30&lt;TODAY()),"Alerte",IF(J7&gt;0,"Open","Close")),"")</f>
        <v>Open</v>
      </c>
    </row>
    <row r="8" spans="1:11" x14ac:dyDescent="0.25">
      <c r="B8" s="101">
        <f>IFERROR(SMALL(Tableau4[Nr facture],ROW(5:5)),"")</f>
        <v>16</v>
      </c>
      <c r="C8" s="101">
        <f>IFERROR(INDEX(Tableau4[Nr client],MATCH(suivi_facture!B8,Tableau4[Nr facture],0)),"")</f>
        <v>11551</v>
      </c>
      <c r="D8" s="98">
        <f>IFERROR(INDEX(Tableau4[Date],MATCH(suivi_facture!B8,Tableau4[Nr facture],0)),"")</f>
        <v>44336.000625000001</v>
      </c>
      <c r="E8" s="104">
        <f>IFERROR(SUMIF(Tableau4[Nr facture],suivi_facture!B8,Tableau4[Total]),"")</f>
        <v>7453.4250000000002</v>
      </c>
      <c r="F8" s="101" t="str">
        <f>IFERROR(E8*INDEX(Tableau4[remise],MATCH(suivi_facture!B8,Tableau4[Nr facture],0)),"")</f>
        <v/>
      </c>
      <c r="G8" s="101" t="str">
        <f>IFERROR(((E8-F8)*1.21),"")</f>
        <v/>
      </c>
      <c r="H8" s="104">
        <f>IFERROR(SUMIFS(Tableau7[Montant],Tableau7[Type],"acompte",Tableau7[Nr facture],Tableau5[[#This Row],[Nr facture]]),"")</f>
        <v>0</v>
      </c>
      <c r="I8" s="104">
        <f>IFERROR(SUMIFS(Tableau7[Montant],Tableau7[Type],"versement",Tableau7[Nr facture],Tableau5[[#This Row],[Nr facture]]),"")</f>
        <v>0</v>
      </c>
      <c r="J8" s="101" t="str">
        <f>IFERROR(ROUND((G8-H8-I8),2),"")</f>
        <v/>
      </c>
      <c r="K8" s="101" t="str">
        <f ca="1">IFERROR(IF(AND(J8&gt;0,D8+30&lt;TODAY()),"Alerte",IF(J8&gt;0,"Open","Close")),"")</f>
        <v>Open</v>
      </c>
    </row>
  </sheetData>
  <conditionalFormatting sqref="B4:K8">
    <cfRule type="expression" dxfId="2" priority="1">
      <formula>$K4="open"</formula>
    </cfRule>
    <cfRule type="expression" dxfId="1" priority="2">
      <formula>$K4="close"</formula>
    </cfRule>
    <cfRule type="expression" dxfId="0" priority="3">
      <formula>$K4="alerte"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F6"/>
  <sheetViews>
    <sheetView zoomScale="80" zoomScaleNormal="80" workbookViewId="0">
      <selection activeCell="F6" sqref="F6"/>
    </sheetView>
  </sheetViews>
  <sheetFormatPr baseColWidth="10" defaultRowHeight="15.75" x14ac:dyDescent="0.25"/>
  <cols>
    <col min="1" max="1" width="1.7109375" style="5" customWidth="1"/>
    <col min="2" max="2" width="24.7109375" style="10" customWidth="1"/>
    <col min="3" max="6" width="24.7109375" style="6" customWidth="1"/>
    <col min="7" max="11" width="11.42578125" style="5"/>
    <col min="12" max="12" width="11.42578125" style="5" customWidth="1"/>
    <col min="13" max="16384" width="11.42578125" style="5"/>
  </cols>
  <sheetData>
    <row r="1" spans="2:6" ht="86.25" customHeight="1" x14ac:dyDescent="0.25"/>
    <row r="3" spans="2:6" x14ac:dyDescent="0.25">
      <c r="B3" s="10" t="s">
        <v>33</v>
      </c>
      <c r="C3" s="6" t="s">
        <v>34</v>
      </c>
      <c r="D3" s="6" t="s">
        <v>78</v>
      </c>
      <c r="E3" s="6" t="s">
        <v>79</v>
      </c>
      <c r="F3" s="6" t="s">
        <v>80</v>
      </c>
    </row>
    <row r="4" spans="2:6" x14ac:dyDescent="0.25">
      <c r="B4" s="10">
        <v>43846.580567129633</v>
      </c>
      <c r="C4" s="6">
        <v>2</v>
      </c>
      <c r="D4" s="6">
        <v>4</v>
      </c>
      <c r="E4" s="6" t="s">
        <v>45</v>
      </c>
      <c r="F4" s="6">
        <v>10</v>
      </c>
    </row>
    <row r="5" spans="2:6" x14ac:dyDescent="0.25">
      <c r="B5" s="10">
        <v>43846.580694444441</v>
      </c>
      <c r="C5" s="6">
        <v>2</v>
      </c>
      <c r="D5" s="6">
        <v>4</v>
      </c>
      <c r="E5" s="6" t="s">
        <v>45</v>
      </c>
      <c r="F5" s="6">
        <v>10</v>
      </c>
    </row>
    <row r="6" spans="2:6" x14ac:dyDescent="0.25">
      <c r="B6" s="10">
        <v>43846.629305555558</v>
      </c>
      <c r="C6" s="6">
        <v>9</v>
      </c>
      <c r="D6" s="6">
        <v>4</v>
      </c>
      <c r="E6" s="6" t="s">
        <v>81</v>
      </c>
      <c r="F6" s="6">
        <v>10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D8"/>
  <sheetViews>
    <sheetView showGridLines="0" topLeftCell="A2" zoomScale="80" zoomScaleNormal="80" workbookViewId="0">
      <selection activeCell="C12" sqref="C12"/>
    </sheetView>
  </sheetViews>
  <sheetFormatPr baseColWidth="10" defaultRowHeight="15.75" x14ac:dyDescent="0.25"/>
  <cols>
    <col min="1" max="1" width="1.7109375" style="5" customWidth="1"/>
    <col min="2" max="4" width="25.28515625" style="6" customWidth="1"/>
    <col min="5" max="5" width="11.42578125" style="5"/>
    <col min="6" max="6" width="11.42578125" style="5" customWidth="1"/>
    <col min="7" max="11" width="11.42578125" style="5"/>
    <col min="12" max="12" width="11.42578125" style="5" customWidth="1"/>
    <col min="13" max="16384" width="11.42578125" style="5"/>
  </cols>
  <sheetData>
    <row r="1" spans="2:4" ht="86.25" customHeight="1" x14ac:dyDescent="0.25"/>
    <row r="3" spans="2:4" x14ac:dyDescent="0.25">
      <c r="B3" s="6" t="s">
        <v>52</v>
      </c>
      <c r="C3" s="6" t="s">
        <v>53</v>
      </c>
      <c r="D3" s="6" t="s">
        <v>51</v>
      </c>
    </row>
    <row r="4" spans="2:4" x14ac:dyDescent="0.25">
      <c r="B4" s="6">
        <v>1</v>
      </c>
      <c r="C4" s="6">
        <v>1</v>
      </c>
      <c r="D4" s="79">
        <v>0.05</v>
      </c>
    </row>
    <row r="5" spans="2:4" x14ac:dyDescent="0.25">
      <c r="B5" s="6">
        <v>2</v>
      </c>
      <c r="C5" s="6">
        <v>2</v>
      </c>
      <c r="D5" s="79">
        <v>0.1</v>
      </c>
    </row>
    <row r="6" spans="2:4" x14ac:dyDescent="0.25">
      <c r="B6" s="6">
        <v>3</v>
      </c>
      <c r="C6" s="6">
        <v>3</v>
      </c>
      <c r="D6" s="79">
        <v>0.15</v>
      </c>
    </row>
    <row r="7" spans="2:4" x14ac:dyDescent="0.25">
      <c r="B7" s="6">
        <v>4</v>
      </c>
      <c r="C7" s="6">
        <v>4</v>
      </c>
      <c r="D7" s="79">
        <v>0.2</v>
      </c>
    </row>
    <row r="8" spans="2:4" x14ac:dyDescent="0.25">
      <c r="B8" s="6">
        <v>5</v>
      </c>
      <c r="C8" s="6">
        <v>5</v>
      </c>
      <c r="D8" s="79">
        <v>0.25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zoomScale="80" zoomScaleNormal="80" workbookViewId="0">
      <selection activeCell="F4" sqref="F4"/>
    </sheetView>
  </sheetViews>
  <sheetFormatPr baseColWidth="10" defaultRowHeight="15" x14ac:dyDescent="0.25"/>
  <cols>
    <col min="1" max="1" width="1.7109375" customWidth="1"/>
    <col min="6" max="6" width="11.42578125" customWidth="1"/>
    <col min="12" max="12" width="11.42578125" customWidth="1"/>
  </cols>
  <sheetData>
    <row r="1" ht="86.25" customHeight="1" x14ac:dyDescent="0.25"/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16</vt:i4>
      </vt:variant>
    </vt:vector>
  </HeadingPairs>
  <TitlesOfParts>
    <vt:vector size="30" baseType="lpstr">
      <vt:lpstr>home</vt:lpstr>
      <vt:lpstr>login</vt:lpstr>
      <vt:lpstr>menu</vt:lpstr>
      <vt:lpstr>article</vt:lpstr>
      <vt:lpstr>client</vt:lpstr>
      <vt:lpstr>reception</vt:lpstr>
      <vt:lpstr>panier</vt:lpstr>
      <vt:lpstr>facture</vt:lpstr>
      <vt:lpstr>historique_vente</vt:lpstr>
      <vt:lpstr>suivi_facture</vt:lpstr>
      <vt:lpstr>payement</vt:lpstr>
      <vt:lpstr>fidélisation</vt:lpstr>
      <vt:lpstr>layout</vt:lpstr>
      <vt:lpstr>Feuil3</vt:lpstr>
      <vt:lpstr>nr_art_reception</vt:lpstr>
      <vt:lpstr>facture!nr_article</vt:lpstr>
      <vt:lpstr>fidélisation!nr_article</vt:lpstr>
      <vt:lpstr>historique_vente!nr_article</vt:lpstr>
      <vt:lpstr>payement!nr_article</vt:lpstr>
      <vt:lpstr>reception!nr_article</vt:lpstr>
      <vt:lpstr>suivi_facture!nr_article</vt:lpstr>
      <vt:lpstr>nr_article</vt:lpstr>
      <vt:lpstr>facture!nr_client</vt:lpstr>
      <vt:lpstr>fidélisation!nr_client</vt:lpstr>
      <vt:lpstr>historique_vente!nr_client</vt:lpstr>
      <vt:lpstr>payement!nr_client</vt:lpstr>
      <vt:lpstr>reception!nr_client</vt:lpstr>
      <vt:lpstr>suivi_facture!nr_client</vt:lpstr>
      <vt:lpstr>nr_client</vt:lpstr>
      <vt:lpstr>nr_fac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SASSE</dc:creator>
  <cp:lastModifiedBy>CASO ZAMBOL</cp:lastModifiedBy>
  <cp:lastPrinted>2020-01-24T13:14:54Z</cp:lastPrinted>
  <dcterms:created xsi:type="dcterms:W3CDTF">2020-01-15T09:02:11Z</dcterms:created>
  <dcterms:modified xsi:type="dcterms:W3CDTF">2021-05-21T16:31:25Z</dcterms:modified>
</cp:coreProperties>
</file>