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élissa\Google Drive\BTS AG\BTS AG\Com écrite\Fiches\Fiche 3 congés payés\"/>
    </mc:Choice>
  </mc:AlternateContent>
  <bookViews>
    <workbookView xWindow="0" yWindow="0" windowWidth="20490" windowHeight="7755" activeTab="3"/>
  </bookViews>
  <sheets>
    <sheet name="Variables" sheetId="2" r:id="rId1"/>
    <sheet name="Calendrier" sheetId="1" r:id="rId2"/>
    <sheet name="Suivi absences" sheetId="4" r:id="rId3"/>
    <sheet name="Solde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3" l="1"/>
  <c r="E10" i="3"/>
  <c r="F10" i="3"/>
  <c r="G10" i="3"/>
  <c r="H10" i="3"/>
  <c r="I10" i="3"/>
  <c r="C10" i="3"/>
  <c r="I40" i="3"/>
  <c r="H40" i="3"/>
  <c r="G40" i="3"/>
  <c r="F40" i="3"/>
  <c r="E40" i="3"/>
  <c r="D40" i="3"/>
  <c r="C40" i="3"/>
  <c r="D9" i="3"/>
  <c r="E9" i="3"/>
  <c r="F9" i="3"/>
  <c r="G9" i="3"/>
  <c r="H9" i="3"/>
  <c r="I9" i="3"/>
  <c r="C9" i="3"/>
  <c r="I37" i="3"/>
  <c r="H37" i="3"/>
  <c r="G37" i="3"/>
  <c r="F37" i="3"/>
  <c r="E37" i="3"/>
  <c r="D37" i="3"/>
  <c r="C37" i="3"/>
  <c r="I34" i="3"/>
  <c r="I8" i="3" s="1"/>
  <c r="H34" i="3"/>
  <c r="H8" i="3" s="1"/>
  <c r="G34" i="3"/>
  <c r="G8" i="3" s="1"/>
  <c r="F34" i="3"/>
  <c r="F8" i="3" s="1"/>
  <c r="E34" i="3"/>
  <c r="E8" i="3" s="1"/>
  <c r="D34" i="3"/>
  <c r="D8" i="3" s="1"/>
  <c r="C34" i="3"/>
  <c r="C8" i="3" s="1"/>
  <c r="F7" i="3"/>
  <c r="C7" i="3"/>
  <c r="G6" i="3"/>
  <c r="I31" i="3"/>
  <c r="I7" i="3" s="1"/>
  <c r="H31" i="3"/>
  <c r="H7" i="3" s="1"/>
  <c r="G31" i="3"/>
  <c r="G7" i="3" s="1"/>
  <c r="F31" i="3"/>
  <c r="E31" i="3"/>
  <c r="E7" i="3" s="1"/>
  <c r="D31" i="3"/>
  <c r="D7" i="3" s="1"/>
  <c r="C31" i="3"/>
  <c r="I28" i="3"/>
  <c r="I6" i="3" s="1"/>
  <c r="H28" i="3"/>
  <c r="H6" i="3" s="1"/>
  <c r="G28" i="3"/>
  <c r="F28" i="3"/>
  <c r="F6" i="3" s="1"/>
  <c r="E28" i="3"/>
  <c r="E6" i="3" s="1"/>
  <c r="D28" i="3"/>
  <c r="D6" i="3" s="1"/>
  <c r="C28" i="3"/>
  <c r="C6" i="3" s="1"/>
  <c r="I25" i="3"/>
  <c r="I5" i="3" s="1"/>
  <c r="H25" i="3"/>
  <c r="H5" i="3" s="1"/>
  <c r="G25" i="3"/>
  <c r="G5" i="3" s="1"/>
  <c r="F25" i="3"/>
  <c r="F5" i="3" s="1"/>
  <c r="E25" i="3"/>
  <c r="E5" i="3" s="1"/>
  <c r="D25" i="3"/>
  <c r="D5" i="3" s="1"/>
  <c r="C25" i="3"/>
  <c r="C5" i="3" s="1"/>
  <c r="I22" i="3" l="1"/>
  <c r="I4" i="3" s="1"/>
  <c r="H22" i="3"/>
  <c r="H4" i="3" s="1"/>
  <c r="G22" i="3"/>
  <c r="G4" i="3" s="1"/>
  <c r="F22" i="3"/>
  <c r="F4" i="3" s="1"/>
  <c r="E22" i="3"/>
  <c r="E4" i="3" s="1"/>
  <c r="D22" i="3"/>
  <c r="D4" i="3" s="1"/>
  <c r="C22" i="3"/>
  <c r="C4" i="3" s="1"/>
  <c r="D14" i="3"/>
  <c r="D16" i="3" s="1"/>
  <c r="D2" i="3" s="1"/>
  <c r="E14" i="3"/>
  <c r="F14" i="3"/>
  <c r="F16" i="3" s="1"/>
  <c r="F2" i="3" s="1"/>
  <c r="G14" i="3"/>
  <c r="G16" i="3" s="1"/>
  <c r="G2" i="3" s="1"/>
  <c r="H14" i="3"/>
  <c r="H16" i="3" s="1"/>
  <c r="H2" i="3" s="1"/>
  <c r="I14" i="3"/>
  <c r="I16" i="3" s="1"/>
  <c r="I2" i="3" s="1"/>
  <c r="C14" i="3"/>
  <c r="C16" i="3" s="1"/>
  <c r="C2" i="3" s="1"/>
  <c r="C24" i="2"/>
  <c r="C25" i="2"/>
  <c r="C26" i="2" s="1"/>
  <c r="C27" i="2" s="1"/>
  <c r="C28" i="2" s="1"/>
  <c r="C29" i="2" s="1"/>
  <c r="C30" i="2" s="1"/>
  <c r="C23" i="2"/>
  <c r="C22" i="2"/>
  <c r="C21" i="2"/>
  <c r="C20" i="2"/>
  <c r="B31" i="2"/>
  <c r="I19" i="3"/>
  <c r="I3" i="3" s="1"/>
  <c r="H19" i="3"/>
  <c r="H3" i="3" s="1"/>
  <c r="G19" i="3"/>
  <c r="G3" i="3" s="1"/>
  <c r="F19" i="3"/>
  <c r="F3" i="3" s="1"/>
  <c r="E19" i="3"/>
  <c r="E3" i="3" s="1"/>
  <c r="D19" i="3"/>
  <c r="D3" i="3" s="1"/>
  <c r="C19" i="3"/>
  <c r="C3" i="3" s="1"/>
  <c r="I15" i="3"/>
  <c r="H15" i="3"/>
  <c r="G15" i="3"/>
  <c r="F15" i="3"/>
  <c r="D15" i="3"/>
  <c r="E15" i="3"/>
  <c r="E16" i="3" s="1"/>
  <c r="E2" i="3" s="1"/>
  <c r="C15" i="3"/>
  <c r="E7" i="4" l="1"/>
  <c r="E2" i="4" l="1"/>
  <c r="E5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8" i="4"/>
  <c r="E6" i="4"/>
  <c r="E4" i="4"/>
  <c r="E3" i="4"/>
  <c r="B12" i="2" l="1"/>
  <c r="B5" i="1"/>
  <c r="C5" i="1" s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C9" i="2"/>
  <c r="C4" i="2"/>
  <c r="C3" i="2"/>
  <c r="C13" i="2"/>
  <c r="C5" i="2"/>
  <c r="C6" i="2"/>
  <c r="C8" i="2"/>
  <c r="C14" i="2"/>
  <c r="C15" i="2"/>
  <c r="C11" i="2"/>
  <c r="C12" i="2"/>
  <c r="C10" i="2"/>
  <c r="C7" i="2"/>
  <c r="B6" i="2" l="1"/>
  <c r="B14" i="2"/>
  <c r="B3" i="2"/>
  <c r="B7" i="2"/>
  <c r="B11" i="2"/>
  <c r="B13" i="2"/>
  <c r="B15" i="2"/>
  <c r="B4" i="2"/>
  <c r="B8" i="2" l="1"/>
  <c r="B9" i="2"/>
  <c r="B5" i="2"/>
  <c r="B10" i="2"/>
</calcChain>
</file>

<file path=xl/sharedStrings.xml><?xml version="1.0" encoding="utf-8"?>
<sst xmlns="http://schemas.openxmlformats.org/spreadsheetml/2006/main" count="158" uniqueCount="88">
  <si>
    <t>Alexandre</t>
  </si>
  <si>
    <t>Calix</t>
  </si>
  <si>
    <t>Johan</t>
  </si>
  <si>
    <t>Mathias</t>
  </si>
  <si>
    <t>Mélissa</t>
  </si>
  <si>
    <t>Nicolas</t>
  </si>
  <si>
    <t>Pierre</t>
  </si>
  <si>
    <t>Mois</t>
  </si>
  <si>
    <t>Année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</si>
  <si>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</si>
  <si>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</si>
  <si>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</si>
  <si>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</si>
  <si>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</si>
  <si>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</si>
  <si>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</si>
  <si>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</si>
  <si>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</si>
  <si>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</si>
  <si>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</si>
  <si>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</si>
  <si>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</si>
  <si>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Maladie</t>
  </si>
  <si>
    <t>Formation</t>
  </si>
  <si>
    <t>Période de référence du 1er Juin au 31 Mai</t>
  </si>
  <si>
    <t>2016 - 2017</t>
  </si>
  <si>
    <t>CP</t>
  </si>
  <si>
    <t>SOLDE DEPART</t>
  </si>
  <si>
    <t>SOLDE RESTANT</t>
  </si>
  <si>
    <t>CP PRIS</t>
  </si>
  <si>
    <t>Légende</t>
  </si>
  <si>
    <t>MAL</t>
  </si>
  <si>
    <t>CPA</t>
  </si>
  <si>
    <t>CPAT</t>
  </si>
  <si>
    <t>EVF</t>
  </si>
  <si>
    <t>ABSNR</t>
  </si>
  <si>
    <t>NJ</t>
  </si>
  <si>
    <t>FOR</t>
  </si>
  <si>
    <t>CMAT</t>
  </si>
  <si>
    <t>Congé Maternité</t>
  </si>
  <si>
    <t>Congé parental</t>
  </si>
  <si>
    <t>Congé Paternité</t>
  </si>
  <si>
    <t>Evénement familial</t>
  </si>
  <si>
    <t>Absence non rémunérée</t>
  </si>
  <si>
    <t>Non justifiée</t>
  </si>
  <si>
    <t>TOTAL MAL</t>
  </si>
  <si>
    <t>TOTAL ABSNR</t>
  </si>
  <si>
    <t>TOTAL NJ</t>
  </si>
  <si>
    <t>TOTAL FOR</t>
  </si>
  <si>
    <t>RECAPITULATIF</t>
  </si>
  <si>
    <t>Congés Payés</t>
  </si>
  <si>
    <t>Employés</t>
  </si>
  <si>
    <t>Absences</t>
  </si>
  <si>
    <t>Début</t>
  </si>
  <si>
    <t>Fin</t>
  </si>
  <si>
    <t>Total</t>
  </si>
  <si>
    <t>Jours chômés</t>
  </si>
  <si>
    <t>Jours fériés</t>
  </si>
  <si>
    <t xml:space="preserve">Absences </t>
  </si>
  <si>
    <t>Référence cumul CP</t>
  </si>
  <si>
    <t>Mai</t>
  </si>
  <si>
    <t>Juin</t>
  </si>
  <si>
    <t>Juillet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</si>
  <si>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</si>
  <si>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</si>
  <si>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</si>
  <si>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</si>
  <si>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</si>
  <si>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</si>
  <si>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</si>
  <si>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</si>
  <si>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Août</t>
  </si>
  <si>
    <t>TOTAL JOURS OUVRABLES</t>
  </si>
  <si>
    <t xml:space="preserve">Droit à </t>
  </si>
  <si>
    <t>Cumul des droits</t>
  </si>
  <si>
    <t>TOTAL CMAT</t>
  </si>
  <si>
    <t>TOTAL CPA</t>
  </si>
  <si>
    <t>TOTAL CPAT</t>
  </si>
  <si>
    <t>TOTAL EVF</t>
  </si>
  <si>
    <t xml:space="preserve">Solde restant CP </t>
  </si>
  <si>
    <t>Total MAL</t>
  </si>
  <si>
    <t>Total CMAT</t>
  </si>
  <si>
    <t>Total CPA</t>
  </si>
  <si>
    <t>Total CPAT</t>
  </si>
  <si>
    <t>Total EVF</t>
  </si>
  <si>
    <t>Total ABSNR</t>
  </si>
  <si>
    <t>Total NJ</t>
  </si>
  <si>
    <t>Total FOR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</si>
</sst>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i/>
      <sz val="11"/>
      <color theme="1"/>
      <name val="Calibri"/>
      <family val="2"/>
      <scheme val="minor"/>
    </font>
    <font>
      <b/>
      <sz val="22"/>
      <color theme="0" tint="-0.34998626667073579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6161"/>
        <bgColor indexed="64"/>
      </patternFill>
    </fill>
    <fill>
      <patternFill patternType="solid">
        <fgColor rgb="FFFCB352"/>
        <bgColor indexed="64"/>
      </patternFill>
    </fill>
    <fill>
      <patternFill patternType="solid">
        <fgColor rgb="FFFFFF4B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D9231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lightUp"/>
    </fill>
    <fill>
      <patternFill patternType="lightUp">
        <fgColor rgb="FFD9231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textRotation="9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2" xfId="1" applyBorder="1"/>
    <xf numFmtId="0" fontId="2" fillId="0" borderId="3" xfId="1" applyBorder="1"/>
    <xf numFmtId="0" fontId="2" fillId="0" borderId="0" xfId="1"/>
    <xf numFmtId="0" fontId="2" fillId="0" borderId="4" xfId="1" applyBorder="1"/>
    <xf numFmtId="14" fontId="2" fillId="0" borderId="5" xfId="1" applyNumberFormat="1" applyBorder="1"/>
    <xf numFmtId="0" fontId="2" fillId="0" borderId="6" xfId="1" applyBorder="1"/>
    <xf numFmtId="0" fontId="2" fillId="0" borderId="7" xfId="1" applyBorder="1"/>
    <xf numFmtId="14" fontId="2" fillId="0" borderId="8" xfId="1" applyNumberFormat="1" applyBorder="1"/>
    <xf numFmtId="0" fontId="2" fillId="0" borderId="9" xfId="1" applyBorder="1"/>
    <xf numFmtId="16" fontId="2" fillId="0" borderId="7" xfId="1" quotePrefix="1" applyNumberFormat="1" applyBorder="1"/>
    <xf numFmtId="0" fontId="2" fillId="0" borderId="7" xfId="1" quotePrefix="1" applyBorder="1"/>
    <xf numFmtId="16" fontId="2" fillId="0" borderId="10" xfId="1" quotePrefix="1" applyNumberFormat="1" applyBorder="1"/>
    <xf numFmtId="14" fontId="2" fillId="0" borderId="11" xfId="1" applyNumberFormat="1" applyBorder="1"/>
    <xf numFmtId="0" fontId="2" fillId="0" borderId="12" xfId="1" applyBorder="1"/>
    <xf numFmtId="0" fontId="1" fillId="0" borderId="1" xfId="0" applyFont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textRotation="90"/>
    </xf>
    <xf numFmtId="164" fontId="1" fillId="0" borderId="13" xfId="0" applyNumberFormat="1" applyFont="1" applyBorder="1" applyAlignment="1">
      <alignment horizontal="center" vertical="center" textRotation="90"/>
    </xf>
    <xf numFmtId="0" fontId="0" fillId="0" borderId="14" xfId="0" applyBorder="1"/>
    <xf numFmtId="0" fontId="0" fillId="0" borderId="0" xfId="0" applyAlignment="1">
      <alignment horizontal="center" vertical="center" textRotation="45"/>
    </xf>
    <xf numFmtId="0" fontId="3" fillId="0" borderId="0" xfId="0" applyFont="1" applyAlignment="1"/>
    <xf numFmtId="0" fontId="0" fillId="0" borderId="1" xfId="0" applyBorder="1" applyAlignment="1">
      <alignment textRotation="90"/>
    </xf>
    <xf numFmtId="0" fontId="0" fillId="5" borderId="1" xfId="0" applyFill="1" applyBorder="1"/>
    <xf numFmtId="0" fontId="0" fillId="0" borderId="16" xfId="0" applyBorder="1"/>
    <xf numFmtId="0" fontId="0" fillId="0" borderId="17" xfId="0" applyBorder="1"/>
    <xf numFmtId="0" fontId="1" fillId="0" borderId="18" xfId="0" applyFont="1" applyBorder="1" applyAlignment="1"/>
    <xf numFmtId="14" fontId="1" fillId="0" borderId="0" xfId="0" applyNumberFormat="1" applyFont="1"/>
    <xf numFmtId="14" fontId="0" fillId="0" borderId="0" xfId="0" applyNumberFormat="1"/>
    <xf numFmtId="2" fontId="1" fillId="0" borderId="0" xfId="0" applyNumberFormat="1" applyFont="1"/>
    <xf numFmtId="2" fontId="0" fillId="0" borderId="0" xfId="0" applyNumberFormat="1"/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" xfId="0" applyBorder="1" applyAlignment="1">
      <alignment horizontal="center" vertical="center" textRotation="45"/>
    </xf>
    <xf numFmtId="0" fontId="4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left"/>
    </xf>
  </cellXfs>
  <cellStyles count="2">
    <cellStyle name="Normal" xfId="0" builtinId="0"/>
    <cellStyle name="Normal 2" xfId="1"/>
  </cellStyles>
  <dxfs count="9">
    <dxf>
      <fill>
        <patternFill patternType="lightUp">
          <fgColor rgb="FFD92315"/>
        </patternFill>
      </fill>
    </dxf>
    <dxf>
      <fill>
        <patternFill patternType="lightUp">
          <fgColor rgb="FFD92315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>
          <bgColor theme="4" tint="0.59996337778862885"/>
        </patternFill>
      </fill>
    </dxf>
    <dxf>
      <fill>
        <patternFill patternType="lightUp"/>
      </fill>
    </dxf>
    <dxf>
      <fill>
        <patternFill patternType="lightUp">
          <fgColor rgb="FFD92315"/>
        </patternFill>
      </fill>
    </dxf>
    <dxf>
      <fill>
        <patternFill patternType="lightUp">
          <fgColor rgb="FFD92315"/>
        </patternFill>
      </fill>
    </dxf>
    <dxf>
      <fill>
        <patternFill patternType="lightUp"/>
      </fill>
    </dxf>
  </dxfs>
  <tableStyles count="0" defaultTableStyle="TableStyleMedium2" defaultPivotStyle="PivotStyleLight16"/>
  <colors>
    <mruColors>
      <color rgb="FFD92315"/>
      <color rgb="FFFFFF4B"/>
      <color rgb="FFFCB352"/>
      <color rgb="FFFFFF81"/>
      <color rgb="FFFFFFAF"/>
      <color rgb="FFFDC77F"/>
      <color rgb="FFFF6161"/>
      <color rgb="FFFF99FF"/>
      <color rgb="FFFF5D5D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1"/>
  <sheetViews>
    <sheetView workbookViewId="0">
      <selection activeCell="E12" sqref="E12"/>
    </sheetView>
  </sheetViews>
  <sheetFormatPr baseColWidth="10" defaultRowHeight="15" x14ac:dyDescent="0.25"/>
  <cols>
    <col min="1" max="1" width="24.5703125" customWidth="1"/>
    <col min="2" max="2" width="11.28515625" bestFit="1" customWidth="1"/>
    <col min="3" max="3" width="65.42578125" bestFit="1" customWidth="1"/>
    <col min="5" max="5" width="7" bestFit="1" customWidth="1"/>
    <col min="6" max="6" width="23.140625" style="46" bestFit="1" customWidth="1"/>
  </cols>
  <sheetData>
    <row r="1" spans="1:8" ht="15.75" thickBot="1" x14ac:dyDescent="0.3">
      <c r="A1" s="6" t="s">
        <v>8</v>
      </c>
      <c r="B1" s="7">
        <v>2018</v>
      </c>
      <c r="C1" s="8"/>
      <c r="E1" s="53" t="s">
        <v>58</v>
      </c>
      <c r="F1" s="53"/>
      <c r="H1" s="49" t="s">
        <v>51</v>
      </c>
    </row>
    <row r="2" spans="1:8" ht="15.75" thickBot="1" x14ac:dyDescent="0.3">
      <c r="A2" s="8"/>
      <c r="B2" s="8"/>
      <c r="C2" s="8"/>
      <c r="E2" s="21" t="s">
        <v>26</v>
      </c>
      <c r="F2" s="45" t="s">
        <v>50</v>
      </c>
      <c r="H2" s="50" t="s">
        <v>0</v>
      </c>
    </row>
    <row r="3" spans="1:8" x14ac:dyDescent="0.25">
      <c r="A3" s="9" t="s">
        <v>9</v>
      </c>
      <c r="B3" s="10">
        <f>DATE($B$1,1,1)</f>
        <v>43101</v>
      </c>
      <c r="C3" s="11" t="str">
        <f ca="1">_xlfn.FORMULATEXT(B3)</f>
        <v>=DATE($B$1;1;1)</v>
      </c>
      <c r="E3" s="22" t="s">
        <v>31</v>
      </c>
      <c r="F3" s="45" t="s">
        <v>22</v>
      </c>
      <c r="H3" s="50" t="s">
        <v>1</v>
      </c>
    </row>
    <row r="4" spans="1:8" x14ac:dyDescent="0.25">
      <c r="A4" s="12" t="s">
        <v>10</v>
      </c>
      <c r="B4" s="13">
        <f>ROUND(DATE($B$1,4,MOD(234-11*MOD($B$1,19),30))/7,)*7-6</f>
        <v>43191</v>
      </c>
      <c r="C4" s="14" t="str">
        <f t="shared" ref="C4:C15" ca="1" si="0">_xlfn.FORMULATEXT(B4)</f>
        <v>=ARRONDI(DATE($B$1;4;MOD(234-11*MOD($B$1;19);30))/7;)*7-6</v>
      </c>
      <c r="E4" s="23" t="s">
        <v>38</v>
      </c>
      <c r="F4" s="45" t="s">
        <v>39</v>
      </c>
      <c r="H4" s="50" t="s">
        <v>2</v>
      </c>
    </row>
    <row r="5" spans="1:8" x14ac:dyDescent="0.25">
      <c r="A5" s="12" t="s">
        <v>11</v>
      </c>
      <c r="B5" s="13">
        <f>B4+1</f>
        <v>43192</v>
      </c>
      <c r="C5" s="14" t="str">
        <f t="shared" ca="1" si="0"/>
        <v>=B4+1</v>
      </c>
      <c r="E5" s="24" t="s">
        <v>32</v>
      </c>
      <c r="F5" s="45" t="s">
        <v>40</v>
      </c>
      <c r="H5" s="50" t="s">
        <v>3</v>
      </c>
    </row>
    <row r="6" spans="1:8" x14ac:dyDescent="0.25">
      <c r="A6" s="12" t="s">
        <v>12</v>
      </c>
      <c r="B6" s="13">
        <f>DATE($B$1,5,1)</f>
        <v>43221</v>
      </c>
      <c r="C6" s="14" t="str">
        <f t="shared" ca="1" si="0"/>
        <v>=DATE($B$1;5;1)</v>
      </c>
      <c r="E6" s="23" t="s">
        <v>33</v>
      </c>
      <c r="F6" s="45" t="s">
        <v>41</v>
      </c>
      <c r="H6" s="50" t="s">
        <v>4</v>
      </c>
    </row>
    <row r="7" spans="1:8" x14ac:dyDescent="0.25">
      <c r="A7" s="15" t="s">
        <v>13</v>
      </c>
      <c r="B7" s="13">
        <f>DATE($B$1,5,8)</f>
        <v>43228</v>
      </c>
      <c r="C7" s="14" t="str">
        <f t="shared" ca="1" si="0"/>
        <v>=DATE($B$1;5;8)</v>
      </c>
      <c r="E7" s="25" t="s">
        <v>34</v>
      </c>
      <c r="F7" s="45" t="s">
        <v>42</v>
      </c>
      <c r="H7" s="50" t="s">
        <v>5</v>
      </c>
    </row>
    <row r="8" spans="1:8" x14ac:dyDescent="0.25">
      <c r="A8" s="12" t="s">
        <v>14</v>
      </c>
      <c r="B8" s="13">
        <f>B4+39</f>
        <v>43230</v>
      </c>
      <c r="C8" s="14" t="str">
        <f t="shared" ca="1" si="0"/>
        <v>=B4+39</v>
      </c>
      <c r="E8" s="26" t="s">
        <v>35</v>
      </c>
      <c r="F8" s="45" t="s">
        <v>43</v>
      </c>
      <c r="H8" s="50" t="s">
        <v>6</v>
      </c>
    </row>
    <row r="9" spans="1:8" x14ac:dyDescent="0.25">
      <c r="A9" s="12" t="s">
        <v>15</v>
      </c>
      <c r="B9" s="13">
        <f>B4+49</f>
        <v>43240</v>
      </c>
      <c r="C9" s="14" t="str">
        <f t="shared" ca="1" si="0"/>
        <v>=B4+49</v>
      </c>
      <c r="E9" s="27" t="s">
        <v>36</v>
      </c>
      <c r="F9" s="45" t="s">
        <v>44</v>
      </c>
    </row>
    <row r="10" spans="1:8" x14ac:dyDescent="0.25">
      <c r="A10" s="12" t="s">
        <v>16</v>
      </c>
      <c r="B10" s="13">
        <f>B4+50</f>
        <v>43241</v>
      </c>
      <c r="C10" s="14" t="str">
        <f t="shared" ca="1" si="0"/>
        <v>=B4+50</v>
      </c>
      <c r="E10" s="28" t="s">
        <v>37</v>
      </c>
      <c r="F10" s="45" t="s">
        <v>23</v>
      </c>
    </row>
    <row r="11" spans="1:8" x14ac:dyDescent="0.25">
      <c r="A11" s="16" t="s">
        <v>17</v>
      </c>
      <c r="B11" s="13">
        <f>DATE($B$1,7,14)</f>
        <v>43295</v>
      </c>
      <c r="C11" s="14" t="str">
        <f t="shared" ca="1" si="0"/>
        <v>=DATE($B$1;7;14)</v>
      </c>
    </row>
    <row r="12" spans="1:8" x14ac:dyDescent="0.25">
      <c r="A12" s="16" t="s">
        <v>18</v>
      </c>
      <c r="B12" s="13">
        <f>DATE($B$1,8,15)</f>
        <v>43327</v>
      </c>
      <c r="C12" s="14" t="str">
        <f t="shared" ca="1" si="0"/>
        <v>=DATE($B$1;8;15)</v>
      </c>
    </row>
    <row r="13" spans="1:8" x14ac:dyDescent="0.25">
      <c r="A13" s="16" t="s">
        <v>19</v>
      </c>
      <c r="B13" s="13">
        <f>DATE($B$1,11,1)</f>
        <v>43405</v>
      </c>
      <c r="C13" s="14" t="str">
        <f t="shared" ca="1" si="0"/>
        <v>=DATE($B$1;11;1)</v>
      </c>
    </row>
    <row r="14" spans="1:8" x14ac:dyDescent="0.25">
      <c r="A14" s="16" t="s">
        <v>20</v>
      </c>
      <c r="B14" s="13">
        <f>DATE($B$1,11,11)</f>
        <v>43415</v>
      </c>
      <c r="C14" s="14" t="str">
        <f t="shared" ca="1" si="0"/>
        <v>=DATE($B$1;11;11)</v>
      </c>
    </row>
    <row r="15" spans="1:8" ht="15.75" thickBot="1" x14ac:dyDescent="0.3">
      <c r="A15" s="17" t="s">
        <v>21</v>
      </c>
      <c r="B15" s="18">
        <f>DATE($B$1,12,25)</f>
        <v>43459</v>
      </c>
      <c r="C15" s="19" t="str">
        <f t="shared" ca="1" si="0"/>
        <v>=DATE($B$1;12;25)</v>
      </c>
    </row>
    <row r="18" spans="1:3" x14ac:dyDescent="0.25">
      <c r="A18" s="51" t="s">
        <v>59</v>
      </c>
      <c r="B18" s="20" t="s">
        <v>73</v>
      </c>
      <c r="C18" s="20" t="s">
        <v>74</v>
      </c>
    </row>
    <row r="19" spans="1:3" x14ac:dyDescent="0.25">
      <c r="A19" s="5" t="s">
        <v>61</v>
      </c>
      <c r="B19" s="5">
        <v>2.5</v>
      </c>
      <c r="C19" s="45">
        <v>2.5</v>
      </c>
    </row>
    <row r="20" spans="1:3" x14ac:dyDescent="0.25">
      <c r="A20" s="5" t="s">
        <v>62</v>
      </c>
      <c r="B20" s="5">
        <v>2.5</v>
      </c>
      <c r="C20" s="45">
        <f>2.5+C19</f>
        <v>5</v>
      </c>
    </row>
    <row r="21" spans="1:3" x14ac:dyDescent="0.25">
      <c r="A21" s="5" t="s">
        <v>71</v>
      </c>
      <c r="B21" s="5">
        <v>2.5</v>
      </c>
      <c r="C21" s="45">
        <f>2.5+C20</f>
        <v>7.5</v>
      </c>
    </row>
    <row r="22" spans="1:3" x14ac:dyDescent="0.25">
      <c r="A22" s="5" t="s">
        <v>63</v>
      </c>
      <c r="B22" s="5">
        <v>2.5</v>
      </c>
      <c r="C22" s="45">
        <f>2.5+C21</f>
        <v>10</v>
      </c>
    </row>
    <row r="23" spans="1:3" x14ac:dyDescent="0.25">
      <c r="A23" s="5" t="s">
        <v>64</v>
      </c>
      <c r="B23" s="5">
        <v>2.5</v>
      </c>
      <c r="C23" s="45">
        <f>2.5+C22</f>
        <v>12.5</v>
      </c>
    </row>
    <row r="24" spans="1:3" x14ac:dyDescent="0.25">
      <c r="A24" s="5" t="s">
        <v>65</v>
      </c>
      <c r="B24" s="5">
        <v>2.5</v>
      </c>
      <c r="C24" s="45">
        <f t="shared" ref="C24:C30" si="1">2.5+C23</f>
        <v>15</v>
      </c>
    </row>
    <row r="25" spans="1:3" x14ac:dyDescent="0.25">
      <c r="A25" s="5" t="s">
        <v>66</v>
      </c>
      <c r="B25" s="5">
        <v>2.5</v>
      </c>
      <c r="C25" s="45">
        <f t="shared" si="1"/>
        <v>17.5</v>
      </c>
    </row>
    <row r="26" spans="1:3" x14ac:dyDescent="0.25">
      <c r="A26" s="5" t="s">
        <v>67</v>
      </c>
      <c r="B26" s="5">
        <v>2.5</v>
      </c>
      <c r="C26" s="45">
        <f t="shared" si="1"/>
        <v>20</v>
      </c>
    </row>
    <row r="27" spans="1:3" x14ac:dyDescent="0.25">
      <c r="A27" s="5" t="s">
        <v>68</v>
      </c>
      <c r="B27" s="5">
        <v>2.5</v>
      </c>
      <c r="C27" s="45">
        <f t="shared" si="1"/>
        <v>22.5</v>
      </c>
    </row>
    <row r="28" spans="1:3" x14ac:dyDescent="0.25">
      <c r="A28" s="5" t="s">
        <v>69</v>
      </c>
      <c r="B28" s="5">
        <v>2.5</v>
      </c>
      <c r="C28" s="45">
        <f t="shared" si="1"/>
        <v>25</v>
      </c>
    </row>
    <row r="29" spans="1:3" x14ac:dyDescent="0.25">
      <c r="A29" s="5" t="s">
        <v>70</v>
      </c>
      <c r="B29" s="5">
        <v>2.5</v>
      </c>
      <c r="C29" s="45">
        <f t="shared" si="1"/>
        <v>27.5</v>
      </c>
    </row>
    <row r="30" spans="1:3" x14ac:dyDescent="0.25">
      <c r="A30" s="5" t="s">
        <v>60</v>
      </c>
      <c r="B30" s="5">
        <v>2.5</v>
      </c>
      <c r="C30" s="45">
        <f t="shared" si="1"/>
        <v>30</v>
      </c>
    </row>
    <row r="31" spans="1:3" x14ac:dyDescent="0.25">
      <c r="A31" s="5" t="s">
        <v>72</v>
      </c>
      <c r="B31" s="5">
        <f>SUM(B19:B30)</f>
        <v>30</v>
      </c>
      <c r="C31" s="45">
        <v>30</v>
      </c>
    </row>
  </sheetData>
  <mergeCells count="1"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17"/>
  <sheetViews>
    <sheetView zoomScale="90" zoomScaleNormal="90" workbookViewId="0">
      <selection activeCell="J7" sqref="J7"/>
    </sheetView>
  </sheetViews>
  <sheetFormatPr baseColWidth="10" defaultRowHeight="15" x14ac:dyDescent="0.25"/>
  <cols>
    <col min="1" max="1" width="10.140625" bestFit="1" customWidth="1"/>
    <col min="2" max="2" width="5.5703125" style="2" bestFit="1" customWidth="1"/>
    <col min="3" max="3" width="4.140625" style="2" bestFit="1" customWidth="1"/>
    <col min="4" max="4" width="4.85546875" style="2" bestFit="1" customWidth="1"/>
    <col min="5" max="5" width="6.140625" style="2" bestFit="1" customWidth="1"/>
    <col min="6" max="6" width="4.5703125" style="2" bestFit="1" customWidth="1"/>
    <col min="7" max="7" width="5.5703125" style="2" bestFit="1" customWidth="1"/>
    <col min="8" max="8" width="4.28515625" style="2" bestFit="1" customWidth="1"/>
    <col min="9" max="9" width="7" style="2" bestFit="1" customWidth="1"/>
    <col min="10" max="11" width="4.140625" style="2" bestFit="1" customWidth="1"/>
    <col min="12" max="12" width="4.5703125" style="2" bestFit="1" customWidth="1"/>
    <col min="13" max="32" width="4.140625" style="2" bestFit="1" customWidth="1"/>
  </cols>
  <sheetData>
    <row r="1" spans="1:33" x14ac:dyDescent="0.25">
      <c r="A1" s="1" t="s">
        <v>7</v>
      </c>
      <c r="B1" s="2">
        <v>1</v>
      </c>
    </row>
    <row r="2" spans="1:33" x14ac:dyDescent="0.25">
      <c r="A2" s="1" t="s">
        <v>8</v>
      </c>
      <c r="B2" s="2">
        <v>2018</v>
      </c>
    </row>
    <row r="5" spans="1:33" s="48" customFormat="1" ht="100.5" customHeight="1" x14ac:dyDescent="0.25">
      <c r="A5" s="20"/>
      <c r="B5" s="30">
        <f>DATE(B2,B1,1)</f>
        <v>43101</v>
      </c>
      <c r="C5" s="3">
        <f>IF(B5="","",IF(MONTH(B5+1)=MONTH(B5),B5+1,""))</f>
        <v>43102</v>
      </c>
      <c r="D5" s="3">
        <f t="shared" ref="D5:AF5" si="0">IF(C5="","",IF(MONTH(C5+1)=MONTH(C5),C5+1,""))</f>
        <v>43103</v>
      </c>
      <c r="E5" s="3">
        <f t="shared" si="0"/>
        <v>43104</v>
      </c>
      <c r="F5" s="3">
        <f t="shared" si="0"/>
        <v>43105</v>
      </c>
      <c r="G5" s="3">
        <f t="shared" si="0"/>
        <v>43106</v>
      </c>
      <c r="H5" s="3">
        <f t="shared" si="0"/>
        <v>43107</v>
      </c>
      <c r="I5" s="3">
        <f t="shared" si="0"/>
        <v>43108</v>
      </c>
      <c r="J5" s="3">
        <f t="shared" si="0"/>
        <v>43109</v>
      </c>
      <c r="K5" s="3">
        <f t="shared" si="0"/>
        <v>43110</v>
      </c>
      <c r="L5" s="3">
        <f t="shared" si="0"/>
        <v>43111</v>
      </c>
      <c r="M5" s="3">
        <f t="shared" si="0"/>
        <v>43112</v>
      </c>
      <c r="N5" s="3">
        <f t="shared" si="0"/>
        <v>43113</v>
      </c>
      <c r="O5" s="3">
        <f t="shared" si="0"/>
        <v>43114</v>
      </c>
      <c r="P5" s="3">
        <f t="shared" si="0"/>
        <v>43115</v>
      </c>
      <c r="Q5" s="3">
        <f t="shared" si="0"/>
        <v>43116</v>
      </c>
      <c r="R5" s="3">
        <f t="shared" si="0"/>
        <v>43117</v>
      </c>
      <c r="S5" s="3">
        <f t="shared" si="0"/>
        <v>43118</v>
      </c>
      <c r="T5" s="3">
        <f t="shared" si="0"/>
        <v>43119</v>
      </c>
      <c r="U5" s="3">
        <f t="shared" si="0"/>
        <v>43120</v>
      </c>
      <c r="V5" s="3">
        <f t="shared" si="0"/>
        <v>43121</v>
      </c>
      <c r="W5" s="3">
        <f t="shared" si="0"/>
        <v>43122</v>
      </c>
      <c r="X5" s="3">
        <f t="shared" si="0"/>
        <v>43123</v>
      </c>
      <c r="Y5" s="3">
        <f t="shared" si="0"/>
        <v>43124</v>
      </c>
      <c r="Z5" s="3">
        <f t="shared" si="0"/>
        <v>43125</v>
      </c>
      <c r="AA5" s="3">
        <f t="shared" si="0"/>
        <v>43126</v>
      </c>
      <c r="AB5" s="3">
        <f t="shared" si="0"/>
        <v>43127</v>
      </c>
      <c r="AC5" s="3">
        <f t="shared" si="0"/>
        <v>43128</v>
      </c>
      <c r="AD5" s="3">
        <f t="shared" si="0"/>
        <v>43129</v>
      </c>
      <c r="AE5" s="3">
        <f t="shared" si="0"/>
        <v>43130</v>
      </c>
      <c r="AF5" s="3">
        <f t="shared" si="0"/>
        <v>43131</v>
      </c>
      <c r="AG5" s="47"/>
    </row>
    <row r="6" spans="1:33" ht="21.75" customHeight="1" x14ac:dyDescent="0.25">
      <c r="A6" s="31" t="s">
        <v>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3" ht="21.75" customHeight="1" x14ac:dyDescent="0.25">
      <c r="A7" s="4" t="s">
        <v>1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</row>
    <row r="8" spans="1:33" ht="21.75" customHeight="1" x14ac:dyDescent="0.25">
      <c r="A8" s="4" t="s">
        <v>2</v>
      </c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3" ht="21.75" customHeight="1" x14ac:dyDescent="0.25">
      <c r="A9" s="4" t="s">
        <v>3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3" ht="21.75" customHeight="1" x14ac:dyDescent="0.25">
      <c r="A10" s="4" t="s">
        <v>4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</row>
    <row r="11" spans="1:33" ht="21.75" customHeight="1" x14ac:dyDescent="0.25">
      <c r="A11" s="4" t="s">
        <v>5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3" ht="21.75" customHeight="1" x14ac:dyDescent="0.25">
      <c r="A12" s="4" t="s">
        <v>6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</row>
    <row r="15" spans="1:33" x14ac:dyDescent="0.25">
      <c r="A15" s="54" t="s">
        <v>30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38"/>
    </row>
    <row r="16" spans="1:33" x14ac:dyDescent="0.25">
      <c r="A16" s="43"/>
      <c r="B16" s="44"/>
      <c r="C16" s="21" t="s">
        <v>26</v>
      </c>
      <c r="D16" s="22" t="s">
        <v>31</v>
      </c>
      <c r="E16" s="23" t="s">
        <v>38</v>
      </c>
      <c r="F16" s="24" t="s">
        <v>32</v>
      </c>
      <c r="G16" s="23" t="s">
        <v>33</v>
      </c>
      <c r="H16" s="25" t="s">
        <v>34</v>
      </c>
      <c r="I16" s="26" t="s">
        <v>35</v>
      </c>
      <c r="J16" s="27" t="s">
        <v>36</v>
      </c>
      <c r="K16" s="28" t="s">
        <v>37</v>
      </c>
    </row>
    <row r="17" spans="1:11" ht="117" customHeight="1" x14ac:dyDescent="0.25">
      <c r="A17" s="29" t="s">
        <v>56</v>
      </c>
      <c r="B17" s="29" t="s">
        <v>57</v>
      </c>
      <c r="C17" s="29" t="s">
        <v>50</v>
      </c>
      <c r="D17" s="29" t="s">
        <v>22</v>
      </c>
      <c r="E17" s="29" t="s">
        <v>39</v>
      </c>
      <c r="F17" s="29" t="s">
        <v>40</v>
      </c>
      <c r="G17" s="29" t="s">
        <v>41</v>
      </c>
      <c r="H17" s="29" t="s">
        <v>42</v>
      </c>
      <c r="I17" s="29" t="s">
        <v>43</v>
      </c>
      <c r="J17" s="29" t="s">
        <v>44</v>
      </c>
      <c r="K17" s="29" t="s">
        <v>23</v>
      </c>
    </row>
  </sheetData>
  <mergeCells count="1">
    <mergeCell ref="A15:K15"/>
  </mergeCells>
  <conditionalFormatting sqref="B6:AF12">
    <cfRule type="expression" dxfId="5" priority="12">
      <formula>WEEKDAY(B$5,2)&gt;6</formula>
    </cfRule>
  </conditionalFormatting>
  <conditionalFormatting sqref="A16">
    <cfRule type="expression" dxfId="8" priority="3">
      <formula>WEEKDAY(A$5,2)&gt;6</formula>
    </cfRule>
  </conditionalFormatting>
  <dataValidations count="1">
    <dataValidation type="list" allowBlank="1" showInputMessage="1" showErrorMessage="1" sqref="B1">
      <formula1>"1 , 2 , 3 , 4 , 5 , 6 , 7 , 8 , 9 , 10 , 11 , 12"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E93A1A5-62E5-4DF1-BF25-EB9EAAA95054}">
            <xm:f>AND(B$6&gt;='Suivi absences'!$C2,B$6&lt;=$D2)</xm:f>
            <x14:dxf>
              <fill>
                <patternFill>
                  <bgColor theme="4" tint="0.59996337778862885"/>
                </patternFill>
              </fill>
            </x14:dxf>
          </x14:cfRule>
          <xm:sqref>B6:AF12</xm:sqref>
        </x14:conditionalFormatting>
        <x14:conditionalFormatting xmlns:xm="http://schemas.microsoft.com/office/excel/2006/main">
          <x14:cfRule type="expression" priority="8" id="{DC961690-DFC1-4E5A-94EB-0C28E6FE1BBB}">
            <xm:f>COUNTIF(Variables!$A$3:$C$15,B$5)</xm:f>
            <x14:dxf>
              <fill>
                <patternFill patternType="lightUp">
                  <fgColor rgb="FFD92315"/>
                </patternFill>
              </fill>
            </x14:dxf>
          </x14:cfRule>
          <xm:sqref>B6:AF12</xm:sqref>
        </x14:conditionalFormatting>
        <x14:conditionalFormatting xmlns:xm="http://schemas.microsoft.com/office/excel/2006/main">
          <x14:cfRule type="expression" priority="2" id="{8F1A6BD3-3568-4946-8845-D037C9DCED77}">
            <xm:f>COUNTIF(Variables!$A$3:$C$15,A$5)</xm:f>
            <x14:dxf>
              <fill>
                <patternFill patternType="lightUp">
                  <fgColor rgb="FFD92315"/>
                </patternFill>
              </fill>
            </x14:dxf>
          </x14:cfRule>
          <xm:sqref>A16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workbookViewId="0">
      <selection activeCell="E12" sqref="E12"/>
    </sheetView>
  </sheetViews>
  <sheetFormatPr baseColWidth="10" defaultRowHeight="15" x14ac:dyDescent="0.25"/>
  <cols>
    <col min="3" max="4" width="11.42578125" style="40"/>
    <col min="5" max="5" width="11.42578125" style="42"/>
  </cols>
  <sheetData>
    <row r="1" spans="1:5" x14ac:dyDescent="0.25">
      <c r="A1" s="1" t="s">
        <v>51</v>
      </c>
      <c r="B1" s="1" t="s">
        <v>52</v>
      </c>
      <c r="C1" s="39" t="s">
        <v>53</v>
      </c>
      <c r="D1" s="39" t="s">
        <v>54</v>
      </c>
      <c r="E1" s="41" t="s">
        <v>55</v>
      </c>
    </row>
    <row r="2" spans="1:5" x14ac:dyDescent="0.25">
      <c r="A2" t="s">
        <v>4</v>
      </c>
      <c r="B2" t="s">
        <v>37</v>
      </c>
      <c r="C2" s="40">
        <v>43133</v>
      </c>
      <c r="D2" s="40">
        <v>43133</v>
      </c>
      <c r="E2" s="42">
        <f t="shared" ref="E2:E8" si="0">IF(ISBLANK(D2),"",D2-C2+1)</f>
        <v>1</v>
      </c>
    </row>
    <row r="3" spans="1:5" x14ac:dyDescent="0.25">
      <c r="A3" t="s">
        <v>1</v>
      </c>
      <c r="B3" t="s">
        <v>26</v>
      </c>
      <c r="C3" s="40">
        <v>43137</v>
      </c>
      <c r="D3" s="40">
        <v>43140</v>
      </c>
      <c r="E3" s="42">
        <f t="shared" si="0"/>
        <v>4</v>
      </c>
    </row>
    <row r="4" spans="1:5" x14ac:dyDescent="0.25">
      <c r="A4" t="s">
        <v>3</v>
      </c>
      <c r="B4" t="s">
        <v>31</v>
      </c>
      <c r="C4" s="40">
        <v>43138</v>
      </c>
      <c r="D4" s="40">
        <v>43139</v>
      </c>
      <c r="E4" s="42">
        <f t="shared" si="0"/>
        <v>2</v>
      </c>
    </row>
    <row r="5" spans="1:5" x14ac:dyDescent="0.25">
      <c r="A5" t="s">
        <v>4</v>
      </c>
      <c r="B5" t="s">
        <v>37</v>
      </c>
      <c r="C5" s="40">
        <v>43140</v>
      </c>
      <c r="D5" s="40">
        <v>43140</v>
      </c>
      <c r="E5" s="42">
        <f t="shared" si="0"/>
        <v>1</v>
      </c>
    </row>
    <row r="6" spans="1:5" x14ac:dyDescent="0.25">
      <c r="A6" t="s">
        <v>0</v>
      </c>
      <c r="B6" t="s">
        <v>26</v>
      </c>
      <c r="C6" s="40">
        <v>43141</v>
      </c>
      <c r="D6" s="40">
        <v>43142</v>
      </c>
      <c r="E6" s="42">
        <f t="shared" si="0"/>
        <v>2</v>
      </c>
    </row>
    <row r="7" spans="1:5" x14ac:dyDescent="0.25">
      <c r="A7" t="s">
        <v>4</v>
      </c>
      <c r="B7" t="s">
        <v>37</v>
      </c>
      <c r="C7" s="40">
        <v>43147</v>
      </c>
      <c r="D7" s="40">
        <v>43147</v>
      </c>
      <c r="E7" s="42">
        <f t="shared" si="0"/>
        <v>1</v>
      </c>
    </row>
    <row r="8" spans="1:5" x14ac:dyDescent="0.25">
      <c r="A8" t="s">
        <v>6</v>
      </c>
      <c r="B8" t="s">
        <v>26</v>
      </c>
      <c r="C8" s="40">
        <v>43150</v>
      </c>
      <c r="D8" s="40">
        <v>43155</v>
      </c>
      <c r="E8" s="42">
        <f t="shared" si="0"/>
        <v>6</v>
      </c>
    </row>
    <row r="9" spans="1:5" x14ac:dyDescent="0.25">
      <c r="A9" t="s">
        <v>4</v>
      </c>
      <c r="B9" t="s">
        <v>37</v>
      </c>
      <c r="C9" s="40">
        <v>43150</v>
      </c>
      <c r="D9" s="40">
        <v>43154</v>
      </c>
      <c r="E9" s="42">
        <f t="shared" ref="E9:E23" si="1">IF(ISBLANK(D9),"",D9-C9+1)</f>
        <v>5</v>
      </c>
    </row>
    <row r="10" spans="1:5" x14ac:dyDescent="0.25">
      <c r="A10" t="s">
        <v>2</v>
      </c>
      <c r="B10" t="s">
        <v>33</v>
      </c>
      <c r="C10" s="40">
        <v>43158</v>
      </c>
      <c r="D10" s="40">
        <v>43159</v>
      </c>
      <c r="E10" s="42">
        <f t="shared" si="1"/>
        <v>2</v>
      </c>
    </row>
    <row r="11" spans="1:5" x14ac:dyDescent="0.25">
      <c r="E11" s="42" t="str">
        <f t="shared" si="1"/>
        <v/>
      </c>
    </row>
    <row r="12" spans="1:5" x14ac:dyDescent="0.25">
      <c r="E12" s="42" t="str">
        <f t="shared" si="1"/>
        <v/>
      </c>
    </row>
    <row r="13" spans="1:5" x14ac:dyDescent="0.25">
      <c r="E13" s="42" t="str">
        <f t="shared" si="1"/>
        <v/>
      </c>
    </row>
    <row r="14" spans="1:5" x14ac:dyDescent="0.25">
      <c r="E14" s="42" t="str">
        <f t="shared" si="1"/>
        <v/>
      </c>
    </row>
    <row r="15" spans="1:5" x14ac:dyDescent="0.25">
      <c r="E15" s="42" t="str">
        <f t="shared" si="1"/>
        <v/>
      </c>
    </row>
    <row r="16" spans="1:5" x14ac:dyDescent="0.25">
      <c r="E16" s="42" t="str">
        <f t="shared" si="1"/>
        <v/>
      </c>
    </row>
    <row r="17" spans="5:5" x14ac:dyDescent="0.25">
      <c r="E17" s="42" t="str">
        <f t="shared" si="1"/>
        <v/>
      </c>
    </row>
    <row r="18" spans="5:5" x14ac:dyDescent="0.25">
      <c r="E18" s="42" t="str">
        <f t="shared" si="1"/>
        <v/>
      </c>
    </row>
    <row r="19" spans="5:5" x14ac:dyDescent="0.25">
      <c r="E19" s="42" t="str">
        <f t="shared" si="1"/>
        <v/>
      </c>
    </row>
    <row r="20" spans="5:5" x14ac:dyDescent="0.25">
      <c r="E20" s="42" t="str">
        <f t="shared" si="1"/>
        <v/>
      </c>
    </row>
    <row r="21" spans="5:5" x14ac:dyDescent="0.25">
      <c r="E21" s="42" t="str">
        <f t="shared" si="1"/>
        <v/>
      </c>
    </row>
    <row r="22" spans="5:5" x14ac:dyDescent="0.25">
      <c r="E22" s="42" t="str">
        <f t="shared" si="1"/>
        <v/>
      </c>
    </row>
    <row r="23" spans="5:5" x14ac:dyDescent="0.25">
      <c r="E23" s="42" t="str">
        <f t="shared" si="1"/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Variables!$H$2:$H$8</xm:f>
          </x14:formula1>
          <xm:sqref>A1:A1048576</xm:sqref>
        </x14:dataValidation>
        <x14:dataValidation type="list" allowBlank="1" showInputMessage="1" showErrorMessage="1">
          <x14:formula1>
            <xm:f>Variables!$E:$E</xm:f>
          </x14:formula1>
          <xm:sqref>B1:B1048576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40"/>
  <sheetViews>
    <sheetView tabSelected="1" zoomScale="90" zoomScaleNormal="90" workbookViewId="0">
      <pane xSplit="4" ySplit="11" topLeftCell="E35" activePane="bottomRight" state="frozen"/>
      <selection pane="topRight" activeCell="E1" sqref="E1"/>
      <selection pane="bottomLeft" activeCell="A13" sqref="A13"/>
      <selection pane="bottomRight" activeCell="M38" sqref="M38"/>
    </sheetView>
  </sheetViews>
  <sheetFormatPr baseColWidth="10" defaultRowHeight="15" x14ac:dyDescent="0.25"/>
  <cols>
    <col min="1" max="1" width="10.42578125" bestFit="1" customWidth="1"/>
    <col min="2" max="2" width="27.5703125" customWidth="1"/>
    <col min="3" max="9" width="5.85546875" bestFit="1" customWidth="1"/>
  </cols>
  <sheetData>
    <row r="1" spans="1:9" ht="53.25" x14ac:dyDescent="0.25">
      <c r="A1" s="57" t="s">
        <v>49</v>
      </c>
      <c r="B1" s="52" t="s">
        <v>68</v>
      </c>
      <c r="C1" s="34" t="s">
        <v>0</v>
      </c>
      <c r="D1" s="34" t="s">
        <v>1</v>
      </c>
      <c r="E1" s="34" t="s">
        <v>2</v>
      </c>
      <c r="F1" s="34" t="s">
        <v>3</v>
      </c>
      <c r="G1" s="34" t="s">
        <v>4</v>
      </c>
      <c r="H1" s="34" t="s">
        <v>5</v>
      </c>
      <c r="I1" s="34" t="s">
        <v>6</v>
      </c>
    </row>
    <row r="2" spans="1:9" ht="15" customHeight="1" x14ac:dyDescent="0.25">
      <c r="A2" s="57"/>
      <c r="B2" s="35" t="s">
        <v>79</v>
      </c>
      <c r="C2" s="4">
        <f>IF(ISBLANK(C16),"",C16)</f>
        <v>5.5</v>
      </c>
      <c r="D2" s="4">
        <f t="shared" ref="D2:I2" si="0">IF(ISBLANK(D16),"",D16)</f>
        <v>3.5</v>
      </c>
      <c r="E2" s="4">
        <f t="shared" ca="1" si="0"/>
        <v>7.5</v>
      </c>
      <c r="F2" s="4">
        <f t="shared" si="0"/>
        <v>7.5</v>
      </c>
      <c r="G2" s="4">
        <f t="shared" si="0"/>
        <v>7.5</v>
      </c>
      <c r="H2" s="4">
        <f t="shared" si="0"/>
        <v>7.5</v>
      </c>
      <c r="I2" s="4">
        <f t="shared" si="0"/>
        <v>1.5</v>
      </c>
    </row>
    <row r="3" spans="1:9" x14ac:dyDescent="0.25">
      <c r="A3" s="57"/>
      <c r="B3" s="35" t="s">
        <v>80</v>
      </c>
      <c r="C3" s="4">
        <f>IF(ISBLANK(C19),"",C19)</f>
        <v>0</v>
      </c>
      <c r="D3" s="4">
        <f t="shared" ref="D3:I3" si="1">IF(ISBLANK(D19),"",D19)</f>
        <v>0</v>
      </c>
      <c r="E3" s="4">
        <f t="shared" si="1"/>
        <v>0</v>
      </c>
      <c r="F3" s="4">
        <f t="shared" si="1"/>
        <v>2</v>
      </c>
      <c r="G3" s="4">
        <f t="shared" si="1"/>
        <v>0</v>
      </c>
      <c r="H3" s="4">
        <f t="shared" si="1"/>
        <v>0</v>
      </c>
      <c r="I3" s="4">
        <f t="shared" si="1"/>
        <v>0</v>
      </c>
    </row>
    <row r="4" spans="1:9" x14ac:dyDescent="0.25">
      <c r="A4" s="57"/>
      <c r="B4" s="35" t="s">
        <v>81</v>
      </c>
      <c r="C4" s="4">
        <f>IF(ISBLANK(C22),"",C22)</f>
        <v>0</v>
      </c>
      <c r="D4" s="4">
        <f t="shared" ref="D4:I4" si="2">IF(ISBLANK(D22),"",D22)</f>
        <v>0</v>
      </c>
      <c r="E4" s="4">
        <f t="shared" si="2"/>
        <v>0</v>
      </c>
      <c r="F4" s="4">
        <f t="shared" si="2"/>
        <v>0</v>
      </c>
      <c r="G4" s="4">
        <f t="shared" si="2"/>
        <v>0</v>
      </c>
      <c r="H4" s="4">
        <f t="shared" si="2"/>
        <v>0</v>
      </c>
      <c r="I4" s="4">
        <f t="shared" si="2"/>
        <v>0</v>
      </c>
    </row>
    <row r="5" spans="1:9" x14ac:dyDescent="0.25">
      <c r="A5" s="57"/>
      <c r="B5" s="35" t="s">
        <v>82</v>
      </c>
      <c r="C5" s="4">
        <f>IF(ISBLANK(C25),"",C25)</f>
        <v>0</v>
      </c>
      <c r="D5" s="4">
        <f t="shared" ref="D5:I5" si="3">IF(ISBLANK(D25),"",D25)</f>
        <v>0</v>
      </c>
      <c r="E5" s="4">
        <f t="shared" si="3"/>
        <v>0</v>
      </c>
      <c r="F5" s="4">
        <f t="shared" si="3"/>
        <v>0</v>
      </c>
      <c r="G5" s="4">
        <f t="shared" si="3"/>
        <v>0</v>
      </c>
      <c r="H5" s="4">
        <f t="shared" si="3"/>
        <v>0</v>
      </c>
      <c r="I5" s="4">
        <f t="shared" si="3"/>
        <v>0</v>
      </c>
    </row>
    <row r="6" spans="1:9" x14ac:dyDescent="0.25">
      <c r="A6" s="57"/>
      <c r="B6" s="35" t="s">
        <v>83</v>
      </c>
      <c r="C6" s="4">
        <f>IF(ISBLANK(C28),"",C28)</f>
        <v>0</v>
      </c>
      <c r="D6" s="4">
        <f t="shared" ref="D6:I6" si="4">IF(ISBLANK(D28),"",D28)</f>
        <v>0</v>
      </c>
      <c r="E6" s="4">
        <f t="shared" si="4"/>
        <v>2</v>
      </c>
      <c r="F6" s="4">
        <f t="shared" si="4"/>
        <v>0</v>
      </c>
      <c r="G6" s="4">
        <f t="shared" si="4"/>
        <v>0</v>
      </c>
      <c r="H6" s="4">
        <f t="shared" si="4"/>
        <v>0</v>
      </c>
      <c r="I6" s="4">
        <f t="shared" si="4"/>
        <v>0</v>
      </c>
    </row>
    <row r="7" spans="1:9" x14ac:dyDescent="0.25">
      <c r="A7" s="57"/>
      <c r="B7" s="35" t="s">
        <v>84</v>
      </c>
      <c r="C7" s="4">
        <f>IF(ISBLANK(C31),"",C31)</f>
        <v>0</v>
      </c>
      <c r="D7" s="4">
        <f t="shared" ref="D7:I7" si="5">IF(ISBLANK(D31),"",D31)</f>
        <v>0</v>
      </c>
      <c r="E7" s="4">
        <f t="shared" si="5"/>
        <v>0</v>
      </c>
      <c r="F7" s="4">
        <f t="shared" si="5"/>
        <v>0</v>
      </c>
      <c r="G7" s="4">
        <f t="shared" si="5"/>
        <v>0</v>
      </c>
      <c r="H7" s="4">
        <f t="shared" si="5"/>
        <v>0</v>
      </c>
      <c r="I7" s="4">
        <f t="shared" si="5"/>
        <v>0</v>
      </c>
    </row>
    <row r="8" spans="1:9" x14ac:dyDescent="0.25">
      <c r="A8" s="57"/>
      <c r="B8" s="35" t="s">
        <v>85</v>
      </c>
      <c r="C8" s="4">
        <f>IF(ISBLANK(C34),"",C34)</f>
        <v>0</v>
      </c>
      <c r="D8" s="4">
        <f t="shared" ref="D8:I8" si="6">IF(ISBLANK(D34),"",D34)</f>
        <v>0</v>
      </c>
      <c r="E8" s="4">
        <f t="shared" si="6"/>
        <v>0</v>
      </c>
      <c r="F8" s="4">
        <f t="shared" si="6"/>
        <v>0</v>
      </c>
      <c r="G8" s="4">
        <f t="shared" si="6"/>
        <v>0</v>
      </c>
      <c r="H8" s="4">
        <f t="shared" si="6"/>
        <v>0</v>
      </c>
      <c r="I8" s="4">
        <f t="shared" si="6"/>
        <v>0</v>
      </c>
    </row>
    <row r="9" spans="1:9" x14ac:dyDescent="0.25">
      <c r="A9" s="57"/>
      <c r="B9" s="35" t="s">
        <v>86</v>
      </c>
      <c r="C9" s="4">
        <f>IF(ISBLANK(C37),"",C37)</f>
        <v>0</v>
      </c>
      <c r="D9" s="4">
        <f t="shared" ref="D9:I9" si="7">IF(ISBLANK(D37),"",D37)</f>
        <v>0</v>
      </c>
      <c r="E9" s="4">
        <f t="shared" si="7"/>
        <v>0</v>
      </c>
      <c r="F9" s="4">
        <f t="shared" si="7"/>
        <v>0</v>
      </c>
      <c r="G9" s="4">
        <f t="shared" si="7"/>
        <v>0</v>
      </c>
      <c r="H9" s="4">
        <f t="shared" si="7"/>
        <v>0</v>
      </c>
      <c r="I9" s="4">
        <f t="shared" si="7"/>
        <v>0</v>
      </c>
    </row>
    <row r="10" spans="1:9" x14ac:dyDescent="0.25">
      <c r="A10" s="57"/>
      <c r="B10" s="35" t="s">
        <v>87</v>
      </c>
      <c r="C10" s="4">
        <f>IF(ISBLANK(C40),"",C40)</f>
        <v>0</v>
      </c>
      <c r="D10" s="4">
        <f t="shared" ref="D10:I10" si="8">IF(ISBLANK(D40),"",D40)</f>
        <v>0</v>
      </c>
      <c r="E10" s="4">
        <f t="shared" si="8"/>
        <v>0</v>
      </c>
      <c r="F10" s="4">
        <f t="shared" si="8"/>
        <v>0</v>
      </c>
      <c r="G10" s="4">
        <f t="shared" si="8"/>
        <v>8</v>
      </c>
      <c r="H10" s="4">
        <f t="shared" si="8"/>
        <v>0</v>
      </c>
      <c r="I10" s="4">
        <f t="shared" si="8"/>
        <v>0</v>
      </c>
    </row>
    <row r="12" spans="1:9" x14ac:dyDescent="0.25">
      <c r="A12" s="58" t="s">
        <v>24</v>
      </c>
      <c r="B12" s="58"/>
      <c r="C12" s="33"/>
    </row>
    <row r="13" spans="1:9" ht="15" customHeight="1" x14ac:dyDescent="0.25">
      <c r="A13" s="56" t="s">
        <v>25</v>
      </c>
      <c r="B13" s="21" t="s">
        <v>26</v>
      </c>
    </row>
    <row r="14" spans="1:9" x14ac:dyDescent="0.25">
      <c r="A14" s="56"/>
      <c r="B14" s="4" t="s">
        <v>27</v>
      </c>
      <c r="C14" s="4">
        <f>VLOOKUP($B$1,Variables!$A$19:$C$30,3)</f>
        <v>7.5</v>
      </c>
      <c r="D14" s="4">
        <f>VLOOKUP($B$1,Variables!$A$19:$C$30,3)</f>
        <v>7.5</v>
      </c>
      <c r="E14" s="4">
        <f>VLOOKUP($B$1,Variables!$A$19:$C$30,3)</f>
        <v>7.5</v>
      </c>
      <c r="F14" s="4">
        <f>VLOOKUP($B$1,Variables!$A$19:$C$30,3)</f>
        <v>7.5</v>
      </c>
      <c r="G14" s="4">
        <f>VLOOKUP($B$1,Variables!$A$19:$C$30,3)</f>
        <v>7.5</v>
      </c>
      <c r="H14" s="4">
        <f>VLOOKUP($B$1,Variables!$A$19:$C$30,3)</f>
        <v>7.5</v>
      </c>
      <c r="I14" s="4">
        <f>VLOOKUP($B$1,Variables!$A$19:$C$30,3)</f>
        <v>7.5</v>
      </c>
    </row>
    <row r="15" spans="1:9" x14ac:dyDescent="0.25">
      <c r="A15" s="56"/>
      <c r="B15" s="4" t="s">
        <v>29</v>
      </c>
      <c r="C15" s="4">
        <f>SUMIFS('Suivi absences'!E:E,'Suivi absences'!B:B,"CP",'Suivi absences'!A:A,"Alexandre")</f>
        <v>2</v>
      </c>
      <c r="D15" s="4">
        <f>SUMIFS('Suivi absences'!E:E,'Suivi absences'!B:B,"CP",'Suivi absences'!A:A,"Calix")</f>
        <v>4</v>
      </c>
      <c r="E15" s="4">
        <f ca="1">SUMIFS('Suivi absences'!G:G,'Suivi absences'!D:D,"CP",'Suivi absences'!C:C,"Alexandre")</f>
        <v>0</v>
      </c>
      <c r="F15" s="4">
        <f>SUMIFS('Suivi absences'!E:E,'Suivi absences'!B:B,"CP",'Suivi absences'!A:A,"Mathias")</f>
        <v>0</v>
      </c>
      <c r="G15" s="4">
        <f>SUMIFS('Suivi absences'!E:E,'Suivi absences'!B:B,"CP",'Suivi absences'!A:A,"Mélissa")</f>
        <v>0</v>
      </c>
      <c r="H15" s="4">
        <f>SUMIFS('Suivi absences'!E:E,'Suivi absences'!B:B,"CP",'Suivi absences'!A:A,"Nicolas")</f>
        <v>0</v>
      </c>
      <c r="I15" s="4">
        <f>SUMIFS('Suivi absences'!E:E,'Suivi absences'!B:B,"CP",'Suivi absences'!A:A,"Pierre")</f>
        <v>6</v>
      </c>
    </row>
    <row r="16" spans="1:9" x14ac:dyDescent="0.25">
      <c r="A16" s="56"/>
      <c r="B16" s="35" t="s">
        <v>28</v>
      </c>
      <c r="C16" s="4">
        <f>C14-C15</f>
        <v>5.5</v>
      </c>
      <c r="D16" s="4">
        <f t="shared" ref="D16:I16" si="9">D14-D15</f>
        <v>3.5</v>
      </c>
      <c r="E16" s="4">
        <f t="shared" ca="1" si="9"/>
        <v>7.5</v>
      </c>
      <c r="F16" s="4">
        <f t="shared" si="9"/>
        <v>7.5</v>
      </c>
      <c r="G16" s="4">
        <f t="shared" si="9"/>
        <v>7.5</v>
      </c>
      <c r="H16" s="4">
        <f t="shared" si="9"/>
        <v>7.5</v>
      </c>
      <c r="I16" s="4">
        <f t="shared" si="9"/>
        <v>1.5</v>
      </c>
    </row>
    <row r="17" spans="1:9" x14ac:dyDescent="0.25">
      <c r="A17" s="32"/>
    </row>
    <row r="18" spans="1:9" ht="15" customHeight="1" x14ac:dyDescent="0.25">
      <c r="A18" s="56" t="s">
        <v>25</v>
      </c>
      <c r="B18" s="22" t="s">
        <v>31</v>
      </c>
      <c r="C18" s="37"/>
      <c r="D18" s="36"/>
      <c r="E18" s="36"/>
      <c r="F18" s="36"/>
      <c r="G18" s="36"/>
      <c r="H18" s="36"/>
      <c r="I18" s="36"/>
    </row>
    <row r="19" spans="1:9" ht="33.75" customHeight="1" x14ac:dyDescent="0.25">
      <c r="A19" s="56"/>
      <c r="B19" s="35" t="s">
        <v>45</v>
      </c>
      <c r="C19" s="4">
        <f>SUMIFS('Suivi absences'!E:E,'Suivi absences'!B:B,"MAL",'Suivi absences'!A:A,"Alexandre")</f>
        <v>0</v>
      </c>
      <c r="D19" s="4">
        <f>SUMIFS('Suivi absences'!E:E,'Suivi absences'!B:B,"MAL",'Suivi absences'!A:A,"Calix")</f>
        <v>0</v>
      </c>
      <c r="E19" s="4">
        <f>SUMIFS('Suivi absences'!E:E,'Suivi absences'!B:B,"MAL",'Suivi absences'!A:A,"Johan")</f>
        <v>0</v>
      </c>
      <c r="F19" s="4">
        <f>SUMIFS('Suivi absences'!E:E,'Suivi absences'!B:B,"MAL",'Suivi absences'!A:A,"Mathias")</f>
        <v>2</v>
      </c>
      <c r="G19" s="4">
        <f>SUMIFS('Suivi absences'!E:E,'Suivi absences'!B:B,"MAL",'Suivi absences'!A:A,"Mélissa")</f>
        <v>0</v>
      </c>
      <c r="H19" s="4">
        <f>SUMIFS('Suivi absences'!E:E,'Suivi absences'!B:B,"MAL",'Suivi absences'!A:A,"Nicolas")</f>
        <v>0</v>
      </c>
      <c r="I19" s="4">
        <f>SUMIFS('Suivi absences'!E:E,'Suivi absences'!B:B,"MAL",'Suivi absences'!A:A,"Pierre")</f>
        <v>0</v>
      </c>
    </row>
    <row r="21" spans="1:9" x14ac:dyDescent="0.25">
      <c r="A21" s="56" t="s">
        <v>25</v>
      </c>
      <c r="B21" s="23" t="s">
        <v>38</v>
      </c>
      <c r="C21" s="37"/>
      <c r="D21" s="36"/>
      <c r="E21" s="36"/>
      <c r="F21" s="36"/>
      <c r="G21" s="36"/>
      <c r="H21" s="36"/>
      <c r="I21" s="36"/>
    </row>
    <row r="22" spans="1:9" ht="30" customHeight="1" x14ac:dyDescent="0.25">
      <c r="A22" s="56"/>
      <c r="B22" s="35" t="s">
        <v>75</v>
      </c>
      <c r="C22" s="4">
        <f>SUMIFS('Suivi absences'!E:E,'Suivi absences'!B:B,"CMAT",'Suivi absences'!A:A,"Alexandre")</f>
        <v>0</v>
      </c>
      <c r="D22" s="4">
        <f>SUMIFS('Suivi absences'!E:E,'Suivi absences'!B:B,"CMAT",'Suivi absences'!A:A,"Calix")</f>
        <v>0</v>
      </c>
      <c r="E22" s="4">
        <f>SUMIFS('Suivi absences'!E:E,'Suivi absences'!B:B,"CMAT",'Suivi absences'!A:A,"Johan")</f>
        <v>0</v>
      </c>
      <c r="F22" s="4">
        <f>SUMIFS('Suivi absences'!E:E,'Suivi absences'!B:B,"CMAT",'Suivi absences'!A:A,"Mathias")</f>
        <v>0</v>
      </c>
      <c r="G22" s="4">
        <f>SUMIFS('Suivi absences'!E:E,'Suivi absences'!B:B,"CMAT",'Suivi absences'!A:A,"Mélissa")</f>
        <v>0</v>
      </c>
      <c r="H22" s="4">
        <f>SUMIFS('Suivi absences'!E:E,'Suivi absences'!B:B,"CMAT",'Suivi absences'!A:A,"Nicolas")</f>
        <v>0</v>
      </c>
      <c r="I22" s="4">
        <f>SUMIFS('Suivi absences'!E:E,'Suivi absences'!B:B,"CMAT",'Suivi absences'!A:A,"Pierre")</f>
        <v>0</v>
      </c>
    </row>
    <row r="24" spans="1:9" x14ac:dyDescent="0.25">
      <c r="A24" s="56" t="s">
        <v>25</v>
      </c>
      <c r="B24" s="24" t="s">
        <v>32</v>
      </c>
      <c r="C24" s="37"/>
      <c r="D24" s="36"/>
      <c r="E24" s="36"/>
      <c r="F24" s="36"/>
      <c r="G24" s="36"/>
      <c r="H24" s="36"/>
      <c r="I24" s="36"/>
    </row>
    <row r="25" spans="1:9" ht="29.25" customHeight="1" x14ac:dyDescent="0.25">
      <c r="A25" s="56"/>
      <c r="B25" s="35" t="s">
        <v>76</v>
      </c>
      <c r="C25" s="4">
        <f>SUMIFS('Suivi absences'!E:E,'Suivi absences'!B:B,"CPA",'Suivi absences'!A:A,"Alexandre")</f>
        <v>0</v>
      </c>
      <c r="D25" s="4">
        <f>SUMIFS('Suivi absences'!E:E,'Suivi absences'!B:B,"CPA",'Suivi absences'!A:A,"Calix")</f>
        <v>0</v>
      </c>
      <c r="E25" s="4">
        <f>SUMIFS('Suivi absences'!E:E,'Suivi absences'!B:B,"CPA",'Suivi absences'!A:A,"Johan")</f>
        <v>0</v>
      </c>
      <c r="F25" s="4">
        <f>SUMIFS('Suivi absences'!E:E,'Suivi absences'!B:B,"CPA",'Suivi absences'!A:A,"Mathias")</f>
        <v>0</v>
      </c>
      <c r="G25" s="4">
        <f>SUMIFS('Suivi absences'!E:E,'Suivi absences'!B:B,"CPA",'Suivi absences'!A:A,"Mélissa")</f>
        <v>0</v>
      </c>
      <c r="H25" s="4">
        <f>SUMIFS('Suivi absences'!E:E,'Suivi absences'!B:B,"CPA",'Suivi absences'!A:A,"Nicolas")</f>
        <v>0</v>
      </c>
      <c r="I25" s="4">
        <f>SUMIFS('Suivi absences'!E:E,'Suivi absences'!B:B,"CPA",'Suivi absences'!A:A,"Pierre")</f>
        <v>0</v>
      </c>
    </row>
    <row r="27" spans="1:9" x14ac:dyDescent="0.25">
      <c r="A27" s="56" t="s">
        <v>25</v>
      </c>
      <c r="B27" s="23" t="s">
        <v>33</v>
      </c>
      <c r="C27" s="37"/>
      <c r="D27" s="36"/>
      <c r="E27" s="36"/>
      <c r="F27" s="36"/>
      <c r="G27" s="36"/>
      <c r="H27" s="36"/>
      <c r="I27" s="36"/>
    </row>
    <row r="28" spans="1:9" ht="30" customHeight="1" x14ac:dyDescent="0.25">
      <c r="A28" s="56"/>
      <c r="B28" s="35" t="s">
        <v>77</v>
      </c>
      <c r="C28" s="4">
        <f>SUMIFS('Suivi absences'!E:E,'Suivi absences'!B:B,"CPAT",'Suivi absences'!A:A,"Alexandre")</f>
        <v>0</v>
      </c>
      <c r="D28" s="4">
        <f>SUMIFS('Suivi absences'!E:E,'Suivi absences'!B:B,"CPAT",'Suivi absences'!A:A,"Calix")</f>
        <v>0</v>
      </c>
      <c r="E28" s="4">
        <f>SUMIFS('Suivi absences'!E:E,'Suivi absences'!B:B,"CPAT",'Suivi absences'!A:A,"Johan")</f>
        <v>2</v>
      </c>
      <c r="F28" s="4">
        <f>SUMIFS('Suivi absences'!E:E,'Suivi absences'!B:B,"CPAT",'Suivi absences'!A:A,"Mathias")</f>
        <v>0</v>
      </c>
      <c r="G28" s="4">
        <f>SUMIFS('Suivi absences'!E:E,'Suivi absences'!B:B,"CPAT",'Suivi absences'!A:A,"Mélissa")</f>
        <v>0</v>
      </c>
      <c r="H28" s="4">
        <f>SUMIFS('Suivi absences'!E:E,'Suivi absences'!B:B,"CPAT",'Suivi absences'!A:A,"Nicolas")</f>
        <v>0</v>
      </c>
      <c r="I28" s="4">
        <f>SUMIFS('Suivi absences'!E:E,'Suivi absences'!B:B,"CPAT",'Suivi absences'!A:A,"Pierre")</f>
        <v>0</v>
      </c>
    </row>
    <row r="30" spans="1:9" x14ac:dyDescent="0.25">
      <c r="A30" s="56" t="s">
        <v>25</v>
      </c>
      <c r="B30" s="25" t="s">
        <v>34</v>
      </c>
      <c r="C30" s="37"/>
      <c r="D30" s="36"/>
      <c r="E30" s="36"/>
      <c r="F30" s="36"/>
      <c r="G30" s="36"/>
      <c r="H30" s="36"/>
      <c r="I30" s="36"/>
    </row>
    <row r="31" spans="1:9" ht="29.25" customHeight="1" x14ac:dyDescent="0.25">
      <c r="A31" s="56"/>
      <c r="B31" s="35" t="s">
        <v>78</v>
      </c>
      <c r="C31" s="4">
        <f>SUMIFS('Suivi absences'!E:E,'Suivi absences'!B:B,"EVF",'Suivi absences'!A:A,"Alexandre")</f>
        <v>0</v>
      </c>
      <c r="D31" s="4">
        <f>SUMIFS('Suivi absences'!E:E,'Suivi absences'!B:B,"EVF",'Suivi absences'!A:A,"Calix")</f>
        <v>0</v>
      </c>
      <c r="E31" s="4">
        <f>SUMIFS('Suivi absences'!E:E,'Suivi absences'!B:B,"EVF",'Suivi absences'!A:A,"Johan")</f>
        <v>0</v>
      </c>
      <c r="F31" s="4">
        <f>SUMIFS('Suivi absences'!E:E,'Suivi absences'!B:B,"EVF",'Suivi absences'!A:A,"Mathias")</f>
        <v>0</v>
      </c>
      <c r="G31" s="4">
        <f>SUMIFS('Suivi absences'!E:E,'Suivi absences'!B:B,"EVF",'Suivi absences'!A:A,"Mélissa")</f>
        <v>0</v>
      </c>
      <c r="H31" s="4">
        <f>SUMIFS('Suivi absences'!E:E,'Suivi absences'!B:B,"EVF",'Suivi absences'!A:A,"Nicolas")</f>
        <v>0</v>
      </c>
      <c r="I31" s="4">
        <f>SUMIFS('Suivi absences'!E:E,'Suivi absences'!B:B,"EVF",'Suivi absences'!A:A,"Pierre")</f>
        <v>0</v>
      </c>
    </row>
    <row r="33" spans="1:9" x14ac:dyDescent="0.25">
      <c r="A33" s="56" t="s">
        <v>25</v>
      </c>
      <c r="B33" s="26" t="s">
        <v>35</v>
      </c>
      <c r="C33" s="37"/>
      <c r="D33" s="36"/>
      <c r="E33" s="36"/>
      <c r="F33" s="36"/>
      <c r="G33" s="36"/>
      <c r="H33" s="36"/>
      <c r="I33" s="36"/>
    </row>
    <row r="34" spans="1:9" ht="30.75" customHeight="1" x14ac:dyDescent="0.25">
      <c r="A34" s="56"/>
      <c r="B34" s="35" t="s">
        <v>46</v>
      </c>
      <c r="C34" s="4">
        <f>SUMIFS('Suivi absences'!E:E,'Suivi absences'!B:B,"ABSNR",'Suivi absences'!A:A,"Alexandre")</f>
        <v>0</v>
      </c>
      <c r="D34" s="4">
        <f>SUMIFS('Suivi absences'!E:E,'Suivi absences'!B:B,"ABSNR",'Suivi absences'!A:A,"Calix")</f>
        <v>0</v>
      </c>
      <c r="E34" s="4">
        <f>SUMIFS('Suivi absences'!E:E,'Suivi absences'!B:B,"ABSNR",'Suivi absences'!A:A,"Johan")</f>
        <v>0</v>
      </c>
      <c r="F34" s="4">
        <f>SUMIFS('Suivi absences'!E:E,'Suivi absences'!B:B,"ABSNR",'Suivi absences'!A:A,"Mathias")</f>
        <v>0</v>
      </c>
      <c r="G34" s="4">
        <f>SUMIFS('Suivi absences'!E:E,'Suivi absences'!B:B,"ABSNR",'Suivi absences'!A:A,"Mélissa")</f>
        <v>0</v>
      </c>
      <c r="H34" s="4">
        <f>SUMIFS('Suivi absences'!E:E,'Suivi absences'!B:B,"ABSNR",'Suivi absences'!A:A,"Nicolas")</f>
        <v>0</v>
      </c>
      <c r="I34" s="4">
        <f>SUMIFS('Suivi absences'!E:E,'Suivi absences'!B:B,"ABSNR",'Suivi absences'!A:A,"Pierre")</f>
        <v>0</v>
      </c>
    </row>
    <row r="36" spans="1:9" x14ac:dyDescent="0.25">
      <c r="A36" s="56" t="s">
        <v>25</v>
      </c>
      <c r="B36" s="27" t="s">
        <v>36</v>
      </c>
      <c r="C36" s="37"/>
      <c r="D36" s="36"/>
      <c r="E36" s="36"/>
      <c r="F36" s="36"/>
      <c r="G36" s="36"/>
      <c r="H36" s="36"/>
      <c r="I36" s="36"/>
    </row>
    <row r="37" spans="1:9" ht="30" customHeight="1" x14ac:dyDescent="0.25">
      <c r="A37" s="56"/>
      <c r="B37" s="35" t="s">
        <v>47</v>
      </c>
      <c r="C37" s="4">
        <f>SUMIFS('Suivi absences'!E:E,'Suivi absences'!B:B,"NJ",'Suivi absences'!A:A,"Alexandre")</f>
        <v>0</v>
      </c>
      <c r="D37" s="4">
        <f>SUMIFS('Suivi absences'!E:E,'Suivi absences'!B:B,"NJ",'Suivi absences'!A:A,"Calix")</f>
        <v>0</v>
      </c>
      <c r="E37" s="4">
        <f>SUMIFS('Suivi absences'!E:E,'Suivi absences'!B:B,"NJ",'Suivi absences'!A:A,"Johan")</f>
        <v>0</v>
      </c>
      <c r="F37" s="4">
        <f>SUMIFS('Suivi absences'!E:E,'Suivi absences'!B:B,"NJ",'Suivi absences'!A:A,"Mathias")</f>
        <v>0</v>
      </c>
      <c r="G37" s="4">
        <f>SUMIFS('Suivi absences'!E:E,'Suivi absences'!B:B,"NJ",'Suivi absences'!A:A,"Mélissa")</f>
        <v>0</v>
      </c>
      <c r="H37" s="4">
        <f>SUMIFS('Suivi absences'!E:E,'Suivi absences'!B:B,"NJ",'Suivi absences'!A:A,"Nicolas")</f>
        <v>0</v>
      </c>
      <c r="I37" s="4">
        <f>SUMIFS('Suivi absences'!E:E,'Suivi absences'!B:B,"NJ",'Suivi absences'!A:A,"Pierre")</f>
        <v>0</v>
      </c>
    </row>
    <row r="39" spans="1:9" x14ac:dyDescent="0.25">
      <c r="A39" s="56" t="s">
        <v>25</v>
      </c>
      <c r="B39" s="28" t="s">
        <v>37</v>
      </c>
      <c r="C39" s="37"/>
      <c r="D39" s="36"/>
      <c r="E39" s="36"/>
      <c r="F39" s="36"/>
      <c r="G39" s="36"/>
      <c r="H39" s="36"/>
      <c r="I39" s="36"/>
    </row>
    <row r="40" spans="1:9" ht="30.75" customHeight="1" x14ac:dyDescent="0.25">
      <c r="A40" s="56"/>
      <c r="B40" s="35" t="s">
        <v>48</v>
      </c>
      <c r="C40" s="4">
        <f>SUMIFS('Suivi absences'!E:E,'Suivi absences'!B:B,"FOR",'Suivi absences'!A:A,"Alexandre")</f>
        <v>0</v>
      </c>
      <c r="D40" s="4">
        <f>SUMIFS('Suivi absences'!E:E,'Suivi absences'!B:B,"FOR",'Suivi absences'!A:A,"Calix")</f>
        <v>0</v>
      </c>
      <c r="E40" s="4">
        <f>SUMIFS('Suivi absences'!E:E,'Suivi absences'!B:B,"FOR",'Suivi absences'!A:A,"Johan")</f>
        <v>0</v>
      </c>
      <c r="F40" s="4">
        <f>SUMIFS('Suivi absences'!E:E,'Suivi absences'!B:B,"FOR",'Suivi absences'!A:A,"Mathias")</f>
        <v>0</v>
      </c>
      <c r="G40" s="4">
        <f>SUMIFS('Suivi absences'!E:E,'Suivi absences'!B:B,"FOR",'Suivi absences'!A:A,"Mélissa")</f>
        <v>8</v>
      </c>
      <c r="H40" s="4">
        <f>SUMIFS('Suivi absences'!E:E,'Suivi absences'!B:B,"FOR",'Suivi absences'!A:A,"Nicolas")</f>
        <v>0</v>
      </c>
      <c r="I40" s="4">
        <f>SUMIFS('Suivi absences'!E:E,'Suivi absences'!B:B,"FOR",'Suivi absences'!A:A,"Pierre")</f>
        <v>0</v>
      </c>
    </row>
  </sheetData>
  <mergeCells count="11">
    <mergeCell ref="A1:A10"/>
    <mergeCell ref="A27:A28"/>
    <mergeCell ref="A30:A31"/>
    <mergeCell ref="A33:A34"/>
    <mergeCell ref="A12:B12"/>
    <mergeCell ref="A36:A37"/>
    <mergeCell ref="A39:A40"/>
    <mergeCell ref="A13:A16"/>
    <mergeCell ref="A18:A19"/>
    <mergeCell ref="A21:A22"/>
    <mergeCell ref="A24:A2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Variables!$A$19:$A$30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Variables</vt:lpstr>
      <vt:lpstr>Calendrier</vt:lpstr>
      <vt:lpstr>Suivi absences</vt:lpstr>
      <vt:lpstr>Solde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Mélissa</dc:creator>
  <cp:lastModifiedBy>Mélissa</cp:lastModifiedBy>
  <dcterms:created xsi:type="dcterms:W3CDTF">2018-01-31T16:01:27Z</dcterms:created>
  <dcterms:modified xsi:type="dcterms:W3CDTF">2018-02-12T20:44:23Z</dcterms:modified>
</cp:coreProperties>
</file>