
<file path=[Content_Types].xml><?xml version="1.0" encoding="utf-8"?>
<Types xmlns="http://schemas.openxmlformats.org/package/2006/content-types">
  <Default Extension="bin" ContentType="application/vnd.openxmlformats-officedocument.spreadsheetml.printerSettings"/>
  <Default Extension="jpeg" ContentType="image/jpeg"/>
  <Default Extension="rels" ContentType="application/vnd.openxmlformats-package.relationships+xml"/>
  <Default Extension="xml" ContentType="application/xml"/>
  <Override PartName="/xl/workbook.xml" ContentType="application/vnd.ms-excel.sheet.macroEnabled.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externalLinks/externalLink1.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alcChain.xml" ContentType="application/vnd.openxmlformats-officedocument.spreadsheetml.calcChain+xml"/>
  <Override PartName="/xl/vbaProject.bin" ContentType="application/vnd.ms-office.vbaProject"/>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5726" codeName="{AE6600E7-7A62-396C-DE95-9942FA9DD81E}"/>
  <workbookPr codeName="ThisWorkbook" defaultThemeVersion="166925"/>
  <mc:AlternateContent xmlns:mc="http://schemas.openxmlformats.org/markup-compatibility/2006">
    <mc:Choice Requires="x15">
      <x15ac:absPath xmlns:x15ac="http://schemas.microsoft.com/office/spreadsheetml/2010/11/ac" url="C:\Users\FRNICDUM\Desktop\"/>
    </mc:Choice>
  </mc:AlternateContent>
  <xr:revisionPtr revIDLastSave="0" documentId="8_{75489683-4F16-4472-AC92-5792B41056B6}" xr6:coauthVersionLast="47" xr6:coauthVersionMax="47" xr10:uidLastSave="{00000000-0000-0000-0000-000000000000}"/>
  <bookViews>
    <workbookView xWindow="-108" yWindow="-108" windowWidth="23256" windowHeight="12576" activeTab="2" xr2:uid="{65B077A8-18F0-4E70-A3B9-637A535E1EC3}"/>
  </bookViews>
  <sheets>
    <sheet name="Feuil1" sheetId="1" r:id="rId1"/>
    <sheet name="Feuil2" sheetId="2" r:id="rId2"/>
    <sheet name="Tunnel Rectangle" sheetId="3" r:id="rId3"/>
    <sheet name="Feuil3" sheetId="4" r:id="rId4"/>
  </sheets>
  <externalReferences>
    <externalReference r:id="rId5"/>
  </externalReferenc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G25" i="4" l="1"/>
  <c r="G24" i="4"/>
  <c r="G23" i="4"/>
  <c r="G22" i="4"/>
  <c r="G21" i="4"/>
  <c r="A23" i="2"/>
  <c r="A24" i="2"/>
  <c r="A25" i="2"/>
  <c r="A22" i="2"/>
  <c r="A21" i="2"/>
  <c r="C24" i="4"/>
  <c r="C22" i="4"/>
  <c r="C21" i="4"/>
  <c r="C41" i="4"/>
  <c r="C40" i="4"/>
  <c r="G16" i="4"/>
  <c r="G13" i="4"/>
  <c r="B16" i="4"/>
  <c r="B15" i="2"/>
  <c r="E5" i="2" s="1"/>
  <c r="E59" i="3" s="1"/>
  <c r="A18" i="2"/>
  <c r="K3" i="2"/>
  <c r="K57" i="3" s="1"/>
  <c r="A26" i="3"/>
  <c r="A24" i="3"/>
  <c r="A25" i="3"/>
  <c r="A27" i="3"/>
  <c r="A28" i="3"/>
  <c r="A29" i="3"/>
  <c r="A23" i="3"/>
  <c r="A1" i="2"/>
  <c r="B1" i="2"/>
  <c r="C1" i="2"/>
  <c r="D1" i="2"/>
  <c r="E1" i="2"/>
  <c r="E55" i="3" s="1"/>
  <c r="F1" i="2"/>
  <c r="G1" i="2"/>
  <c r="G55" i="3" s="1"/>
  <c r="H1" i="2"/>
  <c r="H55" i="3" s="1"/>
  <c r="I1" i="2"/>
  <c r="J1" i="2"/>
  <c r="K1" i="2"/>
  <c r="L1" i="2"/>
  <c r="M1" i="2"/>
  <c r="A2" i="2"/>
  <c r="B2" i="2"/>
  <c r="B56" i="3" s="1"/>
  <c r="C2" i="2"/>
  <c r="C56" i="3" s="1"/>
  <c r="D2" i="2"/>
  <c r="D56" i="3" s="1"/>
  <c r="E2" i="2"/>
  <c r="F2" i="2"/>
  <c r="G2" i="2"/>
  <c r="H2" i="2"/>
  <c r="H56" i="3" s="1"/>
  <c r="I2" i="2"/>
  <c r="J2" i="2"/>
  <c r="J56" i="3" s="1"/>
  <c r="K2" i="2"/>
  <c r="L2" i="2"/>
  <c r="M2" i="2"/>
  <c r="A3" i="2"/>
  <c r="B3" i="2"/>
  <c r="C3" i="2"/>
  <c r="C57" i="3" s="1"/>
  <c r="D3" i="2"/>
  <c r="G3" i="2"/>
  <c r="M3" i="2"/>
  <c r="A4" i="2"/>
  <c r="A58" i="3" s="1"/>
  <c r="B4" i="2"/>
  <c r="C4" i="2"/>
  <c r="D4" i="2"/>
  <c r="D58" i="3" s="1"/>
  <c r="F4" i="2"/>
  <c r="F58" i="3" s="1"/>
  <c r="G4" i="2"/>
  <c r="H4" i="2"/>
  <c r="H58" i="3" s="1"/>
  <c r="J4" i="2"/>
  <c r="J58" i="3" s="1"/>
  <c r="K4" i="2"/>
  <c r="M4" i="2"/>
  <c r="A5" i="2"/>
  <c r="B5" i="2"/>
  <c r="B59" i="3" s="1"/>
  <c r="C5" i="2"/>
  <c r="D5" i="2"/>
  <c r="G5" i="2"/>
  <c r="G59" i="3" s="1"/>
  <c r="K5" i="2"/>
  <c r="K59" i="3" s="1"/>
  <c r="M5" i="2"/>
  <c r="A6" i="2"/>
  <c r="A60" i="3" s="1"/>
  <c r="B6" i="2"/>
  <c r="B60" i="3" s="1"/>
  <c r="C6" i="2"/>
  <c r="C60" i="3" s="1"/>
  <c r="D6" i="2"/>
  <c r="D60" i="3" s="1"/>
  <c r="F6" i="2"/>
  <c r="G6" i="2"/>
  <c r="G60" i="3" s="1"/>
  <c r="H6" i="2"/>
  <c r="H60" i="3" s="1"/>
  <c r="J6" i="2"/>
  <c r="K6" i="2"/>
  <c r="K60" i="3" s="1"/>
  <c r="M6" i="2"/>
  <c r="M60" i="3" s="1"/>
  <c r="A7" i="2"/>
  <c r="A61" i="3" s="1"/>
  <c r="B7" i="2"/>
  <c r="C7" i="2"/>
  <c r="D7" i="2"/>
  <c r="D61" i="3" s="1"/>
  <c r="G7" i="2"/>
  <c r="G61" i="3" s="1"/>
  <c r="K7" i="2"/>
  <c r="M7" i="2"/>
  <c r="A8" i="2"/>
  <c r="B8" i="2"/>
  <c r="C8" i="2"/>
  <c r="D8" i="2"/>
  <c r="F8" i="2"/>
  <c r="F62" i="3" s="1"/>
  <c r="G8" i="2"/>
  <c r="G62" i="3" s="1"/>
  <c r="H8" i="2"/>
  <c r="J8" i="2"/>
  <c r="K8" i="2"/>
  <c r="M8" i="2"/>
  <c r="A9" i="2"/>
  <c r="B9" i="2"/>
  <c r="C9" i="2"/>
  <c r="C63" i="3" s="1"/>
  <c r="D9" i="2"/>
  <c r="D63" i="3" s="1"/>
  <c r="G9" i="2"/>
  <c r="K9" i="2"/>
  <c r="M9" i="2"/>
  <c r="A10" i="2"/>
  <c r="B10" i="2"/>
  <c r="B64" i="3" s="1"/>
  <c r="C10" i="2"/>
  <c r="C64" i="3" s="1"/>
  <c r="D10" i="2"/>
  <c r="D64" i="3" s="1"/>
  <c r="F10" i="2"/>
  <c r="F64" i="3" s="1"/>
  <c r="G10" i="2"/>
  <c r="G64" i="3" s="1"/>
  <c r="H10" i="2"/>
  <c r="J10" i="2"/>
  <c r="K10" i="2"/>
  <c r="M10" i="2"/>
  <c r="A11" i="2"/>
  <c r="A65" i="3" s="1"/>
  <c r="B11" i="2"/>
  <c r="B65" i="3" s="1"/>
  <c r="C11" i="2"/>
  <c r="C65" i="3" s="1"/>
  <c r="D11" i="2"/>
  <c r="G11" i="2"/>
  <c r="K11" i="2"/>
  <c r="K65" i="3" s="1"/>
  <c r="M11" i="2"/>
  <c r="M65" i="3" s="1"/>
  <c r="M61" i="3"/>
  <c r="L56" i="3"/>
  <c r="K56" i="3"/>
  <c r="I56" i="3"/>
  <c r="F55" i="3"/>
  <c r="A55" i="3"/>
  <c r="H12" i="2"/>
  <c r="G12" i="2"/>
  <c r="F12" i="2"/>
  <c r="E12" i="2"/>
  <c r="D12" i="2"/>
  <c r="C12" i="2"/>
  <c r="B12" i="2"/>
  <c r="A12" i="2"/>
  <c r="F57" i="3"/>
  <c r="H57" i="3"/>
  <c r="J57" i="3"/>
  <c r="L57" i="3"/>
  <c r="F59" i="3"/>
  <c r="H59" i="3"/>
  <c r="J59" i="3"/>
  <c r="L59" i="3"/>
  <c r="F61" i="3"/>
  <c r="H61" i="3"/>
  <c r="J61" i="3"/>
  <c r="L61" i="3"/>
  <c r="F63" i="3"/>
  <c r="H63" i="3"/>
  <c r="J63" i="3"/>
  <c r="L63" i="3"/>
  <c r="F65" i="3"/>
  <c r="H65" i="3"/>
  <c r="J65" i="3"/>
  <c r="L65" i="3"/>
  <c r="B2" i="3"/>
  <c r="B3" i="3"/>
  <c r="B4" i="3"/>
  <c r="B5" i="3"/>
  <c r="B13" i="4" s="1"/>
  <c r="B6" i="3"/>
  <c r="B7" i="3"/>
  <c r="B8" i="3"/>
  <c r="B9" i="3"/>
  <c r="B10" i="3"/>
  <c r="B11" i="3"/>
  <c r="B12" i="3"/>
  <c r="B13" i="3"/>
  <c r="B14" i="3"/>
  <c r="B15" i="3"/>
  <c r="B16" i="3"/>
  <c r="B17" i="3"/>
  <c r="B18" i="3"/>
  <c r="B19" i="3"/>
  <c r="B20" i="3"/>
  <c r="B21" i="3"/>
  <c r="B22" i="3"/>
  <c r="B23" i="3"/>
  <c r="B24" i="3"/>
  <c r="B25" i="3"/>
  <c r="B26" i="3"/>
  <c r="B27" i="3"/>
  <c r="B28" i="3"/>
  <c r="B29" i="3"/>
  <c r="B30" i="3"/>
  <c r="B31" i="3"/>
  <c r="B32" i="3"/>
  <c r="B33" i="3"/>
  <c r="B34" i="3"/>
  <c r="B35" i="3"/>
  <c r="B36" i="3"/>
  <c r="B37" i="3"/>
  <c r="B38" i="3"/>
  <c r="B39" i="3"/>
  <c r="B40" i="3"/>
  <c r="B42" i="3"/>
  <c r="B43" i="3"/>
  <c r="B46" i="3"/>
  <c r="B47" i="3"/>
  <c r="B48" i="3"/>
  <c r="B49" i="3"/>
  <c r="B50" i="3"/>
  <c r="B51" i="3"/>
  <c r="B52" i="3"/>
  <c r="B53" i="3"/>
  <c r="B54" i="3"/>
  <c r="B66" i="3"/>
  <c r="B67" i="3"/>
  <c r="B68" i="3"/>
  <c r="B69" i="3"/>
  <c r="B70" i="3"/>
  <c r="B71" i="3"/>
  <c r="B72" i="3"/>
  <c r="B73" i="3"/>
  <c r="B74" i="3"/>
  <c r="B75" i="3"/>
  <c r="B76" i="3"/>
  <c r="B1" i="3"/>
  <c r="A76" i="3"/>
  <c r="A74" i="3"/>
  <c r="A72" i="3"/>
  <c r="A70" i="3"/>
  <c r="A68" i="3"/>
  <c r="A67" i="3"/>
  <c r="A52" i="3"/>
  <c r="A49" i="3"/>
  <c r="A48" i="3"/>
  <c r="A47" i="3"/>
  <c r="A46" i="3"/>
  <c r="A45" i="3"/>
  <c r="A44" i="3"/>
  <c r="A43" i="3"/>
  <c r="A42" i="3"/>
  <c r="A41" i="3"/>
  <c r="A40" i="3"/>
  <c r="A39" i="3"/>
  <c r="A38" i="3"/>
  <c r="A37" i="3"/>
  <c r="A36" i="3"/>
  <c r="A35" i="3"/>
  <c r="A34" i="3"/>
  <c r="A33" i="3"/>
  <c r="A32" i="3"/>
  <c r="A31" i="3"/>
  <c r="A30" i="3"/>
  <c r="A22" i="3"/>
  <c r="A21" i="3"/>
  <c r="A20" i="3"/>
  <c r="A19" i="3"/>
  <c r="A18" i="3"/>
  <c r="A17" i="3"/>
  <c r="A16" i="3"/>
  <c r="A1" i="3"/>
  <c r="A15" i="3"/>
  <c r="A14" i="3"/>
  <c r="A13" i="3"/>
  <c r="A12" i="3"/>
  <c r="A11" i="3"/>
  <c r="A10" i="3"/>
  <c r="A9" i="3"/>
  <c r="A8" i="3"/>
  <c r="A7" i="3"/>
  <c r="A6" i="3"/>
  <c r="A5" i="3"/>
  <c r="A4" i="3"/>
  <c r="A3" i="3"/>
  <c r="A2" i="3"/>
  <c r="A56" i="3"/>
  <c r="A57" i="3"/>
  <c r="A59" i="3"/>
  <c r="A62" i="3"/>
  <c r="A63" i="3"/>
  <c r="A64" i="3"/>
  <c r="I12" i="2"/>
  <c r="B63" i="3"/>
  <c r="K63" i="3"/>
  <c r="M63" i="3"/>
  <c r="H64" i="3"/>
  <c r="J64" i="3"/>
  <c r="K64" i="3"/>
  <c r="M64" i="3"/>
  <c r="D65" i="3"/>
  <c r="J12" i="2"/>
  <c r="K12" i="2"/>
  <c r="L12" i="2"/>
  <c r="M12" i="2"/>
  <c r="B55" i="3"/>
  <c r="C55" i="3"/>
  <c r="D55" i="3"/>
  <c r="I55" i="3"/>
  <c r="J55" i="3"/>
  <c r="K55" i="3"/>
  <c r="L55" i="3"/>
  <c r="M55" i="3"/>
  <c r="E56" i="3"/>
  <c r="F56" i="3"/>
  <c r="G56" i="3"/>
  <c r="M56" i="3"/>
  <c r="B57" i="3"/>
  <c r="D57" i="3"/>
  <c r="M57" i="3"/>
  <c r="B58" i="3"/>
  <c r="C58" i="3"/>
  <c r="G58" i="3"/>
  <c r="K58" i="3"/>
  <c r="M58" i="3"/>
  <c r="C59" i="3"/>
  <c r="D59" i="3"/>
  <c r="M59" i="3"/>
  <c r="F60" i="3"/>
  <c r="J60" i="3"/>
  <c r="B61" i="3"/>
  <c r="C61" i="3"/>
  <c r="K61" i="3"/>
  <c r="B62" i="3"/>
  <c r="C62" i="3"/>
  <c r="D62" i="3"/>
  <c r="H62" i="3"/>
  <c r="J62" i="3"/>
  <c r="K62" i="3"/>
  <c r="M62" i="3"/>
  <c r="E3" i="2" l="1"/>
  <c r="E57" i="3" s="1"/>
  <c r="E11" i="2"/>
  <c r="E65" i="3" s="1"/>
  <c r="E9" i="2"/>
  <c r="I9" i="2" s="1"/>
  <c r="I63" i="3" s="1"/>
  <c r="E7" i="2"/>
  <c r="E61" i="3" s="1"/>
  <c r="I5" i="2"/>
  <c r="I59" i="3" s="1"/>
  <c r="G57" i="3"/>
  <c r="G63" i="3"/>
  <c r="G65" i="3"/>
  <c r="E63" i="3" l="1"/>
  <c r="I3" i="2"/>
  <c r="I57" i="3" s="1"/>
  <c r="I7" i="2"/>
  <c r="I61" i="3" s="1"/>
  <c r="I11" i="2"/>
  <c r="I65" i="3" s="1"/>
</calcChain>
</file>

<file path=xl/sharedStrings.xml><?xml version="1.0" encoding="utf-8"?>
<sst xmlns="http://schemas.openxmlformats.org/spreadsheetml/2006/main" count="173" uniqueCount="103">
  <si>
    <t>module -10000+10000 Pa</t>
  </si>
  <si>
    <t>C310 BO</t>
  </si>
  <si>
    <t>Capteur transmetteur multifonction C310-BO / Multifunction sensor transmitter C310-BO</t>
  </si>
  <si>
    <t>ETALONNAGE EN PRESSION</t>
  </si>
  <si>
    <t>PRESSURE CALIBRATION</t>
  </si>
  <si>
    <t>Avec carte de pression interchangeable (électrovanne)</t>
  </si>
  <si>
    <t>With interchangeable pressure board (solenoid valve)</t>
  </si>
  <si>
    <t>-10000 à 10000 Pa</t>
  </si>
  <si>
    <t>1 Pa</t>
  </si>
  <si>
    <t>Les points d'étalonnage sont réalisés par comparaison avec les moyens suivants:</t>
  </si>
  <si>
    <t>- MP036 Banc de pression dynamique, plage d'utilisation 0 à 2500 Pa,</t>
  </si>
  <si>
    <t>- ETP092-1 étalon  n°:2P141100125+4P141000690, raccordé aux étalons nationaux par le certificat COFRAC n°P2218748H#</t>
  </si>
  <si>
    <t>- ETP092-2 étalon  n°:2P141100125+4P141000401, raccordé aux étalons nationaux par le certificat COFRAC n°P2218758H#.</t>
  </si>
  <si>
    <t>The points of calibration are realized with means of calibration according to:</t>
  </si>
  <si>
    <t>- MP036 Bench generator dynamic pressure, measuring range 0 to 2500 Pa,</t>
  </si>
  <si>
    <t>- ETP092-1 a standard  sn°:2P141100125+4P141000690, traceable to standard national reference by COFRAC certificate n°P2218748H#</t>
  </si>
  <si>
    <t>- ETP092-2 a standard  sn°:2P141100125+4P141000401, traceable to standard national reference by COFRAC certificate n°P2218758H#.</t>
  </si>
  <si>
    <t>20,3 °C</t>
  </si>
  <si>
    <t>888 hPa</t>
  </si>
  <si>
    <t>Etalonnage par conversion de la pression</t>
  </si>
  <si>
    <t>Kimo</t>
  </si>
  <si>
    <t>m3/h</t>
  </si>
  <si>
    <t>0,5%mes+/-1,9 m3/h</t>
  </si>
  <si>
    <t>Vref: valeur lue sur l'appareil étalon, Vref conv: Vref convertie dans l'unité de l'appareil du client.</t>
  </si>
  <si>
    <t>Vi: valeur lue sur l'appareil du client.</t>
  </si>
  <si>
    <t>L'unité de l'incertitude de mesure est exprimée dans la même unité que Vref. Les incertitudes mentionnées prennent en compte les incertitudes de l'étalonnage (étalon de référence, moyen, condition d'environnement, résolution de l'appareil ...). Ces incertitudes sont élargies avec un coefficient k=2.</t>
  </si>
  <si>
    <t>Vref: value displayed by our reference instrument, Vref conv : conversion of Vref in customer's unit instrument.</t>
  </si>
  <si>
    <t>Vi: value displayed by customer's instrument.</t>
  </si>
  <si>
    <t>For uncertainty, unit is the same as the one of Vref. Uncertainties above mentionned take into account calibration uncertainties (reference instrument, calibration mean, environment conditions, instrument resolution...). These uncertainties are extended with coefficient k=2.</t>
  </si>
  <si>
    <t>n°</t>
  </si>
  <si>
    <t>Vref</t>
  </si>
  <si>
    <t>Unit</t>
  </si>
  <si>
    <t>Vref conv</t>
  </si>
  <si>
    <t>Vi</t>
  </si>
  <si>
    <t>Vi-Vref conv</t>
  </si>
  <si>
    <t>Incertitude</t>
  </si>
  <si>
    <t>vérification</t>
  </si>
  <si>
    <t>tolérance</t>
  </si>
  <si>
    <t>Pa</t>
  </si>
  <si>
    <t>Non Conforme</t>
  </si>
  <si>
    <t>0,5%mes+/-1,9</t>
  </si>
  <si>
    <t>Type d'élément déprimogène: aile débimo</t>
  </si>
  <si>
    <t>Type de gaine: rectangulaire</t>
  </si>
  <si>
    <t>Longueur: 2300 mm</t>
  </si>
  <si>
    <t>Largeur: 2300 mm</t>
  </si>
  <si>
    <t>COEF</t>
  </si>
  <si>
    <t>Conforme</t>
  </si>
  <si>
    <t>m3/s</t>
  </si>
  <si>
    <t>0,5%mes+/-1,9 m3/s</t>
  </si>
  <si>
    <t>3F190630462</t>
  </si>
  <si>
    <t>UB3_1VT_AF32_VTL_CPT_32,2</t>
  </si>
  <si>
    <t>DES2201906</t>
  </si>
  <si>
    <t>55,3 %HR</t>
  </si>
  <si>
    <t>Choix Pitot</t>
  </si>
  <si>
    <t>si S 1,0015 * 0,84</t>
  </si>
  <si>
    <t>L</t>
  </si>
  <si>
    <t>Coefficient</t>
  </si>
  <si>
    <t>Coefficient 1,48</t>
  </si>
  <si>
    <t>This document is only for internal use and shall not be distributed without the previous consent of the Business Department</t>
  </si>
  <si>
    <t>Page 1 sur 1</t>
  </si>
  <si>
    <t>EXPERTISE CAPTEUR</t>
  </si>
  <si>
    <t>Marque :</t>
  </si>
  <si>
    <t>Modèle :</t>
  </si>
  <si>
    <t>Identification :</t>
  </si>
  <si>
    <t>Echelle :</t>
  </si>
  <si>
    <t>Résolution :</t>
  </si>
  <si>
    <t>Sortie analogique :</t>
  </si>
  <si>
    <t>Gamme :</t>
  </si>
  <si>
    <t>Type de gaine :</t>
  </si>
  <si>
    <t>Eléments du capteur</t>
  </si>
  <si>
    <t>Visuel Extérieur</t>
  </si>
  <si>
    <t>etat de l'afficheur</t>
  </si>
  <si>
    <t>Etat des tubes</t>
  </si>
  <si>
    <t>Etat des fixations</t>
  </si>
  <si>
    <t>Focntionnement des touches</t>
  </si>
  <si>
    <t>Elements du Boitier</t>
  </si>
  <si>
    <t>Etat du boitier de protection</t>
  </si>
  <si>
    <t>Etat intérieur du boitier</t>
  </si>
  <si>
    <t>N° de certificats</t>
  </si>
  <si>
    <t>Date d'étalonnage</t>
  </si>
  <si>
    <t>Jugement de conformité</t>
  </si>
  <si>
    <t>Etat</t>
  </si>
  <si>
    <t>Commentaires</t>
  </si>
  <si>
    <t>Etat général</t>
  </si>
  <si>
    <t>4 à 20 mA</t>
  </si>
  <si>
    <t>Type</t>
  </si>
  <si>
    <t>d'élément</t>
  </si>
  <si>
    <t>déprimogène:</t>
  </si>
  <si>
    <t>aile</t>
  </si>
  <si>
    <t>débimo</t>
  </si>
  <si>
    <t>de</t>
  </si>
  <si>
    <t>gaine:</t>
  </si>
  <si>
    <t>rectangulaire</t>
  </si>
  <si>
    <t>Longueur:</t>
  </si>
  <si>
    <t>mm</t>
  </si>
  <si>
    <t>Largeur:</t>
  </si>
  <si>
    <t>Type d'élément :</t>
  </si>
  <si>
    <t>Longueur :</t>
  </si>
  <si>
    <t>Largeur :</t>
  </si>
  <si>
    <t>Coefficient :</t>
  </si>
  <si>
    <t>N° Série :</t>
  </si>
  <si>
    <t>marquetest</t>
  </si>
  <si>
    <t>prout le tech</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</si>
</sst>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6" x14ac:knownFonts="1">
    <font>
      <sz val="11"/>
      <color theme="1"/>
      <name val="Calibri"/>
      <family val="2"/>
      <scheme val="minor"/>
    </font>
    <font>
      <b/>
      <sz val="11"/>
      <color theme="1"/>
      <name val="Calibri"/>
      <family val="2"/>
      <scheme val="minor"/>
    </font>
    <font>
      <sz val="8"/>
      <color theme="1"/>
      <name val="Arial"/>
      <family val="2"/>
    </font>
    <font>
      <sz val="7"/>
      <color theme="1"/>
      <name val="Calibri"/>
      <family val="2"/>
      <scheme val="minor"/>
    </font>
    <font>
      <b/>
      <sz val="18"/>
      <color theme="1"/>
      <name val="Calibri"/>
      <family val="2"/>
      <scheme val="minor"/>
    </font>
    <font>
      <sz val="9"/>
      <color theme="1"/>
      <name val="Calibri"/>
      <family val="2"/>
      <scheme val="minor"/>
    </font>
  </fonts>
  <fills count="4">
    <fill>
      <patternFill patternType="none"/>
    </fill>
    <fill>
      <patternFill patternType="gray125"/>
    </fill>
    <fill>
      <patternFill patternType="solid">
        <fgColor rgb="FFFFFF00"/>
        <bgColor indexed="64"/>
      </patternFill>
    </fill>
    <fill>
      <patternFill patternType="solid">
        <fgColor theme="4" tint="0.59999389629810485"/>
        <bgColor indexed="64"/>
      </patternFill>
    </fill>
  </fills>
  <borders count="4">
    <border>
      <left/>
      <right/>
      <top/>
      <bottom/>
      <diagonal/>
    </border>
    <border>
      <left/>
      <right/>
      <top/>
      <bottom style="thick">
        <color theme="4"/>
      </bottom>
      <diagonal/>
    </border>
    <border>
      <left/>
      <right/>
      <top style="thick">
        <color theme="4"/>
      </top>
      <bottom/>
      <diagonal/>
    </border>
    <border>
      <left style="thin">
        <color indexed="64"/>
      </left>
      <right style="thin">
        <color indexed="64"/>
      </right>
      <top style="thin">
        <color indexed="64"/>
      </top>
      <bottom style="thin">
        <color indexed="64"/>
      </bottom>
      <diagonal/>
    </border>
  </borders>
  <cellStyleXfs count="1">
    <xf numFmtId="0" fontId="0" fillId="0" borderId="0"/>
  </cellStyleXfs>
  <cellXfs count="18">
    <xf numFmtId="0" fontId="0" fillId="0" borderId="0" xfId="0"/>
    <xf numFmtId="14" fontId="0" fillId="0" borderId="0" xfId="0" applyNumberFormat="1"/>
    <xf numFmtId="0" fontId="0" fillId="2" borderId="0" xfId="0" applyFill="1"/>
    <xf numFmtId="2" fontId="0" fillId="0" borderId="0" xfId="0" applyNumberFormat="1"/>
    <xf numFmtId="0" fontId="0" fillId="0" borderId="0" xfId="0" applyBorder="1"/>
    <xf numFmtId="0" fontId="2" fillId="0" borderId="1" xfId="0" applyFont="1" applyBorder="1" applyAlignment="1">
      <alignment vertical="center"/>
    </xf>
    <xf numFmtId="0" fontId="0" fillId="0" borderId="1" xfId="0" applyBorder="1"/>
    <xf numFmtId="0" fontId="0" fillId="0" borderId="3" xfId="0" applyBorder="1" applyAlignment="1">
      <alignment horizontal="left"/>
    </xf>
    <xf numFmtId="0" fontId="0" fillId="0" borderId="3" xfId="0" applyBorder="1" applyAlignment="1">
      <alignment horizontal="center"/>
    </xf>
    <xf numFmtId="0" fontId="0" fillId="0" borderId="3" xfId="0" applyBorder="1" applyAlignment="1">
      <alignment horizontal="center"/>
    </xf>
    <xf numFmtId="0" fontId="0" fillId="3" borderId="3" xfId="0" applyFill="1" applyBorder="1" applyAlignment="1">
      <alignment horizontal="center"/>
    </xf>
    <xf numFmtId="0" fontId="0" fillId="3" borderId="3" xfId="0" applyFill="1" applyBorder="1" applyAlignment="1">
      <alignment horizontal="center"/>
    </xf>
    <xf numFmtId="0" fontId="1" fillId="0" borderId="0" xfId="0" applyFont="1"/>
    <xf numFmtId="0" fontId="1" fillId="0" borderId="0" xfId="0" applyFont="1" applyAlignment="1">
      <alignment horizontal="right"/>
    </xf>
    <xf numFmtId="0" fontId="4" fillId="0" borderId="0" xfId="0" applyFont="1" applyAlignment="1">
      <alignment horizontal="center"/>
    </xf>
    <xf numFmtId="0" fontId="5" fillId="0" borderId="3" xfId="0" applyFont="1" applyBorder="1" applyAlignment="1">
      <alignment horizontal="left"/>
    </xf>
    <xf numFmtId="14" fontId="0" fillId="0" borderId="3" xfId="0" applyNumberFormat="1" applyBorder="1" applyAlignment="1">
      <alignment horizontal="center"/>
    </xf>
    <xf numFmtId="0" fontId="3" fillId="0" borderId="2" xfId="0" applyFont="1" applyBorder="1" applyAlignment="1">
      <alignment horizontal="left" vertical="center"/>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sharedStrings" Target="sharedStrings.xml"/><Relationship Id="rId3" Type="http://schemas.openxmlformats.org/officeDocument/2006/relationships/worksheet" Target="worksheets/sheet3.xml"/><Relationship Id="rId7" Type="http://schemas.openxmlformats.org/officeDocument/2006/relationships/styles" Target="style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theme" Target="theme/theme1.xml"/><Relationship Id="rId5" Type="http://schemas.openxmlformats.org/officeDocument/2006/relationships/externalLink" Target="externalLinks/externalLink1.xml"/><Relationship Id="rId10" Type="http://schemas.microsoft.com/office/2006/relationships/vbaProject" Target="vbaProject.bin"/><Relationship Id="rId4" Type="http://schemas.openxmlformats.org/officeDocument/2006/relationships/worksheet" Target="worksheets/sheet4.xml"/><Relationship Id="rId9" Type="http://schemas.openxmlformats.org/officeDocument/2006/relationships/calcChain" Target="calcChain.xml"/></Relationships>
</file>

<file path=xl/drawings/_rels/drawing1.xml.rels><?xml version="1.0" encoding="UTF-8" standalone="yes"?>
<Relationships xmlns="http://schemas.openxmlformats.org/package/2006/relationships"><Relationship Id="rId1" Type="http://schemas.openxmlformats.org/officeDocument/2006/relationships/image" Target="../media/image1.jpeg"/></Relationships>
</file>

<file path=xl/drawings/drawing1.xml><?xml version="1.0" encoding="utf-8"?>
<xdr:wsDr xmlns:xdr="http://schemas.openxmlformats.org/drawingml/2006/spreadsheetDrawing" xmlns:a="http://schemas.openxmlformats.org/drawingml/2006/main">
  <xdr:twoCellAnchor editAs="oneCell">
    <xdr:from>
      <xdr:col>4</xdr:col>
      <xdr:colOff>769620</xdr:colOff>
      <xdr:row>0</xdr:row>
      <xdr:rowOff>37935</xdr:rowOff>
    </xdr:from>
    <xdr:to>
      <xdr:col>7</xdr:col>
      <xdr:colOff>739140</xdr:colOff>
      <xdr:row>5</xdr:row>
      <xdr:rowOff>148745</xdr:rowOff>
    </xdr:to>
    <xdr:pic>
      <xdr:nvPicPr>
        <xdr:cNvPr id="2" name="Image 1">
          <a:extLst>
            <a:ext uri="{FF2B5EF4-FFF2-40B4-BE49-F238E27FC236}">
              <a16:creationId xmlns:a16="http://schemas.microsoft.com/office/drawing/2014/main" id="{F34D1356-FAE5-8FB0-EE96-9C65BB522039}"/>
            </a:ext>
          </a:extLst>
        </xdr:cNvPr>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3939540" y="37935"/>
          <a:ext cx="2346960" cy="1025210"/>
        </a:xfrm>
        <a:prstGeom prst="rect">
          <a:avLst/>
        </a:prstGeom>
      </xdr:spPr>
    </xdr:pic>
    <xdr:clientData/>
  </xdr:twoCellAnchor>
</xdr:wsDr>
</file>

<file path=xl/externalLinks/_rels/externalLink1.xml.rels><?xml version="1.0" encoding="UTF-8" standalone="yes"?>
<Relationships xmlns="http://schemas.openxmlformats.org/package/2006/relationships"><Relationship Id="rId1" Type="http://schemas.openxmlformats.org/officeDocument/2006/relationships/externalLinkPath" Target="Tunnel%20Circulaire.xlsx"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Feuil1"/>
      <sheetName val="Feuil2"/>
      <sheetName val="Feuil3"/>
    </sheetNames>
    <sheetDataSet>
      <sheetData sheetId="0"/>
      <sheetData sheetId="1"/>
      <sheetData sheetId="2"/>
    </sheetDataSet>
  </externalBook>
</externalLink>
</file>

<file path=xl/theme/theme1.xml><?xml version="1.0" encoding="utf-8"?>
<a:theme xmlns:a="http://schemas.openxmlformats.org/drawingml/2006/main" name="Thème Offic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4.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7FC49F13-7E1C-42B2-9417-BECBF588C3F1}">
  <sheetPr codeName="Feuil1"/>
  <dimension ref="A1:N76"/>
  <sheetViews>
    <sheetView topLeftCell="A70" workbookViewId="0">
      <selection activeCell="B36" sqref="B36"/>
    </sheetView>
  </sheetViews>
  <sheetFormatPr baseColWidth="10" defaultRowHeight="14.4" x14ac:dyDescent="0.3"/>
  <sheetData>
    <row r="1" spans="1:2" x14ac:dyDescent="0.3">
      <c r="A1">
        <v>0</v>
      </c>
      <c r="B1">
        <v>1</v>
      </c>
    </row>
    <row r="2" spans="1:2" x14ac:dyDescent="0.3">
      <c r="A2">
        <v>1</v>
      </c>
      <c r="B2" t="s">
        <v>0</v>
      </c>
    </row>
    <row r="3" spans="1:2" x14ac:dyDescent="0.3">
      <c r="A3">
        <v>100</v>
      </c>
      <c r="B3" t="s">
        <v>1</v>
      </c>
    </row>
    <row r="4" spans="1:2" x14ac:dyDescent="0.3">
      <c r="A4">
        <v>101</v>
      </c>
      <c r="B4" t="s">
        <v>2</v>
      </c>
    </row>
    <row r="5" spans="1:2" x14ac:dyDescent="0.3">
      <c r="A5">
        <v>102</v>
      </c>
      <c r="B5" t="s">
        <v>101</v>
      </c>
    </row>
    <row r="6" spans="1:2" x14ac:dyDescent="0.3">
      <c r="A6">
        <v>103</v>
      </c>
      <c r="B6" t="s">
        <v>49</v>
      </c>
    </row>
    <row r="7" spans="1:2" x14ac:dyDescent="0.3">
      <c r="A7">
        <v>104</v>
      </c>
      <c r="B7" t="s">
        <v>50</v>
      </c>
    </row>
    <row r="8" spans="1:2" x14ac:dyDescent="0.3">
      <c r="A8">
        <v>110</v>
      </c>
      <c r="B8" t="s">
        <v>51</v>
      </c>
    </row>
    <row r="9" spans="1:2" x14ac:dyDescent="0.3">
      <c r="A9">
        <v>200</v>
      </c>
      <c r="B9">
        <v>24410</v>
      </c>
    </row>
    <row r="10" spans="1:2" x14ac:dyDescent="0.3">
      <c r="A10">
        <v>300</v>
      </c>
    </row>
    <row r="11" spans="1:2" x14ac:dyDescent="0.3">
      <c r="A11">
        <v>301</v>
      </c>
    </row>
    <row r="12" spans="1:2" x14ac:dyDescent="0.3">
      <c r="A12">
        <v>302</v>
      </c>
    </row>
    <row r="13" spans="1:2" x14ac:dyDescent="0.3">
      <c r="A13">
        <v>303</v>
      </c>
    </row>
    <row r="14" spans="1:2" x14ac:dyDescent="0.3">
      <c r="A14">
        <v>304</v>
      </c>
    </row>
    <row r="15" spans="1:2" x14ac:dyDescent="0.3">
      <c r="A15">
        <v>100000</v>
      </c>
      <c r="B15" t="s">
        <v>3</v>
      </c>
    </row>
    <row r="16" spans="1:2" x14ac:dyDescent="0.3">
      <c r="A16">
        <v>110000</v>
      </c>
      <c r="B16" t="s">
        <v>4</v>
      </c>
    </row>
    <row r="17" spans="1:2" x14ac:dyDescent="0.3">
      <c r="A17">
        <v>100001</v>
      </c>
      <c r="B17" t="s">
        <v>5</v>
      </c>
    </row>
    <row r="18" spans="1:2" x14ac:dyDescent="0.3">
      <c r="A18">
        <v>110001</v>
      </c>
      <c r="B18" t="s">
        <v>6</v>
      </c>
    </row>
    <row r="19" spans="1:2" x14ac:dyDescent="0.3">
      <c r="A19">
        <v>100004</v>
      </c>
      <c r="B19">
        <v>1</v>
      </c>
    </row>
    <row r="20" spans="1:2" x14ac:dyDescent="0.3">
      <c r="A20">
        <v>100010</v>
      </c>
      <c r="B20" t="s">
        <v>7</v>
      </c>
    </row>
    <row r="21" spans="1:2" x14ac:dyDescent="0.3">
      <c r="A21">
        <v>100011</v>
      </c>
      <c r="B21" t="s">
        <v>8</v>
      </c>
    </row>
    <row r="22" spans="1:2" x14ac:dyDescent="0.3">
      <c r="A22">
        <v>100100</v>
      </c>
      <c r="B22" t="s">
        <v>9</v>
      </c>
    </row>
    <row r="23" spans="1:2" x14ac:dyDescent="0.3">
      <c r="A23" t="s">
        <v>10</v>
      </c>
    </row>
    <row r="24" spans="1:2" x14ac:dyDescent="0.3">
      <c r="A24" t="s">
        <v>11</v>
      </c>
    </row>
    <row r="25" spans="1:2" x14ac:dyDescent="0.3">
      <c r="A25" t="s">
        <v>12</v>
      </c>
    </row>
    <row r="26" spans="1:2" x14ac:dyDescent="0.3">
      <c r="A26">
        <v>110100</v>
      </c>
      <c r="B26" t="s">
        <v>13</v>
      </c>
    </row>
    <row r="27" spans="1:2" x14ac:dyDescent="0.3">
      <c r="A27" t="s">
        <v>14</v>
      </c>
    </row>
    <row r="28" spans="1:2" x14ac:dyDescent="0.3">
      <c r="A28" t="s">
        <v>15</v>
      </c>
    </row>
    <row r="29" spans="1:2" x14ac:dyDescent="0.3">
      <c r="A29" t="s">
        <v>16</v>
      </c>
    </row>
    <row r="30" spans="1:2" x14ac:dyDescent="0.3">
      <c r="A30">
        <v>100200</v>
      </c>
      <c r="B30" t="s">
        <v>17</v>
      </c>
    </row>
    <row r="31" spans="1:2" x14ac:dyDescent="0.3">
      <c r="A31">
        <v>100201</v>
      </c>
      <c r="B31" t="s">
        <v>52</v>
      </c>
    </row>
    <row r="32" spans="1:2" x14ac:dyDescent="0.3">
      <c r="A32">
        <v>100202</v>
      </c>
      <c r="B32" t="s">
        <v>18</v>
      </c>
    </row>
    <row r="33" spans="1:3" x14ac:dyDescent="0.3">
      <c r="A33">
        <v>100300</v>
      </c>
      <c r="B33" s="1">
        <v>44851</v>
      </c>
      <c r="C33" s="1"/>
    </row>
    <row r="34" spans="1:3" x14ac:dyDescent="0.3">
      <c r="A34">
        <v>100301</v>
      </c>
      <c r="B34" t="s">
        <v>102</v>
      </c>
    </row>
    <row r="35" spans="1:3" x14ac:dyDescent="0.3">
      <c r="A35">
        <v>100400</v>
      </c>
      <c r="B35" t="s">
        <v>19</v>
      </c>
    </row>
    <row r="36" spans="1:3" x14ac:dyDescent="0.3">
      <c r="A36">
        <v>100401</v>
      </c>
      <c r="B36" t="s">
        <v>20</v>
      </c>
    </row>
    <row r="37" spans="1:3" x14ac:dyDescent="0.3">
      <c r="A37">
        <v>100402</v>
      </c>
      <c r="B37" t="s">
        <v>20</v>
      </c>
    </row>
    <row r="38" spans="1:3" x14ac:dyDescent="0.3">
      <c r="A38">
        <v>100403</v>
      </c>
      <c r="B38">
        <v>1</v>
      </c>
    </row>
    <row r="39" spans="1:3" x14ac:dyDescent="0.3">
      <c r="A39">
        <v>100404</v>
      </c>
      <c r="B39">
        <v>5</v>
      </c>
    </row>
    <row r="40" spans="1:3" x14ac:dyDescent="0.3">
      <c r="A40">
        <v>100405</v>
      </c>
      <c r="B40">
        <v>200</v>
      </c>
    </row>
    <row r="41" spans="1:3" x14ac:dyDescent="0.3">
      <c r="A41">
        <v>100406</v>
      </c>
      <c r="B41" t="s">
        <v>21</v>
      </c>
    </row>
    <row r="42" spans="1:3" x14ac:dyDescent="0.3">
      <c r="A42">
        <v>100411</v>
      </c>
      <c r="B42">
        <v>5</v>
      </c>
    </row>
    <row r="43" spans="1:3" x14ac:dyDescent="0.3">
      <c r="A43">
        <v>100412</v>
      </c>
      <c r="B43">
        <v>200</v>
      </c>
    </row>
    <row r="44" spans="1:3" x14ac:dyDescent="0.3">
      <c r="A44">
        <v>100413</v>
      </c>
      <c r="B44" t="s">
        <v>21</v>
      </c>
    </row>
    <row r="45" spans="1:3" x14ac:dyDescent="0.3">
      <c r="A45">
        <v>100414</v>
      </c>
      <c r="B45" t="s">
        <v>22</v>
      </c>
    </row>
    <row r="46" spans="1:3" x14ac:dyDescent="0.3">
      <c r="A46">
        <v>100500</v>
      </c>
      <c r="B46">
        <v>3</v>
      </c>
    </row>
    <row r="47" spans="1:3" x14ac:dyDescent="0.3">
      <c r="A47">
        <v>100501</v>
      </c>
      <c r="B47">
        <v>6</v>
      </c>
    </row>
    <row r="48" spans="1:3" x14ac:dyDescent="0.3">
      <c r="A48">
        <v>100502</v>
      </c>
      <c r="B48">
        <v>12</v>
      </c>
    </row>
    <row r="49" spans="1:14" x14ac:dyDescent="0.3">
      <c r="A49">
        <v>100503</v>
      </c>
      <c r="B49" t="s">
        <v>23</v>
      </c>
    </row>
    <row r="50" spans="1:14" x14ac:dyDescent="0.3">
      <c r="A50" t="s">
        <v>24</v>
      </c>
    </row>
    <row r="51" spans="1:14" x14ac:dyDescent="0.3">
      <c r="A51" t="s">
        <v>25</v>
      </c>
    </row>
    <row r="52" spans="1:14" x14ac:dyDescent="0.3">
      <c r="A52">
        <v>110503</v>
      </c>
      <c r="B52" t="s">
        <v>26</v>
      </c>
    </row>
    <row r="53" spans="1:14" x14ac:dyDescent="0.3">
      <c r="A53" t="s">
        <v>27</v>
      </c>
    </row>
    <row r="54" spans="1:14" x14ac:dyDescent="0.3">
      <c r="A54" t="s">
        <v>28</v>
      </c>
    </row>
    <row r="55" spans="1:14" x14ac:dyDescent="0.3">
      <c r="A55">
        <v>100510</v>
      </c>
      <c r="B55" t="s">
        <v>29</v>
      </c>
      <c r="C55" t="s">
        <v>30</v>
      </c>
      <c r="D55" t="s">
        <v>31</v>
      </c>
      <c r="E55" t="s">
        <v>32</v>
      </c>
      <c r="F55" t="s">
        <v>31</v>
      </c>
      <c r="G55" t="s">
        <v>33</v>
      </c>
      <c r="H55" t="s">
        <v>31</v>
      </c>
      <c r="I55" t="s">
        <v>34</v>
      </c>
      <c r="J55" t="s">
        <v>31</v>
      </c>
      <c r="K55" t="s">
        <v>35</v>
      </c>
      <c r="L55" t="s">
        <v>36</v>
      </c>
      <c r="M55" t="s">
        <v>37</v>
      </c>
      <c r="N55" t="s">
        <v>37</v>
      </c>
    </row>
    <row r="57" spans="1:14" x14ac:dyDescent="0.3">
      <c r="A57">
        <v>100511</v>
      </c>
      <c r="B57">
        <v>1</v>
      </c>
      <c r="C57">
        <v>51.75</v>
      </c>
      <c r="D57" t="s">
        <v>38</v>
      </c>
      <c r="E57">
        <v>144101.17000000001</v>
      </c>
      <c r="F57" t="s">
        <v>21</v>
      </c>
      <c r="G57">
        <v>47.5</v>
      </c>
      <c r="H57" t="s">
        <v>21</v>
      </c>
      <c r="I57">
        <v>-144053.666</v>
      </c>
      <c r="J57" t="s">
        <v>21</v>
      </c>
      <c r="K57">
        <v>0.87</v>
      </c>
      <c r="L57" t="s">
        <v>39</v>
      </c>
      <c r="M57" t="s">
        <v>40</v>
      </c>
      <c r="N57" t="s">
        <v>40</v>
      </c>
    </row>
    <row r="59" spans="1:14" x14ac:dyDescent="0.3">
      <c r="A59">
        <v>100512</v>
      </c>
      <c r="B59">
        <v>2</v>
      </c>
      <c r="C59">
        <v>301.12</v>
      </c>
      <c r="D59" t="s">
        <v>38</v>
      </c>
      <c r="E59">
        <v>347601.88</v>
      </c>
      <c r="F59" t="s">
        <v>21</v>
      </c>
      <c r="G59">
        <v>113.6</v>
      </c>
      <c r="H59" t="s">
        <v>21</v>
      </c>
      <c r="I59">
        <v>-347488.28100000002</v>
      </c>
      <c r="J59" t="s">
        <v>21</v>
      </c>
      <c r="K59">
        <v>1.22</v>
      </c>
      <c r="L59" t="s">
        <v>39</v>
      </c>
      <c r="M59" t="s">
        <v>40</v>
      </c>
      <c r="N59" t="s">
        <v>40</v>
      </c>
    </row>
    <row r="61" spans="1:14" x14ac:dyDescent="0.3">
      <c r="A61">
        <v>100513</v>
      </c>
      <c r="B61">
        <v>3</v>
      </c>
      <c r="C61">
        <v>498.71</v>
      </c>
      <c r="D61" t="s">
        <v>38</v>
      </c>
      <c r="E61">
        <v>447338.58</v>
      </c>
      <c r="F61" t="s">
        <v>21</v>
      </c>
      <c r="G61">
        <v>146.9</v>
      </c>
      <c r="H61" t="s">
        <v>21</v>
      </c>
      <c r="I61">
        <v>-447191.68</v>
      </c>
      <c r="J61" t="s">
        <v>21</v>
      </c>
      <c r="K61">
        <v>1.54</v>
      </c>
      <c r="L61" t="s">
        <v>39</v>
      </c>
      <c r="M61" t="s">
        <v>40</v>
      </c>
      <c r="N61" t="s">
        <v>40</v>
      </c>
    </row>
    <row r="63" spans="1:14" x14ac:dyDescent="0.3">
      <c r="A63">
        <v>100514</v>
      </c>
      <c r="B63">
        <v>4</v>
      </c>
      <c r="C63">
        <v>998.11</v>
      </c>
      <c r="D63" t="s">
        <v>38</v>
      </c>
      <c r="E63">
        <v>632851.06999999995</v>
      </c>
      <c r="F63" t="s">
        <v>21</v>
      </c>
      <c r="G63">
        <v>208.1</v>
      </c>
      <c r="H63" t="s">
        <v>21</v>
      </c>
      <c r="I63">
        <v>-632642.97199999995</v>
      </c>
      <c r="J63" t="s">
        <v>21</v>
      </c>
      <c r="K63">
        <v>2.1</v>
      </c>
      <c r="L63" t="s">
        <v>39</v>
      </c>
      <c r="M63" t="s">
        <v>40</v>
      </c>
      <c r="N63" t="s">
        <v>40</v>
      </c>
    </row>
    <row r="65" spans="1:14" x14ac:dyDescent="0.3">
      <c r="A65">
        <v>100515</v>
      </c>
      <c r="B65">
        <v>5</v>
      </c>
      <c r="C65">
        <v>1295.47</v>
      </c>
      <c r="D65" t="s">
        <v>38</v>
      </c>
      <c r="E65">
        <v>720984.61</v>
      </c>
      <c r="F65" t="s">
        <v>21</v>
      </c>
      <c r="G65">
        <v>236.9</v>
      </c>
      <c r="H65" t="s">
        <v>21</v>
      </c>
      <c r="I65">
        <v>-720747.71400000004</v>
      </c>
      <c r="J65" t="s">
        <v>21</v>
      </c>
      <c r="K65">
        <v>2.35</v>
      </c>
      <c r="L65" t="s">
        <v>39</v>
      </c>
      <c r="M65" t="s">
        <v>40</v>
      </c>
      <c r="N65" t="s">
        <v>40</v>
      </c>
    </row>
    <row r="67" spans="1:14" x14ac:dyDescent="0.3">
      <c r="A67">
        <v>100700</v>
      </c>
      <c r="B67">
        <v>5</v>
      </c>
    </row>
    <row r="68" spans="1:14" x14ac:dyDescent="0.3">
      <c r="A68">
        <v>100701</v>
      </c>
      <c r="B68" t="s">
        <v>41</v>
      </c>
    </row>
    <row r="70" spans="1:14" x14ac:dyDescent="0.3">
      <c r="A70">
        <v>100702</v>
      </c>
      <c r="B70" t="s">
        <v>42</v>
      </c>
    </row>
    <row r="72" spans="1:14" x14ac:dyDescent="0.3">
      <c r="A72">
        <v>100703</v>
      </c>
      <c r="B72" t="s">
        <v>43</v>
      </c>
    </row>
    <row r="74" spans="1:14" x14ac:dyDescent="0.3">
      <c r="A74">
        <v>100704</v>
      </c>
      <c r="B74" t="s">
        <v>44</v>
      </c>
    </row>
    <row r="76" spans="1:14" x14ac:dyDescent="0.3">
      <c r="A76">
        <v>100705</v>
      </c>
      <c r="B76" t="s">
        <v>57</v>
      </c>
    </row>
  </sheetData>
  <pageMargins left="0.7" right="0.7" top="0.75" bottom="0.75" header="0.3" footer="0.3"/>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89FCE568-41A7-4014-BA32-022F7B2101D4}">
  <sheetPr codeName="Feuil2"/>
  <dimension ref="A1:M31"/>
  <sheetViews>
    <sheetView topLeftCell="A10" workbookViewId="0">
      <selection activeCell="A22" sqref="A22"/>
    </sheetView>
  </sheetViews>
  <sheetFormatPr baseColWidth="10" defaultRowHeight="14.4" x14ac:dyDescent="0.3"/>
  <sheetData>
    <row r="1" spans="1:13" x14ac:dyDescent="0.3">
      <c r="A1" t="str">
        <f>IF(Feuil1!A55="","","0"&amp;Feuil1!A55)</f>
        <v>0100510</v>
      </c>
      <c r="B1" t="str">
        <f>IF(Feuil1!B55="","",Feuil1!B55)</f>
        <v>n°</v>
      </c>
      <c r="C1" t="str">
        <f>IF(Feuil1!C55="","",Feuil1!C55)</f>
        <v>Vref</v>
      </c>
      <c r="D1" t="str">
        <f>IF(Feuil1!D55="","",Feuil1!D55)</f>
        <v>Unit</v>
      </c>
      <c r="E1" t="str">
        <f>IF(Feuil1!E55="","",Feuil1!E55)</f>
        <v>Vref conv</v>
      </c>
      <c r="F1" t="str">
        <f>IF(Feuil1!F55="","",Feuil1!F55)</f>
        <v>Unit</v>
      </c>
      <c r="G1" t="str">
        <f>IF(Feuil1!G55="","",Feuil1!G55)</f>
        <v>Vi</v>
      </c>
      <c r="H1" t="str">
        <f>IF(Feuil1!H55="","",Feuil1!H55)</f>
        <v>Unit</v>
      </c>
      <c r="I1" t="str">
        <f>IF(Feuil1!I55="","",Feuil1!I55)</f>
        <v>Vi-Vref conv</v>
      </c>
      <c r="J1" t="str">
        <f>IF(Feuil1!J55="","",Feuil1!J55)</f>
        <v>Unit</v>
      </c>
      <c r="K1" t="str">
        <f>IF(Feuil1!K55="","",Feuil1!K55)</f>
        <v>Incertitude</v>
      </c>
      <c r="L1" t="str">
        <f>IF(Feuil1!L55="","",Feuil1!L55)</f>
        <v>vérification</v>
      </c>
      <c r="M1" t="str">
        <f>IF(Feuil1!M55="","",Feuil1!M55)</f>
        <v>tolérance</v>
      </c>
    </row>
    <row r="2" spans="1:13" x14ac:dyDescent="0.3">
      <c r="A2" t="str">
        <f>IF(Feuil1!A56="","","0"&amp;Feuil1!A56)</f>
        <v/>
      </c>
      <c r="B2" t="str">
        <f>IF(Feuil1!B56="","",Feuil1!B56)</f>
        <v/>
      </c>
      <c r="C2" t="str">
        <f>IF(Feuil1!C56="","",Feuil1!C56)</f>
        <v/>
      </c>
      <c r="D2" t="str">
        <f>IF(Feuil1!D56="","",Feuil1!D56)</f>
        <v/>
      </c>
      <c r="E2" t="str">
        <f>IF(Feuil1!E56="","",Feuil1!E56)</f>
        <v/>
      </c>
      <c r="F2" t="str">
        <f>IF(Feuil1!F56="","",Feuil1!F56)</f>
        <v/>
      </c>
      <c r="G2" t="str">
        <f>IF(Feuil1!G56="","",Feuil1!G56)</f>
        <v/>
      </c>
      <c r="H2" t="str">
        <f>IF(Feuil1!H56="","",Feuil1!H56)</f>
        <v/>
      </c>
      <c r="I2" t="str">
        <f>IF(Feuil1!I56="","",Feuil1!I56)</f>
        <v/>
      </c>
      <c r="J2" t="str">
        <f>IF(Feuil1!J56="","",Feuil1!J56)</f>
        <v/>
      </c>
      <c r="K2" t="str">
        <f>IF(Feuil1!K56="","",Feuil1!K56)</f>
        <v/>
      </c>
      <c r="L2" t="str">
        <f>IF(Feuil1!L56="","",Feuil1!L56)</f>
        <v/>
      </c>
      <c r="M2" t="str">
        <f>IF(Feuil1!M56="","",Feuil1!M56)</f>
        <v/>
      </c>
    </row>
    <row r="3" spans="1:13" x14ac:dyDescent="0.3">
      <c r="A3" t="str">
        <f>IF(Feuil1!A57="","","0"&amp;Feuil1!A57)</f>
        <v>0100511</v>
      </c>
      <c r="B3">
        <f>IF(Feuil1!B57="","",Feuil1!B57)</f>
        <v>1</v>
      </c>
      <c r="C3">
        <f>IF(Feuil1!C57="","",Feuil1!C57)</f>
        <v>51.75</v>
      </c>
      <c r="D3" t="str">
        <f>IF(Feuil1!D57="","",Feuil1!D57)</f>
        <v>Pa</v>
      </c>
      <c r="E3">
        <f>IF($E$15="s",Feuil1!E57/3600*$B$15/1.0015*0.84,Feuil1!E57/3600*$B$15)</f>
        <v>59.241592111111117</v>
      </c>
      <c r="F3" t="s">
        <v>47</v>
      </c>
      <c r="G3">
        <f>IF(Feuil1!G57="","",Feuil1!G57)</f>
        <v>47.5</v>
      </c>
      <c r="H3" t="s">
        <v>47</v>
      </c>
      <c r="I3">
        <f>G3-E3</f>
        <v>-11.741592111111117</v>
      </c>
      <c r="J3" t="s">
        <v>47</v>
      </c>
      <c r="K3">
        <f>IF(Feuil1!K57="","",Feuil1!K57)</f>
        <v>0.87</v>
      </c>
      <c r="L3" t="s">
        <v>46</v>
      </c>
      <c r="M3" t="str">
        <f>IF(Feuil1!M57="","",Feuil1!M57)</f>
        <v>0,5%mes+/-1,9</v>
      </c>
    </row>
    <row r="4" spans="1:13" x14ac:dyDescent="0.3">
      <c r="A4" t="str">
        <f>IF(Feuil1!A58="","","0"&amp;Feuil1!A58)</f>
        <v/>
      </c>
      <c r="B4" t="str">
        <f>IF(Feuil1!B58="","",Feuil1!B58)</f>
        <v/>
      </c>
      <c r="C4" t="str">
        <f>IF(Feuil1!C58="","",Feuil1!C58)</f>
        <v/>
      </c>
      <c r="D4" t="str">
        <f>IF(Feuil1!D58="","",Feuil1!D58)</f>
        <v/>
      </c>
      <c r="F4" t="str">
        <f>IF(Feuil1!F58="","",Feuil1!F58)</f>
        <v/>
      </c>
      <c r="G4" t="str">
        <f>IF(Feuil1!G58="","",Feuil1!G58)</f>
        <v/>
      </c>
      <c r="H4" t="str">
        <f>IF(Feuil1!H58="","",Feuil1!H58)</f>
        <v/>
      </c>
      <c r="J4" t="str">
        <f>IF(Feuil1!J58="","",Feuil1!J58)</f>
        <v/>
      </c>
      <c r="K4" t="str">
        <f>IF(Feuil1!K58="","",Feuil1!K58)</f>
        <v/>
      </c>
      <c r="M4" t="str">
        <f>IF(Feuil1!M58="","",Feuil1!M58)</f>
        <v/>
      </c>
    </row>
    <row r="5" spans="1:13" x14ac:dyDescent="0.3">
      <c r="A5" t="str">
        <f>IF(Feuil1!A59="","","0"&amp;Feuil1!A59)</f>
        <v>0100512</v>
      </c>
      <c r="B5">
        <f>IF(Feuil1!B59="","",Feuil1!B59)</f>
        <v>2</v>
      </c>
      <c r="C5">
        <f>IF(Feuil1!C59="","",Feuil1!C59)</f>
        <v>301.12</v>
      </c>
      <c r="D5" t="str">
        <f>IF(Feuil1!D59="","",Feuil1!D59)</f>
        <v>Pa</v>
      </c>
      <c r="E5">
        <f>IF($E$15="s",Feuil1!E59/3600*$B$15/1.0015*0.84,Feuil1!E59/3600*$B$15)</f>
        <v>142.9029951111111</v>
      </c>
      <c r="F5" t="s">
        <v>47</v>
      </c>
      <c r="G5">
        <f>IF(Feuil1!G59="","",Feuil1!G59)</f>
        <v>113.6</v>
      </c>
      <c r="H5" t="s">
        <v>47</v>
      </c>
      <c r="I5">
        <f t="shared" ref="I5:I11" si="0">G5-E5</f>
        <v>-29.302995111111102</v>
      </c>
      <c r="J5" t="s">
        <v>47</v>
      </c>
      <c r="K5">
        <f>IF(Feuil1!K59="","",Feuil1!K59)</f>
        <v>1.22</v>
      </c>
      <c r="L5" t="s">
        <v>46</v>
      </c>
      <c r="M5" t="str">
        <f>IF(Feuil1!M59="","",Feuil1!M59)</f>
        <v>0,5%mes+/-1,9</v>
      </c>
    </row>
    <row r="6" spans="1:13" x14ac:dyDescent="0.3">
      <c r="A6" t="str">
        <f>IF(Feuil1!A60="","","0"&amp;Feuil1!A60)</f>
        <v/>
      </c>
      <c r="B6" t="str">
        <f>IF(Feuil1!B60="","",Feuil1!B60)</f>
        <v/>
      </c>
      <c r="C6" t="str">
        <f>IF(Feuil1!C60="","",Feuil1!C60)</f>
        <v/>
      </c>
      <c r="D6" t="str">
        <f>IF(Feuil1!D60="","",Feuil1!D60)</f>
        <v/>
      </c>
      <c r="F6" t="str">
        <f>IF(Feuil1!F60="","",Feuil1!F60)</f>
        <v/>
      </c>
      <c r="G6" t="str">
        <f>IF(Feuil1!G60="","",Feuil1!G60)</f>
        <v/>
      </c>
      <c r="H6" t="str">
        <f>IF(Feuil1!H60="","",Feuil1!H60)</f>
        <v/>
      </c>
      <c r="J6" t="str">
        <f>IF(Feuil1!J60="","",Feuil1!J60)</f>
        <v/>
      </c>
      <c r="K6" t="str">
        <f>IF(Feuil1!K60="","",Feuil1!K60)</f>
        <v/>
      </c>
      <c r="M6" t="str">
        <f>IF(Feuil1!M60="","",Feuil1!M60)</f>
        <v/>
      </c>
    </row>
    <row r="7" spans="1:13" x14ac:dyDescent="0.3">
      <c r="A7" t="str">
        <f>IF(Feuil1!A61="","","0"&amp;Feuil1!A61)</f>
        <v>0100513</v>
      </c>
      <c r="B7">
        <f>IF(Feuil1!B61="","",Feuil1!B61)</f>
        <v>3</v>
      </c>
      <c r="C7">
        <f>IF(Feuil1!C61="","",Feuil1!C61)</f>
        <v>498.71</v>
      </c>
      <c r="D7" t="str">
        <f>IF(Feuil1!D61="","",Feuil1!D61)</f>
        <v>Pa</v>
      </c>
      <c r="E7">
        <f>IF($E$15="s",Feuil1!E61/3600*$B$15/1.0015*0.84,Feuil1!E61/3600*$B$15)</f>
        <v>183.90586066666665</v>
      </c>
      <c r="F7" t="s">
        <v>47</v>
      </c>
      <c r="G7">
        <f>IF(Feuil1!G61="","",Feuil1!G61)</f>
        <v>146.9</v>
      </c>
      <c r="H7" t="s">
        <v>47</v>
      </c>
      <c r="I7">
        <f t="shared" si="0"/>
        <v>-37.005860666666649</v>
      </c>
      <c r="J7" t="s">
        <v>47</v>
      </c>
      <c r="K7">
        <f>IF(Feuil1!K61="","",Feuil1!K61)</f>
        <v>1.54</v>
      </c>
      <c r="L7" t="s">
        <v>46</v>
      </c>
      <c r="M7" t="str">
        <f>IF(Feuil1!M61="","",Feuil1!M61)</f>
        <v>0,5%mes+/-1,9</v>
      </c>
    </row>
    <row r="8" spans="1:13" x14ac:dyDescent="0.3">
      <c r="A8" t="str">
        <f>IF(Feuil1!A62="","","0"&amp;Feuil1!A62)</f>
        <v/>
      </c>
      <c r="B8" t="str">
        <f>IF(Feuil1!B62="","",Feuil1!B62)</f>
        <v/>
      </c>
      <c r="C8" t="str">
        <f>IF(Feuil1!C62="","",Feuil1!C62)</f>
        <v/>
      </c>
      <c r="D8" t="str">
        <f>IF(Feuil1!D62="","",Feuil1!D62)</f>
        <v/>
      </c>
      <c r="F8" t="str">
        <f>IF(Feuil1!F62="","",Feuil1!F62)</f>
        <v/>
      </c>
      <c r="G8" t="str">
        <f>IF(Feuil1!G62="","",Feuil1!G62)</f>
        <v/>
      </c>
      <c r="H8" t="str">
        <f>IF(Feuil1!H62="","",Feuil1!H62)</f>
        <v/>
      </c>
      <c r="J8" t="str">
        <f>IF(Feuil1!J62="","",Feuil1!J62)</f>
        <v/>
      </c>
      <c r="K8" t="str">
        <f>IF(Feuil1!K62="","",Feuil1!K62)</f>
        <v/>
      </c>
      <c r="M8" t="str">
        <f>IF(Feuil1!M62="","",Feuil1!M62)</f>
        <v/>
      </c>
    </row>
    <row r="9" spans="1:13" x14ac:dyDescent="0.3">
      <c r="A9" t="str">
        <f>IF(Feuil1!A63="","","0"&amp;Feuil1!A63)</f>
        <v>0100514</v>
      </c>
      <c r="B9">
        <f>IF(Feuil1!B63="","",Feuil1!B63)</f>
        <v>4</v>
      </c>
      <c r="C9">
        <f>IF(Feuil1!C63="","",Feuil1!C63)</f>
        <v>998.11</v>
      </c>
      <c r="D9" t="str">
        <f>IF(Feuil1!D63="","",Feuil1!D63)</f>
        <v>Pa</v>
      </c>
      <c r="E9">
        <f>IF($E$15="s",Feuil1!E63/3600*$B$15/1.0015*0.84,Feuil1!E63/3600*$B$15)</f>
        <v>260.17210655555556</v>
      </c>
      <c r="F9" t="s">
        <v>47</v>
      </c>
      <c r="G9">
        <f>IF(Feuil1!G63="","",Feuil1!G63)</f>
        <v>208.1</v>
      </c>
      <c r="H9" t="s">
        <v>47</v>
      </c>
      <c r="I9">
        <f t="shared" si="0"/>
        <v>-52.072106555555564</v>
      </c>
      <c r="J9" t="s">
        <v>47</v>
      </c>
      <c r="K9">
        <f>IF(Feuil1!K63="","",Feuil1!K63)</f>
        <v>2.1</v>
      </c>
      <c r="L9" t="s">
        <v>46</v>
      </c>
      <c r="M9" t="str">
        <f>IF(Feuil1!M63="","",Feuil1!M63)</f>
        <v>0,5%mes+/-1,9</v>
      </c>
    </row>
    <row r="10" spans="1:13" x14ac:dyDescent="0.3">
      <c r="A10" t="str">
        <f>IF(Feuil1!A64="","","0"&amp;Feuil1!A64)</f>
        <v/>
      </c>
      <c r="B10" t="str">
        <f>IF(Feuil1!B64="","",Feuil1!B64)</f>
        <v/>
      </c>
      <c r="C10" t="str">
        <f>IF(Feuil1!C64="","",Feuil1!C64)</f>
        <v/>
      </c>
      <c r="D10" t="str">
        <f>IF(Feuil1!D64="","",Feuil1!D64)</f>
        <v/>
      </c>
      <c r="F10" t="str">
        <f>IF(Feuil1!F64="","",Feuil1!F64)</f>
        <v/>
      </c>
      <c r="G10" t="str">
        <f>IF(Feuil1!G64="","",Feuil1!G64)</f>
        <v/>
      </c>
      <c r="H10" t="str">
        <f>IF(Feuil1!H64="","",Feuil1!H64)</f>
        <v/>
      </c>
      <c r="J10" t="str">
        <f>IF(Feuil1!J64="","",Feuil1!J64)</f>
        <v/>
      </c>
      <c r="K10" t="str">
        <f>IF(Feuil1!K64="","",Feuil1!K64)</f>
        <v/>
      </c>
      <c r="M10" t="str">
        <f>IF(Feuil1!M64="","",Feuil1!M64)</f>
        <v/>
      </c>
    </row>
    <row r="11" spans="1:13" x14ac:dyDescent="0.3">
      <c r="A11" t="str">
        <f>IF(Feuil1!A65="","","0"&amp;Feuil1!A65)</f>
        <v>0100515</v>
      </c>
      <c r="B11">
        <f>IF(Feuil1!B65="","",Feuil1!B65)</f>
        <v>5</v>
      </c>
      <c r="C11">
        <f>IF(Feuil1!C65="","",Feuil1!C65)</f>
        <v>1295.47</v>
      </c>
      <c r="D11" t="str">
        <f>IF(Feuil1!D65="","",Feuil1!D65)</f>
        <v>Pa</v>
      </c>
      <c r="E11">
        <f>IF($E$15="s",Feuil1!E65/3600*$B$15/1.0015*0.84,Feuil1!E65/3600*$B$15)</f>
        <v>296.4047841111111</v>
      </c>
      <c r="F11" t="s">
        <v>47</v>
      </c>
      <c r="G11">
        <f>IF(Feuil1!G65="","",Feuil1!G65)</f>
        <v>236.9</v>
      </c>
      <c r="H11" t="s">
        <v>47</v>
      </c>
      <c r="I11">
        <f t="shared" si="0"/>
        <v>-59.504784111111093</v>
      </c>
      <c r="J11" t="s">
        <v>47</v>
      </c>
      <c r="K11">
        <f>IF(Feuil1!K65="","",Feuil1!K65)</f>
        <v>2.35</v>
      </c>
      <c r="L11" t="s">
        <v>46</v>
      </c>
      <c r="M11" t="str">
        <f>IF(Feuil1!M65="","",Feuil1!M65)</f>
        <v>0,5%mes+/-1,9</v>
      </c>
    </row>
    <row r="12" spans="1:13" x14ac:dyDescent="0.3">
      <c r="A12" t="str">
        <f>IF([1]Feuil1!A66="","",[1]Feuil1!A66)</f>
        <v/>
      </c>
      <c r="B12" t="str">
        <f>IF([1]Feuil1!B66="","",[1]Feuil1!B66)</f>
        <v/>
      </c>
      <c r="C12" t="str">
        <f>IF([1]Feuil1!C66="","",[1]Feuil1!C66)</f>
        <v/>
      </c>
      <c r="D12" t="str">
        <f>IF([1]Feuil1!D66="","",[1]Feuil1!D66)</f>
        <v/>
      </c>
      <c r="E12" t="str">
        <f>IF([1]Feuil1!E66="","",[1]Feuil1!E66)</f>
        <v/>
      </c>
      <c r="F12" t="str">
        <f>IF([1]Feuil1!F66="","",[1]Feuil1!F66)</f>
        <v/>
      </c>
      <c r="G12" t="str">
        <f>IF([1]Feuil1!G66="","",[1]Feuil1!G66)</f>
        <v/>
      </c>
      <c r="H12" t="str">
        <f>IF([1]Feuil1!H66="","",[1]Feuil1!H66)</f>
        <v/>
      </c>
      <c r="I12" t="str">
        <f>IF(Feuil1!I66="","",Feuil1!I66)</f>
        <v/>
      </c>
      <c r="J12" t="str">
        <f>IF(Feuil1!J66="","",Feuil1!J66)</f>
        <v/>
      </c>
      <c r="K12" t="str">
        <f>IF(Feuil1!K66="","",Feuil1!K66)</f>
        <v/>
      </c>
      <c r="L12" t="str">
        <f>IF(Feuil1!L66="","",Feuil1!L66)</f>
        <v/>
      </c>
      <c r="M12" t="str">
        <f>IF(Feuil1!M66="","",Feuil1!M66)</f>
        <v/>
      </c>
    </row>
    <row r="15" spans="1:13" x14ac:dyDescent="0.3">
      <c r="A15" t="s">
        <v>45</v>
      </c>
      <c r="B15" s="2">
        <f>B19</f>
        <v>1.48</v>
      </c>
      <c r="D15" t="s">
        <v>53</v>
      </c>
      <c r="E15" s="2" t="s">
        <v>55</v>
      </c>
      <c r="H15" t="s">
        <v>54</v>
      </c>
    </row>
    <row r="18" spans="1:5" x14ac:dyDescent="0.3">
      <c r="A18" t="str">
        <f>Feuil1!B76</f>
        <v>Coefficient 1,48</v>
      </c>
    </row>
    <row r="19" spans="1:5" x14ac:dyDescent="0.3">
      <c r="A19" t="s">
        <v>56</v>
      </c>
      <c r="B19">
        <v>1.48</v>
      </c>
    </row>
    <row r="21" spans="1:5" x14ac:dyDescent="0.3">
      <c r="A21" t="str">
        <f>Feuil1!B68</f>
        <v>Type d'élément déprimogène: aile débimo</v>
      </c>
    </row>
    <row r="22" spans="1:5" x14ac:dyDescent="0.3">
      <c r="A22" t="str">
        <f>Feuil1!B70</f>
        <v>Type de gaine: rectangulaire</v>
      </c>
    </row>
    <row r="23" spans="1:5" x14ac:dyDescent="0.3">
      <c r="A23" t="str">
        <f>Feuil1!B70</f>
        <v>Type de gaine: rectangulaire</v>
      </c>
    </row>
    <row r="24" spans="1:5" x14ac:dyDescent="0.3">
      <c r="A24" t="str">
        <f>Feuil1!B72</f>
        <v>Longueur: 2300 mm</v>
      </c>
    </row>
    <row r="25" spans="1:5" x14ac:dyDescent="0.3">
      <c r="A25" t="str">
        <f>Feuil1!B74</f>
        <v>Largeur: 2300 mm</v>
      </c>
    </row>
    <row r="27" spans="1:5" x14ac:dyDescent="0.3">
      <c r="A27" t="s">
        <v>85</v>
      </c>
      <c r="B27" t="s">
        <v>86</v>
      </c>
      <c r="C27" t="s">
        <v>87</v>
      </c>
      <c r="D27" t="s">
        <v>88</v>
      </c>
      <c r="E27" t="s">
        <v>89</v>
      </c>
    </row>
    <row r="28" spans="1:5" x14ac:dyDescent="0.3">
      <c r="A28" t="s">
        <v>85</v>
      </c>
      <c r="B28" t="s">
        <v>90</v>
      </c>
      <c r="C28" t="s">
        <v>91</v>
      </c>
      <c r="D28" t="s">
        <v>92</v>
      </c>
    </row>
    <row r="29" spans="1:5" x14ac:dyDescent="0.3">
      <c r="A29" t="s">
        <v>85</v>
      </c>
      <c r="B29" t="s">
        <v>90</v>
      </c>
      <c r="C29" t="s">
        <v>91</v>
      </c>
      <c r="D29" t="s">
        <v>92</v>
      </c>
    </row>
    <row r="30" spans="1:5" x14ac:dyDescent="0.3">
      <c r="A30" t="s">
        <v>93</v>
      </c>
      <c r="B30">
        <v>2300</v>
      </c>
      <c r="C30" t="s">
        <v>94</v>
      </c>
    </row>
    <row r="31" spans="1:5" x14ac:dyDescent="0.3">
      <c r="A31" t="s">
        <v>95</v>
      </c>
      <c r="B31">
        <v>2300</v>
      </c>
      <c r="C31" t="s">
        <v>94</v>
      </c>
    </row>
  </sheetData>
  <dataValidations count="1">
    <dataValidation type="list" allowBlank="1" showInputMessage="1" showErrorMessage="1" sqref="E15" xr:uid="{204872D7-177E-4814-A9EA-FC777C164E92}">
      <formula1>"S, L"</formula1>
    </dataValidation>
  </dataValidations>
  <pageMargins left="0.7" right="0.7" top="0.75" bottom="0.75" header="0.3" footer="0.3"/>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518FA95B-90C0-48E8-B55F-6AF4071D4609}">
  <sheetPr codeName="Feuil3"/>
  <dimension ref="A1:M76"/>
  <sheetViews>
    <sheetView tabSelected="1" topLeftCell="A64" workbookViewId="0">
      <selection activeCell="B44" sqref="B44"/>
    </sheetView>
  </sheetViews>
  <sheetFormatPr baseColWidth="10" defaultRowHeight="14.4" x14ac:dyDescent="0.3"/>
  <sheetData>
    <row r="1" spans="1:2" x14ac:dyDescent="0.3">
      <c r="A1" t="str">
        <f>"0000000"</f>
        <v>0000000</v>
      </c>
      <c r="B1">
        <f>IF(Feuil1!B1="","",Feuil1!B1)</f>
        <v>1</v>
      </c>
    </row>
    <row r="2" spans="1:2" x14ac:dyDescent="0.3">
      <c r="A2" t="str">
        <f>"0000001"</f>
        <v>0000001</v>
      </c>
      <c r="B2" t="str">
        <f>IF(Feuil1!B2="","",Feuil1!B2)</f>
        <v>module -10000+10000 Pa</v>
      </c>
    </row>
    <row r="3" spans="1:2" x14ac:dyDescent="0.3">
      <c r="A3" t="str">
        <f>"0000100"</f>
        <v>0000100</v>
      </c>
      <c r="B3" t="str">
        <f>IF(Feuil1!B3="","",Feuil1!B3)</f>
        <v>C310 BO</v>
      </c>
    </row>
    <row r="4" spans="1:2" x14ac:dyDescent="0.3">
      <c r="A4" t="str">
        <f>"0000101"</f>
        <v>0000101</v>
      </c>
      <c r="B4" t="str">
        <f>IF(Feuil1!B4="","",Feuil1!B4)</f>
        <v>Capteur transmetteur multifonction C310-BO / Multifunction sensor transmitter C310-BO</v>
      </c>
    </row>
    <row r="5" spans="1:2" x14ac:dyDescent="0.3">
      <c r="A5" t="str">
        <f>"0000102"</f>
        <v>0000102</v>
      </c>
      <c r="B5" t="str">
        <f>IF(Feuil1!B5="","",Feuil1!B5)</f>
        <v>marquetest</v>
      </c>
    </row>
    <row r="6" spans="1:2" x14ac:dyDescent="0.3">
      <c r="A6" t="str">
        <f>"0000103"</f>
        <v>0000103</v>
      </c>
      <c r="B6" t="str">
        <f>IF(Feuil1!B6="","",Feuil1!B6)</f>
        <v>3F190630462</v>
      </c>
    </row>
    <row r="7" spans="1:2" x14ac:dyDescent="0.3">
      <c r="A7" t="str">
        <f>"0000104"</f>
        <v>0000104</v>
      </c>
      <c r="B7" t="str">
        <f>IF(Feuil1!B7="","",Feuil1!B7)</f>
        <v>UB3_1VT_AF32_VTL_CPT_32,2</v>
      </c>
    </row>
    <row r="8" spans="1:2" x14ac:dyDescent="0.3">
      <c r="A8" t="str">
        <f>"0000110"</f>
        <v>0000110</v>
      </c>
      <c r="B8" t="str">
        <f>IF(Feuil1!B8="","",Feuil1!B8)</f>
        <v>DES2201906</v>
      </c>
    </row>
    <row r="9" spans="1:2" x14ac:dyDescent="0.3">
      <c r="A9" t="str">
        <f>"0000200"</f>
        <v>0000200</v>
      </c>
      <c r="B9">
        <f>IF(Feuil1!B9="","",Feuil1!B9)</f>
        <v>24410</v>
      </c>
    </row>
    <row r="10" spans="1:2" x14ac:dyDescent="0.3">
      <c r="A10" t="str">
        <f>"0000300"</f>
        <v>0000300</v>
      </c>
      <c r="B10" t="str">
        <f>IF(Feuil1!B10="","",Feuil1!B10)</f>
        <v/>
      </c>
    </row>
    <row r="11" spans="1:2" x14ac:dyDescent="0.3">
      <c r="A11" t="str">
        <f>"0000301"</f>
        <v>0000301</v>
      </c>
      <c r="B11" t="str">
        <f>IF(Feuil1!B11="","",Feuil1!B11)</f>
        <v/>
      </c>
    </row>
    <row r="12" spans="1:2" x14ac:dyDescent="0.3">
      <c r="A12" t="str">
        <f>"0000302"</f>
        <v>0000302</v>
      </c>
      <c r="B12" t="str">
        <f>IF(Feuil1!B12="","",Feuil1!B12)</f>
        <v/>
      </c>
    </row>
    <row r="13" spans="1:2" x14ac:dyDescent="0.3">
      <c r="A13" t="str">
        <f>"0000303"</f>
        <v>0000303</v>
      </c>
      <c r="B13" t="str">
        <f>IF(Feuil1!B13="","",Feuil1!B13)</f>
        <v/>
      </c>
    </row>
    <row r="14" spans="1:2" x14ac:dyDescent="0.3">
      <c r="A14" t="str">
        <f>"0000304"</f>
        <v>0000304</v>
      </c>
      <c r="B14" t="str">
        <f>IF(Feuil1!B14="","",Feuil1!B14)</f>
        <v/>
      </c>
    </row>
    <row r="15" spans="1:2" x14ac:dyDescent="0.3">
      <c r="A15" t="str">
        <f>"0100000"</f>
        <v>0100000</v>
      </c>
      <c r="B15" t="str">
        <f>IF(Feuil1!B15="","",Feuil1!B15)</f>
        <v>ETALONNAGE EN PRESSION</v>
      </c>
    </row>
    <row r="16" spans="1:2" x14ac:dyDescent="0.3">
      <c r="A16" t="str">
        <f>"0110000"</f>
        <v>0110000</v>
      </c>
      <c r="B16" t="str">
        <f>IF(Feuil1!B16="","",Feuil1!B16)</f>
        <v>PRESSURE CALIBRATION</v>
      </c>
    </row>
    <row r="17" spans="1:2" x14ac:dyDescent="0.3">
      <c r="A17" t="str">
        <f>"0100001"</f>
        <v>0100001</v>
      </c>
      <c r="B17" t="str">
        <f>IF(Feuil1!B17="","",Feuil1!B17)</f>
        <v>Avec carte de pression interchangeable (électrovanne)</v>
      </c>
    </row>
    <row r="18" spans="1:2" x14ac:dyDescent="0.3">
      <c r="A18" t="str">
        <f>"0110001"</f>
        <v>0110001</v>
      </c>
      <c r="B18" t="str">
        <f>IF(Feuil1!B18="","",Feuil1!B18)</f>
        <v>With interchangeable pressure board (solenoid valve)</v>
      </c>
    </row>
    <row r="19" spans="1:2" x14ac:dyDescent="0.3">
      <c r="A19" t="str">
        <f>"0100004"</f>
        <v>0100004</v>
      </c>
      <c r="B19">
        <f>IF(Feuil1!B19="","",Feuil1!B19)</f>
        <v>1</v>
      </c>
    </row>
    <row r="20" spans="1:2" x14ac:dyDescent="0.3">
      <c r="A20" t="str">
        <f>"0100010"</f>
        <v>0100010</v>
      </c>
      <c r="B20" t="str">
        <f>IF(Feuil1!B20="","",Feuil1!B20)</f>
        <v>-10000 à 10000 Pa</v>
      </c>
    </row>
    <row r="21" spans="1:2" x14ac:dyDescent="0.3">
      <c r="A21" t="str">
        <f>"0100011"</f>
        <v>0100011</v>
      </c>
      <c r="B21" t="str">
        <f>IF(Feuil1!B21="","",Feuil1!B21)</f>
        <v>1 Pa</v>
      </c>
    </row>
    <row r="22" spans="1:2" x14ac:dyDescent="0.3">
      <c r="A22" t="str">
        <f>"0100100"</f>
        <v>0100100</v>
      </c>
      <c r="B22" t="str">
        <f>IF(Feuil1!B22="","",Feuil1!B22)</f>
        <v>Les points d'étalonnage sont réalisés par comparaison avec les moyens suivants:</v>
      </c>
    </row>
    <row r="23" spans="1:2" x14ac:dyDescent="0.3">
      <c r="A23" t="str">
        <f>Feuil1!A23</f>
        <v>- MP036 Banc de pression dynamique, plage d'utilisation 0 à 2500 Pa,</v>
      </c>
      <c r="B23" t="str">
        <f>IF(Feuil1!B23="","",Feuil1!B23)</f>
        <v/>
      </c>
    </row>
    <row r="24" spans="1:2" x14ac:dyDescent="0.3">
      <c r="A24" t="str">
        <f>Feuil1!A24</f>
        <v>- ETP092-1 étalon  n°:2P141100125+4P141000690, raccordé aux étalons nationaux par le certificat COFRAC n°P2218748H#</v>
      </c>
      <c r="B24" t="str">
        <f>IF(Feuil1!B24="","",Feuil1!B24)</f>
        <v/>
      </c>
    </row>
    <row r="25" spans="1:2" x14ac:dyDescent="0.3">
      <c r="A25" t="str">
        <f>Feuil1!A25</f>
        <v>- ETP092-2 étalon  n°:2P141100125+4P141000401, raccordé aux étalons nationaux par le certificat COFRAC n°P2218758H#.</v>
      </c>
      <c r="B25" t="str">
        <f>IF(Feuil1!B25="","",Feuil1!B25)</f>
        <v/>
      </c>
    </row>
    <row r="26" spans="1:2" x14ac:dyDescent="0.3">
      <c r="A26" t="str">
        <f>"0110100"</f>
        <v>0110100</v>
      </c>
      <c r="B26" t="str">
        <f>IF(Feuil1!B26="","",Feuil1!B26)</f>
        <v>The points of calibration are realized with means of calibration according to:</v>
      </c>
    </row>
    <row r="27" spans="1:2" x14ac:dyDescent="0.3">
      <c r="A27" t="str">
        <f>Feuil1!A27</f>
        <v>- MP036 Bench generator dynamic pressure, measuring range 0 to 2500 Pa,</v>
      </c>
      <c r="B27" t="str">
        <f>IF(Feuil1!B27="","",Feuil1!B27)</f>
        <v/>
      </c>
    </row>
    <row r="28" spans="1:2" x14ac:dyDescent="0.3">
      <c r="A28" t="str">
        <f>Feuil1!A28</f>
        <v>- ETP092-1 a standard  sn°:2P141100125+4P141000690, traceable to standard national reference by COFRAC certificate n°P2218748H#</v>
      </c>
      <c r="B28" t="str">
        <f>IF(Feuil1!B28="","",Feuil1!B28)</f>
        <v/>
      </c>
    </row>
    <row r="29" spans="1:2" x14ac:dyDescent="0.3">
      <c r="A29" t="str">
        <f>Feuil1!A29</f>
        <v>- ETP092-2 a standard  sn°:2P141100125+4P141000401, traceable to standard national reference by COFRAC certificate n°P2218758H#.</v>
      </c>
      <c r="B29" t="str">
        <f>IF(Feuil1!B29="","",Feuil1!B29)</f>
        <v/>
      </c>
    </row>
    <row r="30" spans="1:2" x14ac:dyDescent="0.3">
      <c r="A30" t="str">
        <f>"0100200"</f>
        <v>0100200</v>
      </c>
      <c r="B30" t="str">
        <f>IF(Feuil1!B30="","",Feuil1!B30)</f>
        <v>20,3 °C</v>
      </c>
    </row>
    <row r="31" spans="1:2" x14ac:dyDescent="0.3">
      <c r="A31" t="str">
        <f>"0100201"</f>
        <v>0100201</v>
      </c>
      <c r="B31" t="str">
        <f>IF(Feuil1!B31="","",Feuil1!B31)</f>
        <v>55,3 %HR</v>
      </c>
    </row>
    <row r="32" spans="1:2" x14ac:dyDescent="0.3">
      <c r="A32" t="str">
        <f>"0100202"</f>
        <v>0100202</v>
      </c>
      <c r="B32" t="str">
        <f>IF(Feuil1!B32="","",Feuil1!B32)</f>
        <v>888 hPa</v>
      </c>
    </row>
    <row r="33" spans="1:2" x14ac:dyDescent="0.3">
      <c r="A33" t="str">
        <f>"0100300"</f>
        <v>0100300</v>
      </c>
      <c r="B33" s="1">
        <f>IF(Feuil1!B33="","",Feuil1!B33)</f>
        <v>44851</v>
      </c>
    </row>
    <row r="34" spans="1:2" x14ac:dyDescent="0.3">
      <c r="A34" t="str">
        <f>"0100301"</f>
        <v>0100301</v>
      </c>
      <c r="B34" t="str">
        <f>IF(Feuil1!B34="","",Feuil1!B34)</f>
        <v>prout le tech</v>
      </c>
    </row>
    <row r="35" spans="1:2" x14ac:dyDescent="0.3">
      <c r="A35" t="str">
        <f>"0100400"</f>
        <v>0100400</v>
      </c>
      <c r="B35" t="str">
        <f>IF(Feuil1!B35="","",Feuil1!B35)</f>
        <v>Etalonnage par conversion de la pression</v>
      </c>
    </row>
    <row r="36" spans="1:2" x14ac:dyDescent="0.3">
      <c r="A36" t="str">
        <f>"0100401"</f>
        <v>0100401</v>
      </c>
      <c r="B36" t="str">
        <f>IF(Feuil1!B36="","",Feuil1!B36)</f>
        <v>Kimo</v>
      </c>
    </row>
    <row r="37" spans="1:2" x14ac:dyDescent="0.3">
      <c r="A37" t="str">
        <f>"0100402"</f>
        <v>0100402</v>
      </c>
      <c r="B37" t="str">
        <f>IF(Feuil1!B37="","",Feuil1!B37)</f>
        <v>Kimo</v>
      </c>
    </row>
    <row r="38" spans="1:2" x14ac:dyDescent="0.3">
      <c r="A38" t="str">
        <f>"0100403"</f>
        <v>0100403</v>
      </c>
      <c r="B38">
        <f>IF(Feuil1!B38="","",Feuil1!B38)</f>
        <v>1</v>
      </c>
    </row>
    <row r="39" spans="1:2" x14ac:dyDescent="0.3">
      <c r="A39" t="str">
        <f>"0100404"</f>
        <v>0100404</v>
      </c>
      <c r="B39">
        <f>IF(Feuil1!B39="","",Feuil1!B39)</f>
        <v>5</v>
      </c>
    </row>
    <row r="40" spans="1:2" x14ac:dyDescent="0.3">
      <c r="A40" t="str">
        <f>"0100405"</f>
        <v>0100405</v>
      </c>
      <c r="B40">
        <f>IF(Feuil1!B40="","",Feuil1!B40)</f>
        <v>200</v>
      </c>
    </row>
    <row r="41" spans="1:2" x14ac:dyDescent="0.3">
      <c r="A41" t="str">
        <f>"0100406"</f>
        <v>0100406</v>
      </c>
      <c r="B41" t="s">
        <v>47</v>
      </c>
    </row>
    <row r="42" spans="1:2" x14ac:dyDescent="0.3">
      <c r="A42" t="str">
        <f>"0100411"</f>
        <v>0100411</v>
      </c>
      <c r="B42">
        <f>IF(Feuil1!B42="","",Feuil1!B42)</f>
        <v>5</v>
      </c>
    </row>
    <row r="43" spans="1:2" x14ac:dyDescent="0.3">
      <c r="A43" t="str">
        <f>"0100412"</f>
        <v>0100412</v>
      </c>
      <c r="B43">
        <f>IF(Feuil1!B43="","",Feuil1!B43)</f>
        <v>200</v>
      </c>
    </row>
    <row r="44" spans="1:2" x14ac:dyDescent="0.3">
      <c r="A44" t="str">
        <f>"0100413"</f>
        <v>0100413</v>
      </c>
      <c r="B44" t="s">
        <v>47</v>
      </c>
    </row>
    <row r="45" spans="1:2" x14ac:dyDescent="0.3">
      <c r="A45" t="str">
        <f>"0100414"</f>
        <v>0100414</v>
      </c>
      <c r="B45" t="s">
        <v>48</v>
      </c>
    </row>
    <row r="46" spans="1:2" x14ac:dyDescent="0.3">
      <c r="A46" t="str">
        <f>"0100500"</f>
        <v>0100500</v>
      </c>
      <c r="B46">
        <f>IF(Feuil1!B46="","",Feuil1!B46)</f>
        <v>3</v>
      </c>
    </row>
    <row r="47" spans="1:2" x14ac:dyDescent="0.3">
      <c r="A47" t="str">
        <f>"0100501"</f>
        <v>0100501</v>
      </c>
      <c r="B47">
        <f>IF(Feuil1!B47="","",Feuil1!B47)</f>
        <v>6</v>
      </c>
    </row>
    <row r="48" spans="1:2" x14ac:dyDescent="0.3">
      <c r="A48" t="str">
        <f>"0100502"</f>
        <v>0100502</v>
      </c>
      <c r="B48">
        <f>IF(Feuil1!B48="","",Feuil1!B48)</f>
        <v>12</v>
      </c>
    </row>
    <row r="49" spans="1:13" x14ac:dyDescent="0.3">
      <c r="A49" t="str">
        <f>"0100503"</f>
        <v>0100503</v>
      </c>
      <c r="B49" t="str">
        <f>IF(Feuil1!B49="","",Feuil1!B49)</f>
        <v>Vref: valeur lue sur l'appareil étalon, Vref conv: Vref convertie dans l'unité de l'appareil du client.</v>
      </c>
    </row>
    <row r="50" spans="1:13" x14ac:dyDescent="0.3">
      <c r="A50" t="s">
        <v>24</v>
      </c>
      <c r="B50" t="str">
        <f>IF(Feuil1!B50="","",Feuil1!B50)</f>
        <v/>
      </c>
    </row>
    <row r="51" spans="1:13" x14ac:dyDescent="0.3">
      <c r="A51" t="s">
        <v>25</v>
      </c>
      <c r="B51" t="str">
        <f>IF(Feuil1!B51="","",Feuil1!B51)</f>
        <v/>
      </c>
    </row>
    <row r="52" spans="1:13" x14ac:dyDescent="0.3">
      <c r="A52" t="str">
        <f>"0110503"</f>
        <v>0110503</v>
      </c>
      <c r="B52" t="str">
        <f>IF(Feuil1!B52="","",Feuil1!B52)</f>
        <v>Vref: value displayed by our reference instrument, Vref conv : conversion of Vref in customer's unit instrument.</v>
      </c>
    </row>
    <row r="53" spans="1:13" x14ac:dyDescent="0.3">
      <c r="A53" t="s">
        <v>27</v>
      </c>
      <c r="B53" t="str">
        <f>IF(Feuil1!B53="","",Feuil1!B53)</f>
        <v/>
      </c>
    </row>
    <row r="54" spans="1:13" x14ac:dyDescent="0.3">
      <c r="A54" t="s">
        <v>28</v>
      </c>
      <c r="B54" t="str">
        <f>IF(Feuil1!B54="","",Feuil1!B54)</f>
        <v/>
      </c>
    </row>
    <row r="55" spans="1:13" x14ac:dyDescent="0.3">
      <c r="A55" t="str">
        <f>Feuil2!A1</f>
        <v>0100510</v>
      </c>
      <c r="B55" t="str">
        <f>Feuil2!B1</f>
        <v>n°</v>
      </c>
      <c r="C55" t="str">
        <f>Feuil2!C1</f>
        <v>Vref</v>
      </c>
      <c r="D55" t="str">
        <f>Feuil2!D1</f>
        <v>Unit</v>
      </c>
      <c r="E55" t="str">
        <f>Feuil2!E1</f>
        <v>Vref conv</v>
      </c>
      <c r="F55" t="str">
        <f>Feuil2!F1</f>
        <v>Unit</v>
      </c>
      <c r="G55" t="str">
        <f>Feuil2!G1</f>
        <v>Vi</v>
      </c>
      <c r="H55" t="str">
        <f>Feuil2!H1</f>
        <v>Unit</v>
      </c>
      <c r="I55" t="str">
        <f>Feuil2!I1</f>
        <v>Vi-Vref conv</v>
      </c>
      <c r="J55" t="str">
        <f>Feuil2!J1</f>
        <v>Unit</v>
      </c>
      <c r="K55" t="str">
        <f>Feuil2!K1</f>
        <v>Incertitude</v>
      </c>
      <c r="L55" t="str">
        <f>Feuil2!L1</f>
        <v>vérification</v>
      </c>
      <c r="M55" t="str">
        <f>Feuil2!M1</f>
        <v>tolérance</v>
      </c>
    </row>
    <row r="56" spans="1:13" x14ac:dyDescent="0.3">
      <c r="A56" t="str">
        <f>Feuil2!A2</f>
        <v/>
      </c>
      <c r="B56" t="str">
        <f>Feuil2!B2</f>
        <v/>
      </c>
      <c r="C56" t="str">
        <f>Feuil2!C2</f>
        <v/>
      </c>
      <c r="D56" t="str">
        <f>Feuil2!D2</f>
        <v/>
      </c>
      <c r="E56" t="str">
        <f>Feuil2!E2</f>
        <v/>
      </c>
      <c r="F56" t="str">
        <f>Feuil2!F2</f>
        <v/>
      </c>
      <c r="G56" t="str">
        <f>Feuil2!G2</f>
        <v/>
      </c>
      <c r="H56" t="str">
        <f>Feuil2!H2</f>
        <v/>
      </c>
      <c r="I56" t="str">
        <f>Feuil2!I2</f>
        <v/>
      </c>
      <c r="J56" t="str">
        <f>Feuil2!J2</f>
        <v/>
      </c>
      <c r="K56" t="str">
        <f>Feuil2!K2</f>
        <v/>
      </c>
      <c r="L56" t="str">
        <f>Feuil2!L2</f>
        <v/>
      </c>
      <c r="M56" t="str">
        <f>Feuil2!M2</f>
        <v/>
      </c>
    </row>
    <row r="57" spans="1:13" x14ac:dyDescent="0.3">
      <c r="A57" t="str">
        <f>Feuil2!A3</f>
        <v>0100511</v>
      </c>
      <c r="B57">
        <f>Feuil2!B3</f>
        <v>1</v>
      </c>
      <c r="C57" s="3">
        <f>Feuil2!C3</f>
        <v>51.75</v>
      </c>
      <c r="D57" t="str">
        <f>Feuil2!D3</f>
        <v>Pa</v>
      </c>
      <c r="E57" s="3">
        <f>ROUND(Feuil2!E3,2)</f>
        <v>59.24</v>
      </c>
      <c r="F57" t="str">
        <f>Feuil2!F3</f>
        <v>m3/s</v>
      </c>
      <c r="G57" s="3">
        <f>Feuil2!G3</f>
        <v>47.5</v>
      </c>
      <c r="H57" t="str">
        <f>Feuil2!H3</f>
        <v>m3/s</v>
      </c>
      <c r="I57" s="3">
        <f>ROUND(Feuil2!I3,2)</f>
        <v>-11.74</v>
      </c>
      <c r="J57" t="str">
        <f>Feuil2!J3</f>
        <v>m3/s</v>
      </c>
      <c r="K57" s="3">
        <f>Feuil2!K3</f>
        <v>0.87</v>
      </c>
      <c r="L57" t="str">
        <f>Feuil2!L3</f>
        <v>Conforme</v>
      </c>
      <c r="M57" t="str">
        <f>Feuil2!M3</f>
        <v>0,5%mes+/-1,9</v>
      </c>
    </row>
    <row r="58" spans="1:13" x14ac:dyDescent="0.3">
      <c r="A58" t="str">
        <f>Feuil2!A4</f>
        <v/>
      </c>
      <c r="B58" t="str">
        <f>Feuil2!B4</f>
        <v/>
      </c>
      <c r="C58" s="3" t="str">
        <f>Feuil2!C4</f>
        <v/>
      </c>
      <c r="D58" t="str">
        <f>Feuil2!D4</f>
        <v/>
      </c>
      <c r="E58" s="3"/>
      <c r="F58" t="str">
        <f>Feuil2!F4</f>
        <v/>
      </c>
      <c r="G58" s="3" t="str">
        <f>Feuil2!G4</f>
        <v/>
      </c>
      <c r="H58" t="str">
        <f>Feuil2!H4</f>
        <v/>
      </c>
      <c r="I58" s="3"/>
      <c r="J58" t="str">
        <f>Feuil2!J4</f>
        <v/>
      </c>
      <c r="K58" s="3" t="str">
        <f>Feuil2!K4</f>
        <v/>
      </c>
      <c r="M58" t="str">
        <f>Feuil2!M4</f>
        <v/>
      </c>
    </row>
    <row r="59" spans="1:13" x14ac:dyDescent="0.3">
      <c r="A59" t="str">
        <f>Feuil2!A5</f>
        <v>0100512</v>
      </c>
      <c r="B59">
        <f>Feuil2!B5</f>
        <v>2</v>
      </c>
      <c r="C59" s="3">
        <f>Feuil2!C5</f>
        <v>301.12</v>
      </c>
      <c r="D59" t="str">
        <f>Feuil2!D5</f>
        <v>Pa</v>
      </c>
      <c r="E59" s="3">
        <f>ROUND(Feuil2!E5,2)</f>
        <v>142.9</v>
      </c>
      <c r="F59" t="str">
        <f>Feuil2!F5</f>
        <v>m3/s</v>
      </c>
      <c r="G59" s="3">
        <f>Feuil2!G5</f>
        <v>113.6</v>
      </c>
      <c r="H59" t="str">
        <f>Feuil2!H5</f>
        <v>m3/s</v>
      </c>
      <c r="I59" s="3">
        <f>ROUND(Feuil2!I5,2)</f>
        <v>-29.3</v>
      </c>
      <c r="J59" t="str">
        <f>Feuil2!J5</f>
        <v>m3/s</v>
      </c>
      <c r="K59" s="3">
        <f>Feuil2!K5</f>
        <v>1.22</v>
      </c>
      <c r="L59" t="str">
        <f>Feuil2!L5</f>
        <v>Conforme</v>
      </c>
      <c r="M59" t="str">
        <f>Feuil2!M5</f>
        <v>0,5%mes+/-1,9</v>
      </c>
    </row>
    <row r="60" spans="1:13" x14ac:dyDescent="0.3">
      <c r="A60" t="str">
        <f>Feuil2!A6</f>
        <v/>
      </c>
      <c r="B60" t="str">
        <f>Feuil2!B6</f>
        <v/>
      </c>
      <c r="C60" s="3" t="str">
        <f>Feuil2!C6</f>
        <v/>
      </c>
      <c r="D60" t="str">
        <f>Feuil2!D6</f>
        <v/>
      </c>
      <c r="E60" s="3"/>
      <c r="F60" t="str">
        <f>Feuil2!F6</f>
        <v/>
      </c>
      <c r="G60" s="3" t="str">
        <f>Feuil2!G6</f>
        <v/>
      </c>
      <c r="H60" t="str">
        <f>Feuil2!H6</f>
        <v/>
      </c>
      <c r="I60" s="3"/>
      <c r="J60" t="str">
        <f>Feuil2!J6</f>
        <v/>
      </c>
      <c r="K60" s="3" t="str">
        <f>Feuil2!K6</f>
        <v/>
      </c>
      <c r="M60" t="str">
        <f>Feuil2!M6</f>
        <v/>
      </c>
    </row>
    <row r="61" spans="1:13" x14ac:dyDescent="0.3">
      <c r="A61" t="str">
        <f>Feuil2!A7</f>
        <v>0100513</v>
      </c>
      <c r="B61">
        <f>Feuil2!B7</f>
        <v>3</v>
      </c>
      <c r="C61" s="3">
        <f>Feuil2!C7</f>
        <v>498.71</v>
      </c>
      <c r="D61" t="str">
        <f>Feuil2!D7</f>
        <v>Pa</v>
      </c>
      <c r="E61" s="3">
        <f>ROUND(Feuil2!E7,2)</f>
        <v>183.91</v>
      </c>
      <c r="F61" t="str">
        <f>Feuil2!F7</f>
        <v>m3/s</v>
      </c>
      <c r="G61" s="3">
        <f>Feuil2!G7</f>
        <v>146.9</v>
      </c>
      <c r="H61" t="str">
        <f>Feuil2!H7</f>
        <v>m3/s</v>
      </c>
      <c r="I61" s="3">
        <f>ROUND(Feuil2!I7,2)</f>
        <v>-37.01</v>
      </c>
      <c r="J61" t="str">
        <f>Feuil2!J7</f>
        <v>m3/s</v>
      </c>
      <c r="K61" s="3">
        <f>Feuil2!K7</f>
        <v>1.54</v>
      </c>
      <c r="L61" t="str">
        <f>Feuil2!L7</f>
        <v>Conforme</v>
      </c>
      <c r="M61" t="str">
        <f>Feuil2!M7</f>
        <v>0,5%mes+/-1,9</v>
      </c>
    </row>
    <row r="62" spans="1:13" x14ac:dyDescent="0.3">
      <c r="A62" t="str">
        <f>Feuil2!A8</f>
        <v/>
      </c>
      <c r="B62" t="str">
        <f>Feuil2!B8</f>
        <v/>
      </c>
      <c r="C62" s="3" t="str">
        <f>Feuil2!C8</f>
        <v/>
      </c>
      <c r="D62" t="str">
        <f>Feuil2!D8</f>
        <v/>
      </c>
      <c r="E62" s="3"/>
      <c r="F62" t="str">
        <f>Feuil2!F8</f>
        <v/>
      </c>
      <c r="G62" s="3" t="str">
        <f>Feuil2!G8</f>
        <v/>
      </c>
      <c r="H62" t="str">
        <f>Feuil2!H8</f>
        <v/>
      </c>
      <c r="I62" s="3"/>
      <c r="J62" t="str">
        <f>Feuil2!J8</f>
        <v/>
      </c>
      <c r="K62" s="3" t="str">
        <f>Feuil2!K8</f>
        <v/>
      </c>
      <c r="M62" t="str">
        <f>Feuil2!M8</f>
        <v/>
      </c>
    </row>
    <row r="63" spans="1:13" x14ac:dyDescent="0.3">
      <c r="A63" t="str">
        <f>Feuil2!A9</f>
        <v>0100514</v>
      </c>
      <c r="B63">
        <f>Feuil2!B9</f>
        <v>4</v>
      </c>
      <c r="C63" s="3">
        <f>Feuil2!C9</f>
        <v>998.11</v>
      </c>
      <c r="D63" t="str">
        <f>Feuil2!D9</f>
        <v>Pa</v>
      </c>
      <c r="E63" s="3">
        <f>ROUND(Feuil2!E9,2)</f>
        <v>260.17</v>
      </c>
      <c r="F63" t="str">
        <f>Feuil2!F9</f>
        <v>m3/s</v>
      </c>
      <c r="G63" s="3">
        <f>Feuil2!G9</f>
        <v>208.1</v>
      </c>
      <c r="H63" t="str">
        <f>Feuil2!H9</f>
        <v>m3/s</v>
      </c>
      <c r="I63" s="3">
        <f>ROUND(Feuil2!I9,2)</f>
        <v>-52.07</v>
      </c>
      <c r="J63" t="str">
        <f>Feuil2!J9</f>
        <v>m3/s</v>
      </c>
      <c r="K63" s="3">
        <f>Feuil2!K9</f>
        <v>2.1</v>
      </c>
      <c r="L63" t="str">
        <f>Feuil2!L9</f>
        <v>Conforme</v>
      </c>
      <c r="M63" t="str">
        <f>Feuil2!M9</f>
        <v>0,5%mes+/-1,9</v>
      </c>
    </row>
    <row r="64" spans="1:13" x14ac:dyDescent="0.3">
      <c r="A64" t="str">
        <f>Feuil2!A10</f>
        <v/>
      </c>
      <c r="B64" t="str">
        <f>Feuil2!B10</f>
        <v/>
      </c>
      <c r="C64" s="3" t="str">
        <f>Feuil2!C10</f>
        <v/>
      </c>
      <c r="D64" t="str">
        <f>Feuil2!D10</f>
        <v/>
      </c>
      <c r="E64" s="3"/>
      <c r="F64" t="str">
        <f>Feuil2!F10</f>
        <v/>
      </c>
      <c r="G64" s="3" t="str">
        <f>Feuil2!G10</f>
        <v/>
      </c>
      <c r="H64" t="str">
        <f>Feuil2!H10</f>
        <v/>
      </c>
      <c r="I64" s="3"/>
      <c r="J64" t="str">
        <f>Feuil2!J10</f>
        <v/>
      </c>
      <c r="K64" s="3" t="str">
        <f>Feuil2!K10</f>
        <v/>
      </c>
      <c r="M64" t="str">
        <f>Feuil2!M10</f>
        <v/>
      </c>
    </row>
    <row r="65" spans="1:13" x14ac:dyDescent="0.3">
      <c r="A65" t="str">
        <f>Feuil2!A11</f>
        <v>0100515</v>
      </c>
      <c r="B65">
        <f>Feuil2!B11</f>
        <v>5</v>
      </c>
      <c r="C65" s="3">
        <f>Feuil2!C11</f>
        <v>1295.47</v>
      </c>
      <c r="D65" t="str">
        <f>Feuil2!D11</f>
        <v>Pa</v>
      </c>
      <c r="E65" s="3">
        <f>ROUND(Feuil2!E11,2)</f>
        <v>296.39999999999998</v>
      </c>
      <c r="F65" t="str">
        <f>Feuil2!F11</f>
        <v>m3/s</v>
      </c>
      <c r="G65" s="3">
        <f>Feuil2!G11</f>
        <v>236.9</v>
      </c>
      <c r="H65" t="str">
        <f>Feuil2!H11</f>
        <v>m3/s</v>
      </c>
      <c r="I65" s="3">
        <f>ROUND(Feuil2!I11,2)</f>
        <v>-59.5</v>
      </c>
      <c r="J65" t="str">
        <f>Feuil2!J11</f>
        <v>m3/s</v>
      </c>
      <c r="K65" s="3">
        <f>Feuil2!K11</f>
        <v>2.35</v>
      </c>
      <c r="L65" t="str">
        <f>Feuil2!L11</f>
        <v>Conforme</v>
      </c>
      <c r="M65" t="str">
        <f>Feuil2!M11</f>
        <v>0,5%mes+/-1,9</v>
      </c>
    </row>
    <row r="66" spans="1:13" x14ac:dyDescent="0.3">
      <c r="B66" t="str">
        <f>IF(Feuil1!B66="","",Feuil1!B66)</f>
        <v/>
      </c>
    </row>
    <row r="67" spans="1:13" x14ac:dyDescent="0.3">
      <c r="A67" t="str">
        <f>"0100700"</f>
        <v>0100700</v>
      </c>
      <c r="B67">
        <f>IF(Feuil1!B67="","",Feuil1!B67)</f>
        <v>5</v>
      </c>
    </row>
    <row r="68" spans="1:13" x14ac:dyDescent="0.3">
      <c r="A68" t="str">
        <f>"0100701"</f>
        <v>0100701</v>
      </c>
      <c r="B68" t="str">
        <f>IF(Feuil1!B68="","",Feuil1!B68)</f>
        <v>Type d'élément déprimogène: aile débimo</v>
      </c>
    </row>
    <row r="69" spans="1:13" x14ac:dyDescent="0.3">
      <c r="B69" t="str">
        <f>IF(Feuil1!B69="","",Feuil1!B69)</f>
        <v/>
      </c>
    </row>
    <row r="70" spans="1:13" x14ac:dyDescent="0.3">
      <c r="A70" t="str">
        <f>"0100702"</f>
        <v>0100702</v>
      </c>
      <c r="B70" t="str">
        <f>IF(Feuil1!B70="","",Feuil1!B70)</f>
        <v>Type de gaine: rectangulaire</v>
      </c>
    </row>
    <row r="71" spans="1:13" x14ac:dyDescent="0.3">
      <c r="B71" t="str">
        <f>IF(Feuil1!B71="","",Feuil1!B71)</f>
        <v/>
      </c>
    </row>
    <row r="72" spans="1:13" x14ac:dyDescent="0.3">
      <c r="A72" t="str">
        <f>"0100703"</f>
        <v>0100703</v>
      </c>
      <c r="B72" t="str">
        <f>IF(Feuil1!B72="","",Feuil1!B72)</f>
        <v>Longueur: 2300 mm</v>
      </c>
    </row>
    <row r="73" spans="1:13" x14ac:dyDescent="0.3">
      <c r="B73" t="str">
        <f>IF(Feuil1!B73="","",Feuil1!B73)</f>
        <v/>
      </c>
    </row>
    <row r="74" spans="1:13" x14ac:dyDescent="0.3">
      <c r="A74" t="str">
        <f>"0100704"</f>
        <v>0100704</v>
      </c>
      <c r="B74" t="str">
        <f>IF(Feuil1!B74="","",Feuil1!B74)</f>
        <v>Largeur: 2300 mm</v>
      </c>
    </row>
    <row r="75" spans="1:13" x14ac:dyDescent="0.3">
      <c r="B75" t="str">
        <f>IF(Feuil1!B75="","",Feuil1!B75)</f>
        <v/>
      </c>
    </row>
    <row r="76" spans="1:13" x14ac:dyDescent="0.3">
      <c r="A76" t="str">
        <f>"0100705"</f>
        <v>0100705</v>
      </c>
      <c r="B76" t="str">
        <f>IF(Feuil1!B76="","",Feuil1!B76)</f>
        <v>Coefficient 1,48</v>
      </c>
    </row>
  </sheetData>
  <pageMargins left="0.7" right="0.7" top="0.75" bottom="0.75" header="0.3" footer="0.3"/>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80FFAFE9-FCC0-4E2D-A14C-1B4884C4A4DA}">
  <sheetPr codeName="Feuil4"/>
  <dimension ref="A9:K112"/>
  <sheetViews>
    <sheetView zoomScaleNormal="100" workbookViewId="0">
      <selection activeCell="L8" sqref="L8"/>
    </sheetView>
  </sheetViews>
  <sheetFormatPr baseColWidth="10" defaultRowHeight="14.4" x14ac:dyDescent="0.3"/>
  <cols>
    <col min="2" max="2" width="12.77734375" customWidth="1"/>
    <col min="3" max="3" width="10.109375" customWidth="1"/>
  </cols>
  <sheetData>
    <row r="9" spans="1:8" ht="23.4" x14ac:dyDescent="0.45">
      <c r="B9" s="14" t="s">
        <v>60</v>
      </c>
      <c r="C9" s="14"/>
      <c r="D9" s="14"/>
      <c r="E9" s="14"/>
      <c r="F9" s="14"/>
      <c r="G9" s="14"/>
    </row>
    <row r="13" spans="1:8" x14ac:dyDescent="0.3">
      <c r="A13" s="12" t="s">
        <v>61</v>
      </c>
      <c r="B13" s="8" t="str">
        <f>'Tunnel Rectangle'!B5</f>
        <v>marquetest</v>
      </c>
      <c r="C13" s="8"/>
      <c r="E13" s="12" t="s">
        <v>63</v>
      </c>
      <c r="F13" s="12"/>
      <c r="G13" s="15" t="str">
        <f>'Tunnel Rectangle'!B7</f>
        <v>UB3_1VT_AF32_VTL_CPT_32,2</v>
      </c>
      <c r="H13" s="15"/>
    </row>
    <row r="14" spans="1:8" x14ac:dyDescent="0.3">
      <c r="A14" s="12"/>
      <c r="E14" s="12"/>
      <c r="F14" s="12"/>
    </row>
    <row r="15" spans="1:8" x14ac:dyDescent="0.3">
      <c r="A15" s="12"/>
      <c r="E15" s="12"/>
      <c r="F15" s="12"/>
    </row>
    <row r="16" spans="1:8" x14ac:dyDescent="0.3">
      <c r="A16" s="12" t="s">
        <v>62</v>
      </c>
      <c r="B16" s="8" t="str">
        <f>'Tunnel Rectangle'!B3</f>
        <v>C310 BO</v>
      </c>
      <c r="C16" s="8"/>
      <c r="E16" s="12" t="s">
        <v>100</v>
      </c>
      <c r="F16" s="12"/>
      <c r="G16" s="7" t="str">
        <f>'Tunnel Rectangle'!B6</f>
        <v>3F190630462</v>
      </c>
      <c r="H16" s="7"/>
    </row>
    <row r="17" spans="1:8" x14ac:dyDescent="0.3">
      <c r="A17" s="12"/>
      <c r="E17" s="12"/>
      <c r="F17" s="12"/>
    </row>
    <row r="18" spans="1:8" x14ac:dyDescent="0.3">
      <c r="A18" s="12"/>
      <c r="E18" s="12"/>
      <c r="F18" s="12"/>
    </row>
    <row r="19" spans="1:8" x14ac:dyDescent="0.3">
      <c r="A19" s="12"/>
      <c r="E19" s="12"/>
      <c r="F19" s="12"/>
    </row>
    <row r="20" spans="1:8" x14ac:dyDescent="0.3">
      <c r="A20" s="12"/>
      <c r="E20" s="12"/>
      <c r="F20" s="12"/>
    </row>
    <row r="21" spans="1:8" x14ac:dyDescent="0.3">
      <c r="A21" s="12" t="s">
        <v>64</v>
      </c>
      <c r="C21" s="8" t="str">
        <f>'Tunnel Rectangle'!B20</f>
        <v>-10000 à 10000 Pa</v>
      </c>
      <c r="D21" s="8"/>
      <c r="E21" s="13" t="s">
        <v>96</v>
      </c>
      <c r="F21" s="13"/>
      <c r="G21" s="8" t="str">
        <f>Feuil2!D27&amp;" "&amp;Feuil2!E27</f>
        <v>aile débimo</v>
      </c>
      <c r="H21" s="8"/>
    </row>
    <row r="22" spans="1:8" x14ac:dyDescent="0.3">
      <c r="A22" s="12" t="s">
        <v>65</v>
      </c>
      <c r="C22" s="8" t="str">
        <f>'Tunnel Rectangle'!B21</f>
        <v>1 Pa</v>
      </c>
      <c r="D22" s="8"/>
      <c r="E22" s="13" t="s">
        <v>68</v>
      </c>
      <c r="F22" s="13"/>
      <c r="G22" s="8" t="str">
        <f>Feuil2!D28</f>
        <v>rectangulaire</v>
      </c>
      <c r="H22" s="8"/>
    </row>
    <row r="23" spans="1:8" x14ac:dyDescent="0.3">
      <c r="A23" s="12" t="s">
        <v>66</v>
      </c>
      <c r="C23" s="8" t="s">
        <v>84</v>
      </c>
      <c r="D23" s="8"/>
      <c r="E23" s="13" t="s">
        <v>97</v>
      </c>
      <c r="F23" s="13"/>
      <c r="G23" s="8" t="str">
        <f>Feuil2!B30&amp;" "&amp;Feuil2!C30</f>
        <v>2300 mm</v>
      </c>
      <c r="H23" s="8"/>
    </row>
    <row r="24" spans="1:8" x14ac:dyDescent="0.3">
      <c r="A24" s="12" t="s">
        <v>67</v>
      </c>
      <c r="C24" s="8" t="str">
        <f>'Tunnel Rectangle'!B42&amp;" à "&amp;'Tunnel Rectangle'!B43&amp;" "&amp;'Tunnel Rectangle'!B44</f>
        <v>5 à 200 m3/s</v>
      </c>
      <c r="D24" s="8"/>
      <c r="E24" s="13" t="s">
        <v>98</v>
      </c>
      <c r="F24" s="13"/>
      <c r="G24" s="8" t="str">
        <f>Feuil2!B31&amp;" "&amp;Feuil2!C31</f>
        <v>2300 mm</v>
      </c>
      <c r="H24" s="8"/>
    </row>
    <row r="25" spans="1:8" x14ac:dyDescent="0.3">
      <c r="E25" s="13" t="s">
        <v>99</v>
      </c>
      <c r="F25" s="13"/>
      <c r="G25" s="8">
        <f>Feuil2!B19</f>
        <v>1.48</v>
      </c>
      <c r="H25" s="8"/>
    </row>
    <row r="28" spans="1:8" x14ac:dyDescent="0.3">
      <c r="A28" s="10" t="s">
        <v>69</v>
      </c>
      <c r="B28" s="10"/>
      <c r="C28" s="10"/>
      <c r="D28" s="11" t="s">
        <v>81</v>
      </c>
      <c r="E28" s="10" t="s">
        <v>82</v>
      </c>
      <c r="F28" s="10"/>
      <c r="G28" s="10"/>
      <c r="H28" s="10"/>
    </row>
    <row r="29" spans="1:8" x14ac:dyDescent="0.3">
      <c r="A29" s="8" t="s">
        <v>70</v>
      </c>
      <c r="B29" s="8"/>
      <c r="C29" s="8"/>
      <c r="D29" s="9"/>
      <c r="E29" s="7"/>
      <c r="F29" s="7"/>
      <c r="G29" s="7"/>
      <c r="H29" s="7"/>
    </row>
    <row r="30" spans="1:8" x14ac:dyDescent="0.3">
      <c r="A30" s="8" t="s">
        <v>71</v>
      </c>
      <c r="B30" s="8"/>
      <c r="C30" s="8"/>
      <c r="D30" s="9"/>
      <c r="E30" s="7"/>
      <c r="F30" s="7"/>
      <c r="G30" s="7"/>
      <c r="H30" s="7"/>
    </row>
    <row r="31" spans="1:8" x14ac:dyDescent="0.3">
      <c r="A31" s="8" t="s">
        <v>72</v>
      </c>
      <c r="B31" s="8"/>
      <c r="C31" s="8"/>
      <c r="D31" s="9"/>
      <c r="E31" s="7"/>
      <c r="F31" s="7"/>
      <c r="G31" s="7"/>
      <c r="H31" s="7"/>
    </row>
    <row r="32" spans="1:8" x14ac:dyDescent="0.3">
      <c r="A32" s="8" t="s">
        <v>73</v>
      </c>
      <c r="B32" s="8"/>
      <c r="C32" s="8"/>
      <c r="D32" s="9"/>
      <c r="E32" s="7"/>
      <c r="F32" s="7"/>
      <c r="G32" s="7"/>
      <c r="H32" s="7"/>
    </row>
    <row r="33" spans="1:8" x14ac:dyDescent="0.3">
      <c r="A33" s="8" t="s">
        <v>74</v>
      </c>
      <c r="B33" s="8"/>
      <c r="C33" s="8"/>
      <c r="D33" s="9"/>
      <c r="E33" s="7"/>
      <c r="F33" s="7"/>
      <c r="G33" s="7"/>
      <c r="H33" s="7"/>
    </row>
    <row r="34" spans="1:8" x14ac:dyDescent="0.3">
      <c r="A34" s="10" t="s">
        <v>75</v>
      </c>
      <c r="B34" s="10"/>
      <c r="C34" s="10"/>
      <c r="D34" s="11" t="s">
        <v>81</v>
      </c>
      <c r="E34" s="10" t="s">
        <v>82</v>
      </c>
      <c r="F34" s="10"/>
      <c r="G34" s="10"/>
      <c r="H34" s="10"/>
    </row>
    <row r="35" spans="1:8" x14ac:dyDescent="0.3">
      <c r="A35" s="8" t="s">
        <v>76</v>
      </c>
      <c r="B35" s="8"/>
      <c r="C35" s="8"/>
      <c r="D35" s="9"/>
      <c r="E35" s="7"/>
      <c r="F35" s="7"/>
      <c r="G35" s="7"/>
      <c r="H35" s="7"/>
    </row>
    <row r="36" spans="1:8" x14ac:dyDescent="0.3">
      <c r="A36" s="8" t="s">
        <v>77</v>
      </c>
      <c r="B36" s="8"/>
      <c r="C36" s="8"/>
      <c r="D36" s="9"/>
      <c r="E36" s="7"/>
      <c r="F36" s="7"/>
      <c r="G36" s="7"/>
      <c r="H36" s="7"/>
    </row>
    <row r="37" spans="1:8" x14ac:dyDescent="0.3">
      <c r="A37" s="8" t="s">
        <v>83</v>
      </c>
      <c r="B37" s="8"/>
      <c r="C37" s="8"/>
      <c r="D37" s="9"/>
      <c r="E37" s="7"/>
      <c r="F37" s="7"/>
      <c r="G37" s="7"/>
      <c r="H37" s="7"/>
    </row>
    <row r="40" spans="1:8" x14ac:dyDescent="0.3">
      <c r="A40" s="12" t="s">
        <v>78</v>
      </c>
      <c r="C40" s="8" t="str">
        <f>'Tunnel Rectangle'!B8</f>
        <v>DES2201906</v>
      </c>
      <c r="D40" s="8"/>
      <c r="E40" s="8"/>
    </row>
    <row r="41" spans="1:8" x14ac:dyDescent="0.3">
      <c r="A41" s="12" t="s">
        <v>79</v>
      </c>
      <c r="C41" s="16">
        <f>'Tunnel Rectangle'!B33</f>
        <v>44851</v>
      </c>
      <c r="D41" s="8"/>
      <c r="E41" s="8"/>
    </row>
    <row r="42" spans="1:8" x14ac:dyDescent="0.3">
      <c r="A42" s="12" t="s">
        <v>80</v>
      </c>
      <c r="C42" s="8"/>
      <c r="D42" s="8"/>
      <c r="E42" s="8"/>
    </row>
    <row r="48" spans="1:8" ht="15" thickBot="1" x14ac:dyDescent="0.35">
      <c r="A48" s="5"/>
      <c r="B48" s="6"/>
      <c r="C48" s="6"/>
      <c r="D48" s="6"/>
      <c r="E48" s="6"/>
      <c r="F48" s="6"/>
      <c r="G48" s="6"/>
      <c r="H48" s="6" t="s">
        <v>59</v>
      </c>
    </row>
    <row r="49" spans="1:7" ht="15" thickTop="1" x14ac:dyDescent="0.3">
      <c r="A49" s="17" t="s">
        <v>58</v>
      </c>
      <c r="B49" s="17"/>
      <c r="C49" s="17"/>
      <c r="D49" s="17"/>
      <c r="E49" s="17"/>
      <c r="F49" s="17"/>
      <c r="G49" s="17"/>
    </row>
    <row r="93" spans="1:11" x14ac:dyDescent="0.3">
      <c r="A93" s="4"/>
      <c r="B93" s="4"/>
      <c r="C93" s="4"/>
      <c r="D93" s="4"/>
      <c r="E93" s="4"/>
      <c r="F93" s="4"/>
      <c r="G93" s="4"/>
      <c r="H93" s="4"/>
      <c r="I93" s="4"/>
      <c r="J93" s="4"/>
      <c r="K93" s="4"/>
    </row>
    <row r="94" spans="1:11" x14ac:dyDescent="0.3">
      <c r="A94" s="4"/>
      <c r="B94" s="4"/>
      <c r="C94" s="4"/>
      <c r="D94" s="4"/>
      <c r="E94" s="4"/>
      <c r="F94" s="4"/>
      <c r="G94" s="4"/>
      <c r="H94" s="4"/>
      <c r="I94" s="4"/>
      <c r="J94" s="4"/>
      <c r="K94" s="4"/>
    </row>
    <row r="95" spans="1:11" x14ac:dyDescent="0.3">
      <c r="A95" s="4"/>
      <c r="B95" s="4"/>
      <c r="C95" s="4"/>
      <c r="D95" s="4"/>
      <c r="E95" s="4"/>
      <c r="F95" s="4"/>
      <c r="G95" s="4"/>
      <c r="H95" s="4"/>
      <c r="I95" s="4"/>
      <c r="J95" s="4"/>
      <c r="K95" s="4"/>
    </row>
    <row r="96" spans="1:11" x14ac:dyDescent="0.3">
      <c r="A96" s="4"/>
      <c r="B96" s="4"/>
      <c r="C96" s="4"/>
      <c r="D96" s="4"/>
      <c r="E96" s="4"/>
      <c r="F96" s="4"/>
      <c r="G96" s="4"/>
      <c r="H96" s="4"/>
      <c r="I96" s="4"/>
      <c r="J96" s="4"/>
      <c r="K96" s="4"/>
    </row>
    <row r="97" spans="1:11" x14ac:dyDescent="0.3">
      <c r="A97" s="4"/>
      <c r="B97" s="4"/>
      <c r="C97" s="4"/>
      <c r="D97" s="4"/>
      <c r="E97" s="4"/>
      <c r="F97" s="4"/>
      <c r="G97" s="4"/>
      <c r="H97" s="4"/>
      <c r="I97" s="4"/>
      <c r="J97" s="4"/>
      <c r="K97" s="4"/>
    </row>
    <row r="98" spans="1:11" x14ac:dyDescent="0.3">
      <c r="A98" s="4"/>
      <c r="B98" s="4"/>
      <c r="C98" s="4"/>
      <c r="D98" s="4"/>
      <c r="E98" s="4"/>
      <c r="F98" s="4"/>
      <c r="G98" s="4"/>
      <c r="H98" s="4"/>
      <c r="I98" s="4"/>
      <c r="J98" s="4"/>
      <c r="K98" s="4"/>
    </row>
    <row r="99" spans="1:11" x14ac:dyDescent="0.3">
      <c r="A99" s="4"/>
      <c r="B99" s="4"/>
      <c r="C99" s="4"/>
      <c r="D99" s="4"/>
      <c r="E99" s="4"/>
      <c r="F99" s="4"/>
      <c r="G99" s="4"/>
      <c r="H99" s="4"/>
      <c r="I99" s="4"/>
      <c r="J99" s="4"/>
      <c r="K99" s="4"/>
    </row>
    <row r="100" spans="1:11" x14ac:dyDescent="0.3">
      <c r="A100" s="4"/>
      <c r="B100" s="4"/>
      <c r="C100" s="4"/>
      <c r="D100" s="4"/>
      <c r="E100" s="4"/>
      <c r="F100" s="4"/>
      <c r="G100" s="4"/>
      <c r="H100" s="4"/>
      <c r="I100" s="4"/>
      <c r="J100" s="4"/>
      <c r="K100" s="4"/>
    </row>
    <row r="101" spans="1:11" x14ac:dyDescent="0.3">
      <c r="A101" s="4"/>
      <c r="B101" s="4"/>
      <c r="C101" s="4"/>
      <c r="D101" s="4"/>
      <c r="E101" s="4"/>
      <c r="F101" s="4"/>
      <c r="G101" s="4"/>
      <c r="H101" s="4"/>
      <c r="I101" s="4"/>
      <c r="J101" s="4"/>
      <c r="K101" s="4"/>
    </row>
    <row r="102" spans="1:11" x14ac:dyDescent="0.3">
      <c r="A102" s="4"/>
      <c r="B102" s="4"/>
      <c r="C102" s="4"/>
      <c r="D102" s="4"/>
      <c r="E102" s="4"/>
      <c r="F102" s="4"/>
      <c r="G102" s="4"/>
      <c r="H102" s="4"/>
      <c r="I102" s="4"/>
      <c r="J102" s="4"/>
      <c r="K102" s="4"/>
    </row>
    <row r="103" spans="1:11" x14ac:dyDescent="0.3">
      <c r="A103" s="4"/>
      <c r="B103" s="4"/>
      <c r="C103" s="4"/>
      <c r="D103" s="4"/>
      <c r="E103" s="4"/>
      <c r="F103" s="4"/>
      <c r="G103" s="4"/>
      <c r="H103" s="4"/>
      <c r="I103" s="4"/>
      <c r="J103" s="4"/>
      <c r="K103" s="4"/>
    </row>
    <row r="104" spans="1:11" x14ac:dyDescent="0.3">
      <c r="A104" s="4"/>
      <c r="B104" s="4"/>
      <c r="C104" s="4"/>
      <c r="D104" s="4"/>
      <c r="E104" s="4"/>
      <c r="F104" s="4"/>
      <c r="G104" s="4"/>
      <c r="H104" s="4"/>
      <c r="I104" s="4"/>
      <c r="J104" s="4"/>
      <c r="K104" s="4"/>
    </row>
    <row r="105" spans="1:11" x14ac:dyDescent="0.3">
      <c r="A105" s="4"/>
      <c r="B105" s="4"/>
      <c r="C105" s="4"/>
      <c r="D105" s="4"/>
      <c r="E105" s="4"/>
      <c r="F105" s="4"/>
      <c r="G105" s="4"/>
      <c r="H105" s="4"/>
      <c r="I105" s="4"/>
      <c r="J105" s="4"/>
      <c r="K105" s="4"/>
    </row>
    <row r="106" spans="1:11" x14ac:dyDescent="0.3">
      <c r="A106" s="4"/>
      <c r="B106" s="4"/>
      <c r="C106" s="4"/>
      <c r="D106" s="4"/>
      <c r="E106" s="4"/>
      <c r="F106" s="4"/>
      <c r="G106" s="4"/>
      <c r="H106" s="4"/>
      <c r="I106" s="4"/>
      <c r="J106" s="4"/>
      <c r="K106" s="4"/>
    </row>
    <row r="107" spans="1:11" x14ac:dyDescent="0.3">
      <c r="A107" s="4"/>
      <c r="B107" s="4"/>
      <c r="C107" s="4"/>
      <c r="D107" s="4"/>
      <c r="E107" s="4"/>
      <c r="F107" s="4"/>
      <c r="G107" s="4"/>
      <c r="H107" s="4"/>
      <c r="I107" s="4"/>
      <c r="J107" s="4"/>
      <c r="K107" s="4"/>
    </row>
    <row r="108" spans="1:11" x14ac:dyDescent="0.3">
      <c r="A108" s="4"/>
      <c r="B108" s="4"/>
      <c r="C108" s="4"/>
      <c r="D108" s="4"/>
      <c r="E108" s="4"/>
      <c r="F108" s="4"/>
      <c r="G108" s="4"/>
      <c r="H108" s="4"/>
      <c r="I108" s="4"/>
      <c r="J108" s="4"/>
      <c r="K108" s="4"/>
    </row>
    <row r="109" spans="1:11" x14ac:dyDescent="0.3">
      <c r="A109" s="4"/>
      <c r="B109" s="4"/>
      <c r="C109" s="4"/>
      <c r="D109" s="4"/>
      <c r="E109" s="4"/>
      <c r="F109" s="4"/>
      <c r="G109" s="4"/>
      <c r="H109" s="4"/>
      <c r="I109" s="4"/>
      <c r="J109" s="4"/>
      <c r="K109" s="4"/>
    </row>
    <row r="110" spans="1:11" x14ac:dyDescent="0.3">
      <c r="A110" s="4"/>
      <c r="B110" s="4"/>
      <c r="C110" s="4"/>
      <c r="D110" s="4"/>
      <c r="E110" s="4"/>
      <c r="F110" s="4"/>
      <c r="G110" s="4"/>
      <c r="H110" s="4"/>
      <c r="I110" s="4"/>
      <c r="J110" s="4"/>
      <c r="K110" s="4"/>
    </row>
    <row r="111" spans="1:11" x14ac:dyDescent="0.3">
      <c r="A111" s="4"/>
      <c r="B111" s="4"/>
      <c r="C111" s="4"/>
      <c r="D111" s="4"/>
      <c r="E111" s="4"/>
      <c r="F111" s="4"/>
      <c r="G111" s="4"/>
      <c r="H111" s="4"/>
      <c r="I111" s="4"/>
      <c r="J111" s="4"/>
      <c r="K111" s="4"/>
    </row>
    <row r="112" spans="1:11" x14ac:dyDescent="0.3">
      <c r="A112" s="4"/>
      <c r="B112" s="4"/>
      <c r="C112" s="4"/>
      <c r="D112" s="4"/>
      <c r="E112" s="4"/>
      <c r="F112" s="4"/>
      <c r="G112" s="4"/>
      <c r="H112" s="4"/>
      <c r="I112" s="4"/>
      <c r="J112" s="4"/>
      <c r="K112" s="4"/>
    </row>
  </sheetData>
  <mergeCells count="42">
    <mergeCell ref="C42:E42"/>
    <mergeCell ref="C21:D21"/>
    <mergeCell ref="C22:D22"/>
    <mergeCell ref="C23:D23"/>
    <mergeCell ref="C24:D24"/>
    <mergeCell ref="C40:E40"/>
    <mergeCell ref="C41:E41"/>
    <mergeCell ref="G23:H23"/>
    <mergeCell ref="G24:H24"/>
    <mergeCell ref="G25:H25"/>
    <mergeCell ref="E21:F21"/>
    <mergeCell ref="E22:F22"/>
    <mergeCell ref="E23:F23"/>
    <mergeCell ref="E24:F24"/>
    <mergeCell ref="E25:F25"/>
    <mergeCell ref="A35:C35"/>
    <mergeCell ref="A36:C36"/>
    <mergeCell ref="A37:C37"/>
    <mergeCell ref="B13:C13"/>
    <mergeCell ref="B16:C16"/>
    <mergeCell ref="G13:H13"/>
    <mergeCell ref="G16:H16"/>
    <mergeCell ref="G21:H21"/>
    <mergeCell ref="G22:H22"/>
    <mergeCell ref="E35:H35"/>
    <mergeCell ref="E36:H36"/>
    <mergeCell ref="E37:H37"/>
    <mergeCell ref="A28:C28"/>
    <mergeCell ref="A29:C29"/>
    <mergeCell ref="A30:C30"/>
    <mergeCell ref="A31:C31"/>
    <mergeCell ref="A32:C32"/>
    <mergeCell ref="A33:C33"/>
    <mergeCell ref="A34:C34"/>
    <mergeCell ref="B9:G9"/>
    <mergeCell ref="E28:H28"/>
    <mergeCell ref="E29:H29"/>
    <mergeCell ref="E30:H30"/>
    <mergeCell ref="E31:H31"/>
    <mergeCell ref="E32:H32"/>
    <mergeCell ref="E33:H33"/>
    <mergeCell ref="E34:H34"/>
  </mergeCells>
  <pageMargins left="0.25" right="0.25" top="0.75" bottom="0.75" header="0.3" footer="0.3"/>
  <pageSetup paperSize="9" orientation="portrait" r:id="rId1"/>
  <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Feuilles de calcul</vt:lpstr>
      </vt:variant>
      <vt:variant>
        <vt:i4>4</vt:i4>
      </vt:variant>
    </vt:vector>
  </HeadingPairs>
  <TitlesOfParts>
    <vt:vector size="4" baseType="lpstr">
      <vt:lpstr>Feuil1</vt:lpstr>
      <vt:lpstr>Feuil2</vt:lpstr>
      <vt:lpstr>Tunnel Rectangle</vt:lpstr>
      <vt:lpstr>Feuil3</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Nicolas Dumont</dc:creator>
  <cp:lastModifiedBy>Nicolas Dumont</cp:lastModifiedBy>
  <cp:lastPrinted>2022-12-01T16:11:17Z</cp:lastPrinted>
  <dcterms:created xsi:type="dcterms:W3CDTF">2022-10-21T06:32:52Z</dcterms:created>
  <dcterms:modified xsi:type="dcterms:W3CDTF">2022-12-01T16:24:51Z</dcterms:modified>
</cp:coreProperties>
</file>