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3 - P3 BI\P3 ok\"/>
    </mc:Choice>
  </mc:AlternateContent>
  <bookViews>
    <workbookView xWindow="-15" yWindow="2565" windowWidth="9630" windowHeight="2610"/>
  </bookViews>
  <sheets>
    <sheet name="Feuille CV" sheetId="3" r:id="rId1"/>
    <sheet name="Accord client" sheetId="4" r:id="rId2"/>
    <sheet name="Etalon" sheetId="6" r:id="rId3"/>
    <sheet name="Bilan d'incertitude" sheetId="9" state="hidden" r:id="rId4"/>
    <sheet name="Bilan Incertitude Etalon" sheetId="7" state="hidden" r:id="rId5"/>
    <sheet name="F13" sheetId="5" r:id="rId6"/>
  </sheets>
  <externalReferences>
    <externalReference r:id="rId7"/>
    <externalReference r:id="rId8"/>
  </externalReferences>
  <definedNames>
    <definedName name="_xlnm._FilterDatabase" localSheetId="0" hidden="1">'Feuille CV'!#REF!</definedName>
    <definedName name="_xlnm.Print_Area" localSheetId="5">'F13'!$A$1:$I$49</definedName>
    <definedName name="_xlnm.Print_Area" localSheetId="0">'Feuille CV'!$A$1:$G$40</definedName>
  </definedNames>
  <calcPr calcId="152511"/>
</workbook>
</file>

<file path=xl/calcChain.xml><?xml version="1.0" encoding="utf-8"?>
<calcChain xmlns="http://schemas.openxmlformats.org/spreadsheetml/2006/main">
  <c r="J1" i="3" l="1"/>
  <c r="F35" i="3" l="1"/>
  <c r="F32" i="3"/>
  <c r="F20" i="3"/>
  <c r="K34" i="3"/>
  <c r="J34" i="3"/>
  <c r="B33" i="3"/>
  <c r="J38" i="3"/>
  <c r="K38" i="3" s="1"/>
  <c r="J37" i="3"/>
  <c r="K37" i="3" s="1"/>
  <c r="J36" i="3"/>
  <c r="K36" i="3" s="1"/>
  <c r="J35" i="3"/>
  <c r="K35" i="3" s="1"/>
  <c r="B35" i="3" l="1"/>
  <c r="B34" i="3"/>
  <c r="B31" i="3"/>
  <c r="B32" i="3"/>
  <c r="K23" i="3" l="1"/>
  <c r="K24" i="3"/>
  <c r="K25" i="3"/>
  <c r="K26" i="3"/>
  <c r="K22" i="3"/>
  <c r="F5" i="9"/>
  <c r="F3" i="9"/>
  <c r="F23" i="3"/>
  <c r="B20" i="3"/>
  <c r="B21" i="3"/>
  <c r="B22" i="3"/>
  <c r="B23" i="3"/>
  <c r="B19" i="3"/>
  <c r="J23" i="3"/>
  <c r="J24" i="3"/>
  <c r="J25" i="3"/>
  <c r="J26" i="3"/>
  <c r="J22" i="3"/>
  <c r="E22" i="3" l="1"/>
  <c r="E35" i="3"/>
  <c r="E19" i="3"/>
  <c r="E32" i="3"/>
  <c r="E34" i="3"/>
  <c r="E33" i="3"/>
  <c r="E31" i="3"/>
  <c r="E21" i="3"/>
  <c r="E20" i="3"/>
  <c r="E23" i="3"/>
  <c r="B67" i="7" l="1"/>
  <c r="B50" i="7"/>
  <c r="B79" i="7" s="1"/>
  <c r="B49" i="7"/>
  <c r="B78" i="7" s="1"/>
  <c r="B48" i="7"/>
  <c r="B77" i="7" s="1"/>
  <c r="B47" i="7"/>
  <c r="B76" i="7" s="1"/>
  <c r="B46" i="7"/>
  <c r="B75" i="7" s="1"/>
  <c r="B45" i="7"/>
  <c r="B74" i="7" s="1"/>
  <c r="B44" i="7"/>
  <c r="B73" i="7" s="1"/>
  <c r="B43" i="7"/>
  <c r="B72" i="7" s="1"/>
  <c r="B42" i="7"/>
  <c r="B71" i="7" s="1"/>
  <c r="B41" i="7"/>
  <c r="B70" i="7" s="1"/>
  <c r="B40" i="7"/>
  <c r="B69" i="7" s="1"/>
  <c r="B39" i="7"/>
  <c r="B68" i="7" s="1"/>
  <c r="J27" i="7"/>
  <c r="B26" i="7"/>
  <c r="C26" i="7" s="1"/>
  <c r="C25" i="7"/>
  <c r="B25" i="7"/>
  <c r="E17" i="7"/>
  <c r="H16" i="7"/>
  <c r="E16" i="7"/>
  <c r="I15" i="7"/>
  <c r="E15" i="7"/>
  <c r="E14" i="7"/>
  <c r="I13" i="7"/>
  <c r="I16" i="7" s="1"/>
  <c r="J25" i="7" s="1"/>
  <c r="J28" i="7" s="1"/>
  <c r="J29" i="7" s="1"/>
  <c r="E11" i="7" s="1"/>
  <c r="E13" i="7"/>
  <c r="H12" i="7"/>
  <c r="E12" i="7"/>
  <c r="E9" i="7"/>
  <c r="F8" i="7"/>
  <c r="F9" i="7" s="1"/>
  <c r="E8" i="7"/>
  <c r="B3" i="7"/>
  <c r="D25" i="7" l="1"/>
  <c r="D26" i="7"/>
  <c r="D28" i="7" l="1"/>
  <c r="C31" i="7" s="1"/>
  <c r="C28" i="7"/>
  <c r="D31" i="7" s="1"/>
  <c r="C49" i="7" l="1"/>
  <c r="D49" i="7" s="1"/>
  <c r="C45" i="7"/>
  <c r="D45" i="7" s="1"/>
  <c r="C41" i="7"/>
  <c r="D41" i="7" s="1"/>
  <c r="C48" i="7"/>
  <c r="D48" i="7" s="1"/>
  <c r="C44" i="7"/>
  <c r="D44" i="7" s="1"/>
  <c r="C40" i="7"/>
  <c r="D40" i="7" s="1"/>
  <c r="C46" i="7"/>
  <c r="D46" i="7" s="1"/>
  <c r="C42" i="7"/>
  <c r="D42" i="7" s="1"/>
  <c r="C47" i="7"/>
  <c r="D47" i="7" s="1"/>
  <c r="C43" i="7"/>
  <c r="D43" i="7" s="1"/>
  <c r="C39" i="7"/>
  <c r="D39" i="7" s="1"/>
  <c r="C50" i="7"/>
  <c r="D50" i="7" s="1"/>
  <c r="C69" i="7" l="1"/>
  <c r="F40" i="7"/>
  <c r="C73" i="7"/>
  <c r="F44" i="7"/>
  <c r="F50" i="7"/>
  <c r="C79" i="7"/>
  <c r="F42" i="7"/>
  <c r="C71" i="7"/>
  <c r="C77" i="7"/>
  <c r="F48" i="7"/>
  <c r="C74" i="7"/>
  <c r="F45" i="7"/>
  <c r="C78" i="7"/>
  <c r="F49" i="7"/>
  <c r="F39" i="7"/>
  <c r="C68" i="7"/>
  <c r="C32" i="7"/>
  <c r="C33" i="7" s="1"/>
  <c r="D32" i="7"/>
  <c r="D33" i="7" s="1"/>
  <c r="F46" i="7"/>
  <c r="C75" i="7"/>
  <c r="C70" i="7"/>
  <c r="F41" i="7"/>
  <c r="F43" i="7"/>
  <c r="C72" i="7"/>
  <c r="F47" i="7"/>
  <c r="C76" i="7"/>
  <c r="D81" i="7" l="1"/>
  <c r="C81" i="7"/>
  <c r="D36" i="7"/>
  <c r="D34" i="7"/>
  <c r="C36" i="7"/>
  <c r="C34" i="7"/>
  <c r="C82" i="7"/>
  <c r="H50" i="7" l="1"/>
  <c r="H46" i="7"/>
  <c r="H42" i="7"/>
  <c r="H49" i="7"/>
  <c r="H45" i="7"/>
  <c r="H41" i="7"/>
  <c r="H47" i="7"/>
  <c r="H43" i="7"/>
  <c r="H39" i="7"/>
  <c r="H48" i="7"/>
  <c r="H44" i="7"/>
  <c r="H40" i="7"/>
  <c r="E1" i="3" l="1"/>
  <c r="C23" i="3" l="1"/>
  <c r="C22" i="3"/>
  <c r="G18" i="3"/>
  <c r="G30" i="3" s="1"/>
  <c r="F18" i="3"/>
  <c r="F30" i="3" s="1"/>
  <c r="H11" i="3"/>
  <c r="D33" i="3"/>
  <c r="D31" i="3"/>
  <c r="C18" i="3"/>
  <c r="C30" i="3"/>
  <c r="B18" i="3"/>
  <c r="B30" i="3" s="1"/>
  <c r="D20" i="3"/>
  <c r="D21" i="3"/>
  <c r="D23" i="3"/>
  <c r="D19" i="3"/>
  <c r="C8" i="3"/>
  <c r="E10" i="3"/>
  <c r="C10" i="3"/>
  <c r="D18" i="3"/>
  <c r="D30" i="3"/>
  <c r="D34" i="3" l="1"/>
  <c r="D32" i="3"/>
  <c r="D35" i="3"/>
  <c r="G31" i="3" s="1"/>
  <c r="D22" i="3"/>
  <c r="G19" i="3" s="1"/>
  <c r="F31" i="3" l="1"/>
  <c r="H32" i="3"/>
  <c r="B37" i="3" s="1"/>
  <c r="F19" i="3"/>
  <c r="H20" i="3" l="1"/>
  <c r="B25" i="3" s="1"/>
</calcChain>
</file>

<file path=xl/sharedStrings.xml><?xml version="1.0" encoding="utf-8"?>
<sst xmlns="http://schemas.openxmlformats.org/spreadsheetml/2006/main" count="195" uniqueCount="162">
  <si>
    <t>Type :</t>
  </si>
  <si>
    <t xml:space="preserve">Résolution : </t>
  </si>
  <si>
    <t xml:space="preserve">Lecture : </t>
  </si>
  <si>
    <t>IDENTIFICATION DE L'APPAREIL VERIFIE :</t>
  </si>
  <si>
    <t>RESULTATS :</t>
  </si>
  <si>
    <t>Lue 
Client</t>
  </si>
  <si>
    <t>Unité  :</t>
  </si>
  <si>
    <t>/</t>
  </si>
  <si>
    <t>Ajustage</t>
  </si>
  <si>
    <t>Après ajustage :</t>
  </si>
  <si>
    <t>Avant ajustage :</t>
  </si>
  <si>
    <t>Contrôle de la linéarité</t>
  </si>
  <si>
    <t>EMT :</t>
  </si>
  <si>
    <t>OUI</t>
  </si>
  <si>
    <t>NON</t>
  </si>
  <si>
    <t>mbar absolu</t>
  </si>
  <si>
    <t>bar absolu</t>
  </si>
  <si>
    <t>Pression Autoclave</t>
  </si>
  <si>
    <t xml:space="preserve">Ref lue </t>
  </si>
  <si>
    <t>mbar relatif</t>
  </si>
  <si>
    <t>bar relatif</t>
  </si>
  <si>
    <r>
      <t>FORMULAIRE</t>
    </r>
    <r>
      <rPr>
        <sz val="6"/>
        <rFont val="Arial"/>
        <family val="2"/>
      </rPr>
      <t xml:space="preserve">
</t>
    </r>
    <r>
      <rPr>
        <sz val="12"/>
        <rFont val="Arial"/>
        <family val="2"/>
      </rPr>
      <t>FICHE DE VALIDATION</t>
    </r>
  </si>
  <si>
    <t>Date de mise à jour :</t>
  </si>
  <si>
    <t>Processus : R2</t>
  </si>
  <si>
    <t>Page 2/4</t>
  </si>
  <si>
    <t>Désignation de la feuille de calcul :</t>
  </si>
  <si>
    <t>Conçue par :</t>
  </si>
  <si>
    <t>le :</t>
  </si>
  <si>
    <t>Principe de la feuille :</t>
  </si>
  <si>
    <t>Méthode d'évaluation :</t>
  </si>
  <si>
    <t>Pièces jointes :</t>
  </si>
  <si>
    <t>Validation des différentes versions :</t>
  </si>
  <si>
    <t>Date</t>
  </si>
  <si>
    <t>Version</t>
  </si>
  <si>
    <t>Objet de la modification</t>
  </si>
  <si>
    <t>Opérateur</t>
  </si>
  <si>
    <t>Validation</t>
  </si>
  <si>
    <t>Visa</t>
  </si>
  <si>
    <t>Initiale</t>
  </si>
  <si>
    <t>V1</t>
  </si>
  <si>
    <t>Logiciel : Linéarité Pression Merial</t>
  </si>
  <si>
    <t>Identification : Linéarité Pression Merial_V1_03062015.xls</t>
  </si>
  <si>
    <t>Remplir colonne H et J</t>
  </si>
  <si>
    <t>Avec client : Soumission initiale+ discussion sur 3 exemples</t>
  </si>
  <si>
    <t>N° de Certificat :</t>
  </si>
  <si>
    <t>A11895x15</t>
  </si>
  <si>
    <t>FR214214174</t>
  </si>
  <si>
    <t>Ident</t>
  </si>
  <si>
    <t>Incertitude en mbar</t>
  </si>
  <si>
    <t>CALCUL DE L'INCERTITUDE D'UTILISATION d'un manomètre numérique selon PT-00P-02 / A</t>
  </si>
  <si>
    <t>Source de l'incertitude</t>
  </si>
  <si>
    <t>Loi de probabilité</t>
  </si>
  <si>
    <t>Incertitude type</t>
  </si>
  <si>
    <t>Partie fixe
 (Pa)</t>
  </si>
  <si>
    <t>Partie prop. à p
f(p)</t>
  </si>
  <si>
    <t>Répétabilité</t>
  </si>
  <si>
    <t>intégrée à l'étalonnage</t>
  </si>
  <si>
    <t>Etalonnage</t>
  </si>
  <si>
    <t>Normale (k=2)</t>
  </si>
  <si>
    <t>Uétalonnage/2</t>
  </si>
  <si>
    <t>Dérive</t>
  </si>
  <si>
    <t>Rectangle ou données constructeur (k=2)</t>
  </si>
  <si>
    <t>Dérive/√3 ou Stabilité à long terme/2</t>
  </si>
  <si>
    <t>Influence de la température (étalonnage labo réf = utilisation labo util = (20±2)°C) donc compris dans incertitude étalonnage</t>
  </si>
  <si>
    <t>Données constructeur (k=2)
ou données expérimentale (loi normale)</t>
  </si>
  <si>
    <t>Influence T/2
ou influence T/3</t>
  </si>
  <si>
    <t>Hauteur de fluide déterminée à 2 cm près</t>
  </si>
  <si>
    <t>Normale</t>
  </si>
  <si>
    <t>Ucolonne fluide/3</t>
  </si>
  <si>
    <t>colonne de fluide</t>
  </si>
  <si>
    <t>(*)</t>
  </si>
  <si>
    <t>Hystéresis (max montée-descente)</t>
  </si>
  <si>
    <t>Rectangle</t>
  </si>
  <si>
    <t>Max/√3</t>
  </si>
  <si>
    <t>Résolution</t>
  </si>
  <si>
    <t>résolution/2√3</t>
  </si>
  <si>
    <t>rho(0) =</t>
  </si>
  <si>
    <t>Remise à zéro (=résolution)</t>
  </si>
  <si>
    <t>t=</t>
  </si>
  <si>
    <t>°C</t>
  </si>
  <si>
    <t>Variation du zéro pendant étalonnage (= résolution)</t>
  </si>
  <si>
    <t>P</t>
  </si>
  <si>
    <t>bar</t>
  </si>
  <si>
    <t>Stabilité de la génération (mesure en statique) = 2 fois la résolution</t>
  </si>
  <si>
    <t>2*résolution/3</t>
  </si>
  <si>
    <t>Résidus modélisation répartis de façon aléatoire</t>
  </si>
  <si>
    <t>type A</t>
  </si>
  <si>
    <t>Ecart-type</t>
  </si>
  <si>
    <t>Air</t>
  </si>
  <si>
    <t>(*) Spécifique à Agence de Rouen.</t>
  </si>
  <si>
    <t>Azote</t>
  </si>
  <si>
    <t>L’incertitude sur la pression mesurée est estimée par la méthode de la corde.
Cette méthode consiste à calculer l’incertitude-type composée, obtenue en combinant quadratiquement les différentes composantes, pour la borne minimale et la borne maximale de l’étendue de mesure du manomètre numérique, puis à exprimer l’incertitude élargie à partir :</t>
  </si>
  <si>
    <t>Sébacate</t>
  </si>
  <si>
    <t>-          d’une composante en Pa, égale à l’ordonnée à l’origine de la droite reliant les 2 points, multipliée par le facteur d’élargissement k=2,</t>
  </si>
  <si>
    <t>Huile NUTOH46</t>
  </si>
  <si>
    <t>-          d’une composante proportionnelle à la pression p, calculée comme la pente de la droite reliant les 2 points, multipliée par le facteur d’élargissement k=2,</t>
  </si>
  <si>
    <t>-          des erreurs non corrigées qui sont ajoutées arithmétiquement à ces 2 composantes.</t>
  </si>
  <si>
    <t>Pression (bar)</t>
  </si>
  <si>
    <t>Pression (Pa)</t>
  </si>
  <si>
    <t>Ulabo(Pa)</t>
  </si>
  <si>
    <t>calcul incertitude colonne de fluide avec ∆h connu à ±2cm</t>
  </si>
  <si>
    <t>ρ.g.U(∆h)</t>
  </si>
  <si>
    <t>ρ</t>
  </si>
  <si>
    <t>kg.m-3</t>
  </si>
  <si>
    <t>gRouen</t>
  </si>
  <si>
    <t>m.s-2</t>
  </si>
  <si>
    <t>Méthode de la corde (y=ax+b)</t>
  </si>
  <si>
    <t>a=</t>
  </si>
  <si>
    <t>b=</t>
  </si>
  <si>
    <t>U(∆h)</t>
  </si>
  <si>
    <t>m</t>
  </si>
  <si>
    <t>Ucolonne fluide</t>
  </si>
  <si>
    <t>Pa</t>
  </si>
  <si>
    <t>Incertitude finale d'utilisation</t>
  </si>
  <si>
    <t>f(p)</t>
  </si>
  <si>
    <t>Incertitude d'utilisation (k=2)</t>
  </si>
  <si>
    <t>Incertitude finale d'utilisation (k=2)</t>
  </si>
  <si>
    <t>Incertitude finale d'utilisation (k=1) pour fichier PRESSION</t>
  </si>
  <si>
    <t>Incertitude finale d'utilisation (k=2) pour fichier PRESSION</t>
  </si>
  <si>
    <t>Incertitude finale d'utilisation (k=1) pour Import OutilMetier</t>
  </si>
  <si>
    <t>P (bar)</t>
  </si>
  <si>
    <t>Usuivi (bar) k=2</t>
  </si>
  <si>
    <t>Uutilisation (bar) k=2</t>
  </si>
  <si>
    <t>Marge (%)</t>
  </si>
  <si>
    <t>Uutilisation (%EM)</t>
  </si>
  <si>
    <t>Uutilisation (bar)</t>
  </si>
  <si>
    <t>Incertitude finale d'utilisation sur site = 1,5* incertitude finale d'utilisation en laboratoire</t>
  </si>
  <si>
    <t>Uutilisation site (bar)</t>
  </si>
  <si>
    <t>Incertitude finale d'utilisation sur site (k=2) pour import TLM</t>
  </si>
  <si>
    <t>Date étalonnage</t>
  </si>
  <si>
    <t>Date validité</t>
  </si>
  <si>
    <t>Periodicité en mois</t>
  </si>
  <si>
    <t>Coef polynomes C0</t>
  </si>
  <si>
    <t>Coef polynomes C1</t>
  </si>
  <si>
    <t>Coef polynomes C2</t>
  </si>
  <si>
    <t>Coef polynomes C3</t>
  </si>
  <si>
    <t>Coef polynomes C4</t>
  </si>
  <si>
    <t>Coef polynomes C5</t>
  </si>
  <si>
    <t>MNUTIL</t>
  </si>
  <si>
    <t>MAXUTIL</t>
  </si>
  <si>
    <t>IMVARLABO (k=2)</t>
  </si>
  <si>
    <t>IMFIXELAB (k=2)</t>
  </si>
  <si>
    <t>INVARSITE (k=2)</t>
  </si>
  <si>
    <t>IMFIXESITE (k=2)</t>
  </si>
  <si>
    <t>UNITE</t>
  </si>
  <si>
    <t>TYPPRESSETAL</t>
  </si>
  <si>
    <t>abs</t>
  </si>
  <si>
    <t>Chaine de mesure de pression 0 à 100 mbar absolue n° 69PCP019</t>
  </si>
  <si>
    <t>Référence : IVEC-0284</t>
  </si>
  <si>
    <t>Date d'application : 24/03/20022</t>
  </si>
  <si>
    <t>Dumont Nicolas</t>
  </si>
  <si>
    <t>Rapport essai pour linéarité pression sur client BI</t>
  </si>
  <si>
    <t>N.DUMONT</t>
  </si>
  <si>
    <t>Ref Corrigé</t>
  </si>
  <si>
    <t>U1</t>
  </si>
  <si>
    <t>U2</t>
  </si>
  <si>
    <t>Résolution indicateur d'Osmolarité</t>
  </si>
  <si>
    <t>Incert</t>
  </si>
  <si>
    <t>Feuille mesure</t>
  </si>
  <si>
    <t>Page 3/3</t>
  </si>
  <si>
    <t>Communication, reproduction, utilisation et traduction interdites, sauf autorisation écrite</t>
  </si>
  <si>
    <t>Référence du document : IVEC-0284-A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</si>
</sst>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"/>
    <numFmt numFmtId="166" formatCode="_-* #,##0.00\ [$€]_-;\-* #,##0.00\ [$€]_-;_-* &quot;-&quot;??\ [$€]_-;_-@_-"/>
    <numFmt numFmtId="167" formatCode="0.0000"/>
    <numFmt numFmtId="168" formatCode="0.00000"/>
    <numFmt numFmtId="169" formatCode="d\ mmmm\ yyyy"/>
    <numFmt numFmtId="170" formatCode="0.000E+00"/>
    <numFmt numFmtId="171" formatCode="0.0E+00"/>
    <numFmt numFmtId="172" formatCode="0.000000"/>
    <numFmt numFmtId="173" formatCode="0.0000000000E+00"/>
    <numFmt numFmtId="175" formatCode="0.0000000"/>
  </numFmts>
  <fonts count="28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2"/>
      <name val="Times New Roman"/>
      <family val="1"/>
    </font>
    <font>
      <b/>
      <sz val="10"/>
      <name val="Times New Roman"/>
      <family val="1"/>
    </font>
    <font>
      <b/>
      <i/>
      <u/>
      <sz val="11"/>
      <name val="Times New Roman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6"/>
      <name val="Arial"/>
      <family val="2"/>
    </font>
    <font>
      <sz val="9"/>
      <color indexed="8"/>
      <name val="Arial"/>
      <family val="2"/>
    </font>
    <font>
      <sz val="12"/>
      <name val="Helv"/>
    </font>
    <font>
      <b/>
      <u/>
      <sz val="10"/>
      <name val="Arial"/>
      <family val="2"/>
    </font>
    <font>
      <sz val="10"/>
      <color indexed="12"/>
      <name val="Arial"/>
      <family val="2"/>
    </font>
    <font>
      <sz val="10"/>
      <name val="Wingdings"/>
      <charset val="2"/>
    </font>
    <font>
      <sz val="8"/>
      <name val="Arial"/>
      <family val="2"/>
    </font>
    <font>
      <u/>
      <sz val="10"/>
      <color theme="10"/>
      <name val="Arial"/>
      <family val="2"/>
    </font>
    <font>
      <sz val="12"/>
      <name val="Times New Roman"/>
      <family val="1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sz val="11"/>
      <name val="Times New Roman"/>
      <family val="1"/>
    </font>
    <font>
      <sz val="12"/>
      <color rgb="FFFF0000"/>
      <name val="Arial"/>
      <family val="2"/>
    </font>
    <font>
      <sz val="10"/>
      <color rgb="FF00FF00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4" fillId="0" borderId="0"/>
    <xf numFmtId="0" fontId="20" fillId="0" borderId="0"/>
    <xf numFmtId="0" fontId="24" fillId="0" borderId="0"/>
  </cellStyleXfs>
  <cellXfs count="202">
    <xf numFmtId="0" fontId="0" fillId="0" borderId="0" xfId="0"/>
    <xf numFmtId="0" fontId="19" fillId="2" borderId="0" xfId="2" applyFill="1" applyAlignment="1" applyProtection="1">
      <alignment horizontal="center" vertical="center"/>
    </xf>
    <xf numFmtId="0" fontId="2" fillId="0" borderId="0" xfId="0" applyFont="1" applyFill="1" applyProtection="1"/>
    <xf numFmtId="0" fontId="2" fillId="0" borderId="0" xfId="0" applyFont="1" applyProtection="1"/>
    <xf numFmtId="0" fontId="1" fillId="2" borderId="0" xfId="0" applyFont="1" applyFill="1" applyProtection="1"/>
    <xf numFmtId="0" fontId="0" fillId="0" borderId="0" xfId="0" applyProtection="1"/>
    <xf numFmtId="0" fontId="0" fillId="0" borderId="0" xfId="0" applyFill="1" applyProtection="1"/>
    <xf numFmtId="0" fontId="0" fillId="2" borderId="0" xfId="0" applyFill="1" applyProtection="1"/>
    <xf numFmtId="0" fontId="4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8" fillId="2" borderId="0" xfId="0" applyFont="1" applyFill="1" applyAlignment="1" applyProtection="1">
      <alignment horizontal="right" vertical="center"/>
    </xf>
    <xf numFmtId="0" fontId="3" fillId="2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left"/>
    </xf>
    <xf numFmtId="0" fontId="8" fillId="2" borderId="0" xfId="0" applyFont="1" applyFill="1" applyAlignment="1" applyProtection="1">
      <alignment horizontal="right"/>
    </xf>
    <xf numFmtId="0" fontId="5" fillId="2" borderId="0" xfId="0" applyFont="1" applyFill="1" applyAlignment="1" applyProtection="1">
      <alignment horizontal="right"/>
    </xf>
    <xf numFmtId="0" fontId="2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right"/>
    </xf>
    <xf numFmtId="0" fontId="3" fillId="2" borderId="0" xfId="0" applyFont="1" applyFill="1" applyAlignment="1" applyProtection="1">
      <alignment horizontal="right"/>
    </xf>
    <xf numFmtId="0" fontId="6" fillId="0" borderId="0" xfId="0" applyFont="1" applyFill="1" applyProtection="1"/>
    <xf numFmtId="0" fontId="0" fillId="2" borderId="0" xfId="0" applyFill="1" applyAlignment="1" applyProtection="1">
      <alignment horizontal="right"/>
    </xf>
    <xf numFmtId="0" fontId="3" fillId="0" borderId="0" xfId="0" applyFont="1" applyFill="1" applyProtection="1"/>
    <xf numFmtId="0" fontId="9" fillId="0" borderId="0" xfId="0" applyFont="1" applyFill="1" applyProtection="1"/>
    <xf numFmtId="0" fontId="0" fillId="0" borderId="0" xfId="0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quotePrefix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2" fillId="3" borderId="0" xfId="0" applyNumberFormat="1" applyFon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13" fillId="0" borderId="0" xfId="3" applyFont="1" applyBorder="1" applyAlignment="1"/>
    <xf numFmtId="0" fontId="1" fillId="0" borderId="0" xfId="3"/>
    <xf numFmtId="0" fontId="15" fillId="0" borderId="0" xfId="4" applyFont="1"/>
    <xf numFmtId="0" fontId="1" fillId="0" borderId="0" xfId="4" applyFont="1"/>
    <xf numFmtId="0" fontId="1" fillId="0" borderId="0" xfId="4" applyFont="1" applyAlignment="1">
      <alignment horizontal="left"/>
    </xf>
    <xf numFmtId="0" fontId="1" fillId="0" borderId="0" xfId="4" applyFont="1" applyBorder="1"/>
    <xf numFmtId="0" fontId="16" fillId="0" borderId="0" xfId="4" applyFont="1" applyBorder="1" applyProtection="1">
      <protection locked="0"/>
    </xf>
    <xf numFmtId="0" fontId="1" fillId="0" borderId="0" xfId="3" applyBorder="1"/>
    <xf numFmtId="0" fontId="8" fillId="0" borderId="0" xfId="4" applyFont="1"/>
    <xf numFmtId="0" fontId="1" fillId="0" borderId="0" xfId="4" applyFont="1" applyAlignment="1">
      <alignment horizontal="right"/>
    </xf>
    <xf numFmtId="169" fontId="1" fillId="0" borderId="0" xfId="4" applyNumberFormat="1" applyFont="1" applyAlignment="1">
      <alignment horizontal="left"/>
    </xf>
    <xf numFmtId="0" fontId="17" fillId="0" borderId="0" xfId="4" applyFont="1"/>
    <xf numFmtId="0" fontId="1" fillId="0" borderId="0" xfId="4" quotePrefix="1" applyFont="1"/>
    <xf numFmtId="0" fontId="1" fillId="0" borderId="1" xfId="4" applyFont="1" applyBorder="1" applyAlignment="1">
      <alignment horizontal="center"/>
    </xf>
    <xf numFmtId="0" fontId="1" fillId="0" borderId="4" xfId="4" applyFont="1" applyBorder="1" applyAlignment="1">
      <alignment horizontal="center"/>
    </xf>
    <xf numFmtId="14" fontId="1" fillId="0" borderId="2" xfId="4" applyNumberFormat="1" applyFont="1" applyBorder="1" applyAlignment="1">
      <alignment horizontal="center"/>
    </xf>
    <xf numFmtId="0" fontId="1" fillId="0" borderId="1" xfId="4" quotePrefix="1" applyFont="1" applyBorder="1" applyAlignment="1">
      <alignment horizontal="center"/>
    </xf>
    <xf numFmtId="0" fontId="1" fillId="0" borderId="4" xfId="4" applyFont="1" applyBorder="1"/>
    <xf numFmtId="0" fontId="1" fillId="0" borderId="1" xfId="4" applyFont="1" applyBorder="1"/>
    <xf numFmtId="0" fontId="1" fillId="0" borderId="2" xfId="4" applyFont="1" applyBorder="1"/>
    <xf numFmtId="0" fontId="1" fillId="0" borderId="5" xfId="4" applyFont="1" applyBorder="1"/>
    <xf numFmtId="169" fontId="1" fillId="0" borderId="0" xfId="4" quotePrefix="1" applyNumberFormat="1" applyFont="1" applyAlignment="1">
      <alignment horizontal="left"/>
    </xf>
    <xf numFmtId="0" fontId="20" fillId="0" borderId="0" xfId="0" applyFont="1" applyFill="1" applyProtection="1"/>
    <xf numFmtId="0" fontId="2" fillId="0" borderId="1" xfId="0" applyFont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 wrapText="1"/>
    </xf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1" fillId="4" borderId="0" xfId="5" applyFont="1" applyFill="1" applyAlignment="1" applyProtection="1">
      <alignment vertical="center"/>
    </xf>
    <xf numFmtId="0" fontId="22" fillId="4" borderId="0" xfId="5" applyFont="1" applyFill="1" applyAlignment="1" applyProtection="1">
      <alignment horizontal="centerContinuous" vertical="center"/>
    </xf>
    <xf numFmtId="0" fontId="21" fillId="4" borderId="0" xfId="5" applyFont="1" applyFill="1" applyAlignment="1" applyProtection="1">
      <alignment horizontal="centerContinuous" vertical="center"/>
    </xf>
    <xf numFmtId="0" fontId="21" fillId="4" borderId="0" xfId="5" applyFont="1" applyFill="1" applyProtection="1"/>
    <xf numFmtId="0" fontId="22" fillId="4" borderId="0" xfId="5" applyFont="1" applyFill="1" applyAlignment="1" applyProtection="1">
      <alignment horizontal="left" vertical="center"/>
    </xf>
    <xf numFmtId="0" fontId="22" fillId="4" borderId="6" xfId="5" applyFont="1" applyFill="1" applyBorder="1" applyAlignment="1" applyProtection="1">
      <alignment horizontal="center" vertical="center"/>
    </xf>
    <xf numFmtId="0" fontId="22" fillId="4" borderId="1" xfId="5" applyFont="1" applyFill="1" applyBorder="1" applyAlignment="1" applyProtection="1">
      <alignment horizontal="center" vertical="center"/>
    </xf>
    <xf numFmtId="0" fontId="21" fillId="4" borderId="1" xfId="5" applyFont="1" applyFill="1" applyBorder="1" applyAlignment="1" applyProtection="1">
      <alignment horizontal="centerContinuous" vertical="center"/>
    </xf>
    <xf numFmtId="0" fontId="22" fillId="4" borderId="1" xfId="5" applyFont="1" applyFill="1" applyBorder="1" applyAlignment="1" applyProtection="1">
      <alignment horizontal="center" vertical="center" wrapText="1"/>
    </xf>
    <xf numFmtId="0" fontId="22" fillId="4" borderId="1" xfId="5" applyFont="1" applyFill="1" applyBorder="1" applyAlignment="1" applyProtection="1">
      <alignment horizontal="left" vertical="center" wrapText="1"/>
    </xf>
    <xf numFmtId="0" fontId="21" fillId="4" borderId="1" xfId="5" applyFont="1" applyFill="1" applyBorder="1" applyAlignment="1" applyProtection="1">
      <alignment horizontal="center" vertical="center" wrapText="1"/>
    </xf>
    <xf numFmtId="0" fontId="21" fillId="5" borderId="1" xfId="5" applyFont="1" applyFill="1" applyBorder="1" applyAlignment="1" applyProtection="1">
      <alignment horizontal="center" vertical="center"/>
    </xf>
    <xf numFmtId="165" fontId="21" fillId="4" borderId="1" xfId="5" applyNumberFormat="1" applyFont="1" applyFill="1" applyBorder="1" applyAlignment="1" applyProtection="1">
      <alignment horizontal="center" vertical="center"/>
    </xf>
    <xf numFmtId="11" fontId="21" fillId="4" borderId="1" xfId="5" applyNumberFormat="1" applyFont="1" applyFill="1" applyBorder="1" applyAlignment="1" applyProtection="1">
      <alignment horizontal="center" vertical="center"/>
    </xf>
    <xf numFmtId="0" fontId="23" fillId="0" borderId="0" xfId="0" applyFont="1"/>
    <xf numFmtId="0" fontId="22" fillId="0" borderId="1" xfId="5" applyFont="1" applyFill="1" applyBorder="1" applyAlignment="1" applyProtection="1">
      <alignment horizontal="left" vertical="center" wrapText="1"/>
    </xf>
    <xf numFmtId="0" fontId="21" fillId="4" borderId="0" xfId="3" applyFont="1" applyFill="1" applyBorder="1" applyAlignment="1">
      <alignment vertical="center" wrapText="1"/>
    </xf>
    <xf numFmtId="0" fontId="21" fillId="4" borderId="0" xfId="3" applyFont="1" applyFill="1" applyBorder="1" applyAlignment="1">
      <alignment horizontal="left" vertical="center" wrapText="1"/>
    </xf>
    <xf numFmtId="0" fontId="21" fillId="4" borderId="1" xfId="6" applyFont="1" applyFill="1" applyBorder="1" applyAlignment="1">
      <alignment horizontal="center" vertical="center"/>
    </xf>
    <xf numFmtId="0" fontId="21" fillId="4" borderId="0" xfId="6" applyFont="1" applyFill="1" applyAlignment="1">
      <alignment vertical="center"/>
    </xf>
    <xf numFmtId="170" fontId="23" fillId="0" borderId="0" xfId="0" applyNumberFormat="1" applyFont="1" applyBorder="1"/>
    <xf numFmtId="0" fontId="23" fillId="0" borderId="0" xfId="0" applyFont="1" applyFill="1"/>
    <xf numFmtId="165" fontId="21" fillId="4" borderId="1" xfId="6" applyNumberFormat="1" applyFont="1" applyFill="1" applyBorder="1" applyAlignment="1">
      <alignment horizontal="center" vertical="center"/>
    </xf>
    <xf numFmtId="0" fontId="21" fillId="4" borderId="0" xfId="6" applyFont="1" applyFill="1" applyBorder="1" applyAlignment="1">
      <alignment vertical="center"/>
    </xf>
    <xf numFmtId="0" fontId="21" fillId="4" borderId="0" xfId="6" applyFont="1" applyFill="1" applyAlignment="1">
      <alignment horizontal="left" vertical="center"/>
    </xf>
    <xf numFmtId="0" fontId="21" fillId="4" borderId="0" xfId="6" applyFont="1" applyFill="1" applyAlignment="1">
      <alignment horizontal="center"/>
    </xf>
    <xf numFmtId="11" fontId="21" fillId="4" borderId="0" xfId="6" applyNumberFormat="1" applyFont="1" applyFill="1" applyAlignment="1">
      <alignment horizontal="center" vertical="center"/>
    </xf>
    <xf numFmtId="2" fontId="21" fillId="4" borderId="0" xfId="6" applyNumberFormat="1" applyFont="1" applyFill="1" applyAlignment="1">
      <alignment horizontal="center" vertical="center"/>
    </xf>
    <xf numFmtId="2" fontId="23" fillId="0" borderId="0" xfId="0" applyNumberFormat="1" applyFont="1"/>
    <xf numFmtId="171" fontId="21" fillId="4" borderId="0" xfId="6" applyNumberFormat="1" applyFont="1" applyFill="1" applyAlignment="1">
      <alignment horizontal="center" vertical="center"/>
    </xf>
    <xf numFmtId="2" fontId="21" fillId="4" borderId="0" xfId="6" applyNumberFormat="1" applyFont="1" applyFill="1" applyBorder="1" applyAlignment="1">
      <alignment vertical="center"/>
    </xf>
    <xf numFmtId="0" fontId="22" fillId="4" borderId="0" xfId="5" applyFont="1" applyFill="1" applyAlignment="1" applyProtection="1">
      <alignment vertical="center"/>
    </xf>
    <xf numFmtId="0" fontId="21" fillId="4" borderId="1" xfId="5" applyFont="1" applyFill="1" applyBorder="1" applyAlignment="1" applyProtection="1">
      <alignment horizontal="center" vertical="center"/>
    </xf>
    <xf numFmtId="0" fontId="21" fillId="4" borderId="6" xfId="5" applyFont="1" applyFill="1" applyBorder="1" applyAlignment="1" applyProtection="1">
      <alignment vertical="center"/>
    </xf>
    <xf numFmtId="2" fontId="21" fillId="4" borderId="6" xfId="5" applyNumberFormat="1" applyFont="1" applyFill="1" applyBorder="1" applyAlignment="1" applyProtection="1">
      <alignment horizontal="center" vertical="center"/>
    </xf>
    <xf numFmtId="11" fontId="21" fillId="4" borderId="6" xfId="5" applyNumberFormat="1" applyFont="1" applyFill="1" applyBorder="1" applyAlignment="1" applyProtection="1">
      <alignment horizontal="center" vertical="center"/>
    </xf>
    <xf numFmtId="0" fontId="22" fillId="6" borderId="34" xfId="5" applyFont="1" applyFill="1" applyBorder="1" applyAlignment="1" applyProtection="1">
      <alignment horizontal="left" vertical="center" wrapText="1"/>
    </xf>
    <xf numFmtId="165" fontId="22" fillId="6" borderId="35" xfId="5" applyNumberFormat="1" applyFont="1" applyFill="1" applyBorder="1" applyAlignment="1" applyProtection="1">
      <alignment horizontal="center" vertical="center"/>
    </xf>
    <xf numFmtId="11" fontId="22" fillId="6" borderId="36" xfId="5" applyNumberFormat="1" applyFont="1" applyFill="1" applyBorder="1" applyAlignment="1" applyProtection="1">
      <alignment horizontal="center" vertical="center"/>
    </xf>
    <xf numFmtId="0" fontId="22" fillId="6" borderId="37" xfId="5" applyFont="1" applyFill="1" applyBorder="1" applyAlignment="1" applyProtection="1">
      <alignment horizontal="left" vertical="center" wrapText="1"/>
    </xf>
    <xf numFmtId="165" fontId="22" fillId="6" borderId="38" xfId="5" applyNumberFormat="1" applyFont="1" applyFill="1" applyBorder="1" applyAlignment="1" applyProtection="1">
      <alignment horizontal="center" vertical="center"/>
    </xf>
    <xf numFmtId="11" fontId="22" fillId="6" borderId="39" xfId="5" applyNumberFormat="1" applyFont="1" applyFill="1" applyBorder="1" applyAlignment="1" applyProtection="1">
      <alignment horizontal="center" vertical="center"/>
    </xf>
    <xf numFmtId="0" fontId="22" fillId="7" borderId="40" xfId="5" applyFont="1" applyFill="1" applyBorder="1" applyAlignment="1" applyProtection="1">
      <alignment horizontal="left" vertical="center" wrapText="1"/>
    </xf>
    <xf numFmtId="165" fontId="22" fillId="7" borderId="41" xfId="5" applyNumberFormat="1" applyFont="1" applyFill="1" applyBorder="1" applyAlignment="1" applyProtection="1">
      <alignment horizontal="center" vertical="center"/>
    </xf>
    <xf numFmtId="11" fontId="22" fillId="7" borderId="42" xfId="5" applyNumberFormat="1" applyFont="1" applyFill="1" applyBorder="1" applyAlignment="1" applyProtection="1">
      <alignment horizontal="center" vertical="center"/>
    </xf>
    <xf numFmtId="0" fontId="22" fillId="8" borderId="0" xfId="5" applyFont="1" applyFill="1" applyBorder="1" applyAlignment="1" applyProtection="1">
      <alignment horizontal="left" vertical="center" wrapText="1"/>
    </xf>
    <xf numFmtId="0" fontId="21" fillId="8" borderId="6" xfId="5" applyFont="1" applyFill="1" applyBorder="1" applyAlignment="1" applyProtection="1">
      <alignment horizontal="center" vertical="center"/>
    </xf>
    <xf numFmtId="0" fontId="22" fillId="6" borderId="1" xfId="5" applyFont="1" applyFill="1" applyBorder="1" applyAlignment="1" applyProtection="1">
      <alignment horizontal="left" vertical="center" wrapText="1"/>
    </xf>
    <xf numFmtId="167" fontId="22" fillId="6" borderId="1" xfId="5" applyNumberFormat="1" applyFont="1" applyFill="1" applyBorder="1" applyAlignment="1" applyProtection="1">
      <alignment horizontal="center" vertical="center"/>
    </xf>
    <xf numFmtId="11" fontId="22" fillId="6" borderId="1" xfId="5" applyNumberFormat="1" applyFont="1" applyFill="1" applyBorder="1" applyAlignment="1" applyProtection="1">
      <alignment horizontal="center" vertical="center"/>
    </xf>
    <xf numFmtId="0" fontId="21" fillId="4" borderId="5" xfId="5" applyFont="1" applyFill="1" applyBorder="1" applyAlignment="1" applyProtection="1">
      <alignment horizontal="center" vertical="center"/>
    </xf>
    <xf numFmtId="167" fontId="21" fillId="4" borderId="1" xfId="5" applyNumberFormat="1" applyFont="1" applyFill="1" applyBorder="1" applyAlignment="1" applyProtection="1">
      <alignment horizontal="center" vertical="center"/>
    </xf>
    <xf numFmtId="168" fontId="22" fillId="4" borderId="1" xfId="5" applyNumberFormat="1" applyFont="1" applyFill="1" applyBorder="1" applyAlignment="1" applyProtection="1">
      <alignment horizontal="center" vertical="center"/>
    </xf>
    <xf numFmtId="1" fontId="22" fillId="6" borderId="5" xfId="5" applyNumberFormat="1" applyFont="1" applyFill="1" applyBorder="1" applyAlignment="1" applyProtection="1">
      <alignment horizontal="center" vertical="center"/>
    </xf>
    <xf numFmtId="164" fontId="22" fillId="4" borderId="1" xfId="5" applyNumberFormat="1" applyFont="1" applyFill="1" applyBorder="1" applyAlignment="1" applyProtection="1">
      <alignment horizontal="center" vertical="center"/>
    </xf>
    <xf numFmtId="167" fontId="22" fillId="4" borderId="1" xfId="5" applyNumberFormat="1" applyFont="1" applyFill="1" applyBorder="1" applyAlignment="1" applyProtection="1">
      <alignment horizontal="center" vertical="center"/>
    </xf>
    <xf numFmtId="1" fontId="22" fillId="4" borderId="7" xfId="5" applyNumberFormat="1" applyFont="1" applyFill="1" applyBorder="1" applyAlignment="1" applyProtection="1">
      <alignment horizontal="center" vertical="center"/>
    </xf>
    <xf numFmtId="1" fontId="22" fillId="4" borderId="14" xfId="5" applyNumberFormat="1" applyFont="1" applyFill="1" applyBorder="1" applyAlignment="1" applyProtection="1">
      <alignment horizontal="center" vertical="center"/>
    </xf>
    <xf numFmtId="1" fontId="22" fillId="4" borderId="0" xfId="5" applyNumberFormat="1" applyFont="1" applyFill="1" applyBorder="1" applyAlignment="1" applyProtection="1">
      <alignment horizontal="center" vertical="center"/>
    </xf>
    <xf numFmtId="0" fontId="21" fillId="4" borderId="0" xfId="5" applyFont="1" applyFill="1" applyAlignment="1" applyProtection="1">
      <alignment horizontal="center" vertical="center"/>
    </xf>
    <xf numFmtId="0" fontId="22" fillId="6" borderId="6" xfId="5" applyFont="1" applyFill="1" applyBorder="1" applyAlignment="1" applyProtection="1">
      <alignment horizontal="left" vertical="center" wrapText="1"/>
    </xf>
    <xf numFmtId="167" fontId="22" fillId="6" borderId="6" xfId="5" applyNumberFormat="1" applyFont="1" applyFill="1" applyBorder="1" applyAlignment="1" applyProtection="1">
      <alignment horizontal="center" vertical="center"/>
    </xf>
    <xf numFmtId="11" fontId="22" fillId="6" borderId="6" xfId="5" applyNumberFormat="1" applyFont="1" applyFill="1" applyBorder="1" applyAlignment="1" applyProtection="1">
      <alignment horizontal="center" vertical="center"/>
    </xf>
    <xf numFmtId="172" fontId="22" fillId="6" borderId="6" xfId="5" applyNumberFormat="1" applyFont="1" applyFill="1" applyBorder="1" applyAlignment="1" applyProtection="1">
      <alignment horizontal="center" vertical="center"/>
    </xf>
    <xf numFmtId="165" fontId="3" fillId="0" borderId="8" xfId="0" applyNumberFormat="1" applyFont="1" applyFill="1" applyBorder="1" applyAlignment="1" applyProtection="1">
      <alignment horizontal="center" vertical="center" wrapText="1"/>
    </xf>
    <xf numFmtId="165" fontId="3" fillId="0" borderId="9" xfId="0" applyNumberFormat="1" applyFont="1" applyFill="1" applyBorder="1" applyAlignment="1" applyProtection="1">
      <alignment horizontal="center" vertical="center" wrapText="1"/>
    </xf>
    <xf numFmtId="165" fontId="3" fillId="0" borderId="10" xfId="0" applyNumberFormat="1" applyFont="1" applyFill="1" applyBorder="1" applyAlignment="1" applyProtection="1">
      <alignment horizontal="center" vertical="center" wrapText="1"/>
    </xf>
    <xf numFmtId="165" fontId="3" fillId="0" borderId="11" xfId="0" applyNumberFormat="1" applyFont="1" applyFill="1" applyBorder="1" applyAlignment="1" applyProtection="1">
      <alignment horizontal="center" vertical="center" wrapText="1"/>
    </xf>
    <xf numFmtId="165" fontId="3" fillId="0" borderId="26" xfId="0" applyNumberFormat="1" applyFont="1" applyFill="1" applyBorder="1" applyAlignment="1" applyProtection="1">
      <alignment horizontal="center" vertical="center" wrapText="1"/>
    </xf>
    <xf numFmtId="165" fontId="3" fillId="0" borderId="27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0" fontId="21" fillId="4" borderId="0" xfId="3" applyFont="1" applyFill="1" applyBorder="1" applyAlignment="1">
      <alignment horizontal="left" vertical="center" wrapText="1"/>
    </xf>
    <xf numFmtId="0" fontId="22" fillId="4" borderId="30" xfId="5" applyFont="1" applyFill="1" applyBorder="1" applyAlignment="1" applyProtection="1">
      <alignment horizontal="center" vertical="center"/>
    </xf>
    <xf numFmtId="0" fontId="22" fillId="4" borderId="31" xfId="5" applyFont="1" applyFill="1" applyBorder="1" applyAlignment="1" applyProtection="1">
      <alignment horizontal="center" vertical="center"/>
    </xf>
    <xf numFmtId="0" fontId="22" fillId="4" borderId="32" xfId="5" applyFont="1" applyFill="1" applyBorder="1" applyAlignment="1" applyProtection="1">
      <alignment horizontal="center" vertical="center"/>
    </xf>
    <xf numFmtId="0" fontId="22" fillId="4" borderId="6" xfId="5" applyFont="1" applyFill="1" applyBorder="1" applyAlignment="1" applyProtection="1">
      <alignment horizontal="center" vertical="center"/>
    </xf>
    <xf numFmtId="0" fontId="22" fillId="4" borderId="33" xfId="5" applyFont="1" applyFill="1" applyBorder="1" applyAlignment="1" applyProtection="1">
      <alignment horizontal="center" vertical="center"/>
    </xf>
    <xf numFmtId="0" fontId="22" fillId="4" borderId="1" xfId="5" applyFont="1" applyFill="1" applyBorder="1" applyAlignment="1" applyProtection="1">
      <alignment horizontal="center" vertical="center"/>
    </xf>
    <xf numFmtId="0" fontId="1" fillId="0" borderId="2" xfId="4" applyFont="1" applyBorder="1" applyAlignment="1">
      <alignment horizontal="center"/>
    </xf>
    <xf numFmtId="0" fontId="1" fillId="0" borderId="4" xfId="4" applyFont="1" applyBorder="1" applyAlignment="1">
      <alignment horizontal="center"/>
    </xf>
    <xf numFmtId="0" fontId="1" fillId="0" borderId="5" xfId="4" applyFont="1" applyBorder="1" applyAlignment="1">
      <alignment horizont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1" fillId="0" borderId="7" xfId="3" applyFont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0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3" fillId="0" borderId="7" xfId="3" applyFont="1" applyBorder="1" applyAlignment="1">
      <alignment horizontal="left"/>
    </xf>
    <xf numFmtId="0" fontId="13" fillId="0" borderId="13" xfId="3" applyFont="1" applyBorder="1" applyAlignment="1">
      <alignment horizontal="left"/>
    </xf>
    <xf numFmtId="0" fontId="13" fillId="0" borderId="14" xfId="3" applyFont="1" applyBorder="1" applyAlignment="1">
      <alignment horizontal="left"/>
    </xf>
    <xf numFmtId="0" fontId="13" fillId="0" borderId="15" xfId="3" applyFont="1" applyBorder="1" applyAlignment="1">
      <alignment horizontal="left"/>
    </xf>
    <xf numFmtId="0" fontId="1" fillId="0" borderId="16" xfId="3" applyFont="1" applyBorder="1" applyAlignment="1">
      <alignment horizontal="center" vertical="center"/>
    </xf>
    <xf numFmtId="0" fontId="1" fillId="0" borderId="17" xfId="3" applyFont="1" applyBorder="1" applyAlignment="1">
      <alignment horizontal="center" vertical="center"/>
    </xf>
    <xf numFmtId="0" fontId="13" fillId="0" borderId="16" xfId="3" applyFont="1" applyBorder="1" applyAlignment="1">
      <alignment horizontal="left"/>
    </xf>
    <xf numFmtId="0" fontId="13" fillId="0" borderId="18" xfId="3" applyFont="1" applyBorder="1" applyAlignment="1">
      <alignment horizontal="left"/>
    </xf>
    <xf numFmtId="0" fontId="8" fillId="9" borderId="0" xfId="0" applyFont="1" applyFill="1"/>
    <xf numFmtId="0" fontId="0" fillId="9" borderId="0" xfId="0" applyFill="1"/>
    <xf numFmtId="173" fontId="0" fillId="9" borderId="0" xfId="0" applyNumberFormat="1" applyFill="1"/>
    <xf numFmtId="173" fontId="0" fillId="0" borderId="43" xfId="0" applyNumberFormat="1" applyBorder="1"/>
    <xf numFmtId="14" fontId="0" fillId="0" borderId="43" xfId="0" applyNumberFormat="1" applyBorder="1"/>
    <xf numFmtId="1" fontId="0" fillId="0" borderId="43" xfId="0" applyNumberFormat="1" applyBorder="1"/>
    <xf numFmtId="164" fontId="0" fillId="0" borderId="0" xfId="0" applyNumberFormat="1"/>
    <xf numFmtId="173" fontId="0" fillId="0" borderId="41" xfId="0" applyNumberFormat="1" applyBorder="1" applyAlignment="1">
      <alignment horizontal="right"/>
    </xf>
    <xf numFmtId="0" fontId="0" fillId="0" borderId="44" xfId="0" applyNumberFormat="1" applyBorder="1" applyAlignment="1">
      <alignment horizontal="center"/>
    </xf>
    <xf numFmtId="175" fontId="0" fillId="0" borderId="44" xfId="0" applyNumberFormat="1" applyBorder="1" applyAlignment="1">
      <alignment horizontal="center"/>
    </xf>
    <xf numFmtId="0" fontId="1" fillId="0" borderId="0" xfId="0" applyFont="1" applyAlignment="1" applyProtection="1">
      <alignment horizontal="center" vertical="center" wrapText="1"/>
    </xf>
    <xf numFmtId="2" fontId="0" fillId="0" borderId="0" xfId="0" applyNumberFormat="1" applyProtection="1"/>
    <xf numFmtId="2" fontId="2" fillId="0" borderId="1" xfId="0" applyNumberFormat="1" applyFont="1" applyFill="1" applyBorder="1" applyAlignment="1" applyProtection="1">
      <alignment horizontal="center"/>
    </xf>
    <xf numFmtId="2" fontId="2" fillId="0" borderId="2" xfId="0" applyNumberFormat="1" applyFont="1" applyFill="1" applyBorder="1" applyAlignment="1" applyProtection="1">
      <alignment horizontal="center"/>
    </xf>
    <xf numFmtId="2" fontId="2" fillId="0" borderId="28" xfId="0" applyNumberFormat="1" applyFont="1" applyFill="1" applyBorder="1" applyAlignment="1" applyProtection="1">
      <alignment horizontal="center"/>
    </xf>
    <xf numFmtId="2" fontId="2" fillId="0" borderId="29" xfId="0" applyNumberFormat="1" applyFont="1" applyFill="1" applyBorder="1" applyAlignment="1" applyProtection="1">
      <alignment horizontal="center"/>
    </xf>
    <xf numFmtId="2" fontId="2" fillId="0" borderId="2" xfId="0" applyNumberFormat="1" applyFont="1" applyBorder="1" applyAlignment="1" applyProtection="1">
      <alignment horizontal="center"/>
    </xf>
    <xf numFmtId="0" fontId="21" fillId="4" borderId="0" xfId="5" applyFont="1" applyFill="1" applyAlignment="1" applyProtection="1">
      <alignment horizontal="center" vertical="center"/>
      <protection locked="0"/>
    </xf>
    <xf numFmtId="0" fontId="22" fillId="4" borderId="1" xfId="5" applyFont="1" applyFill="1" applyBorder="1" applyAlignment="1" applyProtection="1">
      <alignment horizontal="left" vertical="center" wrapText="1"/>
      <protection locked="0"/>
    </xf>
    <xf numFmtId="0" fontId="21" fillId="4" borderId="1" xfId="5" applyFont="1" applyFill="1" applyBorder="1" applyAlignment="1" applyProtection="1">
      <alignment horizontal="center" vertical="center" wrapText="1"/>
      <protection locked="0"/>
    </xf>
    <xf numFmtId="0" fontId="1" fillId="0" borderId="0" xfId="3" applyFont="1"/>
    <xf numFmtId="0" fontId="1" fillId="0" borderId="1" xfId="3" applyFont="1" applyBorder="1" applyAlignment="1">
      <alignment wrapText="1"/>
    </xf>
    <xf numFmtId="0" fontId="1" fillId="0" borderId="1" xfId="3" applyBorder="1"/>
    <xf numFmtId="2" fontId="3" fillId="0" borderId="24" xfId="0" applyNumberFormat="1" applyFont="1" applyFill="1" applyBorder="1" applyAlignment="1" applyProtection="1">
      <alignment horizontal="center"/>
    </xf>
    <xf numFmtId="2" fontId="3" fillId="0" borderId="25" xfId="0" applyNumberFormat="1" applyFont="1" applyFill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2" fontId="3" fillId="0" borderId="22" xfId="0" applyNumberFormat="1" applyFont="1" applyBorder="1" applyAlignment="1" applyProtection="1">
      <alignment horizontal="center"/>
    </xf>
    <xf numFmtId="2" fontId="3" fillId="0" borderId="23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4" borderId="0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</cellXfs>
  <cellStyles count="7">
    <cellStyle name="Euro" xfId="1"/>
    <cellStyle name="Lien hypertexte" xfId="2" builtinId="8"/>
    <cellStyle name="Normal" xfId="0" builtinId="0"/>
    <cellStyle name="Normal 2" xfId="3"/>
    <cellStyle name="Normal_Bilan Incertitudes Balance Huile" xfId="6"/>
    <cellStyle name="Normal_ETALONNAGE DPI510" xfId="5"/>
    <cellStyle name="Normal_PROPO" xfId="4"/>
  </cellStyles>
  <dxfs count="7"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border>
        <left/>
        <right/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</xdr:col>
      <xdr:colOff>523875</xdr:colOff>
      <xdr:row>3</xdr:row>
      <xdr:rowOff>9525</xdr:rowOff>
    </xdr:to>
    <xdr:pic>
      <xdr:nvPicPr>
        <xdr:cNvPr id="2" name="Image 1" descr="Logo trescal New-FB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9715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9525</xdr:rowOff>
        </xdr:from>
        <xdr:to>
          <xdr:col>14</xdr:col>
          <xdr:colOff>28575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LPA</a:t>
              </a: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Enregistrement sous R:\05_Antennes\BI\Contrat technique\01_Relevés de mesures\2022\LPA\Pression linéarité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Au format PDF + archive du fichier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9</xdr:row>
          <xdr:rowOff>9525</xdr:rowOff>
        </xdr:from>
        <xdr:to>
          <xdr:col>14</xdr:col>
          <xdr:colOff>28575</xdr:colOff>
          <xdr:row>16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Jonage</a:t>
              </a: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Enregistrement sous R:\05_Antennes\BI\Contrat technique\01_Relevés de mesures\2022\JONAGE\Pression linéarité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Au format PDF + archive du fichier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16</xdr:row>
          <xdr:rowOff>66675</xdr:rowOff>
        </xdr:from>
        <xdr:to>
          <xdr:col>14</xdr:col>
          <xdr:colOff>28575</xdr:colOff>
          <xdr:row>22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LTY</a:t>
              </a: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Enregistrement sous R:\05_Antennes\BI\Contrat technique\01_Relevés de mesures\2022\LTY\Pression linéarité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Au format PDF + archive du fichier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22</xdr:row>
          <xdr:rowOff>38100</xdr:rowOff>
        </xdr:from>
        <xdr:to>
          <xdr:col>14</xdr:col>
          <xdr:colOff>38100</xdr:colOff>
          <xdr:row>29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CRSV</a:t>
              </a: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Enregistrement sous R:\05_Antennes\BI\Contrat technique\01_Relevés de mesures\2022\CRSV\Pression linéarité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Au format PDF + archive du fichier Excel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21</xdr:col>
      <xdr:colOff>104775</xdr:colOff>
      <xdr:row>128</xdr:row>
      <xdr:rowOff>123825</xdr:rowOff>
    </xdr:to>
    <xdr:pic>
      <xdr:nvPicPr>
        <xdr:cNvPr id="208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3850"/>
          <a:ext cx="15344775" cy="2052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161925</xdr:rowOff>
    </xdr:from>
    <xdr:to>
      <xdr:col>1</xdr:col>
      <xdr:colOff>466725</xdr:colOff>
      <xdr:row>3</xdr:row>
      <xdr:rowOff>57150</xdr:rowOff>
    </xdr:to>
    <xdr:pic>
      <xdr:nvPicPr>
        <xdr:cNvPr id="3" name="Image 2" descr="Logo trescal New-FB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1925"/>
          <a:ext cx="9715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I/Correction%20TLM/69PCP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5_Antennes\BI\Contrat%20technique\01_Relev&#233;s%20de%20mesures\2022\LPA\Osmolarit&#233;\A12695x1_FR121344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etal"/>
      <sheetName val="poly"/>
      <sheetName val="incert"/>
      <sheetName val="TLM"/>
      <sheetName val="Import OutilMetier"/>
    </sheetNames>
    <sheetDataSet>
      <sheetData sheetId="0"/>
      <sheetData sheetId="1">
        <row r="1">
          <cell r="B1" t="str">
            <v>Chaine de mesure de pression 0 à 100 mbar absolue</v>
          </cell>
        </row>
        <row r="2">
          <cell r="B2" t="str">
            <v>bar</v>
          </cell>
        </row>
        <row r="4">
          <cell r="B4" t="str">
            <v>69PCP019</v>
          </cell>
        </row>
        <row r="5">
          <cell r="B5">
            <v>1E-4</v>
          </cell>
        </row>
        <row r="6">
          <cell r="B6">
            <v>0.1</v>
          </cell>
        </row>
        <row r="7">
          <cell r="B7">
            <v>1.0000000000000001E-5</v>
          </cell>
        </row>
        <row r="11">
          <cell r="B11" t="str">
            <v>Azote</v>
          </cell>
        </row>
        <row r="20">
          <cell r="B20">
            <v>1E-4</v>
          </cell>
        </row>
        <row r="21">
          <cell r="B21">
            <v>4.0000000000000002E-4</v>
          </cell>
        </row>
        <row r="22">
          <cell r="B22">
            <v>8.9999999999999998E-4</v>
          </cell>
        </row>
        <row r="23">
          <cell r="B23">
            <v>1.6000000000000001E-3</v>
          </cell>
        </row>
        <row r="24">
          <cell r="B24">
            <v>4.1999999999999997E-3</v>
          </cell>
        </row>
        <row r="25">
          <cell r="B25">
            <v>6.4999999999999997E-3</v>
          </cell>
        </row>
        <row r="26">
          <cell r="B26">
            <v>9.4999999999999998E-3</v>
          </cell>
        </row>
        <row r="27">
          <cell r="B27">
            <v>0.02</v>
          </cell>
        </row>
        <row r="28">
          <cell r="B28">
            <v>4.8000000000000001E-2</v>
          </cell>
        </row>
        <row r="29">
          <cell r="B29">
            <v>6.5000000000000002E-2</v>
          </cell>
        </row>
        <row r="30">
          <cell r="B30">
            <v>8.4000000000000005E-2</v>
          </cell>
        </row>
        <row r="31">
          <cell r="B31">
            <v>0.1</v>
          </cell>
        </row>
        <row r="45">
          <cell r="A45">
            <v>0</v>
          </cell>
        </row>
        <row r="109">
          <cell r="A109">
            <v>7.4842684840151208E-5</v>
          </cell>
        </row>
        <row r="110">
          <cell r="A110">
            <v>6.4813843787882026E-4</v>
          </cell>
        </row>
      </sheetData>
      <sheetData sheetId="2">
        <row r="5">
          <cell r="E5">
            <v>4.429170853005598E-6</v>
          </cell>
        </row>
      </sheetData>
      <sheetData sheetId="3">
        <row r="17">
          <cell r="H17" t="str">
            <v>Air</v>
          </cell>
        </row>
        <row r="18">
          <cell r="H18" t="str">
            <v>Azote</v>
          </cell>
        </row>
        <row r="19">
          <cell r="H19" t="str">
            <v>Sébacate</v>
          </cell>
        </row>
        <row r="20">
          <cell r="H20" t="str">
            <v>Huile NUTOH46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CV"/>
      <sheetName val="Saisie"/>
      <sheetName val="Liste Etalon"/>
      <sheetName val="Bilan d'incertitude"/>
      <sheetName val="F13"/>
    </sheetNames>
    <definedNames>
      <definedName name="SauvegardeCRSV"/>
      <definedName name="SauvegardeJonage"/>
      <definedName name="SauvegardeLTY"/>
    </definedNames>
    <sheetDataSet>
      <sheetData sheetId="0" refreshError="1"/>
      <sheetData sheetId="1">
        <row r="7">
          <cell r="F7">
            <v>1</v>
          </cell>
        </row>
        <row r="11">
          <cell r="E11" t="str">
            <v>Etalon 1</v>
          </cell>
          <cell r="F11" t="str">
            <v>69DCSE032 - 500 Osm/Kg H2O</v>
          </cell>
        </row>
      </sheetData>
      <sheetData sheetId="2">
        <row r="2">
          <cell r="D2" t="str">
            <v>69DCSE035 - 50 mOsm/Kg H2O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42"/>
  <sheetViews>
    <sheetView tabSelected="1" zoomScaleNormal="100" workbookViewId="0">
      <selection activeCell="F35" sqref="F35:G35"/>
    </sheetView>
  </sheetViews>
  <sheetFormatPr baseColWidth="10" defaultRowHeight="12.75" x14ac:dyDescent="0.2"/>
  <cols>
    <col min="1" max="1" width="6.7109375" style="3" customWidth="1"/>
    <col min="2" max="2" width="15.7109375" style="3" customWidth="1"/>
    <col min="3" max="3" width="11.42578125" style="3" customWidth="1"/>
    <col min="4" max="4" width="13" style="3" customWidth="1"/>
    <col min="5" max="5" width="13.5703125" style="3" customWidth="1"/>
    <col min="6" max="7" width="11.42578125" style="3" customWidth="1"/>
    <col min="8" max="8" width="18.140625" style="5" customWidth="1"/>
    <col min="9" max="9" width="16.140625" style="5" bestFit="1" customWidth="1"/>
    <col min="10" max="16384" width="11.42578125" style="5"/>
  </cols>
  <sheetData>
    <row r="1" spans="1:10" ht="15.75" x14ac:dyDescent="0.25">
      <c r="A1" s="2"/>
      <c r="B1" s="2"/>
      <c r="C1" s="2"/>
      <c r="E1" s="21" t="str">
        <f>CONCATENATE("N° de Certificat : ",I8)</f>
        <v>N° de Certificat : FR214214174</v>
      </c>
      <c r="F1" s="63"/>
      <c r="H1" s="4" t="s">
        <v>19</v>
      </c>
      <c r="I1" s="4" t="s">
        <v>13</v>
      </c>
      <c r="J1" s="5" t="str">
        <f>CONCATENATE(I9,"_",I8)</f>
        <v>A11895x15_FR214214174</v>
      </c>
    </row>
    <row r="2" spans="1:10" x14ac:dyDescent="0.2">
      <c r="A2" s="2"/>
      <c r="B2" s="2"/>
      <c r="C2" s="2"/>
      <c r="D2" s="6"/>
      <c r="E2" s="6"/>
      <c r="F2" s="2"/>
      <c r="G2" s="2"/>
      <c r="H2" s="4" t="s">
        <v>20</v>
      </c>
      <c r="I2" s="4" t="s">
        <v>14</v>
      </c>
    </row>
    <row r="3" spans="1:10" x14ac:dyDescent="0.2">
      <c r="A3" s="2"/>
      <c r="D3" s="2"/>
      <c r="E3" s="2"/>
      <c r="F3" s="2"/>
      <c r="G3" s="2"/>
      <c r="H3" s="7" t="s">
        <v>15</v>
      </c>
      <c r="I3" s="7"/>
    </row>
    <row r="4" spans="1:10" x14ac:dyDescent="0.2">
      <c r="A4" s="2"/>
      <c r="B4" s="2"/>
      <c r="C4" s="2"/>
      <c r="D4" s="2"/>
      <c r="E4" s="2"/>
      <c r="F4" s="2"/>
      <c r="G4" s="2"/>
      <c r="H4" s="7" t="s">
        <v>16</v>
      </c>
      <c r="I4" s="7"/>
    </row>
    <row r="5" spans="1:10" x14ac:dyDescent="0.2">
      <c r="A5" s="2"/>
      <c r="B5" s="2"/>
      <c r="C5" s="2"/>
      <c r="F5" s="2"/>
      <c r="G5" s="2"/>
      <c r="H5" s="7"/>
      <c r="I5" s="7"/>
    </row>
    <row r="6" spans="1:10" ht="15.75" x14ac:dyDescent="0.25">
      <c r="A6" s="8" t="s">
        <v>3</v>
      </c>
      <c r="B6" s="2"/>
      <c r="C6" s="2"/>
      <c r="D6" s="2"/>
      <c r="E6" s="2"/>
      <c r="F6" s="2"/>
      <c r="G6" s="2"/>
      <c r="H6" s="7"/>
      <c r="I6" s="7"/>
    </row>
    <row r="7" spans="1:10" x14ac:dyDescent="0.2">
      <c r="A7" s="2"/>
      <c r="B7" s="2"/>
      <c r="C7" s="2"/>
      <c r="D7" s="2"/>
      <c r="E7" s="2"/>
      <c r="F7" s="2"/>
      <c r="G7" s="2"/>
      <c r="H7" s="7"/>
      <c r="I7" s="7"/>
    </row>
    <row r="8" spans="1:10" x14ac:dyDescent="0.2">
      <c r="A8" s="2"/>
      <c r="B8" s="9" t="s">
        <v>0</v>
      </c>
      <c r="C8" s="12" t="str">
        <f>I11</f>
        <v>Pression Autoclave</v>
      </c>
      <c r="D8" s="2"/>
      <c r="E8" s="2"/>
      <c r="G8" s="2"/>
      <c r="H8" s="10" t="s">
        <v>44</v>
      </c>
      <c r="I8" s="35" t="s">
        <v>46</v>
      </c>
    </row>
    <row r="9" spans="1:10" x14ac:dyDescent="0.2">
      <c r="A9" s="2"/>
      <c r="B9" s="9"/>
      <c r="C9" s="2"/>
      <c r="D9" s="2"/>
      <c r="E9" s="2"/>
      <c r="G9" s="2"/>
      <c r="H9" s="11" t="s">
        <v>47</v>
      </c>
      <c r="I9" s="35" t="s">
        <v>45</v>
      </c>
    </row>
    <row r="10" spans="1:10" x14ac:dyDescent="0.2">
      <c r="A10" s="2"/>
      <c r="B10" s="9" t="s">
        <v>1</v>
      </c>
      <c r="C10" s="15" t="str">
        <f>CONCATENATE(I13," ",I12)</f>
        <v>1 mbar absolu</v>
      </c>
      <c r="D10" s="16" t="s">
        <v>2</v>
      </c>
      <c r="E10" s="15" t="str">
        <f>CONCATENATE(I14," ",I12)</f>
        <v>1 mbar absolu</v>
      </c>
      <c r="G10" s="2"/>
      <c r="H10" s="11"/>
      <c r="I10" s="36"/>
    </row>
    <row r="11" spans="1:10" x14ac:dyDescent="0.2">
      <c r="A11" s="2"/>
      <c r="B11" s="9"/>
      <c r="C11" s="2"/>
      <c r="D11" s="2"/>
      <c r="E11" s="2"/>
      <c r="G11" s="2"/>
      <c r="H11" s="11" t="str">
        <f>B8</f>
        <v>Type :</v>
      </c>
      <c r="I11" s="35" t="s">
        <v>17</v>
      </c>
    </row>
    <row r="12" spans="1:10" ht="15" x14ac:dyDescent="0.25">
      <c r="A12" s="2"/>
      <c r="B12" s="18"/>
      <c r="C12" s="9"/>
      <c r="D12" s="9"/>
      <c r="E12" s="16"/>
      <c r="F12" s="2"/>
      <c r="G12" s="2"/>
      <c r="H12" s="13" t="s">
        <v>6</v>
      </c>
      <c r="I12" s="37" t="s">
        <v>15</v>
      </c>
    </row>
    <row r="13" spans="1:10" ht="15.75" x14ac:dyDescent="0.25">
      <c r="A13" s="8" t="s">
        <v>4</v>
      </c>
      <c r="B13" s="2"/>
      <c r="C13" s="2"/>
      <c r="D13" s="20"/>
      <c r="E13" s="2"/>
      <c r="F13" s="2"/>
      <c r="G13" s="2"/>
      <c r="H13" s="14" t="s">
        <v>1</v>
      </c>
      <c r="I13" s="38">
        <v>1</v>
      </c>
    </row>
    <row r="14" spans="1:10" ht="15.75" x14ac:dyDescent="0.25">
      <c r="A14" s="8"/>
      <c r="B14" s="2"/>
      <c r="C14" s="2"/>
      <c r="D14" s="20"/>
      <c r="E14" s="2"/>
      <c r="F14" s="2"/>
      <c r="G14" s="2"/>
      <c r="H14" s="17" t="s">
        <v>2</v>
      </c>
      <c r="I14" s="38">
        <v>1</v>
      </c>
    </row>
    <row r="15" spans="1:10" ht="15.75" x14ac:dyDescent="0.25">
      <c r="A15" s="8"/>
      <c r="C15" s="21" t="s">
        <v>10</v>
      </c>
      <c r="D15" s="20"/>
      <c r="E15" s="2"/>
      <c r="F15" s="2"/>
      <c r="G15" s="2"/>
      <c r="H15" s="19"/>
      <c r="I15" s="7"/>
    </row>
    <row r="16" spans="1:10" x14ac:dyDescent="0.2">
      <c r="A16" s="6"/>
      <c r="B16" s="15"/>
      <c r="C16" s="15"/>
      <c r="D16" s="15"/>
      <c r="E16" s="15"/>
      <c r="F16" s="15"/>
      <c r="G16" s="2"/>
      <c r="H16" s="11" t="s">
        <v>12</v>
      </c>
      <c r="I16" s="39">
        <v>3</v>
      </c>
    </row>
    <row r="17" spans="1:11" ht="15.75" thickBot="1" x14ac:dyDescent="0.3">
      <c r="A17" s="6"/>
      <c r="B17" s="23" t="s">
        <v>11</v>
      </c>
      <c r="C17" s="15"/>
      <c r="D17" s="15"/>
      <c r="E17" s="15"/>
      <c r="F17" s="15"/>
      <c r="G17" s="2"/>
      <c r="H17" s="7"/>
      <c r="I17" s="1"/>
    </row>
    <row r="18" spans="1:11" ht="39" thickTop="1" x14ac:dyDescent="0.2">
      <c r="A18" s="24"/>
      <c r="B18" s="25" t="str">
        <f>CONCATENATE("Pression de référence en ",I12)</f>
        <v>Pression de référence en mbar absolu</v>
      </c>
      <c r="C18" s="25" t="str">
        <f>CONCATENATE("Pression Lu     en ",I12)</f>
        <v>Pression Lu     en mbar absolu</v>
      </c>
      <c r="D18" s="26" t="str">
        <f>CONCATENATE("Ecart en ",I12)</f>
        <v>Ecart en mbar absolu</v>
      </c>
      <c r="E18" s="67" t="s">
        <v>48</v>
      </c>
      <c r="F18" s="65" t="str">
        <f>CONCATENATE("Ecart Maxi en ",I12)</f>
        <v>Ecart Maxi en mbar absolu</v>
      </c>
      <c r="G18" s="66" t="str">
        <f>CONCATENATE("Ecart Mini en ",I12)</f>
        <v>Ecart Mini en mbar absolu</v>
      </c>
      <c r="H18" s="7"/>
      <c r="I18" s="1"/>
    </row>
    <row r="19" spans="1:11" ht="13.5" thickBot="1" x14ac:dyDescent="0.25">
      <c r="A19" s="6"/>
      <c r="B19" s="178">
        <f>J22</f>
        <v>59.62</v>
      </c>
      <c r="C19" s="30">
        <v>58</v>
      </c>
      <c r="D19" s="179">
        <f>C19-B19</f>
        <v>-1.6199999999999974</v>
      </c>
      <c r="E19" s="182">
        <f>ROUND(2*SQRT(SUMSQ(K22,'Bilan d''incertitude'!$F$5)),2)</f>
        <v>0.57999999999999996</v>
      </c>
      <c r="F19" s="180">
        <f>MAX(ABS(D19),ABS(D20),ABS(D21),ABS(D22),ABS(D23))</f>
        <v>3.4200000000000017</v>
      </c>
      <c r="G19" s="181">
        <f>MIN(ABS(D19),ABS(D20),ABS(D21),ABS(D22),ABS(D23))</f>
        <v>0.54000000000000625</v>
      </c>
      <c r="H19" s="7"/>
      <c r="I19" s="7"/>
      <c r="K19" s="22"/>
    </row>
    <row r="20" spans="1:11" ht="13.5" thickTop="1" x14ac:dyDescent="0.2">
      <c r="A20" s="6"/>
      <c r="B20" s="178">
        <f t="shared" ref="B20:B23" si="0">J23</f>
        <v>69.599999999999994</v>
      </c>
      <c r="C20" s="30">
        <v>72</v>
      </c>
      <c r="D20" s="179">
        <f>C20-B20</f>
        <v>2.4000000000000057</v>
      </c>
      <c r="E20" s="182">
        <f>ROUND(2*SQRT(SUMSQ(K23,'Bilan d''incertitude'!$F$5)),2)</f>
        <v>0.59</v>
      </c>
      <c r="F20" s="191" t="str">
        <f>CONCATENATE("Ecart de linéarité en ",I12," :")</f>
        <v>Ecart de linéarité en mbar absolu :</v>
      </c>
      <c r="G20" s="192"/>
      <c r="H20" s="138" t="str">
        <f>IF(E23&lt;=I16,"Conforme","Non Conforme")</f>
        <v>Conforme</v>
      </c>
      <c r="I20" s="138"/>
      <c r="J20" s="22"/>
      <c r="K20" s="22"/>
    </row>
    <row r="21" spans="1:11" s="29" customFormat="1" ht="12" customHeight="1" x14ac:dyDescent="0.2">
      <c r="A21" s="6"/>
      <c r="B21" s="178">
        <f t="shared" si="0"/>
        <v>79.58</v>
      </c>
      <c r="C21" s="30">
        <v>83</v>
      </c>
      <c r="D21" s="179">
        <f>C21-B21</f>
        <v>3.4200000000000017</v>
      </c>
      <c r="E21" s="182">
        <f>ROUND(2*SQRT(SUMSQ(K24,'Bilan d''incertitude'!$F$5)),2)</f>
        <v>0.59</v>
      </c>
      <c r="F21" s="193"/>
      <c r="G21" s="194"/>
      <c r="H21" s="27" t="s">
        <v>18</v>
      </c>
      <c r="I21" s="28" t="s">
        <v>5</v>
      </c>
      <c r="J21" s="176" t="s">
        <v>153</v>
      </c>
      <c r="K21" s="176" t="s">
        <v>157</v>
      </c>
    </row>
    <row r="22" spans="1:11" x14ac:dyDescent="0.2">
      <c r="A22" s="6"/>
      <c r="B22" s="178">
        <f t="shared" si="0"/>
        <v>89.56</v>
      </c>
      <c r="C22" s="30">
        <f t="shared" ref="B19:C23" si="1">I25</f>
        <v>89</v>
      </c>
      <c r="D22" s="179">
        <f>C22-B22</f>
        <v>-0.56000000000000227</v>
      </c>
      <c r="E22" s="182">
        <f>ROUND(2*SQRT(SUMSQ(K25,'Bilan d''incertitude'!$F$5)),2)</f>
        <v>0.59</v>
      </c>
      <c r="F22" s="193"/>
      <c r="G22" s="194"/>
      <c r="H22" s="40">
        <v>60</v>
      </c>
      <c r="I22" s="39">
        <v>59</v>
      </c>
      <c r="J22" s="177">
        <f>ROUND(H22+Etalon!$A$3*1000+H22*Etalon!$B$3+H22^2*Etalon!$C$3+H22^3*Etalon!$D$3+H22^4*Etalon!$E$3,2)</f>
        <v>59.62</v>
      </c>
      <c r="K22" s="5">
        <f>(J22*Etalon!$K$3+Etalon!$L$3)/2</f>
        <v>4.4793588850619112E-2</v>
      </c>
    </row>
    <row r="23" spans="1:11" ht="13.5" thickBot="1" x14ac:dyDescent="0.25">
      <c r="A23" s="6"/>
      <c r="B23" s="178">
        <f t="shared" si="0"/>
        <v>94.54</v>
      </c>
      <c r="C23" s="30">
        <f t="shared" si="1"/>
        <v>94</v>
      </c>
      <c r="D23" s="179">
        <f>C23-B23</f>
        <v>-0.54000000000000625</v>
      </c>
      <c r="E23" s="182">
        <f>ROUND(2*SQRT(SUMSQ(K26,'Bilan d''incertitude'!$F$5)),2)</f>
        <v>0.59</v>
      </c>
      <c r="F23" s="195">
        <f>F19-G19</f>
        <v>2.8799999999999955</v>
      </c>
      <c r="G23" s="196"/>
      <c r="H23" s="40">
        <v>70</v>
      </c>
      <c r="I23" s="39">
        <v>69</v>
      </c>
      <c r="J23" s="177">
        <f>ROUND(H23+Etalon!$A$3*1000+H23*Etalon!$B$3+H23^2*Etalon!$C$3+H23^3*Etalon!$D$3+H23^4*Etalon!$E$3,2)</f>
        <v>69.599999999999994</v>
      </c>
      <c r="K23" s="5">
        <f>(J23*Etalon!$K$3+Etalon!$L$3)/2</f>
        <v>5.2276895804247075E-2</v>
      </c>
    </row>
    <row r="24" spans="1:11" ht="13.5" thickTop="1" x14ac:dyDescent="0.2">
      <c r="A24" s="6"/>
      <c r="B24" s="31"/>
      <c r="C24" s="32"/>
      <c r="D24" s="32"/>
      <c r="E24" s="2"/>
      <c r="F24" s="2"/>
      <c r="H24" s="40">
        <v>80</v>
      </c>
      <c r="I24" s="39">
        <v>79</v>
      </c>
      <c r="J24" s="177">
        <f>ROUND(H24+Etalon!$A$3*1000+H24*Etalon!$B$3+H24^2*Etalon!$C$3+H24^3*Etalon!$D$3+H24^4*Etalon!$E$3,2)</f>
        <v>79.58</v>
      </c>
      <c r="K24" s="5">
        <f>(J24*Etalon!$K$3+Etalon!$L$3)/2</f>
        <v>5.9760202757875053E-2</v>
      </c>
    </row>
    <row r="25" spans="1:11" x14ac:dyDescent="0.2">
      <c r="A25" s="6"/>
      <c r="B25" s="139" t="str">
        <f>IF(H20="non conforme",CONCATENATE("Ce capteur ne répond pas au critère: ecart de linéarité  ≤  ",$I$16," ",$I$12),CONCATENATE("Ce capteur répond au critère: ecart de linéarité  ≤  ",$I$16," ",$I$12))</f>
        <v>Ce capteur répond au critère: ecart de linéarité  ≤  3 mbar absolu</v>
      </c>
      <c r="C25" s="139"/>
      <c r="D25" s="139"/>
      <c r="E25" s="139"/>
      <c r="F25" s="139"/>
      <c r="H25" s="40">
        <v>90</v>
      </c>
      <c r="I25" s="39">
        <v>89</v>
      </c>
      <c r="J25" s="177">
        <f>ROUND(H25+Etalon!$A$3*1000+H25*Etalon!$B$3+H25^2*Etalon!$C$3+H25^3*Etalon!$D$3+H25^4*Etalon!$E$3,2)</f>
        <v>89.56</v>
      </c>
      <c r="K25" s="5">
        <f>(J25*Etalon!$K$3+Etalon!$L$3)/2</f>
        <v>6.7243509711503016E-2</v>
      </c>
    </row>
    <row r="26" spans="1:11" ht="15.75" x14ac:dyDescent="0.25">
      <c r="A26" s="8"/>
      <c r="B26" s="2"/>
      <c r="C26" s="2"/>
      <c r="D26" s="2"/>
      <c r="H26" s="40">
        <v>95</v>
      </c>
      <c r="I26" s="39">
        <v>94</v>
      </c>
      <c r="J26" s="177">
        <f>ROUND(H26+Etalon!$A$3*1000+H26*Etalon!$B$3+H26^2*Etalon!$C$3+H26^3*Etalon!$D$3+H26^4*Etalon!$E$3,2)</f>
        <v>94.54</v>
      </c>
      <c r="K26" s="5">
        <f>(J26*Etalon!$K$3+Etalon!$L$3)/2</f>
        <v>7.0977664884756264E-2</v>
      </c>
    </row>
    <row r="27" spans="1:11" ht="15.75" x14ac:dyDescent="0.25">
      <c r="A27" s="2"/>
      <c r="C27" s="21" t="s">
        <v>9</v>
      </c>
      <c r="D27" s="2"/>
      <c r="H27" s="33"/>
      <c r="I27" s="33"/>
      <c r="J27" s="22"/>
    </row>
    <row r="28" spans="1:11" x14ac:dyDescent="0.2">
      <c r="H28" s="33"/>
      <c r="I28" s="33"/>
      <c r="J28" s="22"/>
    </row>
    <row r="29" spans="1:11" ht="15.75" thickBot="1" x14ac:dyDescent="0.3">
      <c r="A29" s="6"/>
      <c r="B29" s="23" t="s">
        <v>11</v>
      </c>
      <c r="C29" s="15"/>
      <c r="D29" s="15"/>
      <c r="E29" s="15"/>
      <c r="F29" s="15"/>
      <c r="G29" s="2"/>
      <c r="H29" s="7"/>
      <c r="I29" s="7"/>
    </row>
    <row r="30" spans="1:11" ht="39" thickTop="1" x14ac:dyDescent="0.2">
      <c r="A30" s="24"/>
      <c r="B30" s="25" t="str">
        <f>B18</f>
        <v>Pression de référence en mbar absolu</v>
      </c>
      <c r="C30" s="25" t="str">
        <f>C18</f>
        <v>Pression Lu     en mbar absolu</v>
      </c>
      <c r="D30" s="26" t="str">
        <f>D18</f>
        <v>Ecart en mbar absolu</v>
      </c>
      <c r="E30" s="64" t="s">
        <v>48</v>
      </c>
      <c r="F30" s="65" t="str">
        <f>F18</f>
        <v>Ecart Maxi en mbar absolu</v>
      </c>
      <c r="G30" s="66" t="str">
        <f>G18</f>
        <v>Ecart Mini en mbar absolu</v>
      </c>
      <c r="H30" s="17" t="s">
        <v>8</v>
      </c>
      <c r="I30" s="38" t="s">
        <v>13</v>
      </c>
    </row>
    <row r="31" spans="1:11" ht="13.5" thickBot="1" x14ac:dyDescent="0.25">
      <c r="A31" s="6"/>
      <c r="B31" s="178">
        <f>J34</f>
        <v>59.62</v>
      </c>
      <c r="C31" s="30">
        <v>60</v>
      </c>
      <c r="D31" s="179">
        <f>C31-B31</f>
        <v>0.38000000000000256</v>
      </c>
      <c r="E31" s="182">
        <f>ROUND(2*SQRT(SUMSQ(K34,'Bilan d''incertitude'!$F$5)),2)</f>
        <v>0.57999999999999996</v>
      </c>
      <c r="F31" s="180">
        <f>MAX(ABS(D31),ABS(D32),ABS(D33),ABS(D34),ABS(D35))</f>
        <v>0.45999999999999375</v>
      </c>
      <c r="G31" s="181">
        <f>MIN(ABS(D31),ABS(D32),ABS(D33),ABS(D34),ABS(D35))</f>
        <v>0.38000000000000256</v>
      </c>
      <c r="H31" s="34"/>
      <c r="I31" s="34"/>
    </row>
    <row r="32" spans="1:11" ht="13.5" thickTop="1" x14ac:dyDescent="0.2">
      <c r="A32" s="6"/>
      <c r="B32" s="178">
        <f t="shared" ref="B32:B35" si="2">J35</f>
        <v>69.599999999999994</v>
      </c>
      <c r="C32" s="30">
        <v>70</v>
      </c>
      <c r="D32" s="179">
        <f>C32-B32</f>
        <v>0.40000000000000568</v>
      </c>
      <c r="E32" s="182">
        <f>ROUND(2*SQRT(SUMSQ(K35,'Bilan d''incertitude'!$F$5)),2)</f>
        <v>0.59</v>
      </c>
      <c r="F32" s="132" t="str">
        <f>CONCATENATE("Ecart de linéarité en ",I12," :")</f>
        <v>Ecart de linéarité en mbar absolu :</v>
      </c>
      <c r="G32" s="133"/>
      <c r="H32" s="138" t="str">
        <f>IF(E35&lt;I16,"Conforme","Non Conforme")</f>
        <v>Conforme</v>
      </c>
      <c r="I32" s="138"/>
      <c r="J32" s="22"/>
      <c r="K32" s="22"/>
    </row>
    <row r="33" spans="1:11" s="29" customFormat="1" ht="13.5" customHeight="1" x14ac:dyDescent="0.2">
      <c r="A33" s="6"/>
      <c r="B33" s="178">
        <f t="shared" si="2"/>
        <v>79.58</v>
      </c>
      <c r="C33" s="30">
        <v>80</v>
      </c>
      <c r="D33" s="179">
        <f>C33-B33</f>
        <v>0.42000000000000171</v>
      </c>
      <c r="E33" s="182">
        <f>ROUND(2*SQRT(SUMSQ(K36,'Bilan d''incertitude'!$F$5)),2)</f>
        <v>0.59</v>
      </c>
      <c r="F33" s="134"/>
      <c r="G33" s="135"/>
      <c r="H33" s="27" t="s">
        <v>18</v>
      </c>
      <c r="I33" s="28" t="s">
        <v>5</v>
      </c>
      <c r="J33" s="176" t="s">
        <v>153</v>
      </c>
      <c r="K33" s="176" t="s">
        <v>157</v>
      </c>
    </row>
    <row r="34" spans="1:11" x14ac:dyDescent="0.2">
      <c r="A34" s="6"/>
      <c r="B34" s="178">
        <f t="shared" si="2"/>
        <v>89.56</v>
      </c>
      <c r="C34" s="30">
        <v>90</v>
      </c>
      <c r="D34" s="179">
        <f>C34-B34</f>
        <v>0.43999999999999773</v>
      </c>
      <c r="E34" s="182">
        <f>ROUND(2*SQRT(SUMSQ(K37,'Bilan d''incertitude'!$F$5)),2)</f>
        <v>0.59</v>
      </c>
      <c r="F34" s="136"/>
      <c r="G34" s="137"/>
      <c r="H34" s="40">
        <v>60</v>
      </c>
      <c r="I34" s="39">
        <v>59</v>
      </c>
      <c r="J34" s="177">
        <f>ROUND(H34+Etalon!$A$3*1000+H34*Etalon!$B$3+H34^2*Etalon!$C$3+H34^3*Etalon!$D$3+H34^4*Etalon!$E$3,2)</f>
        <v>59.62</v>
      </c>
      <c r="K34" s="5">
        <f>(J34*Etalon!$K$3+Etalon!$L$3)/2</f>
        <v>4.4793588850619112E-2</v>
      </c>
    </row>
    <row r="35" spans="1:11" ht="12.75" customHeight="1" thickBot="1" x14ac:dyDescent="0.25">
      <c r="A35" s="6"/>
      <c r="B35" s="178">
        <f t="shared" si="2"/>
        <v>94.54</v>
      </c>
      <c r="C35" s="30">
        <v>95</v>
      </c>
      <c r="D35" s="179">
        <f>C35-B35</f>
        <v>0.45999999999999375</v>
      </c>
      <c r="E35" s="182">
        <f>ROUND(2*SQRT(SUMSQ(K38,'Bilan d''incertitude'!$F$5)),2)</f>
        <v>0.59</v>
      </c>
      <c r="F35" s="189">
        <f>F31-G31</f>
        <v>7.9999999999991189E-2</v>
      </c>
      <c r="G35" s="190"/>
      <c r="H35" s="40">
        <v>70</v>
      </c>
      <c r="I35" s="39">
        <v>69</v>
      </c>
      <c r="J35" s="177">
        <f>ROUND(H35+Etalon!$A$3*1000+H35*Etalon!$B$3+H35^2*Etalon!$C$3+H35^3*Etalon!$D$3+H35^4*Etalon!$E$3,2)</f>
        <v>69.599999999999994</v>
      </c>
      <c r="K35" s="5">
        <f>(J35*Etalon!$K$3+Etalon!$L$3)/2</f>
        <v>5.2276895804247075E-2</v>
      </c>
    </row>
    <row r="36" spans="1:11" ht="13.5" thickTop="1" x14ac:dyDescent="0.2">
      <c r="H36" s="40">
        <v>80</v>
      </c>
      <c r="I36" s="39">
        <v>79</v>
      </c>
      <c r="J36" s="177">
        <f>ROUND(H36+Etalon!$A$3*1000+H36*Etalon!$B$3+H36^2*Etalon!$C$3+H36^3*Etalon!$D$3+H36^4*Etalon!$E$3,2)</f>
        <v>79.58</v>
      </c>
      <c r="K36" s="5">
        <f>(J36*Etalon!$K$3+Etalon!$L$3)/2</f>
        <v>5.9760202757875053E-2</v>
      </c>
    </row>
    <row r="37" spans="1:11" x14ac:dyDescent="0.2">
      <c r="A37" s="6"/>
      <c r="B37" s="139" t="str">
        <f>IF(H32="non conforme",CONCATENATE("Ce capteur ne répond pas au critère: ecart de linéarité  ≤  ",$I$16," ",$I$12),CONCATENATE("Ce capteur répond au critère: ecart de linéarité  ≤  ",$I$16," ",$I$12))</f>
        <v>Ce capteur répond au critère: ecart de linéarité  ≤  3 mbar absolu</v>
      </c>
      <c r="C37" s="139"/>
      <c r="D37" s="139"/>
      <c r="E37" s="139"/>
      <c r="F37" s="139"/>
      <c r="H37" s="40">
        <v>90</v>
      </c>
      <c r="I37" s="39">
        <v>89</v>
      </c>
      <c r="J37" s="177">
        <f>ROUND(H37+Etalon!$A$3*1000+H37*Etalon!$B$3+H37^2*Etalon!$C$3+H37^3*Etalon!$D$3+H37^4*Etalon!$E$3,2)</f>
        <v>89.56</v>
      </c>
      <c r="K37" s="5">
        <f>(J37*Etalon!$K$3+Etalon!$L$3)/2</f>
        <v>6.7243509711503016E-2</v>
      </c>
    </row>
    <row r="38" spans="1:11" x14ac:dyDescent="0.2">
      <c r="G38" s="2"/>
      <c r="H38" s="40">
        <v>95</v>
      </c>
      <c r="I38" s="39">
        <v>94</v>
      </c>
      <c r="J38" s="177">
        <f>ROUND(H38+Etalon!$A$3*1000+H38*Etalon!$B$3+H38^2*Etalon!$C$3+H38^3*Etalon!$D$3+H38^4*Etalon!$E$3,2)</f>
        <v>94.54</v>
      </c>
      <c r="K38" s="5">
        <f>(J38*Etalon!$K$3+Etalon!$L$3)/2</f>
        <v>7.0977664884756264E-2</v>
      </c>
    </row>
    <row r="39" spans="1:11" x14ac:dyDescent="0.2">
      <c r="A39" s="197" t="s">
        <v>161</v>
      </c>
      <c r="B39" s="197"/>
      <c r="C39" s="197"/>
      <c r="D39" s="197"/>
      <c r="E39" s="197"/>
      <c r="F39" s="198" t="s">
        <v>159</v>
      </c>
      <c r="G39" s="2"/>
      <c r="H39" s="7"/>
      <c r="I39" s="7"/>
    </row>
    <row r="40" spans="1:11" x14ac:dyDescent="0.2">
      <c r="A40" s="199" t="s">
        <v>160</v>
      </c>
      <c r="B40" s="199"/>
      <c r="C40" s="199"/>
      <c r="D40" s="199"/>
      <c r="E40" s="199"/>
      <c r="F40" s="200"/>
      <c r="G40" s="201"/>
      <c r="H40" s="33"/>
      <c r="I40" s="33"/>
      <c r="J40" s="22"/>
    </row>
    <row r="41" spans="1:11" x14ac:dyDescent="0.2">
      <c r="H41" s="7"/>
      <c r="I41" s="7"/>
    </row>
    <row r="42" spans="1:11" x14ac:dyDescent="0.2">
      <c r="H42" s="7"/>
      <c r="I42" s="7"/>
    </row>
  </sheetData>
  <sheetProtection formatCells="0" formatColumns="0" formatRows="0" insertColumns="0" insertRows="0" insertHyperlinks="0" deleteColumns="0" deleteRows="0" sort="0" autoFilter="0" pivotTables="0"/>
  <mergeCells count="9">
    <mergeCell ref="B37:F37"/>
    <mergeCell ref="F20:G22"/>
    <mergeCell ref="A39:E39"/>
    <mergeCell ref="F23:G23"/>
    <mergeCell ref="F32:G34"/>
    <mergeCell ref="F35:G35"/>
    <mergeCell ref="H20:I20"/>
    <mergeCell ref="H32:I32"/>
    <mergeCell ref="B25:F25"/>
  </mergeCells>
  <phoneticPr fontId="0" type="noConversion"/>
  <conditionalFormatting sqref="A27:G29 A38:F38 A36:G37 F30:G31 F35 F32 A30:D35">
    <cfRule type="expression" dxfId="6" priority="45" stopIfTrue="1">
      <formula>$I$30="non"</formula>
    </cfRule>
  </conditionalFormatting>
  <conditionalFormatting sqref="C15">
    <cfRule type="expression" dxfId="5" priority="51" stopIfTrue="1">
      <formula>$I$30="non"</formula>
    </cfRule>
  </conditionalFormatting>
  <conditionalFormatting sqref="H20:I20">
    <cfRule type="expression" dxfId="4" priority="10" stopIfTrue="1">
      <formula>$H$20="non conforme"</formula>
    </cfRule>
    <cfRule type="expression" dxfId="3" priority="11" stopIfTrue="1">
      <formula>$H$20="conforme"</formula>
    </cfRule>
  </conditionalFormatting>
  <conditionalFormatting sqref="H32:I32">
    <cfRule type="expression" dxfId="2" priority="5" stopIfTrue="1">
      <formula>$H$32="non conforme"</formula>
    </cfRule>
    <cfRule type="expression" dxfId="1" priority="6" stopIfTrue="1">
      <formula>$H$32="conforme"</formula>
    </cfRule>
  </conditionalFormatting>
  <conditionalFormatting sqref="B25:F25">
    <cfRule type="expression" dxfId="0" priority="3" stopIfTrue="1">
      <formula>$I$30="oui"</formula>
    </cfRule>
  </conditionalFormatting>
  <dataValidations count="2">
    <dataValidation type="list" allowBlank="1" showInputMessage="1" showErrorMessage="1" sqref="I12">
      <formula1>$H$1:$H$4</formula1>
    </dataValidation>
    <dataValidation type="list" allowBlank="1" showInputMessage="1" showErrorMessage="1" sqref="I30">
      <formula1>$I$1:$I$2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2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egardeLPA">
                <anchor moveWithCells="1" sizeWithCells="1">
                  <from>
                    <xdr:col>9</xdr:col>
                    <xdr:colOff>9525</xdr:colOff>
                    <xdr:row>1</xdr:row>
                    <xdr:rowOff>9525</xdr:rowOff>
                  </from>
                  <to>
                    <xdr:col>14</xdr:col>
                    <xdr:colOff>28575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SauvegardeJonage">
                <anchor moveWithCells="1" sizeWithCells="1">
                  <from>
                    <xdr:col>9</xdr:col>
                    <xdr:colOff>9525</xdr:colOff>
                    <xdr:row>9</xdr:row>
                    <xdr:rowOff>9525</xdr:rowOff>
                  </from>
                  <to>
                    <xdr:col>14</xdr:col>
                    <xdr:colOff>28575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SauvegardeLTY">
                <anchor moveWithCells="1" sizeWithCells="1">
                  <from>
                    <xdr:col>9</xdr:col>
                    <xdr:colOff>9525</xdr:colOff>
                    <xdr:row>16</xdr:row>
                    <xdr:rowOff>66675</xdr:rowOff>
                  </from>
                  <to>
                    <xdr:col>14</xdr:col>
                    <xdr:colOff>28575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SauvegardeCRSV">
                <anchor moveWithCells="1" sizeWithCells="1">
                  <from>
                    <xdr:col>9</xdr:col>
                    <xdr:colOff>19050</xdr:colOff>
                    <xdr:row>22</xdr:row>
                    <xdr:rowOff>38100</xdr:rowOff>
                  </from>
                  <to>
                    <xdr:col>14</xdr:col>
                    <xdr:colOff>38100</xdr:colOff>
                    <xdr:row>29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55" zoomScaleNormal="55" workbookViewId="0">
      <selection activeCell="A11" sqref="A11"/>
    </sheetView>
  </sheetViews>
  <sheetFormatPr baseColWidth="10" defaultRowHeight="12.75" x14ac:dyDescent="0.2"/>
  <sheetData/>
  <phoneticPr fontId="18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"/>
  <sheetViews>
    <sheetView workbookViewId="0">
      <selection activeCell="A4" sqref="A4:XFD4"/>
    </sheetView>
  </sheetViews>
  <sheetFormatPr baseColWidth="10" defaultRowHeight="12.75" x14ac:dyDescent="0.2"/>
  <cols>
    <col min="1" max="1" width="16.42578125" customWidth="1"/>
    <col min="2" max="3" width="17.28515625" bestFit="1" customWidth="1"/>
    <col min="7" max="7" width="14.42578125" bestFit="1" customWidth="1"/>
    <col min="9" max="9" width="16.85546875" bestFit="1" customWidth="1"/>
    <col min="10" max="10" width="15.28515625" bestFit="1" customWidth="1"/>
    <col min="11" max="11" width="17" bestFit="1" customWidth="1"/>
    <col min="12" max="12" width="15.7109375" bestFit="1" customWidth="1"/>
  </cols>
  <sheetData>
    <row r="1" spans="1:14" ht="13.5" thickBot="1" x14ac:dyDescent="0.25">
      <c r="A1" s="166" t="s">
        <v>147</v>
      </c>
      <c r="B1" s="167"/>
      <c r="C1" s="168"/>
      <c r="D1" s="168"/>
      <c r="E1" s="168"/>
      <c r="F1" s="168"/>
      <c r="G1" s="169" t="s">
        <v>129</v>
      </c>
      <c r="H1" s="170">
        <v>44385</v>
      </c>
      <c r="I1" s="169" t="s">
        <v>130</v>
      </c>
      <c r="J1" s="170">
        <v>44750</v>
      </c>
      <c r="K1" s="169" t="s">
        <v>131</v>
      </c>
      <c r="L1" s="171">
        <v>12</v>
      </c>
      <c r="M1" s="172"/>
    </row>
    <row r="2" spans="1:14" ht="13.5" thickBot="1" x14ac:dyDescent="0.25">
      <c r="A2" s="173" t="s">
        <v>132</v>
      </c>
      <c r="B2" s="173" t="s">
        <v>133</v>
      </c>
      <c r="C2" s="173" t="s">
        <v>134</v>
      </c>
      <c r="D2" s="173" t="s">
        <v>135</v>
      </c>
      <c r="E2" s="173" t="s">
        <v>136</v>
      </c>
      <c r="F2" s="173" t="s">
        <v>137</v>
      </c>
      <c r="G2" s="173" t="s">
        <v>138</v>
      </c>
      <c r="H2" s="173" t="s">
        <v>139</v>
      </c>
      <c r="I2" s="173" t="s">
        <v>140</v>
      </c>
      <c r="J2" s="173" t="s">
        <v>141</v>
      </c>
      <c r="K2" s="173" t="s">
        <v>142</v>
      </c>
      <c r="L2" s="173" t="s">
        <v>143</v>
      </c>
      <c r="M2" s="173" t="s">
        <v>144</v>
      </c>
      <c r="N2" s="173" t="s">
        <v>145</v>
      </c>
    </row>
    <row r="3" spans="1:14" x14ac:dyDescent="0.2">
      <c r="A3" s="174">
        <v>-2.5418750458522756E-4</v>
      </c>
      <c r="B3" s="174">
        <v>-2.1156670928197232E-3</v>
      </c>
      <c r="C3" s="174">
        <v>0</v>
      </c>
      <c r="D3" s="174">
        <v>0</v>
      </c>
      <c r="E3" s="174">
        <v>0</v>
      </c>
      <c r="F3" s="174">
        <v>0</v>
      </c>
      <c r="G3" s="174">
        <v>1E-4</v>
      </c>
      <c r="H3" s="174">
        <v>0.1</v>
      </c>
      <c r="I3" s="175">
        <v>9.9977380809992923E-4</v>
      </c>
      <c r="J3" s="174">
        <v>1.1827069524101341E-4</v>
      </c>
      <c r="K3" s="175">
        <v>1.4996607121498943E-3</v>
      </c>
      <c r="L3" s="174">
        <v>1.7740604286152012E-4</v>
      </c>
      <c r="M3" s="174" t="s">
        <v>82</v>
      </c>
      <c r="N3" s="174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5"/>
  <sheetViews>
    <sheetView workbookViewId="0">
      <selection activeCell="C2" sqref="C2"/>
    </sheetView>
  </sheetViews>
  <sheetFormatPr baseColWidth="10" defaultRowHeight="12.75" x14ac:dyDescent="0.2"/>
  <cols>
    <col min="1" max="1" width="11.42578125" style="42"/>
    <col min="2" max="2" width="3.85546875" style="42" bestFit="1" customWidth="1"/>
    <col min="3" max="3" width="16.85546875" style="42" bestFit="1" customWidth="1"/>
    <col min="4" max="4" width="13.140625" style="42" bestFit="1" customWidth="1"/>
    <col min="5" max="5" width="30.42578125" style="42" bestFit="1" customWidth="1"/>
    <col min="6" max="6" width="17.5703125" style="42" customWidth="1"/>
    <col min="7" max="16384" width="11.42578125" style="42"/>
  </cols>
  <sheetData>
    <row r="2" spans="2:6" x14ac:dyDescent="0.2">
      <c r="C2" s="186"/>
    </row>
    <row r="3" spans="2:6" ht="38.25" x14ac:dyDescent="0.2">
      <c r="B3" s="71"/>
      <c r="C3" s="73" t="s">
        <v>50</v>
      </c>
      <c r="D3" s="73" t="s">
        <v>51</v>
      </c>
      <c r="E3" s="74" t="s">
        <v>52</v>
      </c>
      <c r="F3" s="187" t="str">
        <f>CONCATENATE([2]Saisie!E11," ",[2]Saisie!F11)</f>
        <v>Etalon 1 69DCSE032 - 500 Osm/Kg H2O</v>
      </c>
    </row>
    <row r="4" spans="2:6" x14ac:dyDescent="0.2">
      <c r="B4" s="183" t="s">
        <v>154</v>
      </c>
      <c r="C4" s="184" t="s">
        <v>57</v>
      </c>
      <c r="D4" s="185" t="s">
        <v>58</v>
      </c>
      <c r="E4" s="185" t="s">
        <v>59</v>
      </c>
      <c r="F4" s="188" t="s">
        <v>158</v>
      </c>
    </row>
    <row r="5" spans="2:6" ht="24" x14ac:dyDescent="0.2">
      <c r="B5" s="183" t="s">
        <v>155</v>
      </c>
      <c r="C5" s="184" t="s">
        <v>156</v>
      </c>
      <c r="D5" s="185" t="s">
        <v>72</v>
      </c>
      <c r="E5" s="185" t="s">
        <v>75</v>
      </c>
      <c r="F5" s="188">
        <f>'Feuille CV'!I13/(2*SQRT(3))</f>
        <v>0.28867513459481292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2"/>
  <sheetViews>
    <sheetView topLeftCell="A4" workbookViewId="0">
      <selection activeCell="E13" sqref="E13"/>
    </sheetView>
  </sheetViews>
  <sheetFormatPr baseColWidth="10" defaultRowHeight="12.75" x14ac:dyDescent="0.2"/>
  <cols>
    <col min="1" max="1" width="3.7109375" style="68" customWidth="1"/>
    <col min="2" max="2" width="48.85546875" style="68" customWidth="1"/>
    <col min="3" max="3" width="27.85546875" style="68" customWidth="1"/>
    <col min="4" max="4" width="27.140625" style="68" customWidth="1"/>
    <col min="5" max="5" width="13.7109375" style="68" customWidth="1"/>
    <col min="6" max="6" width="15.140625" style="68" customWidth="1"/>
    <col min="7" max="12" width="11.42578125" style="68"/>
  </cols>
  <sheetData>
    <row r="1" spans="1:10" ht="13.5" thickBot="1" x14ac:dyDescent="0.25">
      <c r="B1" s="69"/>
      <c r="C1" s="70"/>
      <c r="D1" s="70"/>
    </row>
    <row r="2" spans="1:10" ht="13.5" thickBot="1" x14ac:dyDescent="0.25">
      <c r="B2" s="141" t="s">
        <v>49</v>
      </c>
      <c r="C2" s="142"/>
      <c r="D2" s="142"/>
      <c r="E2" s="142"/>
      <c r="F2" s="143"/>
    </row>
    <row r="3" spans="1:10" x14ac:dyDescent="0.2">
      <c r="A3" s="71"/>
      <c r="B3" s="72" t="str">
        <f>[1]etal!B1&amp;" n° "&amp;[1]etal!B4&amp;" étendue de mesure : "&amp;[1]etal!B5&amp;" à "&amp;[1]etal!B6&amp;" "&amp;[1]etal!B2</f>
        <v>Chaine de mesure de pression 0 à 100 mbar absolue n° 69PCP019 étendue de mesure : 0,0001 à 0,1 bar</v>
      </c>
      <c r="C3" s="70"/>
      <c r="D3" s="70"/>
    </row>
    <row r="4" spans="1:10" x14ac:dyDescent="0.2">
      <c r="A4" s="71"/>
      <c r="B4" s="72"/>
      <c r="C4" s="70"/>
      <c r="D4" s="70"/>
    </row>
    <row r="5" spans="1:10" x14ac:dyDescent="0.2">
      <c r="A5" s="71"/>
      <c r="B5" s="144" t="s">
        <v>50</v>
      </c>
      <c r="C5" s="144" t="s">
        <v>51</v>
      </c>
      <c r="D5" s="146" t="s">
        <v>52</v>
      </c>
      <c r="E5" s="146"/>
      <c r="F5" s="146"/>
      <c r="G5" s="72"/>
    </row>
    <row r="6" spans="1:10" ht="24" x14ac:dyDescent="0.2">
      <c r="A6" s="71"/>
      <c r="B6" s="145"/>
      <c r="C6" s="145"/>
      <c r="D6" s="75"/>
      <c r="E6" s="76" t="s">
        <v>53</v>
      </c>
      <c r="F6" s="76" t="s">
        <v>54</v>
      </c>
    </row>
    <row r="7" spans="1:10" x14ac:dyDescent="0.2">
      <c r="A7" s="71"/>
      <c r="B7" s="77" t="s">
        <v>55</v>
      </c>
      <c r="C7" s="78"/>
      <c r="D7" s="78" t="s">
        <v>56</v>
      </c>
      <c r="E7" s="79"/>
      <c r="F7" s="79"/>
    </row>
    <row r="8" spans="1:10" x14ac:dyDescent="0.2">
      <c r="A8" s="71"/>
      <c r="B8" s="77" t="s">
        <v>57</v>
      </c>
      <c r="C8" s="78" t="s">
        <v>58</v>
      </c>
      <c r="D8" s="78" t="s">
        <v>59</v>
      </c>
      <c r="E8" s="80">
        <f>([1]etal!A109*100000)/2</f>
        <v>3.7421342420075603</v>
      </c>
      <c r="F8" s="81">
        <f>[1]etal!A110/2</f>
        <v>3.2406921893941013E-4</v>
      </c>
    </row>
    <row r="9" spans="1:10" ht="24" x14ac:dyDescent="0.2">
      <c r="A9" s="71"/>
      <c r="B9" s="77" t="s">
        <v>60</v>
      </c>
      <c r="C9" s="78" t="s">
        <v>61</v>
      </c>
      <c r="D9" s="78" t="s">
        <v>62</v>
      </c>
      <c r="E9" s="80">
        <f>E8</f>
        <v>3.7421342420075603</v>
      </c>
      <c r="F9" s="81">
        <f>F8</f>
        <v>3.2406921893941013E-4</v>
      </c>
    </row>
    <row r="10" spans="1:10" ht="36" x14ac:dyDescent="0.2">
      <c r="A10" s="71"/>
      <c r="B10" s="77" t="s">
        <v>63</v>
      </c>
      <c r="C10" s="78" t="s">
        <v>64</v>
      </c>
      <c r="D10" s="78" t="s">
        <v>65</v>
      </c>
      <c r="E10" s="80">
        <v>0</v>
      </c>
      <c r="F10" s="81">
        <v>0</v>
      </c>
    </row>
    <row r="11" spans="1:10" x14ac:dyDescent="0.2">
      <c r="A11" s="71"/>
      <c r="B11" s="77" t="s">
        <v>66</v>
      </c>
      <c r="C11" s="78" t="s">
        <v>67</v>
      </c>
      <c r="D11" s="78" t="s">
        <v>68</v>
      </c>
      <c r="E11" s="80">
        <f>J29/SQRT(3)</f>
        <v>5.7735026918962581E-2</v>
      </c>
      <c r="F11" s="81"/>
      <c r="H11" s="82" t="s">
        <v>69</v>
      </c>
      <c r="I11" s="82"/>
      <c r="J11" s="82"/>
    </row>
    <row r="12" spans="1:10" x14ac:dyDescent="0.2">
      <c r="A12" s="71" t="s">
        <v>70</v>
      </c>
      <c r="B12" s="77" t="s">
        <v>71</v>
      </c>
      <c r="C12" s="78" t="s">
        <v>72</v>
      </c>
      <c r="D12" s="78" t="s">
        <v>73</v>
      </c>
      <c r="E12" s="80">
        <f>([1]etal!A45*100000)/SQRT(3)</f>
        <v>0</v>
      </c>
      <c r="F12" s="81"/>
      <c r="H12" s="82" t="str">
        <f>"rho("&amp;[1]etal!B11&amp;")=rho(0)*((P+101325)/101325)*(273,15/(273,15+t))"</f>
        <v>rho(Azote)=rho(0)*((P+101325)/101325)*(273,15/(273,15+t))</v>
      </c>
      <c r="I12" s="82"/>
      <c r="J12" s="82"/>
    </row>
    <row r="13" spans="1:10" x14ac:dyDescent="0.2">
      <c r="A13" s="71"/>
      <c r="B13" s="77" t="s">
        <v>74</v>
      </c>
      <c r="C13" s="78" t="s">
        <v>72</v>
      </c>
      <c r="D13" s="78" t="s">
        <v>75</v>
      </c>
      <c r="E13" s="80">
        <f>([1]etal!B7*100000)/(2*SQRT(3))</f>
        <v>0.28867513459481292</v>
      </c>
      <c r="F13" s="81"/>
      <c r="H13" s="82" t="s">
        <v>76</v>
      </c>
      <c r="I13" s="82">
        <f>INDEX(I17:I20,MATCH([1]etal!B11,[1]incert!H17:H20,0))</f>
        <v>1.2504599999999999</v>
      </c>
      <c r="J13" s="82"/>
    </row>
    <row r="14" spans="1:10" x14ac:dyDescent="0.2">
      <c r="A14" s="71"/>
      <c r="B14" s="77" t="s">
        <v>77</v>
      </c>
      <c r="C14" s="78" t="s">
        <v>72</v>
      </c>
      <c r="D14" s="78" t="s">
        <v>75</v>
      </c>
      <c r="E14" s="80">
        <f>E13</f>
        <v>0.28867513459481292</v>
      </c>
      <c r="F14" s="81"/>
      <c r="H14" s="82" t="s">
        <v>78</v>
      </c>
      <c r="I14" s="82">
        <v>20</v>
      </c>
      <c r="J14" s="82" t="s">
        <v>79</v>
      </c>
    </row>
    <row r="15" spans="1:10" x14ac:dyDescent="0.2">
      <c r="A15" s="71" t="s">
        <v>70</v>
      </c>
      <c r="B15" s="77" t="s">
        <v>80</v>
      </c>
      <c r="C15" s="78" t="s">
        <v>72</v>
      </c>
      <c r="D15" s="78" t="s">
        <v>75</v>
      </c>
      <c r="E15" s="80">
        <f>E13</f>
        <v>0.28867513459481292</v>
      </c>
      <c r="F15" s="81"/>
      <c r="H15" s="82" t="s">
        <v>81</v>
      </c>
      <c r="I15" s="82">
        <f>[1]etal!B6</f>
        <v>0.1</v>
      </c>
      <c r="J15" s="82" t="s">
        <v>82</v>
      </c>
    </row>
    <row r="16" spans="1:10" ht="24" x14ac:dyDescent="0.2">
      <c r="A16" s="71"/>
      <c r="B16" s="83" t="s">
        <v>83</v>
      </c>
      <c r="C16" s="78" t="s">
        <v>67</v>
      </c>
      <c r="D16" s="78" t="s">
        <v>84</v>
      </c>
      <c r="E16" s="80">
        <f>(2*[1]etal!B7*100000)/3</f>
        <v>0.66666666666666663</v>
      </c>
      <c r="F16" s="81"/>
      <c r="H16" s="68" t="str">
        <f>"rho("&amp;[1]etal!B11&amp;")="</f>
        <v>rho(Azote)=</v>
      </c>
      <c r="I16" s="68">
        <f>IF(MATCH([1]etal!B11,[1]incert!H17:H20,0)&gt;2,I13,I13*(((I15*100000)+101325)/101325)*((273.15/(273.15+I14))))</f>
        <v>1.2801392150096838</v>
      </c>
    </row>
    <row r="17" spans="1:11" x14ac:dyDescent="0.2">
      <c r="A17" s="71" t="s">
        <v>70</v>
      </c>
      <c r="B17" s="77" t="s">
        <v>85</v>
      </c>
      <c r="C17" s="78" t="s">
        <v>86</v>
      </c>
      <c r="D17" s="78" t="s">
        <v>87</v>
      </c>
      <c r="E17" s="80">
        <f>[1]poly!E5*100000</f>
        <v>0.44291708530055979</v>
      </c>
      <c r="F17" s="81"/>
      <c r="H17" s="82" t="s">
        <v>88</v>
      </c>
      <c r="I17" s="82">
        <v>1.1992835851952925</v>
      </c>
    </row>
    <row r="18" spans="1:11" x14ac:dyDescent="0.2">
      <c r="A18" s="71"/>
      <c r="B18" s="72" t="s">
        <v>89</v>
      </c>
      <c r="C18" s="70"/>
      <c r="D18" s="70"/>
      <c r="H18" s="82" t="s">
        <v>90</v>
      </c>
      <c r="I18" s="82">
        <v>1.2504599999999999</v>
      </c>
    </row>
    <row r="19" spans="1:11" x14ac:dyDescent="0.2">
      <c r="B19" s="140" t="s">
        <v>91</v>
      </c>
      <c r="C19" s="140"/>
      <c r="D19" s="140"/>
      <c r="E19" s="140"/>
      <c r="F19" s="140"/>
      <c r="G19" s="84"/>
      <c r="H19" s="68" t="s">
        <v>92</v>
      </c>
      <c r="I19" s="68">
        <v>914.6</v>
      </c>
      <c r="J19" s="84"/>
    </row>
    <row r="20" spans="1:11" x14ac:dyDescent="0.2">
      <c r="B20" s="140" t="s">
        <v>93</v>
      </c>
      <c r="C20" s="140"/>
      <c r="D20" s="140"/>
      <c r="E20" s="140"/>
      <c r="F20" s="140"/>
      <c r="G20" s="84"/>
      <c r="H20" s="82" t="s">
        <v>94</v>
      </c>
      <c r="I20" s="82">
        <v>876</v>
      </c>
      <c r="J20" s="84"/>
    </row>
    <row r="21" spans="1:11" x14ac:dyDescent="0.2">
      <c r="B21" s="140" t="s">
        <v>95</v>
      </c>
      <c r="C21" s="140"/>
      <c r="D21" s="140"/>
      <c r="E21" s="140"/>
      <c r="F21" s="140"/>
      <c r="G21" s="84"/>
      <c r="H21" s="82"/>
      <c r="I21" s="82"/>
      <c r="J21" s="84"/>
    </row>
    <row r="22" spans="1:11" x14ac:dyDescent="0.2">
      <c r="B22" s="140" t="s">
        <v>96</v>
      </c>
      <c r="C22" s="140"/>
      <c r="D22" s="140"/>
      <c r="E22" s="140"/>
      <c r="F22" s="140"/>
      <c r="G22" s="84"/>
      <c r="H22" s="82"/>
      <c r="I22" s="82"/>
      <c r="J22" s="84"/>
    </row>
    <row r="23" spans="1:11" x14ac:dyDescent="0.2">
      <c r="B23" s="85"/>
      <c r="C23" s="85"/>
      <c r="D23" s="85"/>
      <c r="E23" s="85"/>
      <c r="F23" s="85"/>
      <c r="G23" s="85"/>
      <c r="H23" s="84"/>
      <c r="I23" s="84"/>
      <c r="J23" s="84"/>
    </row>
    <row r="24" spans="1:11" x14ac:dyDescent="0.2">
      <c r="B24" s="86" t="s">
        <v>97</v>
      </c>
      <c r="C24" s="86" t="s">
        <v>98</v>
      </c>
      <c r="D24" s="86" t="s">
        <v>99</v>
      </c>
      <c r="E24" s="87"/>
      <c r="F24" s="87"/>
      <c r="G24" s="87"/>
      <c r="H24" s="88" t="s">
        <v>100</v>
      </c>
      <c r="I24" s="89"/>
      <c r="J24" s="82"/>
      <c r="K24" s="82"/>
    </row>
    <row r="25" spans="1:11" x14ac:dyDescent="0.2">
      <c r="B25" s="86">
        <f>[1]etal!B5</f>
        <v>1E-4</v>
      </c>
      <c r="C25" s="86">
        <f>B25*100000</f>
        <v>10</v>
      </c>
      <c r="D25" s="90">
        <f>2*SQRT(($E$8+$F$8*ABS(C25))^2+($E$9+$F$9*ABS(C25))^2+($E$12)^2+($E$10+$F$10*ABS(C25))^2+($E$11)^2+($E$14)^2+($E$15)^2+($E$13)^2+($E$16)^2+($E$17)^2)</f>
        <v>10.760970238347582</v>
      </c>
      <c r="E25" s="87"/>
      <c r="F25" s="87"/>
      <c r="G25" s="87"/>
      <c r="H25" s="88" t="s">
        <v>101</v>
      </c>
      <c r="I25" s="89" t="s">
        <v>102</v>
      </c>
      <c r="J25" s="82">
        <f>I16</f>
        <v>1.2801392150096838</v>
      </c>
      <c r="K25" s="82" t="s">
        <v>103</v>
      </c>
    </row>
    <row r="26" spans="1:11" x14ac:dyDescent="0.2">
      <c r="B26" s="86">
        <f>[1]etal!B6</f>
        <v>0.1</v>
      </c>
      <c r="C26" s="86">
        <f>B26*100000</f>
        <v>10000</v>
      </c>
      <c r="D26" s="90">
        <f>2*SQRT(($E$8+$F$8*ABS(C26))^2+($E$9+$F$9*ABS(C26))^2+($E$12)^2+($E$10+$F$10*ABS(C26))^2+($E$11)^2+($E$14)^2+($E$15)^2+($E$13)^2+($E$16)^2+($E$17)^2)</f>
        <v>19.840734186455119</v>
      </c>
      <c r="E26" s="91"/>
      <c r="F26" s="91"/>
      <c r="G26" s="91"/>
      <c r="H26" s="82"/>
      <c r="I26" s="82" t="s">
        <v>104</v>
      </c>
      <c r="J26" s="82">
        <v>9.8097899999999996</v>
      </c>
      <c r="K26" s="82" t="s">
        <v>105</v>
      </c>
    </row>
    <row r="27" spans="1:11" x14ac:dyDescent="0.2">
      <c r="B27" s="92" t="s">
        <v>106</v>
      </c>
      <c r="C27" s="93" t="s">
        <v>107</v>
      </c>
      <c r="D27" s="93" t="s">
        <v>108</v>
      </c>
      <c r="E27" s="87"/>
      <c r="F27" s="87"/>
      <c r="G27" s="87"/>
      <c r="H27" s="88"/>
      <c r="I27" s="89" t="s">
        <v>109</v>
      </c>
      <c r="J27" s="82">
        <f>(2/100)/3</f>
        <v>6.6666666666666671E-3</v>
      </c>
      <c r="K27" s="82" t="s">
        <v>110</v>
      </c>
    </row>
    <row r="28" spans="1:11" x14ac:dyDescent="0.2">
      <c r="C28" s="94">
        <f>SLOPE(D25:D26,C25:C26)</f>
        <v>9.0888528009084462E-4</v>
      </c>
      <c r="D28" s="95">
        <f>INTERCEPT(D25:D26,C25:C26)</f>
        <v>10.751881385546675</v>
      </c>
      <c r="E28" s="87"/>
      <c r="F28" s="87"/>
      <c r="G28" s="87"/>
      <c r="H28" s="88" t="s">
        <v>111</v>
      </c>
      <c r="I28" s="89"/>
      <c r="J28" s="96">
        <f>J25*J26*J27</f>
        <v>8.371931246673231E-2</v>
      </c>
      <c r="K28" s="82" t="s">
        <v>112</v>
      </c>
    </row>
    <row r="29" spans="1:11" x14ac:dyDescent="0.2">
      <c r="B29" s="97"/>
      <c r="C29" s="95"/>
      <c r="H29" s="91"/>
      <c r="I29" s="91"/>
      <c r="J29" s="98">
        <f>ROUNDUP(J28,1)</f>
        <v>0.1</v>
      </c>
      <c r="K29" s="82" t="s">
        <v>112</v>
      </c>
    </row>
    <row r="30" spans="1:11" x14ac:dyDescent="0.2">
      <c r="B30" s="99" t="s">
        <v>113</v>
      </c>
      <c r="C30" s="100" t="s">
        <v>112</v>
      </c>
      <c r="D30" s="100" t="s">
        <v>114</v>
      </c>
      <c r="H30" s="87"/>
      <c r="I30" s="87"/>
      <c r="J30" s="87"/>
    </row>
    <row r="31" spans="1:11" ht="13.5" thickBot="1" x14ac:dyDescent="0.25">
      <c r="B31" s="101" t="s">
        <v>115</v>
      </c>
      <c r="C31" s="102">
        <f>D28</f>
        <v>10.751881385546675</v>
      </c>
      <c r="D31" s="103">
        <f>C28</f>
        <v>9.0888528009084462E-4</v>
      </c>
      <c r="H31" s="87"/>
      <c r="I31" s="87"/>
      <c r="J31" s="87"/>
    </row>
    <row r="32" spans="1:11" x14ac:dyDescent="0.2">
      <c r="B32" s="104" t="s">
        <v>116</v>
      </c>
      <c r="C32" s="105">
        <f>INTERCEPT(D39:D50,B39:B50)*100000</f>
        <v>11.82706952410134</v>
      </c>
      <c r="D32" s="106">
        <f>SLOPE(D39:D50,B39:B50)</f>
        <v>9.9977380809992923E-4</v>
      </c>
    </row>
    <row r="33" spans="2:8" ht="13.5" thickBot="1" x14ac:dyDescent="0.25">
      <c r="B33" s="107" t="s">
        <v>117</v>
      </c>
      <c r="C33" s="108">
        <f>C32/2</f>
        <v>5.91353476205067</v>
      </c>
      <c r="D33" s="109">
        <f>D32/2</f>
        <v>4.9988690404996461E-4</v>
      </c>
    </row>
    <row r="34" spans="2:8" ht="13.5" thickBot="1" x14ac:dyDescent="0.25">
      <c r="B34" s="110" t="s">
        <v>118</v>
      </c>
      <c r="C34" s="111">
        <f>C33*2</f>
        <v>11.82706952410134</v>
      </c>
      <c r="D34" s="112">
        <f>D33*2</f>
        <v>9.9977380809992923E-4</v>
      </c>
    </row>
    <row r="35" spans="2:8" x14ac:dyDescent="0.2">
      <c r="B35" s="113"/>
      <c r="C35" s="114" t="s">
        <v>82</v>
      </c>
      <c r="D35" s="114" t="s">
        <v>114</v>
      </c>
    </row>
    <row r="36" spans="2:8" x14ac:dyDescent="0.2">
      <c r="B36" s="115" t="s">
        <v>119</v>
      </c>
      <c r="C36" s="116">
        <f>C33/100000</f>
        <v>5.9135347620506703E-5</v>
      </c>
      <c r="D36" s="117">
        <f>D33</f>
        <v>4.9988690404996461E-4</v>
      </c>
    </row>
    <row r="37" spans="2:8" x14ac:dyDescent="0.2">
      <c r="B37" s="97"/>
      <c r="C37" s="95"/>
    </row>
    <row r="38" spans="2:8" x14ac:dyDescent="0.2">
      <c r="B38" s="100" t="s">
        <v>120</v>
      </c>
      <c r="C38" s="100" t="s">
        <v>121</v>
      </c>
      <c r="D38" s="100" t="s">
        <v>122</v>
      </c>
      <c r="E38" s="118" t="s">
        <v>123</v>
      </c>
      <c r="F38" s="100" t="s">
        <v>124</v>
      </c>
      <c r="H38" s="100" t="s">
        <v>125</v>
      </c>
    </row>
    <row r="39" spans="2:8" x14ac:dyDescent="0.2">
      <c r="B39" s="119">
        <f>[1]etal!B20</f>
        <v>1E-4</v>
      </c>
      <c r="C39" s="120">
        <f>($C$31/100000)+($D$31*ABS(B39))</f>
        <v>1.0760970238347582E-4</v>
      </c>
      <c r="D39" s="120">
        <f>C39*(1+($E$39/100))</f>
        <v>1.1837067262182341E-4</v>
      </c>
      <c r="E39" s="121">
        <v>10</v>
      </c>
      <c r="F39" s="122">
        <f>(D39/($B$26-$B$25))*100</f>
        <v>0.11848916178360702</v>
      </c>
      <c r="H39" s="123">
        <f>($C$34/100000)+($D$34*ABS(B39))</f>
        <v>1.183706726218234E-4</v>
      </c>
    </row>
    <row r="40" spans="2:8" x14ac:dyDescent="0.2">
      <c r="B40" s="119">
        <f>[1]etal!B21</f>
        <v>4.0000000000000002E-4</v>
      </c>
      <c r="C40" s="120">
        <f t="shared" ref="C40:C50" si="0">($C$31/100000)+($D$31*ABS(B40))</f>
        <v>1.0788236796750307E-4</v>
      </c>
      <c r="D40" s="120">
        <f t="shared" ref="D40:D50" si="1">C40*(1+($E$39/100))</f>
        <v>1.1867060476425339E-4</v>
      </c>
      <c r="E40" s="124"/>
      <c r="F40" s="122">
        <f t="shared" ref="F40:F50" si="2">(D40/($B$26-$B$25))*100</f>
        <v>0.11878939415841179</v>
      </c>
      <c r="H40" s="123">
        <f t="shared" ref="H40:H50" si="3">($C$34/100000)+($D$34*ABS(B40))</f>
        <v>1.1867060476425338E-4</v>
      </c>
    </row>
    <row r="41" spans="2:8" x14ac:dyDescent="0.2">
      <c r="B41" s="119">
        <f>[1]etal!B22</f>
        <v>8.9999999999999998E-4</v>
      </c>
      <c r="C41" s="120">
        <f t="shared" si="0"/>
        <v>1.0833681060754849E-4</v>
      </c>
      <c r="D41" s="120">
        <f t="shared" si="1"/>
        <v>1.1917049166830335E-4</v>
      </c>
      <c r="E41" s="125"/>
      <c r="F41" s="122">
        <f t="shared" si="2"/>
        <v>0.11928978144975309</v>
      </c>
      <c r="H41" s="123">
        <f t="shared" si="3"/>
        <v>1.1917049166830335E-4</v>
      </c>
    </row>
    <row r="42" spans="2:8" x14ac:dyDescent="0.2">
      <c r="B42" s="119">
        <f>[1]etal!B23</f>
        <v>1.6000000000000001E-3</v>
      </c>
      <c r="C42" s="120">
        <f t="shared" si="0"/>
        <v>1.0897303030361209E-4</v>
      </c>
      <c r="D42" s="120">
        <f t="shared" si="1"/>
        <v>1.1987033333397331E-4</v>
      </c>
      <c r="E42" s="126"/>
      <c r="F42" s="122">
        <f t="shared" si="2"/>
        <v>0.11999032365763093</v>
      </c>
      <c r="H42" s="123">
        <f t="shared" si="3"/>
        <v>1.1987033333397329E-4</v>
      </c>
    </row>
    <row r="43" spans="2:8" x14ac:dyDescent="0.2">
      <c r="B43" s="119">
        <f>[1]etal!B24</f>
        <v>4.1999999999999997E-3</v>
      </c>
      <c r="C43" s="120">
        <f t="shared" si="0"/>
        <v>1.1133613203184828E-4</v>
      </c>
      <c r="D43" s="120">
        <f t="shared" si="1"/>
        <v>1.2246974523503313E-4</v>
      </c>
      <c r="E43" s="126"/>
      <c r="F43" s="122">
        <f t="shared" si="2"/>
        <v>0.12259233757260574</v>
      </c>
      <c r="H43" s="123">
        <f t="shared" si="3"/>
        <v>1.224697452350331E-4</v>
      </c>
    </row>
    <row r="44" spans="2:8" x14ac:dyDescent="0.2">
      <c r="B44" s="119">
        <f>[1]etal!B25</f>
        <v>6.4999999999999997E-3</v>
      </c>
      <c r="C44" s="120">
        <f t="shared" si="0"/>
        <v>1.1342656817605722E-4</v>
      </c>
      <c r="D44" s="120">
        <f t="shared" si="1"/>
        <v>1.2476922499366297E-4</v>
      </c>
      <c r="E44" s="126"/>
      <c r="F44" s="122">
        <f t="shared" si="2"/>
        <v>0.12489411911277574</v>
      </c>
      <c r="H44" s="123">
        <f t="shared" si="3"/>
        <v>1.2476922499366294E-4</v>
      </c>
    </row>
    <row r="45" spans="2:8" x14ac:dyDescent="0.2">
      <c r="B45" s="119">
        <f>[1]etal!B26</f>
        <v>9.4999999999999998E-3</v>
      </c>
      <c r="C45" s="120">
        <f t="shared" si="0"/>
        <v>1.1615322401632976E-4</v>
      </c>
      <c r="D45" s="120">
        <f t="shared" si="1"/>
        <v>1.2776854641796274E-4</v>
      </c>
      <c r="E45" s="126"/>
      <c r="F45" s="122">
        <f t="shared" si="2"/>
        <v>0.12789644286082355</v>
      </c>
      <c r="H45" s="123">
        <f t="shared" si="3"/>
        <v>1.2776854641796274E-4</v>
      </c>
    </row>
    <row r="46" spans="2:8" x14ac:dyDescent="0.2">
      <c r="B46" s="119">
        <f>[1]etal!B27</f>
        <v>0.02</v>
      </c>
      <c r="C46" s="120">
        <f t="shared" si="0"/>
        <v>1.2569651945728362E-4</v>
      </c>
      <c r="D46" s="120">
        <f t="shared" si="1"/>
        <v>1.3826617140301199E-4</v>
      </c>
      <c r="E46" s="126"/>
      <c r="F46" s="122">
        <f t="shared" si="2"/>
        <v>0.13840457597899097</v>
      </c>
      <c r="H46" s="123">
        <f t="shared" si="3"/>
        <v>1.3826617140301199E-4</v>
      </c>
    </row>
    <row r="47" spans="2:8" x14ac:dyDescent="0.2">
      <c r="B47" s="119">
        <f>[1]etal!B28</f>
        <v>4.8000000000000001E-2</v>
      </c>
      <c r="C47" s="120">
        <f t="shared" si="0"/>
        <v>1.5114530729982728E-4</v>
      </c>
      <c r="D47" s="120">
        <f t="shared" si="1"/>
        <v>1.6625983802981002E-4</v>
      </c>
      <c r="E47" s="126"/>
      <c r="F47" s="122">
        <f t="shared" si="2"/>
        <v>0.16642626429410412</v>
      </c>
      <c r="H47" s="123">
        <f t="shared" si="3"/>
        <v>1.6625983802981002E-4</v>
      </c>
    </row>
    <row r="48" spans="2:8" x14ac:dyDescent="0.2">
      <c r="B48" s="119">
        <f>[1]etal!B29</f>
        <v>6.5000000000000002E-2</v>
      </c>
      <c r="C48" s="120">
        <f t="shared" si="0"/>
        <v>1.6659635706137166E-4</v>
      </c>
      <c r="D48" s="120">
        <f t="shared" si="1"/>
        <v>1.8325599276750883E-4</v>
      </c>
      <c r="E48" s="126"/>
      <c r="F48" s="122">
        <f t="shared" si="2"/>
        <v>0.18343943219970854</v>
      </c>
      <c r="H48" s="123">
        <f t="shared" si="3"/>
        <v>1.832559927675088E-4</v>
      </c>
    </row>
    <row r="49" spans="2:8" x14ac:dyDescent="0.2">
      <c r="B49" s="119">
        <f>[1]etal!B30</f>
        <v>8.4000000000000005E-2</v>
      </c>
      <c r="C49" s="120">
        <f t="shared" si="0"/>
        <v>1.838651773830977E-4</v>
      </c>
      <c r="D49" s="120">
        <f t="shared" si="1"/>
        <v>2.0225169512140748E-4</v>
      </c>
      <c r="E49" s="126"/>
      <c r="F49" s="122">
        <f t="shared" si="2"/>
        <v>0.20245414927067815</v>
      </c>
      <c r="H49" s="123">
        <f t="shared" si="3"/>
        <v>2.0225169512140745E-4</v>
      </c>
    </row>
    <row r="50" spans="2:8" x14ac:dyDescent="0.2">
      <c r="B50" s="119">
        <f>[1]etal!B31</f>
        <v>0.1</v>
      </c>
      <c r="C50" s="120">
        <f t="shared" si="0"/>
        <v>1.9840734186455121E-4</v>
      </c>
      <c r="D50" s="120">
        <f t="shared" si="1"/>
        <v>2.1824807605100636E-4</v>
      </c>
      <c r="E50" s="126"/>
      <c r="F50" s="122">
        <f t="shared" si="2"/>
        <v>0.21846654259359993</v>
      </c>
      <c r="H50" s="123">
        <f t="shared" si="3"/>
        <v>2.1824807605100633E-4</v>
      </c>
    </row>
    <row r="66" spans="2:4" x14ac:dyDescent="0.2">
      <c r="B66" s="99" t="s">
        <v>126</v>
      </c>
    </row>
    <row r="67" spans="2:4" x14ac:dyDescent="0.2">
      <c r="B67" s="100" t="str">
        <f>B38</f>
        <v>P (bar)</v>
      </c>
      <c r="C67" s="100" t="s">
        <v>127</v>
      </c>
    </row>
    <row r="68" spans="2:4" x14ac:dyDescent="0.2">
      <c r="B68" s="119">
        <f>B39</f>
        <v>1E-4</v>
      </c>
      <c r="C68" s="119">
        <f>1.5*D39</f>
        <v>1.7755600893273513E-4</v>
      </c>
    </row>
    <row r="69" spans="2:4" x14ac:dyDescent="0.2">
      <c r="B69" s="119">
        <f t="shared" ref="B69:B79" si="4">B40</f>
        <v>4.0000000000000002E-4</v>
      </c>
      <c r="C69" s="119">
        <f t="shared" ref="C69:C79" si="5">1.5*D40</f>
        <v>1.7800590714638008E-4</v>
      </c>
    </row>
    <row r="70" spans="2:4" x14ac:dyDescent="0.2">
      <c r="B70" s="119">
        <f t="shared" si="4"/>
        <v>8.9999999999999998E-4</v>
      </c>
      <c r="C70" s="119">
        <f t="shared" si="5"/>
        <v>1.7875573750245503E-4</v>
      </c>
    </row>
    <row r="71" spans="2:4" x14ac:dyDescent="0.2">
      <c r="B71" s="119">
        <f t="shared" si="4"/>
        <v>1.6000000000000001E-3</v>
      </c>
      <c r="C71" s="119">
        <f t="shared" si="5"/>
        <v>1.7980550000095996E-4</v>
      </c>
    </row>
    <row r="72" spans="2:4" x14ac:dyDescent="0.2">
      <c r="B72" s="119">
        <f t="shared" si="4"/>
        <v>4.1999999999999997E-3</v>
      </c>
      <c r="C72" s="119">
        <f t="shared" si="5"/>
        <v>1.837046178525497E-4</v>
      </c>
    </row>
    <row r="73" spans="2:4" x14ac:dyDescent="0.2">
      <c r="B73" s="119">
        <f t="shared" si="4"/>
        <v>6.4999999999999997E-3</v>
      </c>
      <c r="C73" s="119">
        <f t="shared" si="5"/>
        <v>1.8715383749049445E-4</v>
      </c>
    </row>
    <row r="74" spans="2:4" x14ac:dyDescent="0.2">
      <c r="B74" s="119">
        <f t="shared" si="4"/>
        <v>9.4999999999999998E-3</v>
      </c>
      <c r="C74" s="119">
        <f t="shared" si="5"/>
        <v>1.9165281962694412E-4</v>
      </c>
    </row>
    <row r="75" spans="2:4" x14ac:dyDescent="0.2">
      <c r="B75" s="119">
        <f t="shared" si="4"/>
        <v>0.02</v>
      </c>
      <c r="C75" s="119">
        <f t="shared" si="5"/>
        <v>2.07399257104518E-4</v>
      </c>
    </row>
    <row r="76" spans="2:4" x14ac:dyDescent="0.2">
      <c r="B76" s="119">
        <f t="shared" si="4"/>
        <v>4.8000000000000001E-2</v>
      </c>
      <c r="C76" s="119">
        <f t="shared" si="5"/>
        <v>2.4938975704471504E-4</v>
      </c>
    </row>
    <row r="77" spans="2:4" x14ac:dyDescent="0.2">
      <c r="B77" s="119">
        <f t="shared" si="4"/>
        <v>6.5000000000000002E-2</v>
      </c>
      <c r="C77" s="119">
        <f t="shared" si="5"/>
        <v>2.7488398915126325E-4</v>
      </c>
    </row>
    <row r="78" spans="2:4" x14ac:dyDescent="0.2">
      <c r="B78" s="119">
        <f>B49</f>
        <v>8.4000000000000005E-2</v>
      </c>
      <c r="C78" s="119">
        <f t="shared" si="5"/>
        <v>3.0337754268211124E-4</v>
      </c>
    </row>
    <row r="79" spans="2:4" x14ac:dyDescent="0.2">
      <c r="B79" s="119">
        <f t="shared" si="4"/>
        <v>0.1</v>
      </c>
      <c r="C79" s="119">
        <f t="shared" si="5"/>
        <v>3.2737211407650956E-4</v>
      </c>
    </row>
    <row r="80" spans="2:4" x14ac:dyDescent="0.2">
      <c r="C80" s="127" t="s">
        <v>82</v>
      </c>
      <c r="D80" s="127" t="s">
        <v>114</v>
      </c>
    </row>
    <row r="81" spans="2:4" x14ac:dyDescent="0.2">
      <c r="B81" s="128" t="s">
        <v>128</v>
      </c>
      <c r="C81" s="129">
        <f>INTERCEPT(C68:C79,B68:B79)</f>
        <v>1.7740604286152012E-4</v>
      </c>
      <c r="D81" s="130">
        <f>SLOPE(C68:C79,B68:B79)</f>
        <v>1.4996607121498943E-3</v>
      </c>
    </row>
    <row r="82" spans="2:4" x14ac:dyDescent="0.2">
      <c r="C82" s="131">
        <f>INTERCEPT(C69:C80,B69:B80)</f>
        <v>1.7740604286152012E-4</v>
      </c>
    </row>
  </sheetData>
  <mergeCells count="8">
    <mergeCell ref="B21:F21"/>
    <mergeCell ref="B22:F22"/>
    <mergeCell ref="B2:F2"/>
    <mergeCell ref="B5:B6"/>
    <mergeCell ref="C5:C6"/>
    <mergeCell ref="D5:F5"/>
    <mergeCell ref="B19:F19"/>
    <mergeCell ref="B20:F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9"/>
  <sheetViews>
    <sheetView showGridLines="0" zoomScaleNormal="100" zoomScaleSheetLayoutView="100" workbookViewId="0">
      <selection activeCell="B21" sqref="B21:B22"/>
    </sheetView>
  </sheetViews>
  <sheetFormatPr baseColWidth="10" defaultColWidth="10.42578125" defaultRowHeight="12.75" x14ac:dyDescent="0.2"/>
  <cols>
    <col min="1" max="1" width="10.42578125" style="42"/>
    <col min="2" max="2" width="15.28515625" style="42" customWidth="1"/>
    <col min="3" max="3" width="10.42578125" style="42"/>
    <col min="4" max="4" width="12.28515625" style="42" bestFit="1" customWidth="1"/>
    <col min="5" max="8" width="10.42578125" style="42"/>
    <col min="9" max="9" width="21.28515625" style="42" customWidth="1"/>
    <col min="10" max="16384" width="10.42578125" style="42"/>
  </cols>
  <sheetData>
    <row r="1" spans="1:10" ht="16.5" customHeight="1" x14ac:dyDescent="0.2">
      <c r="A1" s="150"/>
      <c r="B1" s="151"/>
      <c r="C1" s="152" t="s">
        <v>21</v>
      </c>
      <c r="D1" s="153"/>
      <c r="E1" s="153"/>
      <c r="F1" s="153"/>
      <c r="G1" s="154"/>
      <c r="H1" s="158" t="s">
        <v>148</v>
      </c>
      <c r="I1" s="159"/>
      <c r="J1" s="41"/>
    </row>
    <row r="2" spans="1:10" ht="16.5" customHeight="1" x14ac:dyDescent="0.2">
      <c r="A2" s="150"/>
      <c r="B2" s="151"/>
      <c r="C2" s="155"/>
      <c r="D2" s="156"/>
      <c r="E2" s="156"/>
      <c r="F2" s="156"/>
      <c r="G2" s="157"/>
      <c r="H2" s="160" t="s">
        <v>149</v>
      </c>
      <c r="I2" s="161"/>
      <c r="J2" s="41"/>
    </row>
    <row r="3" spans="1:10" ht="16.5" customHeight="1" x14ac:dyDescent="0.2">
      <c r="A3" s="150"/>
      <c r="B3" s="151"/>
      <c r="C3" s="155"/>
      <c r="D3" s="156"/>
      <c r="E3" s="156"/>
      <c r="F3" s="156"/>
      <c r="G3" s="157"/>
      <c r="H3" s="160" t="s">
        <v>22</v>
      </c>
      <c r="I3" s="161"/>
      <c r="J3" s="41"/>
    </row>
    <row r="4" spans="1:10" ht="16.5" customHeight="1" x14ac:dyDescent="0.2">
      <c r="A4" s="150"/>
      <c r="B4" s="151"/>
      <c r="C4" s="162" t="s">
        <v>23</v>
      </c>
      <c r="D4" s="163"/>
      <c r="E4" s="163"/>
      <c r="F4" s="163"/>
      <c r="G4" s="163"/>
      <c r="H4" s="164" t="s">
        <v>24</v>
      </c>
      <c r="I4" s="165"/>
      <c r="J4" s="41"/>
    </row>
    <row r="5" spans="1:10" ht="15" customHeight="1" x14ac:dyDescent="0.2">
      <c r="A5" s="43" t="s">
        <v>25</v>
      </c>
      <c r="B5" s="44"/>
      <c r="C5" s="44"/>
      <c r="D5" s="44"/>
      <c r="E5" s="44"/>
      <c r="F5" s="45"/>
      <c r="H5" s="46"/>
      <c r="I5" s="47"/>
      <c r="J5" s="48"/>
    </row>
    <row r="6" spans="1:10" ht="15" customHeight="1" x14ac:dyDescent="0.2">
      <c r="A6" s="44"/>
      <c r="B6" s="44"/>
      <c r="C6" s="44"/>
      <c r="D6" s="44"/>
      <c r="E6" s="44"/>
      <c r="F6" s="44"/>
      <c r="G6" s="44"/>
      <c r="H6" s="44"/>
      <c r="I6" s="44"/>
    </row>
    <row r="7" spans="1:10" ht="15" customHeight="1" x14ac:dyDescent="0.2">
      <c r="A7" s="44" t="s">
        <v>41</v>
      </c>
      <c r="B7" s="49"/>
      <c r="D7" s="49"/>
      <c r="E7" s="44"/>
      <c r="F7" s="44"/>
      <c r="G7" s="44"/>
      <c r="H7" s="44"/>
      <c r="I7" s="44"/>
    </row>
    <row r="8" spans="1:10" ht="15" customHeight="1" x14ac:dyDescent="0.2">
      <c r="A8" s="44" t="s">
        <v>40</v>
      </c>
      <c r="B8" s="44"/>
      <c r="D8" s="44"/>
      <c r="E8" s="44"/>
      <c r="F8" s="44"/>
      <c r="G8" s="44"/>
      <c r="H8" s="44"/>
      <c r="I8" s="44"/>
    </row>
    <row r="9" spans="1:10" ht="15" customHeight="1" x14ac:dyDescent="0.2">
      <c r="A9" s="44" t="s">
        <v>26</v>
      </c>
      <c r="B9" s="44" t="s">
        <v>150</v>
      </c>
      <c r="C9" s="50" t="s">
        <v>27</v>
      </c>
      <c r="D9" s="62">
        <v>44644</v>
      </c>
      <c r="E9" s="51"/>
      <c r="F9" s="44"/>
      <c r="G9" s="44"/>
      <c r="H9" s="44"/>
      <c r="I9" s="44"/>
    </row>
    <row r="10" spans="1:10" ht="15" customHeight="1" x14ac:dyDescent="0.2">
      <c r="A10" s="44"/>
      <c r="B10" s="44"/>
      <c r="C10" s="50"/>
      <c r="D10" s="51"/>
      <c r="E10" s="51"/>
      <c r="F10" s="44"/>
      <c r="G10" s="44"/>
      <c r="H10" s="44"/>
      <c r="I10" s="44"/>
    </row>
    <row r="11" spans="1:10" ht="15" customHeight="1" x14ac:dyDescent="0.2">
      <c r="A11" s="44"/>
      <c r="B11" s="44"/>
      <c r="C11" s="50"/>
      <c r="D11" s="44"/>
      <c r="E11" s="44"/>
      <c r="F11" s="44"/>
      <c r="G11" s="44"/>
      <c r="H11" s="44"/>
      <c r="I11" s="44"/>
    </row>
    <row r="12" spans="1:10" ht="15" customHeight="1" x14ac:dyDescent="0.2">
      <c r="A12" s="43" t="s">
        <v>28</v>
      </c>
      <c r="B12" s="44"/>
      <c r="C12" s="45" t="s">
        <v>151</v>
      </c>
      <c r="D12" s="44"/>
      <c r="E12" s="44"/>
      <c r="F12" s="44"/>
      <c r="G12" s="44"/>
      <c r="H12" s="44"/>
      <c r="I12" s="44"/>
    </row>
    <row r="13" spans="1:10" ht="15" customHeight="1" x14ac:dyDescent="0.2">
      <c r="A13" s="43"/>
      <c r="B13" s="44" t="s">
        <v>42</v>
      </c>
      <c r="C13" s="50"/>
      <c r="D13" s="44"/>
      <c r="E13" s="44"/>
      <c r="F13" s="44"/>
      <c r="G13" s="44"/>
      <c r="H13" s="44"/>
      <c r="I13" s="44"/>
    </row>
    <row r="14" spans="1:10" ht="15" customHeight="1" x14ac:dyDescent="0.2">
      <c r="A14" s="44"/>
      <c r="B14" s="44"/>
      <c r="C14" s="50"/>
      <c r="D14" s="44"/>
      <c r="E14" s="44"/>
      <c r="F14" s="44"/>
      <c r="G14" s="44"/>
      <c r="H14" s="44"/>
      <c r="I14" s="44"/>
    </row>
    <row r="15" spans="1:10" ht="15" customHeight="1" x14ac:dyDescent="0.2">
      <c r="A15" s="44"/>
      <c r="B15" s="44"/>
      <c r="C15" s="44"/>
      <c r="D15" s="44"/>
      <c r="E15" s="44"/>
      <c r="F15" s="44"/>
      <c r="G15" s="44"/>
      <c r="H15" s="44"/>
      <c r="I15" s="44"/>
    </row>
    <row r="16" spans="1:10" ht="15" customHeight="1" x14ac:dyDescent="0.2">
      <c r="A16" s="44"/>
      <c r="B16" s="44"/>
      <c r="C16" s="44"/>
      <c r="D16" s="44"/>
      <c r="F16" s="44"/>
      <c r="G16" s="44"/>
      <c r="H16" s="44"/>
      <c r="I16" s="44"/>
    </row>
    <row r="17" spans="1:10" ht="15" customHeight="1" x14ac:dyDescent="0.2">
      <c r="A17" s="44"/>
      <c r="B17" s="44"/>
      <c r="C17" s="44"/>
      <c r="D17" s="44"/>
      <c r="E17" s="44"/>
      <c r="F17" s="44"/>
      <c r="G17" s="44"/>
      <c r="H17" s="44"/>
      <c r="I17" s="44"/>
    </row>
    <row r="18" spans="1:10" ht="15" customHeight="1" x14ac:dyDescent="0.2">
      <c r="A18" s="43" t="s">
        <v>29</v>
      </c>
      <c r="B18" s="44"/>
      <c r="C18" s="44" t="s">
        <v>43</v>
      </c>
      <c r="D18" s="44"/>
      <c r="E18" s="44"/>
      <c r="F18" s="44"/>
      <c r="G18" s="44"/>
      <c r="H18" s="44"/>
      <c r="I18" s="44"/>
    </row>
    <row r="19" spans="1:10" ht="15" customHeight="1" x14ac:dyDescent="0.2">
      <c r="A19" s="44"/>
      <c r="B19" s="44"/>
      <c r="C19" s="44"/>
      <c r="D19" s="44"/>
      <c r="E19" s="44"/>
      <c r="F19" s="44"/>
      <c r="G19" s="44"/>
      <c r="H19" s="44"/>
      <c r="I19" s="44"/>
    </row>
    <row r="20" spans="1:10" ht="15" customHeight="1" x14ac:dyDescent="0.2">
      <c r="A20" s="52"/>
      <c r="B20" s="44"/>
      <c r="C20" s="44"/>
      <c r="D20" s="44"/>
      <c r="E20" s="44"/>
      <c r="F20" s="44"/>
      <c r="G20" s="44"/>
      <c r="H20" s="44"/>
      <c r="I20" s="44"/>
    </row>
    <row r="21" spans="1:10" ht="15" customHeight="1" x14ac:dyDescent="0.2">
      <c r="A21" s="44"/>
      <c r="B21" s="44"/>
      <c r="C21" s="44"/>
      <c r="D21" s="44"/>
      <c r="E21" s="44"/>
      <c r="F21" s="44"/>
      <c r="G21" s="44"/>
      <c r="H21" s="44"/>
      <c r="I21" s="44"/>
    </row>
    <row r="22" spans="1:10" ht="15" customHeight="1" x14ac:dyDescent="0.2">
      <c r="A22" s="52"/>
      <c r="B22" s="44"/>
      <c r="C22" s="44"/>
      <c r="D22" s="44"/>
      <c r="E22" s="44"/>
      <c r="F22" s="44"/>
      <c r="G22" s="44"/>
      <c r="H22" s="44"/>
      <c r="I22" s="44"/>
    </row>
    <row r="23" spans="1:10" ht="15" customHeight="1" x14ac:dyDescent="0.2">
      <c r="A23" s="43" t="s">
        <v>30</v>
      </c>
      <c r="B23" s="45"/>
      <c r="C23" s="45" t="s">
        <v>7</v>
      </c>
      <c r="D23" s="45"/>
      <c r="E23" s="45"/>
      <c r="F23" s="45"/>
      <c r="G23" s="45"/>
      <c r="H23" s="45"/>
      <c r="I23" s="45"/>
      <c r="J23" s="45"/>
    </row>
    <row r="24" spans="1:10" ht="15" customHeight="1" x14ac:dyDescent="0.2">
      <c r="A24" s="53"/>
      <c r="B24" s="44"/>
      <c r="C24" s="44"/>
      <c r="D24" s="44"/>
      <c r="E24" s="44"/>
      <c r="F24" s="44"/>
      <c r="G24" s="44"/>
      <c r="H24" s="44"/>
      <c r="I24" s="44"/>
    </row>
    <row r="25" spans="1:10" ht="15" customHeight="1" x14ac:dyDescent="0.2">
      <c r="A25" s="53"/>
      <c r="B25" s="44"/>
      <c r="C25" s="44"/>
      <c r="D25" s="44"/>
      <c r="E25" s="44"/>
      <c r="F25" s="44"/>
      <c r="G25" s="44"/>
      <c r="H25" s="44"/>
      <c r="I25" s="44"/>
    </row>
    <row r="26" spans="1:10" ht="15" customHeight="1" x14ac:dyDescent="0.2">
      <c r="A26" s="44"/>
      <c r="B26" s="44"/>
      <c r="C26" s="44"/>
      <c r="D26" s="44"/>
      <c r="E26" s="44"/>
      <c r="F26" s="44"/>
      <c r="G26" s="44"/>
      <c r="H26" s="44"/>
      <c r="I26" s="44"/>
    </row>
    <row r="27" spans="1:10" ht="15" customHeight="1" x14ac:dyDescent="0.2">
      <c r="A27" s="44"/>
      <c r="B27" s="44"/>
      <c r="C27" s="44"/>
      <c r="D27" s="44"/>
      <c r="E27" s="44"/>
      <c r="F27" s="44"/>
      <c r="G27" s="44"/>
      <c r="H27" s="44"/>
      <c r="I27" s="44"/>
    </row>
    <row r="28" spans="1:10" ht="15" customHeight="1" x14ac:dyDescent="0.2">
      <c r="A28" s="43" t="s">
        <v>31</v>
      </c>
      <c r="B28" s="44"/>
      <c r="C28" s="44"/>
      <c r="D28" s="44"/>
      <c r="E28" s="44"/>
      <c r="F28" s="44"/>
      <c r="G28" s="44"/>
      <c r="H28" s="44"/>
      <c r="I28" s="44"/>
    </row>
    <row r="29" spans="1:10" ht="15" customHeight="1" x14ac:dyDescent="0.2">
      <c r="A29" s="43"/>
      <c r="B29" s="44"/>
      <c r="C29" s="44"/>
      <c r="D29" s="44"/>
      <c r="E29" s="44"/>
      <c r="F29" s="44"/>
      <c r="G29" s="44"/>
      <c r="H29" s="44"/>
      <c r="I29" s="44"/>
    </row>
    <row r="30" spans="1:10" ht="15" customHeight="1" x14ac:dyDescent="0.2">
      <c r="A30" s="44"/>
      <c r="B30" s="44"/>
      <c r="C30" s="44"/>
      <c r="D30" s="44"/>
      <c r="E30" s="44"/>
      <c r="F30" s="44"/>
      <c r="G30" s="44"/>
      <c r="H30" s="44"/>
      <c r="I30" s="44"/>
    </row>
    <row r="31" spans="1:10" ht="15" customHeight="1" x14ac:dyDescent="0.2">
      <c r="A31" s="54" t="s">
        <v>32</v>
      </c>
      <c r="B31" s="54" t="s">
        <v>33</v>
      </c>
      <c r="C31" s="147" t="s">
        <v>34</v>
      </c>
      <c r="D31" s="148"/>
      <c r="E31" s="149"/>
      <c r="F31" s="147" t="s">
        <v>35</v>
      </c>
      <c r="G31" s="149"/>
      <c r="H31" s="54" t="s">
        <v>36</v>
      </c>
      <c r="I31" s="54" t="s">
        <v>37</v>
      </c>
    </row>
    <row r="32" spans="1:10" ht="15" customHeight="1" x14ac:dyDescent="0.2">
      <c r="A32" s="56">
        <v>44644</v>
      </c>
      <c r="B32" s="57" t="s">
        <v>39</v>
      </c>
      <c r="C32" s="58" t="s">
        <v>38</v>
      </c>
      <c r="D32" s="55"/>
      <c r="E32" s="55"/>
      <c r="F32" s="147" t="s">
        <v>152</v>
      </c>
      <c r="G32" s="149"/>
      <c r="H32" s="55"/>
      <c r="I32" s="59"/>
    </row>
    <row r="33" spans="1:9" ht="15" customHeight="1" x14ac:dyDescent="0.2">
      <c r="A33" s="56"/>
      <c r="B33" s="54"/>
      <c r="C33" s="58"/>
      <c r="D33" s="55"/>
      <c r="E33" s="58"/>
      <c r="F33" s="147"/>
      <c r="G33" s="149"/>
      <c r="H33" s="55"/>
      <c r="I33" s="59"/>
    </row>
    <row r="34" spans="1:9" ht="15" customHeight="1" x14ac:dyDescent="0.2">
      <c r="A34" s="60"/>
      <c r="B34" s="59"/>
      <c r="C34" s="58"/>
      <c r="D34" s="58"/>
      <c r="E34" s="58"/>
      <c r="F34" s="60"/>
      <c r="G34" s="61"/>
      <c r="H34" s="58"/>
      <c r="I34" s="59"/>
    </row>
    <row r="35" spans="1:9" ht="15" customHeight="1" x14ac:dyDescent="0.2">
      <c r="A35" s="60"/>
      <c r="B35" s="59"/>
      <c r="C35" s="58"/>
      <c r="D35" s="58"/>
      <c r="E35" s="58"/>
      <c r="F35" s="60"/>
      <c r="G35" s="61"/>
      <c r="H35" s="58"/>
      <c r="I35" s="59"/>
    </row>
    <row r="36" spans="1:9" ht="15" customHeight="1" x14ac:dyDescent="0.2">
      <c r="A36" s="60"/>
      <c r="B36" s="59"/>
      <c r="C36" s="58"/>
      <c r="D36" s="58"/>
      <c r="E36" s="58"/>
      <c r="F36" s="60"/>
      <c r="G36" s="61"/>
      <c r="H36" s="58"/>
      <c r="I36" s="59"/>
    </row>
    <row r="37" spans="1:9" ht="15" customHeight="1" x14ac:dyDescent="0.2">
      <c r="A37" s="60"/>
      <c r="B37" s="59"/>
      <c r="C37" s="58"/>
      <c r="D37" s="58"/>
      <c r="E37" s="58"/>
      <c r="F37" s="60"/>
      <c r="G37" s="61"/>
      <c r="H37" s="58"/>
      <c r="I37" s="59"/>
    </row>
    <row r="38" spans="1:9" ht="15" customHeight="1" x14ac:dyDescent="0.2">
      <c r="A38" s="60"/>
      <c r="B38" s="59"/>
      <c r="C38" s="58"/>
      <c r="D38" s="58"/>
      <c r="E38" s="58"/>
      <c r="F38" s="60"/>
      <c r="G38" s="61"/>
      <c r="H38" s="58"/>
      <c r="I38" s="59"/>
    </row>
    <row r="39" spans="1:9" ht="15" customHeight="1" x14ac:dyDescent="0.2">
      <c r="A39" s="60"/>
      <c r="B39" s="59"/>
      <c r="C39" s="58"/>
      <c r="D39" s="58"/>
      <c r="E39" s="58"/>
      <c r="F39" s="60"/>
      <c r="G39" s="61"/>
      <c r="H39" s="58"/>
      <c r="I39" s="59"/>
    </row>
    <row r="40" spans="1:9" ht="15" customHeight="1" x14ac:dyDescent="0.2">
      <c r="A40" s="60"/>
      <c r="B40" s="59"/>
      <c r="C40" s="58"/>
      <c r="D40" s="58"/>
      <c r="E40" s="58"/>
      <c r="F40" s="60"/>
      <c r="G40" s="61"/>
      <c r="H40" s="58"/>
      <c r="I40" s="59"/>
    </row>
    <row r="41" spans="1:9" ht="15" customHeight="1" x14ac:dyDescent="0.2">
      <c r="A41" s="60"/>
      <c r="B41" s="59"/>
      <c r="C41" s="58"/>
      <c r="D41" s="58"/>
      <c r="E41" s="58"/>
      <c r="F41" s="60"/>
      <c r="G41" s="61"/>
      <c r="H41" s="58"/>
      <c r="I41" s="59"/>
    </row>
    <row r="42" spans="1:9" ht="15" customHeight="1" x14ac:dyDescent="0.2">
      <c r="A42" s="60"/>
      <c r="B42" s="59"/>
      <c r="C42" s="58"/>
      <c r="D42" s="58"/>
      <c r="E42" s="58"/>
      <c r="F42" s="60"/>
      <c r="G42" s="61"/>
      <c r="H42" s="58"/>
      <c r="I42" s="59"/>
    </row>
    <row r="43" spans="1:9" ht="15" customHeight="1" x14ac:dyDescent="0.2">
      <c r="A43" s="60"/>
      <c r="B43" s="59"/>
      <c r="C43" s="58"/>
      <c r="D43" s="58"/>
      <c r="E43" s="58"/>
      <c r="F43" s="60"/>
      <c r="G43" s="61"/>
      <c r="H43" s="58"/>
      <c r="I43" s="59"/>
    </row>
    <row r="44" spans="1:9" ht="15" customHeight="1" x14ac:dyDescent="0.2">
      <c r="A44" s="60"/>
      <c r="B44" s="59"/>
      <c r="C44" s="58"/>
      <c r="D44" s="58"/>
      <c r="E44" s="58"/>
      <c r="F44" s="60"/>
      <c r="G44" s="61"/>
      <c r="H44" s="58"/>
      <c r="I44" s="59"/>
    </row>
    <row r="45" spans="1:9" ht="15" customHeight="1" x14ac:dyDescent="0.2">
      <c r="A45" s="60"/>
      <c r="B45" s="59"/>
      <c r="C45" s="58"/>
      <c r="D45" s="58"/>
      <c r="E45" s="58"/>
      <c r="F45" s="60"/>
      <c r="G45" s="61"/>
      <c r="H45" s="58"/>
      <c r="I45" s="59"/>
    </row>
    <row r="46" spans="1:9" ht="15" customHeight="1" x14ac:dyDescent="0.2">
      <c r="A46" s="60"/>
      <c r="B46" s="59"/>
      <c r="C46" s="58"/>
      <c r="D46" s="58"/>
      <c r="E46" s="58"/>
      <c r="F46" s="60"/>
      <c r="G46" s="61"/>
      <c r="H46" s="58"/>
      <c r="I46" s="59"/>
    </row>
    <row r="47" spans="1:9" ht="15" customHeight="1" x14ac:dyDescent="0.2">
      <c r="A47" s="60"/>
      <c r="B47" s="59"/>
      <c r="C47" s="58"/>
      <c r="D47" s="58"/>
      <c r="E47" s="58"/>
      <c r="F47" s="60"/>
      <c r="G47" s="61"/>
      <c r="H47" s="58"/>
      <c r="I47" s="59"/>
    </row>
    <row r="48" spans="1:9" ht="15" customHeight="1" x14ac:dyDescent="0.2">
      <c r="A48" s="60"/>
      <c r="B48" s="59"/>
      <c r="C48" s="58"/>
      <c r="D48" s="58"/>
      <c r="E48" s="58"/>
      <c r="F48" s="60"/>
      <c r="G48" s="61"/>
      <c r="H48" s="58"/>
      <c r="I48" s="59"/>
    </row>
    <row r="49" spans="1:9" ht="15" customHeight="1" x14ac:dyDescent="0.2">
      <c r="A49" s="60"/>
      <c r="B49" s="59"/>
      <c r="C49" s="58"/>
      <c r="D49" s="58"/>
      <c r="E49" s="58"/>
      <c r="F49" s="60"/>
      <c r="G49" s="61"/>
      <c r="H49" s="58"/>
      <c r="I49" s="59"/>
    </row>
  </sheetData>
  <sheetProtection formatCells="0" formatColumns="0" formatRows="0" insertColumns="0" insertRows="0" insertHyperlinks="0" deleteColumns="0" deleteRows="0" sort="0" autoFilter="0" pivotTables="0"/>
  <mergeCells count="11">
    <mergeCell ref="H1:I1"/>
    <mergeCell ref="H2:I2"/>
    <mergeCell ref="H3:I3"/>
    <mergeCell ref="C4:G4"/>
    <mergeCell ref="H4:I4"/>
    <mergeCell ref="C31:E31"/>
    <mergeCell ref="F31:G31"/>
    <mergeCell ref="F32:G32"/>
    <mergeCell ref="F33:G33"/>
    <mergeCell ref="A1:B4"/>
    <mergeCell ref="C1:G3"/>
  </mergeCells>
  <phoneticPr fontId="18" type="noConversion"/>
  <printOptions horizontalCentered="1"/>
  <pageMargins left="0.19685039370078741" right="0.19685039370078741" top="0.39370078740157483" bottom="0.39370078740157483" header="0.19685039370078741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Feuille CV</vt:lpstr>
      <vt:lpstr>Accord client</vt:lpstr>
      <vt:lpstr>Etalon</vt:lpstr>
      <vt:lpstr>Bilan d'incertitude</vt:lpstr>
      <vt:lpstr>Bilan Incertitude Etalon</vt:lpstr>
      <vt:lpstr>F13</vt:lpstr>
      <vt:lpstr>'F13'!Zone_d_impression</vt:lpstr>
      <vt:lpstr>'Feuille CV'!Zone_d_impression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APAVE</dc:creator>
  <cp:lastModifiedBy>DUMONT Nicolas</cp:lastModifiedBy>
  <cp:lastPrinted>2022-03-25T07:29:20Z</cp:lastPrinted>
  <dcterms:created xsi:type="dcterms:W3CDTF">2002-11-12T09:08:43Z</dcterms:created>
  <dcterms:modified xsi:type="dcterms:W3CDTF">2022-03-25T10:23:07Z</dcterms:modified>
</cp:coreProperties>
</file>