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-45" yWindow="-105" windowWidth="10005" windowHeight="9765"/>
  </bookViews>
  <sheets>
    <sheet name="OTIF annuel" sheetId="2" r:id="rId1"/>
    <sheet name="TCD" sheetId="43" r:id="rId2"/>
    <sheet name="EXTRACT" sheetId="42" r:id="rId3"/>
  </sheet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S18" i="2" l="1"/>
  <c r="S17" i="2"/>
  <c r="S16" i="2"/>
  <c r="S11" i="2"/>
  <c r="S10" i="2"/>
  <c r="S12" i="2"/>
  <c r="K18" i="2"/>
  <c r="K17" i="2"/>
  <c r="J18" i="2"/>
  <c r="J17" i="2"/>
  <c r="I18" i="2"/>
  <c r="I17" i="2"/>
  <c r="K12" i="2"/>
  <c r="K11" i="2"/>
  <c r="I12" i="2"/>
  <c r="I11" i="2"/>
  <c r="H12" i="2"/>
  <c r="H11" i="2"/>
  <c r="G12" i="2"/>
  <c r="G11" i="2"/>
  <c r="AO2" i="42" l="1"/>
  <c r="AP2" i="42"/>
  <c r="AQ2" i="42"/>
  <c r="AO3" i="42"/>
  <c r="AP3" i="42"/>
  <c r="AR3" i="42" s="1"/>
  <c r="AQ3" i="42"/>
  <c r="AO4" i="42"/>
  <c r="AP4" i="42"/>
  <c r="AQ4" i="42"/>
  <c r="AO5" i="42"/>
  <c r="AP5" i="42"/>
  <c r="AQ5" i="42"/>
  <c r="AO6" i="42"/>
  <c r="AP6" i="42"/>
  <c r="AR6" i="42" s="1"/>
  <c r="AQ6" i="42"/>
  <c r="AO7" i="42"/>
  <c r="AP7" i="42"/>
  <c r="AQ7" i="42"/>
  <c r="AO8" i="42"/>
  <c r="AP8" i="42"/>
  <c r="AQ8" i="42"/>
  <c r="AO9" i="42"/>
  <c r="AP9" i="42"/>
  <c r="AQ9" i="42"/>
  <c r="AO10" i="42"/>
  <c r="AP10" i="42"/>
  <c r="AR10" i="42" s="1"/>
  <c r="AQ10" i="42"/>
  <c r="AO11" i="42"/>
  <c r="AP11" i="42"/>
  <c r="AQ11" i="42"/>
  <c r="AO12" i="42"/>
  <c r="AP12" i="42"/>
  <c r="AQ12" i="42"/>
  <c r="AO13" i="42"/>
  <c r="AP13" i="42"/>
  <c r="AQ13" i="42"/>
  <c r="AO14" i="42"/>
  <c r="AP14" i="42"/>
  <c r="AR14" i="42" s="1"/>
  <c r="AQ14" i="42"/>
  <c r="AO15" i="42"/>
  <c r="AP15" i="42"/>
  <c r="AQ15" i="42"/>
  <c r="AR12" i="42" l="1"/>
  <c r="AR8" i="42"/>
  <c r="AR4" i="42"/>
  <c r="AR15" i="42"/>
  <c r="AR7" i="42"/>
  <c r="AR13" i="42"/>
  <c r="AR9" i="42"/>
  <c r="AR5" i="42"/>
  <c r="AR2" i="42"/>
  <c r="AR11" i="42"/>
  <c r="AH9" i="2" l="1"/>
  <c r="AH12" i="2" s="1"/>
  <c r="AH10" i="2" s="1"/>
  <c r="Z12" i="2" l="1"/>
  <c r="Z11" i="2"/>
  <c r="Z10" i="2"/>
  <c r="AG9" i="2" l="1"/>
  <c r="AG12" i="2" s="1"/>
  <c r="AG10" i="2" s="1"/>
  <c r="O16" i="2"/>
  <c r="AE9" i="2"/>
  <c r="AE12" i="2" s="1"/>
  <c r="AE10" i="2" s="1"/>
  <c r="O10" i="2" l="1"/>
  <c r="O17" i="2"/>
  <c r="AD9" i="2"/>
  <c r="AD12" i="2" s="1"/>
  <c r="AD10" i="2" s="1"/>
  <c r="O11" i="2" l="1"/>
  <c r="AB9" i="2" s="1"/>
  <c r="AB12" i="2" s="1"/>
  <c r="AB10" i="2" s="1"/>
  <c r="AF9" i="2"/>
  <c r="AF12" i="2" s="1"/>
  <c r="AF10" i="2" s="1"/>
  <c r="AC9" i="2"/>
  <c r="AC12" i="2" s="1"/>
  <c r="AC10" i="2" s="1"/>
</calcChain>
</file>

<file path=xl/sharedStrings.xml><?xml version="1.0" encoding="utf-8"?>
<sst xmlns="http://schemas.openxmlformats.org/spreadsheetml/2006/main" count="541" uniqueCount="169">
  <si>
    <t>OTIF quantité</t>
  </si>
  <si>
    <t>OTIF délai</t>
  </si>
  <si>
    <t>Janvier</t>
  </si>
  <si>
    <t>Mars</t>
  </si>
  <si>
    <t>Avril</t>
  </si>
  <si>
    <t>Mai</t>
  </si>
  <si>
    <t>Juin</t>
  </si>
  <si>
    <t>Juillet</t>
  </si>
  <si>
    <t>BOISSET</t>
  </si>
  <si>
    <t>GAUTIER</t>
  </si>
  <si>
    <t>MONCIGALE</t>
  </si>
  <si>
    <t>SAZERAC</t>
  </si>
  <si>
    <t>SOBIESKI</t>
  </si>
  <si>
    <t>Février</t>
  </si>
  <si>
    <t>OTIF TOTAL</t>
  </si>
  <si>
    <t>Août</t>
  </si>
  <si>
    <t>Septembre</t>
  </si>
  <si>
    <t>Octobre</t>
  </si>
  <si>
    <t>Novembre</t>
  </si>
  <si>
    <t>Décembre</t>
  </si>
  <si>
    <t>Graphique anneau (jauge) :</t>
  </si>
  <si>
    <t>Zone jaune</t>
  </si>
  <si>
    <t>Zone rouge</t>
  </si>
  <si>
    <t>Zone verte</t>
  </si>
  <si>
    <t>Blanc</t>
  </si>
  <si>
    <t>Départ</t>
  </si>
  <si>
    <t>Graphique en tarte (aiguille)</t>
  </si>
  <si>
    <t>Valeur atteinte:</t>
  </si>
  <si>
    <t>Largeur aiguille:</t>
  </si>
  <si>
    <t>Balance:</t>
  </si>
  <si>
    <t>Blanc:</t>
  </si>
  <si>
    <t>Moyenne annuel:</t>
  </si>
  <si>
    <t>PORTO</t>
  </si>
  <si>
    <t>Dont:</t>
  </si>
  <si>
    <t>Quantité :</t>
  </si>
  <si>
    <t>Délai :</t>
  </si>
  <si>
    <t>DOLHER</t>
  </si>
  <si>
    <t>Moyenne annuelle</t>
  </si>
  <si>
    <t/>
  </si>
  <si>
    <t>2</t>
  </si>
  <si>
    <t>00</t>
  </si>
  <si>
    <t>3</t>
  </si>
  <si>
    <t>311217</t>
  </si>
  <si>
    <t>F</t>
  </si>
  <si>
    <t>80500</t>
  </si>
  <si>
    <t>00000001</t>
  </si>
  <si>
    <t>FR</t>
  </si>
  <si>
    <t>CRA</t>
  </si>
  <si>
    <t>PR</t>
  </si>
  <si>
    <t>etat</t>
  </si>
  <si>
    <t>devise</t>
  </si>
  <si>
    <t>Mt Transp.</t>
  </si>
  <si>
    <t>htdev</t>
  </si>
  <si>
    <t>unit</t>
  </si>
  <si>
    <t>ht</t>
  </si>
  <si>
    <t>qte liv</t>
  </si>
  <si>
    <t>qte cde</t>
  </si>
  <si>
    <t>cif</t>
  </si>
  <si>
    <t>dat liv dem.</t>
  </si>
  <si>
    <t>dat bl</t>
  </si>
  <si>
    <t>dat recep</t>
  </si>
  <si>
    <t>dat cde</t>
  </si>
  <si>
    <t>recep</t>
  </si>
  <si>
    <t>cde</t>
  </si>
  <si>
    <t>contenance</t>
  </si>
  <si>
    <t>appelation</t>
  </si>
  <si>
    <t>appro</t>
  </si>
  <si>
    <t>liquide</t>
  </si>
  <si>
    <t>typcomp</t>
  </si>
  <si>
    <t>lbartic</t>
  </si>
  <si>
    <t>Article FG</t>
  </si>
  <si>
    <t>Code Movex</t>
  </si>
  <si>
    <t>va</t>
  </si>
  <si>
    <t>cip</t>
  </si>
  <si>
    <t>cnuf</t>
  </si>
  <si>
    <t>flag</t>
  </si>
  <si>
    <t>sfamart</t>
  </si>
  <si>
    <t>famart</t>
  </si>
  <si>
    <t>grprod</t>
  </si>
  <si>
    <t>Fin</t>
  </si>
  <si>
    <t>Debut</t>
  </si>
  <si>
    <t>contrat</t>
  </si>
  <si>
    <t>courtier</t>
  </si>
  <si>
    <t>nom</t>
  </si>
  <si>
    <t>fournisseur</t>
  </si>
  <si>
    <t>pays</t>
  </si>
  <si>
    <t>Societe</t>
  </si>
  <si>
    <t>120917</t>
  </si>
  <si>
    <t>040517</t>
  </si>
  <si>
    <t>130717</t>
  </si>
  <si>
    <t>030817</t>
  </si>
  <si>
    <t>120617</t>
  </si>
  <si>
    <t>090817</t>
  </si>
  <si>
    <t>200717</t>
  </si>
  <si>
    <t>070817</t>
  </si>
  <si>
    <t>170817</t>
  </si>
  <si>
    <t>310817</t>
  </si>
  <si>
    <t>160617</t>
  </si>
  <si>
    <t>050917</t>
  </si>
  <si>
    <t>190917</t>
  </si>
  <si>
    <t>070717</t>
  </si>
  <si>
    <t>PG</t>
  </si>
  <si>
    <t>010817</t>
  </si>
  <si>
    <t>240817</t>
  </si>
  <si>
    <t>MOIS OTIF</t>
  </si>
  <si>
    <t>Étiquettes de lignes</t>
  </si>
  <si>
    <t>Total général</t>
  </si>
  <si>
    <t>06</t>
  </si>
  <si>
    <t>07</t>
  </si>
  <si>
    <t>08</t>
  </si>
  <si>
    <t>09</t>
  </si>
  <si>
    <t>Nombre de OTIF TOTAL</t>
  </si>
  <si>
    <t>003</t>
  </si>
  <si>
    <t>EA</t>
  </si>
  <si>
    <t>CJ</t>
  </si>
  <si>
    <t>AN</t>
  </si>
  <si>
    <t>051017</t>
  </si>
  <si>
    <t>315416</t>
  </si>
  <si>
    <t>315503</t>
  </si>
  <si>
    <t>111017</t>
  </si>
  <si>
    <t>181017</t>
  </si>
  <si>
    <t>091017</t>
  </si>
  <si>
    <t>00000205</t>
  </si>
  <si>
    <t>00189780</t>
  </si>
  <si>
    <t>00170693</t>
  </si>
  <si>
    <t>00190667</t>
  </si>
  <si>
    <t>00171306</t>
  </si>
  <si>
    <t>220917</t>
  </si>
  <si>
    <t>00190569</t>
  </si>
  <si>
    <t>00171305</t>
  </si>
  <si>
    <t>00190538</t>
  </si>
  <si>
    <t>00171304</t>
  </si>
  <si>
    <t>00190471</t>
  </si>
  <si>
    <t>00171303</t>
  </si>
  <si>
    <t>00190417</t>
  </si>
  <si>
    <t>00171302</t>
  </si>
  <si>
    <t>00190395</t>
  </si>
  <si>
    <t>00171234</t>
  </si>
  <si>
    <t>00190276</t>
  </si>
  <si>
    <t>00171182</t>
  </si>
  <si>
    <t>00190182</t>
  </si>
  <si>
    <t>00170993</t>
  </si>
  <si>
    <t>00190178</t>
  </si>
  <si>
    <t>00170992</t>
  </si>
  <si>
    <t>00190027</t>
  </si>
  <si>
    <t>00170943</t>
  </si>
  <si>
    <t>00190707</t>
  </si>
  <si>
    <t>00171650</t>
  </si>
  <si>
    <t>315625</t>
  </si>
  <si>
    <t>00190752</t>
  </si>
  <si>
    <t>00171654</t>
  </si>
  <si>
    <t>00190020</t>
  </si>
  <si>
    <t>00170985</t>
  </si>
  <si>
    <t>Volume</t>
  </si>
  <si>
    <t>Volume :</t>
  </si>
  <si>
    <t>Fournisseur 1</t>
  </si>
  <si>
    <t>Fournisseur 2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</si>
  <si>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</si>
  <si>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</si>
  <si>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</si>
  <si>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</si>
  <si>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</si>
  <si>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</si>
  <si>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</si>
  <si>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</si>
  <si>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10</t>
  </si>
  <si>
    <t>Moyenne de OTIF quantité</t>
  </si>
  <si>
    <t>Moyenne de OTIF délai</t>
  </si>
  <si>
    <t>Moyenne de OTIF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</si>
</sst>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b/>
      <sz val="10"/>
      <color theme="0"/>
      <name val="Arial Unicode MS,Andale WT,Taho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-0.249977111117893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CCCCCC"/>
      </left>
      <right style="thin">
        <color rgb="FFCCCCCC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6">
    <xf numFmtId="0" fontId="0" fillId="0" borderId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4" applyNumberFormat="0" applyAlignment="0" applyProtection="0"/>
    <xf numFmtId="0" fontId="13" fillId="6" borderId="5" applyNumberFormat="0" applyAlignment="0" applyProtection="0"/>
    <xf numFmtId="0" fontId="14" fillId="6" borderId="4" applyNumberFormat="0" applyAlignment="0" applyProtection="0"/>
    <xf numFmtId="0" fontId="15" fillId="0" borderId="6" applyNumberFormat="0" applyFill="0" applyAlignment="0" applyProtection="0"/>
    <xf numFmtId="0" fontId="16" fillId="7" borderId="7" applyNumberFormat="0" applyAlignment="0" applyProtection="0"/>
    <xf numFmtId="0" fontId="17" fillId="0" borderId="0" applyNumberFormat="0" applyFill="0" applyBorder="0" applyAlignment="0" applyProtection="0"/>
    <xf numFmtId="0" fontId="4" fillId="8" borderId="8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20" fillId="32" borderId="0" applyNumberFormat="0" applyBorder="0" applyAlignment="0" applyProtection="0"/>
    <xf numFmtId="9" fontId="21" fillId="0" borderId="0" applyFont="0" applyFill="0" applyBorder="0" applyAlignment="0" applyProtection="0"/>
    <xf numFmtId="43" fontId="22" fillId="0" borderId="0" applyFont="0" applyFill="0" applyBorder="0" applyAlignment="0" applyProtection="0"/>
    <xf numFmtId="0" fontId="3" fillId="0" borderId="0"/>
    <xf numFmtId="0" fontId="2" fillId="0" borderId="0"/>
  </cellStyleXfs>
  <cellXfs count="96">
    <xf numFmtId="0" fontId="21" fillId="0" borderId="0" xfId="0" applyFont="1"/>
    <xf numFmtId="0" fontId="21" fillId="0" borderId="11" xfId="0" applyFont="1" applyBorder="1"/>
    <xf numFmtId="0" fontId="21" fillId="0" borderId="0" xfId="0" applyFont="1" applyBorder="1"/>
    <xf numFmtId="0" fontId="21" fillId="0" borderId="0" xfId="0" applyFont="1" applyAlignment="1">
      <alignment horizontal="center"/>
    </xf>
    <xf numFmtId="0" fontId="21" fillId="0" borderId="0" xfId="0" applyFont="1" applyFill="1"/>
    <xf numFmtId="0" fontId="21" fillId="35" borderId="14" xfId="0" applyFont="1" applyFill="1" applyBorder="1"/>
    <xf numFmtId="0" fontId="21" fillId="35" borderId="15" xfId="0" applyFont="1" applyFill="1" applyBorder="1"/>
    <xf numFmtId="0" fontId="21" fillId="35" borderId="17" xfId="0" applyFont="1" applyFill="1" applyBorder="1"/>
    <xf numFmtId="0" fontId="21" fillId="35" borderId="0" xfId="0" applyFont="1" applyFill="1" applyBorder="1"/>
    <xf numFmtId="0" fontId="21" fillId="0" borderId="17" xfId="0" applyFont="1" applyBorder="1"/>
    <xf numFmtId="0" fontId="21" fillId="0" borderId="18" xfId="0" applyFont="1" applyBorder="1"/>
    <xf numFmtId="0" fontId="21" fillId="0" borderId="0" xfId="0" applyFont="1" applyBorder="1" applyAlignment="1">
      <alignment horizontal="center" vertical="center"/>
    </xf>
    <xf numFmtId="0" fontId="21" fillId="0" borderId="19" xfId="0" applyFont="1" applyBorder="1"/>
    <xf numFmtId="0" fontId="21" fillId="0" borderId="20" xfId="0" applyFont="1" applyBorder="1"/>
    <xf numFmtId="0" fontId="21" fillId="35" borderId="19" xfId="0" applyFont="1" applyFill="1" applyBorder="1"/>
    <xf numFmtId="0" fontId="21" fillId="35" borderId="20" xfId="0" applyFont="1" applyFill="1" applyBorder="1"/>
    <xf numFmtId="9" fontId="21" fillId="0" borderId="0" xfId="0" applyNumberFormat="1" applyFont="1" applyBorder="1" applyAlignment="1">
      <alignment horizontal="center" vertical="center"/>
    </xf>
    <xf numFmtId="0" fontId="21" fillId="0" borderId="22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1" fillId="0" borderId="24" xfId="0" applyFont="1" applyBorder="1" applyAlignment="1">
      <alignment horizontal="center" vertical="center"/>
    </xf>
    <xf numFmtId="9" fontId="21" fillId="0" borderId="25" xfId="0" applyNumberFormat="1" applyFont="1" applyBorder="1" applyAlignment="1">
      <alignment horizontal="center" vertical="center"/>
    </xf>
    <xf numFmtId="0" fontId="21" fillId="0" borderId="26" xfId="0" applyFont="1" applyBorder="1" applyAlignment="1">
      <alignment horizontal="center" vertical="center"/>
    </xf>
    <xf numFmtId="0" fontId="21" fillId="0" borderId="27" xfId="0" applyFont="1" applyBorder="1" applyAlignment="1">
      <alignment horizontal="center" vertical="center"/>
    </xf>
    <xf numFmtId="0" fontId="21" fillId="0" borderId="11" xfId="0" applyFont="1" applyBorder="1" applyAlignment="1">
      <alignment horizontal="left" vertical="center"/>
    </xf>
    <xf numFmtId="0" fontId="23" fillId="0" borderId="11" xfId="0" applyFont="1" applyBorder="1"/>
    <xf numFmtId="1" fontId="21" fillId="0" borderId="11" xfId="0" applyNumberFormat="1" applyFont="1" applyBorder="1"/>
    <xf numFmtId="0" fontId="21" fillId="0" borderId="14" xfId="0" applyFont="1" applyBorder="1"/>
    <xf numFmtId="0" fontId="21" fillId="0" borderId="16" xfId="0" applyFont="1" applyBorder="1"/>
    <xf numFmtId="0" fontId="21" fillId="0" borderId="17" xfId="0" applyFont="1" applyBorder="1" applyAlignment="1">
      <alignment horizontal="center"/>
    </xf>
    <xf numFmtId="0" fontId="21" fillId="0" borderId="26" xfId="0" applyNumberFormat="1" applyFont="1" applyBorder="1" applyAlignment="1">
      <alignment horizontal="center" vertical="center"/>
    </xf>
    <xf numFmtId="0" fontId="21" fillId="0" borderId="27" xfId="0" applyNumberFormat="1" applyFont="1" applyBorder="1" applyAlignment="1">
      <alignment horizontal="center" vertical="center"/>
    </xf>
    <xf numFmtId="0" fontId="21" fillId="36" borderId="11" xfId="0" applyFont="1" applyFill="1" applyBorder="1" applyAlignment="1">
      <alignment horizontal="center" vertical="center"/>
    </xf>
    <xf numFmtId="0" fontId="21" fillId="36" borderId="11" xfId="0" applyFont="1" applyFill="1" applyBorder="1"/>
    <xf numFmtId="164" fontId="21" fillId="0" borderId="11" xfId="43" applyNumberFormat="1" applyFont="1" applyBorder="1"/>
    <xf numFmtId="164" fontId="21" fillId="0" borderId="11" xfId="0" applyNumberFormat="1" applyFont="1" applyBorder="1"/>
    <xf numFmtId="0" fontId="21" fillId="0" borderId="0" xfId="0" applyFont="1" applyFill="1" applyBorder="1"/>
    <xf numFmtId="0" fontId="21" fillId="0" borderId="15" xfId="0" applyFont="1" applyBorder="1"/>
    <xf numFmtId="9" fontId="21" fillId="0" borderId="26" xfId="0" applyNumberFormat="1" applyFont="1" applyBorder="1" applyAlignment="1">
      <alignment horizontal="center" vertical="center"/>
    </xf>
    <xf numFmtId="0" fontId="21" fillId="0" borderId="0" xfId="0" applyFont="1" applyBorder="1" applyAlignment="1">
      <alignment horizontal="center"/>
    </xf>
    <xf numFmtId="9" fontId="21" fillId="0" borderId="18" xfId="0" applyNumberFormat="1" applyFont="1" applyBorder="1" applyAlignment="1">
      <alignment horizontal="left" vertical="top"/>
    </xf>
    <xf numFmtId="0" fontId="21" fillId="0" borderId="18" xfId="0" applyFont="1" applyBorder="1" applyAlignment="1">
      <alignment horizontal="left" vertical="top"/>
    </xf>
    <xf numFmtId="0" fontId="21" fillId="0" borderId="21" xfId="0" applyFont="1" applyBorder="1" applyAlignment="1">
      <alignment horizontal="left" vertical="top"/>
    </xf>
    <xf numFmtId="0" fontId="21" fillId="0" borderId="14" xfId="0" applyFont="1" applyBorder="1" applyAlignment="1">
      <alignment horizontal="left" vertical="center"/>
    </xf>
    <xf numFmtId="0" fontId="24" fillId="0" borderId="17" xfId="0" applyFont="1" applyBorder="1" applyAlignment="1">
      <alignment horizontal="left" vertical="center"/>
    </xf>
    <xf numFmtId="0" fontId="21" fillId="0" borderId="17" xfId="0" applyFont="1" applyBorder="1" applyAlignment="1">
      <alignment horizontal="left" vertical="center"/>
    </xf>
    <xf numFmtId="0" fontId="21" fillId="0" borderId="19" xfId="0" applyFont="1" applyBorder="1" applyAlignment="1">
      <alignment horizontal="left" vertical="center"/>
    </xf>
    <xf numFmtId="9" fontId="21" fillId="0" borderId="0" xfId="0" applyNumberFormat="1" applyFont="1" applyFill="1" applyBorder="1" applyAlignment="1">
      <alignment horizontal="left" vertical="top"/>
    </xf>
    <xf numFmtId="0" fontId="21" fillId="0" borderId="0" xfId="0" applyFont="1" applyFill="1" applyBorder="1" applyAlignment="1">
      <alignment horizontal="left" vertical="top"/>
    </xf>
    <xf numFmtId="0" fontId="21" fillId="0" borderId="16" xfId="0" applyFont="1" applyBorder="1" applyAlignment="1">
      <alignment horizontal="left" vertical="top"/>
    </xf>
    <xf numFmtId="0" fontId="28" fillId="0" borderId="0" xfId="0" applyFont="1"/>
    <xf numFmtId="0" fontId="27" fillId="35" borderId="15" xfId="0" applyFont="1" applyFill="1" applyBorder="1" applyAlignment="1"/>
    <xf numFmtId="0" fontId="27" fillId="35" borderId="16" xfId="0" applyFont="1" applyFill="1" applyBorder="1" applyAlignment="1"/>
    <xf numFmtId="0" fontId="27" fillId="35" borderId="0" xfId="0" applyFont="1" applyFill="1" applyBorder="1" applyAlignment="1"/>
    <xf numFmtId="0" fontId="27" fillId="35" borderId="18" xfId="0" applyFont="1" applyFill="1" applyBorder="1" applyAlignment="1"/>
    <xf numFmtId="0" fontId="28" fillId="0" borderId="13" xfId="0" applyFont="1" applyFill="1" applyBorder="1"/>
    <xf numFmtId="0" fontId="28" fillId="0" borderId="31" xfId="0" applyFont="1" applyFill="1" applyBorder="1"/>
    <xf numFmtId="9" fontId="29" fillId="0" borderId="31" xfId="43" applyNumberFormat="1" applyFont="1" applyFill="1" applyBorder="1" applyAlignment="1">
      <alignment horizontal="center" vertical="center"/>
    </xf>
    <xf numFmtId="43" fontId="26" fillId="0" borderId="31" xfId="43" applyNumberFormat="1" applyFont="1" applyFill="1" applyBorder="1" applyAlignment="1">
      <alignment horizontal="center" vertical="center"/>
    </xf>
    <xf numFmtId="9" fontId="28" fillId="0" borderId="31" xfId="0" applyNumberFormat="1" applyFont="1" applyFill="1" applyBorder="1" applyAlignment="1">
      <alignment horizontal="center" vertical="center"/>
    </xf>
    <xf numFmtId="0" fontId="28" fillId="0" borderId="31" xfId="0" applyFont="1" applyFill="1" applyBorder="1" applyAlignment="1">
      <alignment horizontal="center" vertical="center"/>
    </xf>
    <xf numFmtId="9" fontId="29" fillId="0" borderId="31" xfId="42" applyFont="1" applyFill="1" applyBorder="1" applyAlignment="1">
      <alignment horizontal="center" vertical="center"/>
    </xf>
    <xf numFmtId="2" fontId="26" fillId="0" borderId="31" xfId="0" applyNumberFormat="1" applyFont="1" applyFill="1" applyBorder="1" applyAlignment="1">
      <alignment horizontal="center" vertical="center"/>
    </xf>
    <xf numFmtId="9" fontId="29" fillId="0" borderId="31" xfId="0" applyNumberFormat="1" applyFont="1" applyFill="1" applyBorder="1" applyAlignment="1">
      <alignment horizontal="center" vertical="center"/>
    </xf>
    <xf numFmtId="0" fontId="28" fillId="0" borderId="29" xfId="0" applyFont="1" applyFill="1" applyBorder="1" applyAlignment="1">
      <alignment horizontal="center" vertical="center"/>
    </xf>
    <xf numFmtId="9" fontId="21" fillId="0" borderId="0" xfId="42" applyFont="1" applyBorder="1" applyAlignment="1">
      <alignment horizontal="center"/>
    </xf>
    <xf numFmtId="0" fontId="21" fillId="0" borderId="18" xfId="0" applyFont="1" applyBorder="1" applyAlignment="1">
      <alignment horizontal="center" vertical="center"/>
    </xf>
    <xf numFmtId="0" fontId="21" fillId="0" borderId="18" xfId="0" applyNumberFormat="1" applyFont="1" applyBorder="1" applyAlignment="1">
      <alignment horizontal="center" vertical="center"/>
    </xf>
    <xf numFmtId="0" fontId="2" fillId="0" borderId="0" xfId="45" applyProtection="1">
      <protection locked="0"/>
    </xf>
    <xf numFmtId="0" fontId="21" fillId="33" borderId="0" xfId="45" applyFont="1" applyFill="1"/>
    <xf numFmtId="49" fontId="25" fillId="37" borderId="10" xfId="45" applyNumberFormat="1" applyFont="1" applyFill="1" applyBorder="1" applyAlignment="1">
      <alignment horizontal="center" vertical="top" wrapText="1"/>
    </xf>
    <xf numFmtId="164" fontId="21" fillId="0" borderId="18" xfId="43" applyNumberFormat="1" applyFont="1" applyBorder="1" applyAlignment="1">
      <alignment horizontal="left" vertical="top"/>
    </xf>
    <xf numFmtId="0" fontId="1" fillId="0" borderId="0" xfId="45" applyFont="1" applyProtection="1">
      <protection locked="0"/>
    </xf>
    <xf numFmtId="0" fontId="2" fillId="38" borderId="0" xfId="45" applyFill="1" applyProtection="1">
      <protection locked="0"/>
    </xf>
    <xf numFmtId="0" fontId="1" fillId="38" borderId="0" xfId="45" applyFont="1" applyFill="1" applyProtection="1">
      <protection locked="0"/>
    </xf>
    <xf numFmtId="0" fontId="21" fillId="0" borderId="0" xfId="0" pivotButton="1" applyFont="1"/>
    <xf numFmtId="0" fontId="21" fillId="0" borderId="0" xfId="0" applyFont="1" applyAlignment="1">
      <alignment horizontal="left"/>
    </xf>
    <xf numFmtId="0" fontId="21" fillId="0" borderId="0" xfId="0" applyFont="1" applyAlignment="1">
      <alignment horizontal="left" indent="1"/>
    </xf>
    <xf numFmtId="0" fontId="21" fillId="0" borderId="0" xfId="0" applyNumberFormat="1" applyFont="1"/>
    <xf numFmtId="0" fontId="28" fillId="0" borderId="0" xfId="0" applyFont="1" applyFill="1" applyBorder="1" applyAlignment="1">
      <alignment horizontal="center" vertical="center"/>
    </xf>
    <xf numFmtId="0" fontId="21" fillId="0" borderId="0" xfId="0" applyFont="1" applyBorder="1" applyAlignment="1">
      <alignment horizontal="left" vertical="center"/>
    </xf>
    <xf numFmtId="0" fontId="21" fillId="0" borderId="0" xfId="0" applyFont="1" applyBorder="1" applyAlignment="1">
      <alignment horizontal="left" vertical="top"/>
    </xf>
    <xf numFmtId="0" fontId="28" fillId="0" borderId="0" xfId="0" applyFont="1" applyBorder="1"/>
    <xf numFmtId="9" fontId="21" fillId="0" borderId="20" xfId="42" applyFont="1" applyBorder="1" applyAlignment="1">
      <alignment horizontal="center" vertical="center"/>
    </xf>
    <xf numFmtId="9" fontId="21" fillId="0" borderId="20" xfId="42" applyFont="1" applyBorder="1" applyAlignment="1">
      <alignment horizontal="center"/>
    </xf>
    <xf numFmtId="9" fontId="21" fillId="0" borderId="20" xfId="0" applyNumberFormat="1" applyFont="1" applyBorder="1" applyAlignment="1">
      <alignment horizontal="center"/>
    </xf>
    <xf numFmtId="0" fontId="21" fillId="0" borderId="20" xfId="0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27" fillId="35" borderId="28" xfId="0" applyFont="1" applyFill="1" applyBorder="1" applyAlignment="1">
      <alignment horizontal="center"/>
    </xf>
    <xf numFmtId="0" fontId="27" fillId="35" borderId="12" xfId="0" applyFont="1" applyFill="1" applyBorder="1" applyAlignment="1">
      <alignment horizontal="center"/>
    </xf>
    <xf numFmtId="0" fontId="27" fillId="35" borderId="30" xfId="0" applyFont="1" applyFill="1" applyBorder="1" applyAlignment="1">
      <alignment horizontal="center"/>
    </xf>
    <xf numFmtId="0" fontId="21" fillId="34" borderId="28" xfId="0" applyFont="1" applyFill="1" applyBorder="1" applyAlignment="1">
      <alignment horizontal="center" vertical="center"/>
    </xf>
    <xf numFmtId="0" fontId="21" fillId="34" borderId="12" xfId="0" applyFont="1" applyFill="1" applyBorder="1" applyAlignment="1">
      <alignment horizontal="center" vertical="center"/>
    </xf>
    <xf numFmtId="0" fontId="21" fillId="34" borderId="30" xfId="0" applyFont="1" applyFill="1" applyBorder="1" applyAlignment="1">
      <alignment horizontal="center" vertical="center"/>
    </xf>
    <xf numFmtId="164" fontId="21" fillId="0" borderId="17" xfId="43" applyNumberFormat="1" applyFont="1" applyBorder="1"/>
    <xf numFmtId="164" fontId="21" fillId="0" borderId="0" xfId="43" applyNumberFormat="1" applyFont="1" applyBorder="1" applyAlignment="1">
      <alignment horizontal="center" vertical="center"/>
    </xf>
    <xf numFmtId="164" fontId="21" fillId="0" borderId="0" xfId="43" applyNumberFormat="1" applyFont="1" applyBorder="1" applyAlignment="1">
      <alignment horizontal="center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3" builtinId="3"/>
    <cellStyle name="Neutre" xfId="8" builtinId="28" customBuiltin="1"/>
    <cellStyle name="Normal" xfId="0" builtinId="0"/>
    <cellStyle name="Normal 2" xfId="44"/>
    <cellStyle name="Normal 3" xfId="45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92D050"/>
              </a:solidFill>
              <a:ln>
                <a:noFill/>
              </a:ln>
            </c:spPr>
          </c:dPt>
          <c:dPt>
            <c:idx val="3"/>
            <c:bubble3D val="0"/>
            <c:spPr>
              <a:noFill/>
            </c:spPr>
          </c:dPt>
          <c:val>
            <c:numRef>
              <c:f>'OTIF annuel'!$Z$10:$Z$13</c:f>
              <c:numCache>
                <c:formatCode>General</c:formatCode>
                <c:ptCount val="4"/>
                <c:pt idx="0">
                  <c:v>33.333333333333336</c:v>
                </c:pt>
                <c:pt idx="1">
                  <c:v>33.333333333333336</c:v>
                </c:pt>
                <c:pt idx="2">
                  <c:v>33.333333333333336</c:v>
                </c:pt>
                <c:pt idx="3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1"/>
        <c:holeSize val="50"/>
      </c:doughnutChart>
      <c:spPr>
        <a:noFill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noFill/>
          </c:spPr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3"/>
            <c:bubble3D val="0"/>
            <c:spPr>
              <a:noFill/>
              <a:ln>
                <a:noFill/>
              </a:ln>
            </c:spPr>
          </c:dPt>
          <c:val>
            <c:numRef>
              <c:f>'OTIF annuel'!$AC$10:$AC$13</c:f>
              <c:numCache>
                <c:formatCode>General</c:formatCode>
                <c:ptCount val="4"/>
                <c:pt idx="0" formatCode="0">
                  <c:v>1</c:v>
                </c:pt>
                <c:pt idx="1">
                  <c:v>1</c:v>
                </c:pt>
                <c:pt idx="2" formatCode="0">
                  <c:v>99</c:v>
                </c:pt>
                <c:pt idx="3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69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92D050"/>
              </a:solidFill>
              <a:ln>
                <a:noFill/>
              </a:ln>
            </c:spPr>
          </c:dPt>
          <c:dPt>
            <c:idx val="3"/>
            <c:bubble3D val="0"/>
            <c:spPr>
              <a:noFill/>
            </c:spPr>
          </c:dPt>
          <c:val>
            <c:numRef>
              <c:f>'OTIF annuel'!$Z$10:$Z$13</c:f>
              <c:numCache>
                <c:formatCode>General</c:formatCode>
                <c:ptCount val="4"/>
                <c:pt idx="0">
                  <c:v>33.333333333333336</c:v>
                </c:pt>
                <c:pt idx="1">
                  <c:v>33.333333333333336</c:v>
                </c:pt>
                <c:pt idx="2">
                  <c:v>33.333333333333336</c:v>
                </c:pt>
                <c:pt idx="3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1"/>
        <c:holeSize val="50"/>
      </c:doughnutChart>
      <c:spPr>
        <a:noFill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noFill/>
          </c:spPr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3"/>
            <c:bubble3D val="0"/>
            <c:spPr>
              <a:noFill/>
              <a:ln>
                <a:noFill/>
              </a:ln>
            </c:spPr>
          </c:dPt>
          <c:val>
            <c:numRef>
              <c:f>'OTIF annuel'!$AD$10:$AD$13</c:f>
              <c:numCache>
                <c:formatCode>General</c:formatCode>
                <c:ptCount val="4"/>
                <c:pt idx="0" formatCode="0">
                  <c:v>0</c:v>
                </c:pt>
                <c:pt idx="1">
                  <c:v>1</c:v>
                </c:pt>
                <c:pt idx="2" formatCode="0">
                  <c:v>0</c:v>
                </c:pt>
                <c:pt idx="3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69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92D050"/>
              </a:solidFill>
              <a:ln>
                <a:noFill/>
              </a:ln>
            </c:spPr>
          </c:dPt>
          <c:dPt>
            <c:idx val="3"/>
            <c:bubble3D val="0"/>
            <c:spPr>
              <a:noFill/>
            </c:spPr>
          </c:dPt>
          <c:val>
            <c:numRef>
              <c:f>'OTIF annuel'!$Z$10:$Z$13</c:f>
              <c:numCache>
                <c:formatCode>General</c:formatCode>
                <c:ptCount val="4"/>
                <c:pt idx="0">
                  <c:v>33.333333333333336</c:v>
                </c:pt>
                <c:pt idx="1">
                  <c:v>33.333333333333336</c:v>
                </c:pt>
                <c:pt idx="2">
                  <c:v>33.333333333333336</c:v>
                </c:pt>
                <c:pt idx="3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1"/>
        <c:holeSize val="50"/>
      </c:doughnutChart>
      <c:spPr>
        <a:noFill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noFill/>
          </c:spPr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3"/>
            <c:bubble3D val="0"/>
            <c:spPr>
              <a:noFill/>
              <a:ln>
                <a:noFill/>
              </a:ln>
            </c:spPr>
          </c:dPt>
          <c:val>
            <c:numRef>
              <c:f>'OTIF annuel'!$AB$10:$AB$13</c:f>
              <c:numCache>
                <c:formatCode>General</c:formatCode>
                <c:ptCount val="4"/>
                <c:pt idx="0" formatCode="0">
                  <c:v>51</c:v>
                </c:pt>
                <c:pt idx="1">
                  <c:v>1</c:v>
                </c:pt>
                <c:pt idx="2" formatCode="0">
                  <c:v>49</c:v>
                </c:pt>
                <c:pt idx="3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1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414618</xdr:colOff>
      <xdr:row>0</xdr:row>
      <xdr:rowOff>7132</xdr:rowOff>
    </xdr:from>
    <xdr:to>
      <xdr:col>18</xdr:col>
      <xdr:colOff>582706</xdr:colOff>
      <xdr:row>6</xdr:row>
      <xdr:rowOff>64282</xdr:rowOff>
    </xdr:to>
    <xdr:sp macro="" textlink="">
      <xdr:nvSpPr>
        <xdr:cNvPr id="4" name="Flèche droite à entaille 3"/>
        <xdr:cNvSpPr/>
      </xdr:nvSpPr>
      <xdr:spPr>
        <a:xfrm>
          <a:off x="414618" y="7132"/>
          <a:ext cx="13043647" cy="1009650"/>
        </a:xfrm>
        <a:prstGeom prst="notchedRightArrow">
          <a:avLst>
            <a:gd name="adj1" fmla="val 51852"/>
            <a:gd name="adj2" fmla="val 8518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OTIF</a:t>
          </a:r>
        </a:p>
      </xdr:txBody>
    </xdr:sp>
    <xdr:clientData/>
  </xdr:twoCellAnchor>
  <xdr:twoCellAnchor>
    <xdr:from>
      <xdr:col>14</xdr:col>
      <xdr:colOff>181408</xdr:colOff>
      <xdr:row>12</xdr:row>
      <xdr:rowOff>164521</xdr:rowOff>
    </xdr:from>
    <xdr:to>
      <xdr:col>17</xdr:col>
      <xdr:colOff>533833</xdr:colOff>
      <xdr:row>20</xdr:row>
      <xdr:rowOff>0</xdr:rowOff>
    </xdr:to>
    <xdr:grpSp>
      <xdr:nvGrpSpPr>
        <xdr:cNvPr id="30" name="Groupe 29"/>
        <xdr:cNvGrpSpPr/>
      </xdr:nvGrpSpPr>
      <xdr:grpSpPr>
        <a:xfrm>
          <a:off x="10210673" y="2170374"/>
          <a:ext cx="2638425" cy="1247420"/>
          <a:chOff x="11339514" y="1939636"/>
          <a:chExt cx="2638425" cy="1318996"/>
        </a:xfrm>
      </xdr:grpSpPr>
      <xdr:graphicFrame macro="">
        <xdr:nvGraphicFramePr>
          <xdr:cNvPr id="23" name="Graphique 22"/>
          <xdr:cNvGraphicFramePr>
            <a:graphicFrameLocks/>
          </xdr:cNvGraphicFramePr>
        </xdr:nvGraphicFramePr>
        <xdr:xfrm>
          <a:off x="11416580" y="1939636"/>
          <a:ext cx="2484293" cy="131899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12" name="Graphique 11"/>
          <xdr:cNvGraphicFramePr/>
        </xdr:nvGraphicFramePr>
        <xdr:xfrm>
          <a:off x="11339514" y="1948615"/>
          <a:ext cx="2638425" cy="130103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</xdr:grpSp>
    <xdr:clientData/>
  </xdr:twoCellAnchor>
  <xdr:twoCellAnchor>
    <xdr:from>
      <xdr:col>14</xdr:col>
      <xdr:colOff>240723</xdr:colOff>
      <xdr:row>18</xdr:row>
      <xdr:rowOff>155864</xdr:rowOff>
    </xdr:from>
    <xdr:to>
      <xdr:col>17</xdr:col>
      <xdr:colOff>519545</xdr:colOff>
      <xdr:row>20</xdr:row>
      <xdr:rowOff>0</xdr:rowOff>
    </xdr:to>
    <xdr:grpSp>
      <xdr:nvGrpSpPr>
        <xdr:cNvPr id="32" name="Groupe 31"/>
        <xdr:cNvGrpSpPr/>
      </xdr:nvGrpSpPr>
      <xdr:grpSpPr>
        <a:xfrm>
          <a:off x="10269988" y="3248688"/>
          <a:ext cx="2564822" cy="169106"/>
          <a:chOff x="12598330" y="2765869"/>
          <a:chExt cx="2502477" cy="1318996"/>
        </a:xfrm>
      </xdr:grpSpPr>
      <xdr:graphicFrame macro="">
        <xdr:nvGraphicFramePr>
          <xdr:cNvPr id="24" name="Graphique 23"/>
          <xdr:cNvGraphicFramePr>
            <a:graphicFrameLocks/>
          </xdr:cNvGraphicFramePr>
        </xdr:nvGraphicFramePr>
        <xdr:xfrm>
          <a:off x="12607422" y="2765869"/>
          <a:ext cx="2484293" cy="131899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graphicFrame macro="">
        <xdr:nvGraphicFramePr>
          <xdr:cNvPr id="16" name="Graphique 15"/>
          <xdr:cNvGraphicFramePr/>
        </xdr:nvGraphicFramePr>
        <xdr:xfrm>
          <a:off x="12598330" y="2774848"/>
          <a:ext cx="2502477" cy="130103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</xdr:grpSp>
    <xdr:clientData/>
  </xdr:twoCellAnchor>
  <xdr:twoCellAnchor>
    <xdr:from>
      <xdr:col>14</xdr:col>
      <xdr:colOff>175482</xdr:colOff>
      <xdr:row>6</xdr:row>
      <xdr:rowOff>147188</xdr:rowOff>
    </xdr:from>
    <xdr:to>
      <xdr:col>17</xdr:col>
      <xdr:colOff>552945</xdr:colOff>
      <xdr:row>15</xdr:row>
      <xdr:rowOff>127892</xdr:rowOff>
    </xdr:to>
    <xdr:grpSp>
      <xdr:nvGrpSpPr>
        <xdr:cNvPr id="42" name="Groupe 41"/>
        <xdr:cNvGrpSpPr>
          <a:grpSpLocks/>
        </xdr:cNvGrpSpPr>
      </xdr:nvGrpSpPr>
      <xdr:grpSpPr>
        <a:xfrm>
          <a:off x="10204747" y="1099688"/>
          <a:ext cx="2663463" cy="1538322"/>
          <a:chOff x="12823569" y="846394"/>
          <a:chExt cx="2638425" cy="1318996"/>
        </a:xfrm>
      </xdr:grpSpPr>
      <xdr:graphicFrame macro="">
        <xdr:nvGraphicFramePr>
          <xdr:cNvPr id="39" name="Graphique 38"/>
          <xdr:cNvGraphicFramePr>
            <a:graphicFrameLocks/>
          </xdr:cNvGraphicFramePr>
        </xdr:nvGraphicFramePr>
        <xdr:xfrm>
          <a:off x="12900636" y="846394"/>
          <a:ext cx="2484293" cy="131899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5"/>
          </a:graphicData>
        </a:graphic>
      </xdr:graphicFrame>
      <xdr:graphicFrame macro="">
        <xdr:nvGraphicFramePr>
          <xdr:cNvPr id="40" name="Graphique 39"/>
          <xdr:cNvGraphicFramePr/>
        </xdr:nvGraphicFramePr>
        <xdr:xfrm>
          <a:off x="12823569" y="855373"/>
          <a:ext cx="2638425" cy="130103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6"/>
          </a:graphicData>
        </a:graphic>
      </xdr:graphicFrame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DIN Emilie" refreshedDate="43033.656683912035" createdVersion="4" refreshedVersion="4" minRefreshableVersion="3" recordCount="14">
  <cacheSource type="worksheet">
    <worksheetSource ref="A1:AR15" sheet="EXTRACT"/>
  </cacheSource>
  <cacheFields count="44">
    <cacheField name="Societe" numFmtId="0">
      <sharedItems containsSemiMixedTypes="0" containsString="0" containsNumber="1" containsInteger="1" minValue="1" maxValue="1"/>
    </cacheField>
    <cacheField name="pays" numFmtId="0">
      <sharedItems/>
    </cacheField>
    <cacheField name="fournisseur" numFmtId="0">
      <sharedItems containsMixedTypes="1" containsNumber="1" containsInteger="1" minValue="6675" maxValue="6675" count="2">
        <s v="00000205"/>
        <n v="6675"/>
      </sharedItems>
    </cacheField>
    <cacheField name="nom" numFmtId="0">
      <sharedItems count="2">
        <s v="Fournisseur 1"/>
        <s v="Fournisseur 2"/>
      </sharedItems>
    </cacheField>
    <cacheField name="courtier" numFmtId="0">
      <sharedItems/>
    </cacheField>
    <cacheField name="contrat" numFmtId="0">
      <sharedItems/>
    </cacheField>
    <cacheField name="Debut" numFmtId="0">
      <sharedItems/>
    </cacheField>
    <cacheField name="Fin" numFmtId="0">
      <sharedItems/>
    </cacheField>
    <cacheField name="grprod" numFmtId="0">
      <sharedItems/>
    </cacheField>
    <cacheField name="famart" numFmtId="0">
      <sharedItems/>
    </cacheField>
    <cacheField name="sfamart" numFmtId="0">
      <sharedItems/>
    </cacheField>
    <cacheField name="flag" numFmtId="0">
      <sharedItems/>
    </cacheField>
    <cacheField name="cnuf" numFmtId="0">
      <sharedItems/>
    </cacheField>
    <cacheField name="cip" numFmtId="0">
      <sharedItems/>
    </cacheField>
    <cacheField name="va" numFmtId="0">
      <sharedItems/>
    </cacheField>
    <cacheField name="Code Movex" numFmtId="0">
      <sharedItems/>
    </cacheField>
    <cacheField name="Article FG" numFmtId="0">
      <sharedItems/>
    </cacheField>
    <cacheField name="lbartic" numFmtId="0">
      <sharedItems/>
    </cacheField>
    <cacheField name="typcomp" numFmtId="0">
      <sharedItems/>
    </cacheField>
    <cacheField name="liquide" numFmtId="0">
      <sharedItems/>
    </cacheField>
    <cacheField name="appro" numFmtId="0">
      <sharedItems/>
    </cacheField>
    <cacheField name="appelation" numFmtId="0">
      <sharedItems/>
    </cacheField>
    <cacheField name="contenance" numFmtId="0">
      <sharedItems containsSemiMixedTypes="0" containsString="0" containsNumber="1" containsInteger="1" minValue="12" maxValue="12"/>
    </cacheField>
    <cacheField name="cde" numFmtId="0">
      <sharedItems/>
    </cacheField>
    <cacheField name="recep" numFmtId="0">
      <sharedItems/>
    </cacheField>
    <cacheField name="dat cde" numFmtId="0">
      <sharedItems/>
    </cacheField>
    <cacheField name="dat recep" numFmtId="0">
      <sharedItems/>
    </cacheField>
    <cacheField name="dat bl" numFmtId="0">
      <sharedItems/>
    </cacheField>
    <cacheField name="dat liv dem." numFmtId="0">
      <sharedItems/>
    </cacheField>
    <cacheField name="cif" numFmtId="0">
      <sharedItems/>
    </cacheField>
    <cacheField name="qte cde" numFmtId="0">
      <sharedItems containsSemiMixedTypes="0" containsString="0" containsNumber="1" containsInteger="1" minValue="4700" maxValue="28600"/>
    </cacheField>
    <cacheField name="qte liv" numFmtId="0">
      <sharedItems containsSemiMixedTypes="0" containsString="0" containsNumber="1" containsInteger="1" minValue="4700" maxValue="28785"/>
    </cacheField>
    <cacheField name="ht" numFmtId="0">
      <sharedItems containsSemiMixedTypes="0" containsString="0" containsNumber="1" containsInteger="1" minValue="837" maxValue="5153"/>
    </cacheField>
    <cacheField name="unit" numFmtId="0">
      <sharedItems containsSemiMixedTypes="0" containsString="0" containsNumber="1" minValue="0.14299999999999999" maxValue="0.215"/>
    </cacheField>
    <cacheField name="htdev" numFmtId="0">
      <sharedItems containsSemiMixedTypes="0" containsString="0" containsNumber="1" containsInteger="1" minValue="0" maxValue="0"/>
    </cacheField>
    <cacheField name="Mt Transp." numFmtId="0">
      <sharedItems containsSemiMixedTypes="0" containsString="0" containsNumber="1" containsInteger="1" minValue="0" maxValue="0"/>
    </cacheField>
    <cacheField name="devise" numFmtId="0">
      <sharedItems/>
    </cacheField>
    <cacheField name="etat" numFmtId="0">
      <sharedItems/>
    </cacheField>
    <cacheField name="PR" numFmtId="0">
      <sharedItems containsSemiMixedTypes="0" containsString="0" containsNumber="1" minValue="0.16400000000000001" maxValue="0.22"/>
    </cacheField>
    <cacheField name="CRA" numFmtId="0">
      <sharedItems/>
    </cacheField>
    <cacheField name="MOIS OTIF" numFmtId="0">
      <sharedItems count="5">
        <s v="07"/>
        <s v="10"/>
        <s v="06"/>
        <s v="08"/>
        <s v="09"/>
      </sharedItems>
    </cacheField>
    <cacheField name="OTIF quantité" numFmtId="0">
      <sharedItems containsSemiMixedTypes="0" containsString="0" containsNumber="1" containsInteger="1" minValue="0" maxValue="1"/>
    </cacheField>
    <cacheField name="OTIF délai" numFmtId="0">
      <sharedItems containsSemiMixedTypes="0" containsString="0" containsNumber="1" containsInteger="1" minValue="0" maxValue="1"/>
    </cacheField>
    <cacheField name="OTIF TOTAL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n v="1"/>
    <s v="FR"/>
    <x v="0"/>
    <x v="0"/>
    <s v=""/>
    <s v="00000001"/>
    <s v="040517"/>
    <s v="311217"/>
    <s v="AN"/>
    <s v="CJ"/>
    <s v="EA"/>
    <s v="3"/>
    <s v="80500"/>
    <s v="315503"/>
    <s v="00"/>
    <s v=""/>
    <s v=""/>
    <s v="Produit 1"/>
    <s v="2"/>
    <s v=""/>
    <s v="PG"/>
    <s v=""/>
    <n v="12"/>
    <s v="00170985"/>
    <s v="00190020"/>
    <s v="130717"/>
    <s v="200717"/>
    <s v="200717"/>
    <s v="200717"/>
    <s v="003"/>
    <n v="5850"/>
    <n v="5850"/>
    <n v="837"/>
    <n v="0.14299999999999999"/>
    <n v="0"/>
    <n v="0"/>
    <s v=""/>
    <s v="F"/>
    <n v="0.16400000000000001"/>
    <s v=""/>
    <x v="0"/>
    <n v="1"/>
    <n v="1"/>
    <n v="1"/>
  </r>
  <r>
    <n v="1"/>
    <s v="FR"/>
    <x v="0"/>
    <x v="0"/>
    <s v=""/>
    <s v="00000001"/>
    <s v="040517"/>
    <s v="311217"/>
    <s v="AN"/>
    <s v="CJ"/>
    <s v="EA"/>
    <s v="3"/>
    <s v="80500"/>
    <s v="315503"/>
    <s v="00"/>
    <s v=""/>
    <s v=""/>
    <s v="Produit 1"/>
    <s v="2"/>
    <s v=""/>
    <s v="PG"/>
    <s v=""/>
    <n v="12"/>
    <s v="00171654"/>
    <s v="00190752"/>
    <s v="111017"/>
    <s v="181017"/>
    <s v="181017"/>
    <s v="181017"/>
    <s v="003"/>
    <n v="10000"/>
    <n v="11550"/>
    <n v="1652"/>
    <n v="0.14299999999999999"/>
    <n v="0"/>
    <n v="0"/>
    <s v=""/>
    <s v="F"/>
    <n v="0.16400000000000001"/>
    <s v=""/>
    <x v="1"/>
    <n v="0"/>
    <n v="1"/>
    <n v="0"/>
  </r>
  <r>
    <n v="1"/>
    <s v="FR"/>
    <x v="0"/>
    <x v="0"/>
    <s v=""/>
    <s v="00000001"/>
    <s v="040517"/>
    <s v="311217"/>
    <s v="AN"/>
    <s v="CJ"/>
    <s v="EA"/>
    <s v="3"/>
    <s v="80500"/>
    <s v="315625"/>
    <s v="00"/>
    <s v=""/>
    <s v=""/>
    <s v="Produit 4"/>
    <s v="2"/>
    <s v=""/>
    <s v="PG"/>
    <s v=""/>
    <n v="12"/>
    <s v="00171650"/>
    <s v="00190707"/>
    <s v="111017"/>
    <s v="111017"/>
    <s v="091017"/>
    <s v="111017"/>
    <s v="003"/>
    <n v="4700"/>
    <n v="4700"/>
    <n v="1011"/>
    <n v="0.215"/>
    <n v="0"/>
    <n v="0"/>
    <s v=""/>
    <s v="F"/>
    <n v="0.22"/>
    <s v=""/>
    <x v="1"/>
    <n v="1"/>
    <n v="1"/>
    <n v="1"/>
  </r>
  <r>
    <n v="1"/>
    <s v="FR"/>
    <x v="0"/>
    <x v="0"/>
    <s v=""/>
    <s v="00000001"/>
    <s v="040517"/>
    <s v="311217"/>
    <s v="AN"/>
    <s v="CJ"/>
    <s v="EA"/>
    <s v="3"/>
    <s v="80500"/>
    <s v="315416"/>
    <s v="00"/>
    <s v=""/>
    <s v=""/>
    <s v="Produit 3"/>
    <s v="2"/>
    <s v=""/>
    <s v="PG"/>
    <s v=""/>
    <n v="12"/>
    <s v="00170693"/>
    <s v="00189780"/>
    <s v="120617"/>
    <s v="160617"/>
    <s v="160617"/>
    <s v="160617"/>
    <s v="003"/>
    <n v="5200"/>
    <n v="5200"/>
    <n v="978"/>
    <n v="0.188"/>
    <n v="0"/>
    <n v="0"/>
    <s v=""/>
    <s v="F"/>
    <n v="0.17899999999999999"/>
    <s v=""/>
    <x v="2"/>
    <n v="1"/>
    <n v="1"/>
    <n v="1"/>
  </r>
  <r>
    <n v="1"/>
    <s v="FR"/>
    <x v="0"/>
    <x v="0"/>
    <s v=""/>
    <s v="00000001"/>
    <s v="040517"/>
    <s v="311217"/>
    <s v="AN"/>
    <s v="CJ"/>
    <s v="EA"/>
    <s v="3"/>
    <s v="80500"/>
    <s v="315416"/>
    <s v="00"/>
    <s v=""/>
    <s v=""/>
    <s v="Produit 2"/>
    <s v="2"/>
    <s v=""/>
    <s v="PG"/>
    <s v=""/>
    <n v="12"/>
    <s v="00170943"/>
    <s v="00190027"/>
    <s v="070717"/>
    <s v="200717"/>
    <s v="200717"/>
    <s v="200717"/>
    <s v="003"/>
    <n v="28600"/>
    <n v="27300"/>
    <n v="5132"/>
    <n v="0.188"/>
    <n v="0"/>
    <n v="0"/>
    <s v=""/>
    <s v="F"/>
    <n v="0.17899999999999999"/>
    <s v=""/>
    <x v="0"/>
    <n v="0"/>
    <n v="1"/>
    <n v="0"/>
  </r>
  <r>
    <n v="1"/>
    <s v="FR"/>
    <x v="0"/>
    <x v="0"/>
    <s v=""/>
    <s v="00000001"/>
    <s v="040517"/>
    <s v="311217"/>
    <s v="AN"/>
    <s v="CJ"/>
    <s v="EA"/>
    <s v="3"/>
    <s v="80500"/>
    <s v="315416"/>
    <s v="00"/>
    <s v=""/>
    <s v=""/>
    <s v="Produit 2"/>
    <s v="2"/>
    <s v=""/>
    <s v="PG"/>
    <s v=""/>
    <n v="12"/>
    <s v="00170992"/>
    <s v="00190178"/>
    <s v="130717"/>
    <s v="070817"/>
    <s v="070817"/>
    <s v="030817"/>
    <s v="003"/>
    <n v="28600"/>
    <n v="28750"/>
    <n v="5031"/>
    <n v="0.17499999999999999"/>
    <n v="0"/>
    <n v="0"/>
    <s v=""/>
    <s v="F"/>
    <n v="0.17899999999999999"/>
    <s v=""/>
    <x v="3"/>
    <n v="0"/>
    <n v="0"/>
    <n v="0"/>
  </r>
  <r>
    <n v="1"/>
    <s v="FR"/>
    <x v="1"/>
    <x v="1"/>
    <s v=""/>
    <s v="00000001"/>
    <s v="040517"/>
    <s v="311217"/>
    <s v="AN"/>
    <s v="CJ"/>
    <s v="EA"/>
    <s v="3"/>
    <s v="80500"/>
    <s v="315416"/>
    <s v="00"/>
    <s v=""/>
    <s v=""/>
    <s v="Produit 5"/>
    <s v="2"/>
    <s v=""/>
    <s v="PG"/>
    <s v=""/>
    <n v="12"/>
    <s v="00170993"/>
    <s v="00190182"/>
    <s v="130717"/>
    <s v="070817"/>
    <s v="070817"/>
    <s v="070817"/>
    <s v="003"/>
    <n v="28600"/>
    <n v="28430"/>
    <n v="4975"/>
    <n v="0.17499999999999999"/>
    <n v="0"/>
    <n v="0"/>
    <s v=""/>
    <s v="F"/>
    <n v="0.17899999999999999"/>
    <s v=""/>
    <x v="3"/>
    <n v="0"/>
    <n v="1"/>
    <n v="0"/>
  </r>
  <r>
    <n v="1"/>
    <s v="FR"/>
    <x v="1"/>
    <x v="1"/>
    <s v=""/>
    <s v="00000001"/>
    <s v="040517"/>
    <s v="311217"/>
    <s v="AN"/>
    <s v="CJ"/>
    <s v="EA"/>
    <s v="3"/>
    <s v="80500"/>
    <s v="315416"/>
    <s v="00"/>
    <s v=""/>
    <s v=""/>
    <s v="Produit 5"/>
    <s v="2"/>
    <s v=""/>
    <s v="PG"/>
    <s v=""/>
    <n v="12"/>
    <s v="00171182"/>
    <s v="00190276"/>
    <s v="010817"/>
    <s v="170817"/>
    <s v="170817"/>
    <s v="170817"/>
    <s v="003"/>
    <n v="28000"/>
    <n v="28497"/>
    <n v="5101"/>
    <n v="0.17899999999999999"/>
    <n v="0"/>
    <n v="0"/>
    <s v=""/>
    <s v="F"/>
    <n v="0.17899999999999999"/>
    <s v=""/>
    <x v="3"/>
    <n v="0"/>
    <n v="1"/>
    <n v="0"/>
  </r>
  <r>
    <n v="1"/>
    <s v="FR"/>
    <x v="1"/>
    <x v="1"/>
    <s v=""/>
    <s v="00000001"/>
    <s v="040517"/>
    <s v="311217"/>
    <s v="AN"/>
    <s v="CJ"/>
    <s v="EA"/>
    <s v="3"/>
    <s v="80500"/>
    <s v="315416"/>
    <s v="00"/>
    <s v=""/>
    <s v=""/>
    <s v="Produit 5"/>
    <s v="2"/>
    <s v=""/>
    <s v="PG"/>
    <s v=""/>
    <n v="12"/>
    <s v="00171234"/>
    <s v="00190395"/>
    <s v="090817"/>
    <s v="310817"/>
    <s v="310817"/>
    <s v="310817"/>
    <s v="003"/>
    <n v="28600"/>
    <n v="28560"/>
    <n v="5112"/>
    <n v="0.17899999999999999"/>
    <n v="0"/>
    <n v="0"/>
    <s v=""/>
    <s v="F"/>
    <n v="0.17899999999999999"/>
    <s v=""/>
    <x v="3"/>
    <n v="0"/>
    <n v="1"/>
    <n v="0"/>
  </r>
  <r>
    <n v="1"/>
    <s v="FR"/>
    <x v="1"/>
    <x v="1"/>
    <s v=""/>
    <s v="00000001"/>
    <s v="040517"/>
    <s v="311217"/>
    <s v="AN"/>
    <s v="CJ"/>
    <s v="EA"/>
    <s v="3"/>
    <s v="80500"/>
    <s v="315416"/>
    <s v="00"/>
    <s v=""/>
    <s v=""/>
    <s v="Produit 6"/>
    <s v="2"/>
    <s v=""/>
    <s v="PG"/>
    <s v=""/>
    <n v="12"/>
    <s v="00171302"/>
    <s v="00190417"/>
    <s v="240817"/>
    <s v="050917"/>
    <s v="050917"/>
    <s v="050917"/>
    <s v="003"/>
    <n v="28600"/>
    <n v="27500"/>
    <n v="4923"/>
    <n v="0.17899999999999999"/>
    <n v="0"/>
    <n v="0"/>
    <s v=""/>
    <s v="F"/>
    <n v="0.17899999999999999"/>
    <s v=""/>
    <x v="4"/>
    <n v="0"/>
    <n v="1"/>
    <n v="0"/>
  </r>
  <r>
    <n v="1"/>
    <s v="FR"/>
    <x v="1"/>
    <x v="1"/>
    <s v=""/>
    <s v="00000001"/>
    <s v="040517"/>
    <s v="311217"/>
    <s v="AN"/>
    <s v="CJ"/>
    <s v="EA"/>
    <s v="3"/>
    <s v="80500"/>
    <s v="315416"/>
    <s v="00"/>
    <s v=""/>
    <s v=""/>
    <s v="Produit 7"/>
    <s v="2"/>
    <s v=""/>
    <s v="PG"/>
    <s v=""/>
    <n v="12"/>
    <s v="00171303"/>
    <s v="00190471"/>
    <s v="240817"/>
    <s v="120917"/>
    <s v="120917"/>
    <s v="120917"/>
    <s v="003"/>
    <n v="28600"/>
    <n v="28470"/>
    <n v="5096"/>
    <n v="0.17899999999999999"/>
    <n v="0"/>
    <n v="0"/>
    <s v=""/>
    <s v="F"/>
    <n v="0.17899999999999999"/>
    <s v=""/>
    <x v="4"/>
    <n v="0"/>
    <n v="1"/>
    <n v="0"/>
  </r>
  <r>
    <n v="1"/>
    <s v="FR"/>
    <x v="1"/>
    <x v="1"/>
    <s v=""/>
    <s v="00000001"/>
    <s v="040517"/>
    <s v="311217"/>
    <s v="AN"/>
    <s v="CJ"/>
    <s v="EA"/>
    <s v="3"/>
    <s v="80500"/>
    <s v="315416"/>
    <s v="00"/>
    <s v=""/>
    <s v=""/>
    <s v="Produit 7"/>
    <s v="2"/>
    <s v=""/>
    <s v="PG"/>
    <s v=""/>
    <n v="12"/>
    <s v="00171304"/>
    <s v="00190538"/>
    <s v="240817"/>
    <s v="190917"/>
    <s v="190917"/>
    <s v="190917"/>
    <s v="003"/>
    <n v="28600"/>
    <n v="28785"/>
    <n v="5153"/>
    <n v="0.17899999999999999"/>
    <n v="0"/>
    <n v="0"/>
    <s v=""/>
    <s v="F"/>
    <n v="0.17899999999999999"/>
    <s v=""/>
    <x v="4"/>
    <n v="0"/>
    <n v="1"/>
    <n v="0"/>
  </r>
  <r>
    <n v="1"/>
    <s v="FR"/>
    <x v="1"/>
    <x v="1"/>
    <s v=""/>
    <s v="00000001"/>
    <s v="040517"/>
    <s v="311217"/>
    <s v="AN"/>
    <s v="CJ"/>
    <s v="EA"/>
    <s v="3"/>
    <s v="80500"/>
    <s v="315416"/>
    <s v="00"/>
    <s v=""/>
    <s v=""/>
    <s v="Produit 8"/>
    <s v="2"/>
    <s v=""/>
    <s v="PG"/>
    <s v=""/>
    <n v="12"/>
    <s v="00171305"/>
    <s v="00190569"/>
    <s v="240817"/>
    <s v="220917"/>
    <s v="220917"/>
    <s v="220917"/>
    <s v="003"/>
    <n v="28600"/>
    <n v="28400"/>
    <n v="5084"/>
    <n v="0.17899999999999999"/>
    <n v="0"/>
    <n v="0"/>
    <s v=""/>
    <s v="F"/>
    <n v="0.17899999999999999"/>
    <s v=""/>
    <x v="4"/>
    <n v="0"/>
    <n v="1"/>
    <n v="0"/>
  </r>
  <r>
    <n v="1"/>
    <s v="FR"/>
    <x v="1"/>
    <x v="1"/>
    <s v=""/>
    <s v="00000001"/>
    <s v="040517"/>
    <s v="311217"/>
    <s v="AN"/>
    <s v="CJ"/>
    <s v="EA"/>
    <s v="3"/>
    <s v="80500"/>
    <s v="315416"/>
    <s v="00"/>
    <s v=""/>
    <s v=""/>
    <s v="Produit 8"/>
    <s v="2"/>
    <s v=""/>
    <s v="PG"/>
    <s v=""/>
    <n v="12"/>
    <s v="00171306"/>
    <s v="00190667"/>
    <s v="240817"/>
    <s v="051017"/>
    <s v="051017"/>
    <s v="051017"/>
    <s v="003"/>
    <n v="28600"/>
    <n v="28400"/>
    <n v="5084"/>
    <n v="0.17899999999999999"/>
    <n v="0"/>
    <n v="0"/>
    <s v=""/>
    <s v="F"/>
    <n v="0.17899999999999999"/>
    <s v=""/>
    <x v="1"/>
    <n v="0"/>
    <n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13" firstHeaderRow="0" firstDataRow="1" firstDataCol="1"/>
  <pivotFields count="44">
    <pivotField showAll="0"/>
    <pivotField showAll="0"/>
    <pivotField showAll="0">
      <items count="3">
        <item x="1"/>
        <item x="0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2"/>
        <item x="0"/>
        <item x="3"/>
        <item x="4"/>
        <item x="1"/>
        <item t="default"/>
      </items>
    </pivotField>
    <pivotField dataField="1" showAll="0"/>
    <pivotField dataField="1" showAll="0"/>
    <pivotField dataField="1" showAll="0"/>
  </pivotFields>
  <rowFields count="2">
    <field x="3"/>
    <field x="40"/>
  </rowFields>
  <rowItems count="10">
    <i>
      <x/>
    </i>
    <i r="1">
      <x/>
    </i>
    <i r="1">
      <x v="1"/>
    </i>
    <i r="1">
      <x v="2"/>
    </i>
    <i r="1">
      <x v="4"/>
    </i>
    <i>
      <x v="1"/>
    </i>
    <i r="1">
      <x v="2"/>
    </i>
    <i r="1">
      <x v="3"/>
    </i>
    <i r="1"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oyenne de OTIF quantité" fld="41" subtotal="average" baseField="2" baseItem="0"/>
    <dataField name="Moyenne de OTIF délai" fld="42" subtotal="average" baseField="2" baseItem="0"/>
    <dataField name="Moyenne de OTIF TOTAL" fld="43" subtotal="average" baseField="2" baseItem="0"/>
    <dataField name="Nombre de OTIF TOTAL" fld="43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H21"/>
  <sheetViews>
    <sheetView showGridLines="0" tabSelected="1" zoomScale="85" zoomScaleNormal="85" workbookViewId="0">
      <selection activeCell="U22" sqref="U22"/>
    </sheetView>
  </sheetViews>
  <sheetFormatPr baseColWidth="10" defaultRowHeight="12.75"/>
  <cols>
    <col min="1" max="1" width="8.7109375" bestFit="1" customWidth="1"/>
    <col min="2" max="2" width="12" bestFit="1" customWidth="1"/>
    <col min="14" max="14" width="4" customWidth="1"/>
    <col min="15" max="15" width="11.42578125" style="49"/>
    <col min="18" max="18" width="8.42578125" customWidth="1"/>
    <col min="20" max="21" width="21.7109375" style="4" customWidth="1"/>
    <col min="22" max="22" width="22.5703125" style="4" customWidth="1"/>
    <col min="23" max="23" width="49.5703125" style="4" customWidth="1"/>
    <col min="24" max="24" width="12" bestFit="1" customWidth="1"/>
    <col min="25" max="25" width="14.5703125" customWidth="1"/>
    <col min="27" max="27" width="27.42578125" bestFit="1" customWidth="1"/>
    <col min="28" max="29" width="9" bestFit="1" customWidth="1"/>
    <col min="30" max="30" width="12" bestFit="1" customWidth="1"/>
    <col min="31" max="32" width="9.7109375" bestFit="1" customWidth="1"/>
    <col min="33" max="33" width="10" bestFit="1" customWidth="1"/>
    <col min="34" max="34" width="8.5703125" bestFit="1" customWidth="1"/>
  </cols>
  <sheetData>
    <row r="1" spans="1:34" s="4" customFormat="1">
      <c r="A1" s="5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50"/>
      <c r="Q1" s="50"/>
      <c r="R1" s="50"/>
      <c r="S1" s="51"/>
      <c r="T1" s="35"/>
      <c r="U1" s="35"/>
      <c r="V1" s="35"/>
      <c r="W1" s="35"/>
    </row>
    <row r="2" spans="1:34" s="4" customFormat="1">
      <c r="A2" s="7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52"/>
      <c r="P2" s="52"/>
      <c r="Q2" s="52"/>
      <c r="R2" s="52"/>
      <c r="S2" s="53"/>
      <c r="T2" s="35"/>
      <c r="U2" s="35"/>
      <c r="V2" s="35"/>
      <c r="W2" s="35"/>
    </row>
    <row r="3" spans="1:34" s="4" customFormat="1">
      <c r="A3" s="7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52"/>
      <c r="P3" s="52"/>
      <c r="Q3" s="52"/>
      <c r="R3" s="52"/>
      <c r="S3" s="53"/>
      <c r="T3" s="35"/>
      <c r="U3" s="35"/>
      <c r="V3" s="35"/>
      <c r="W3" s="35"/>
    </row>
    <row r="4" spans="1:34" s="4" customFormat="1">
      <c r="A4" s="7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52"/>
      <c r="P4" s="52"/>
      <c r="Q4" s="52"/>
      <c r="R4" s="52"/>
      <c r="S4" s="53"/>
      <c r="T4" s="35"/>
      <c r="U4" s="35"/>
      <c r="V4" s="35"/>
      <c r="W4" s="35"/>
    </row>
    <row r="5" spans="1:34" s="4" customFormat="1">
      <c r="A5" s="7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52"/>
      <c r="P5" s="52"/>
      <c r="Q5" s="52"/>
      <c r="R5" s="52"/>
      <c r="S5" s="53"/>
      <c r="T5" s="35"/>
      <c r="U5" s="35"/>
      <c r="V5" s="35"/>
      <c r="W5" s="35"/>
      <c r="X5"/>
      <c r="Y5"/>
      <c r="Z5"/>
      <c r="AA5"/>
    </row>
    <row r="6" spans="1:34" s="4" customFormat="1" ht="13.5" thickBot="1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52"/>
      <c r="P6" s="52"/>
      <c r="Q6" s="52"/>
      <c r="R6" s="52"/>
      <c r="S6" s="53"/>
      <c r="T6" s="35"/>
      <c r="U6" s="35"/>
      <c r="V6" s="35"/>
      <c r="W6" s="35"/>
      <c r="X6"/>
      <c r="Y6"/>
      <c r="Z6"/>
      <c r="AA6"/>
    </row>
    <row r="7" spans="1:34" s="4" customFormat="1" ht="13.5" thickBot="1">
      <c r="A7" s="14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87" t="s">
        <v>37</v>
      </c>
      <c r="P7" s="88"/>
      <c r="Q7" s="88"/>
      <c r="R7" s="88"/>
      <c r="S7" s="89"/>
      <c r="T7" s="35"/>
      <c r="U7" s="35"/>
      <c r="V7" s="35"/>
      <c r="W7" s="35"/>
      <c r="X7"/>
      <c r="Y7"/>
      <c r="Z7"/>
      <c r="AA7"/>
      <c r="AB7"/>
      <c r="AC7"/>
    </row>
    <row r="8" spans="1:34" ht="13.5" thickBot="1">
      <c r="A8" s="2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27"/>
      <c r="O8" s="54"/>
      <c r="P8" s="26"/>
      <c r="Q8" s="36"/>
      <c r="R8" s="42"/>
      <c r="S8" s="27"/>
      <c r="T8" s="35"/>
      <c r="U8" s="35"/>
      <c r="V8" s="35"/>
      <c r="W8" s="35"/>
      <c r="Y8" s="24" t="s">
        <v>20</v>
      </c>
      <c r="Z8" s="1"/>
      <c r="AA8" s="24" t="s">
        <v>26</v>
      </c>
      <c r="AB8" s="1" t="s">
        <v>8</v>
      </c>
      <c r="AC8" s="1" t="s">
        <v>9</v>
      </c>
      <c r="AD8" s="1" t="s">
        <v>10</v>
      </c>
      <c r="AE8" s="1" t="s">
        <v>11</v>
      </c>
      <c r="AF8" s="1" t="s">
        <v>12</v>
      </c>
      <c r="AG8" s="1" t="s">
        <v>32</v>
      </c>
      <c r="AH8" s="1" t="s">
        <v>36</v>
      </c>
    </row>
    <row r="9" spans="1:34" ht="13.5" thickBot="1">
      <c r="A9" s="9"/>
      <c r="B9" s="90" t="s">
        <v>155</v>
      </c>
      <c r="C9" s="91"/>
      <c r="D9" s="91"/>
      <c r="E9" s="91"/>
      <c r="F9" s="91"/>
      <c r="G9" s="91"/>
      <c r="H9" s="91"/>
      <c r="I9" s="91"/>
      <c r="J9" s="91"/>
      <c r="K9" s="91"/>
      <c r="L9" s="91"/>
      <c r="M9" s="92"/>
      <c r="N9" s="65"/>
      <c r="O9" s="55"/>
      <c r="P9" s="9"/>
      <c r="Q9" s="2"/>
      <c r="R9" s="43" t="s">
        <v>33</v>
      </c>
      <c r="S9" s="10"/>
      <c r="T9" s="35"/>
      <c r="U9" s="35"/>
      <c r="V9" s="35"/>
      <c r="W9" s="35"/>
      <c r="Y9" s="1" t="s">
        <v>25</v>
      </c>
      <c r="Z9" s="31">
        <v>0</v>
      </c>
      <c r="AA9" s="1" t="s">
        <v>31</v>
      </c>
      <c r="AB9" s="25">
        <f>O11</f>
        <v>50</v>
      </c>
      <c r="AC9" s="33">
        <f>O17</f>
        <v>0</v>
      </c>
      <c r="AD9" s="34" t="e">
        <f>#REF!</f>
        <v>#REF!</v>
      </c>
      <c r="AE9" s="34" t="e">
        <f>#REF!</f>
        <v>#REF!</v>
      </c>
      <c r="AF9" s="34" t="e">
        <f>#REF!</f>
        <v>#REF!</v>
      </c>
      <c r="AG9" s="34" t="e">
        <f>#REF!</f>
        <v>#REF!</v>
      </c>
      <c r="AH9" s="34" t="str">
        <f>IFERROR(#REF!,"")</f>
        <v/>
      </c>
    </row>
    <row r="10" spans="1:34" ht="15">
      <c r="A10" s="9"/>
      <c r="B10" s="17" t="s">
        <v>2</v>
      </c>
      <c r="C10" s="18" t="s">
        <v>13</v>
      </c>
      <c r="D10" s="18" t="s">
        <v>3</v>
      </c>
      <c r="E10" s="18" t="s">
        <v>4</v>
      </c>
      <c r="F10" s="18" t="s">
        <v>5</v>
      </c>
      <c r="G10" s="18" t="s">
        <v>6</v>
      </c>
      <c r="H10" s="18" t="s">
        <v>7</v>
      </c>
      <c r="I10" s="18" t="s">
        <v>15</v>
      </c>
      <c r="J10" s="18" t="s">
        <v>16</v>
      </c>
      <c r="K10" s="18" t="s">
        <v>17</v>
      </c>
      <c r="L10" s="18" t="s">
        <v>18</v>
      </c>
      <c r="M10" s="19" t="s">
        <v>19</v>
      </c>
      <c r="N10" s="65"/>
      <c r="O10" s="56">
        <f>AVERAGE(B11:M11)</f>
        <v>0.5</v>
      </c>
      <c r="P10" s="9"/>
      <c r="Q10" s="2"/>
      <c r="R10" s="44" t="s">
        <v>34</v>
      </c>
      <c r="S10" s="39">
        <f>GETPIVOTDATA("Moyenne de OTIF quantité",TCD!$A$3,"nom","Fournisseur 1")</f>
        <v>0.5</v>
      </c>
      <c r="T10" s="46"/>
      <c r="U10" s="46"/>
      <c r="V10" s="46"/>
      <c r="W10" s="46"/>
      <c r="X10" s="3"/>
      <c r="Y10" s="23" t="s">
        <v>22</v>
      </c>
      <c r="Z10" s="31">
        <f>100/3</f>
        <v>33.333333333333336</v>
      </c>
      <c r="AA10" s="1" t="s">
        <v>27</v>
      </c>
      <c r="AB10" s="25">
        <f>AB13-AB12</f>
        <v>51</v>
      </c>
      <c r="AC10" s="25">
        <f t="shared" ref="AC10:AF10" si="0">AC13-AC12</f>
        <v>1</v>
      </c>
      <c r="AD10" s="25" t="e">
        <f>AD13-AD12</f>
        <v>#REF!</v>
      </c>
      <c r="AE10" s="25" t="e">
        <f t="shared" si="0"/>
        <v>#REF!</v>
      </c>
      <c r="AF10" s="25" t="e">
        <f t="shared" si="0"/>
        <v>#REF!</v>
      </c>
      <c r="AG10" s="25" t="e">
        <f>AG13-AG12</f>
        <v>#REF!</v>
      </c>
      <c r="AH10" s="25" t="str">
        <f>IFERROR(AH13-AH12,"")</f>
        <v/>
      </c>
    </row>
    <row r="11" spans="1:34" ht="15.75" thickBot="1">
      <c r="A11" s="9"/>
      <c r="B11" s="20"/>
      <c r="C11" s="37"/>
      <c r="D11" s="37"/>
      <c r="E11" s="37"/>
      <c r="F11" s="37"/>
      <c r="G11" s="37">
        <f>GETPIVOTDATA("Moyenne de OTIF TOTAL",TCD!$A$3,"nom","Fournisseur 1","MOIS OTIF","06")</f>
        <v>1</v>
      </c>
      <c r="H11" s="37">
        <f>GETPIVOTDATA("Moyenne de OTIF TOTAL",TCD!$A$3,"nom","Fournisseur 1","MOIS OTIF","07")</f>
        <v>0.5</v>
      </c>
      <c r="I11" s="37">
        <f>GETPIVOTDATA("Moyenne de OTIF TOTAL",TCD!$A$3,"nom","Fournisseur 1","MOIS OTIF","08")</f>
        <v>0</v>
      </c>
      <c r="J11" s="37"/>
      <c r="K11" s="37">
        <f>GETPIVOTDATA("Moyenne de OTIF TOTAL",TCD!$A$3,"nom","Fournisseur 1","MOIS OTIF","10")</f>
        <v>0.5</v>
      </c>
      <c r="L11" s="29"/>
      <c r="M11" s="30"/>
      <c r="N11" s="66"/>
      <c r="O11" s="57">
        <f>AVERAGE(B11:M11)*100</f>
        <v>50</v>
      </c>
      <c r="P11" s="9"/>
      <c r="Q11" s="2"/>
      <c r="R11" s="44" t="s">
        <v>35</v>
      </c>
      <c r="S11" s="39">
        <f>GETPIVOTDATA("Moyenne de OTIF délai",TCD!$A$3,"nom","Fournisseur 1")</f>
        <v>0.83333333333333337</v>
      </c>
      <c r="T11" s="46"/>
      <c r="U11" s="46"/>
      <c r="V11" s="46"/>
      <c r="W11" s="46"/>
      <c r="X11" s="3"/>
      <c r="Y11" s="23" t="s">
        <v>21</v>
      </c>
      <c r="Z11" s="31">
        <f>100/3</f>
        <v>33.333333333333336</v>
      </c>
      <c r="AA11" s="32" t="s">
        <v>28</v>
      </c>
      <c r="AB11" s="32">
        <v>1</v>
      </c>
      <c r="AC11" s="32">
        <v>1</v>
      </c>
      <c r="AD11" s="32">
        <v>1</v>
      </c>
      <c r="AE11" s="32">
        <v>1</v>
      </c>
      <c r="AF11" s="32">
        <v>1</v>
      </c>
      <c r="AG11" s="32">
        <v>1</v>
      </c>
      <c r="AH11" s="32">
        <v>1</v>
      </c>
    </row>
    <row r="12" spans="1:34">
      <c r="A12" s="93" t="s">
        <v>153</v>
      </c>
      <c r="B12" s="95"/>
      <c r="C12" s="94"/>
      <c r="D12" s="95"/>
      <c r="E12" s="94"/>
      <c r="F12" s="94"/>
      <c r="G12" s="94">
        <f>GETPIVOTDATA("Nombre de OTIF TOTAL",TCD!$A$3,"nom","Fournisseur 1","MOIS OTIF","06")</f>
        <v>1</v>
      </c>
      <c r="H12" s="94">
        <f>GETPIVOTDATA("Nombre de OTIF TOTAL",TCD!$A$3,"nom","Fournisseur 1","MOIS OTIF","07")</f>
        <v>2</v>
      </c>
      <c r="I12" s="94">
        <f>GETPIVOTDATA("Nombre de OTIF TOTAL",TCD!$A$3,"nom","Fournisseur 1","MOIS OTIF","08")</f>
        <v>1</v>
      </c>
      <c r="J12" s="94"/>
      <c r="K12" s="94">
        <f>GETPIVOTDATA("Nombre de OTIF TOTAL",TCD!$A$3,"nom","Fournisseur 1","MOIS OTIF","10")</f>
        <v>2</v>
      </c>
      <c r="L12" s="94"/>
      <c r="M12" s="94"/>
      <c r="N12" s="65"/>
      <c r="O12" s="58"/>
      <c r="P12" s="9"/>
      <c r="Q12" s="2"/>
      <c r="R12" s="44" t="s">
        <v>154</v>
      </c>
      <c r="S12" s="70">
        <f>GETPIVOTDATA("Nombre de OTIF TOTAL",TCD!$A$3,"nom","Fournisseur 1")</f>
        <v>6</v>
      </c>
      <c r="T12" s="47"/>
      <c r="U12" s="47"/>
      <c r="V12" s="47"/>
      <c r="W12" s="47"/>
      <c r="X12" s="3"/>
      <c r="Y12" s="23" t="s">
        <v>23</v>
      </c>
      <c r="Z12" s="31">
        <f>100/3</f>
        <v>33.333333333333336</v>
      </c>
      <c r="AA12" s="1" t="s">
        <v>29</v>
      </c>
      <c r="AB12" s="25">
        <f>AB13-AB9-AB11</f>
        <v>49</v>
      </c>
      <c r="AC12" s="25">
        <f t="shared" ref="AC12:AF12" si="1">AC13-AC9-AC11</f>
        <v>99</v>
      </c>
      <c r="AD12" s="25" t="e">
        <f t="shared" si="1"/>
        <v>#REF!</v>
      </c>
      <c r="AE12" s="25" t="e">
        <f t="shared" si="1"/>
        <v>#REF!</v>
      </c>
      <c r="AF12" s="25" t="e">
        <f t="shared" si="1"/>
        <v>#REF!</v>
      </c>
      <c r="AG12" s="25" t="e">
        <f>AG13-AG9-AG11</f>
        <v>#REF!</v>
      </c>
      <c r="AH12" s="25" t="str">
        <f>IFERROR(AH13-AH9-AH11,"")</f>
        <v/>
      </c>
    </row>
    <row r="13" spans="1:34" ht="13.5" thickBot="1">
      <c r="A13" s="9"/>
      <c r="B13" s="64"/>
      <c r="C13" s="16"/>
      <c r="D13" s="64"/>
      <c r="E13" s="16"/>
      <c r="F13" s="16"/>
      <c r="G13" s="16"/>
      <c r="H13" s="16"/>
      <c r="I13" s="16"/>
      <c r="J13" s="16"/>
      <c r="K13" s="11"/>
      <c r="L13" s="11"/>
      <c r="M13" s="11"/>
      <c r="N13" s="65"/>
      <c r="O13" s="63"/>
      <c r="P13" s="12"/>
      <c r="Q13" s="13"/>
      <c r="R13" s="45"/>
      <c r="S13" s="41"/>
      <c r="T13" s="47"/>
      <c r="U13" s="47"/>
      <c r="V13" s="47"/>
      <c r="W13" s="47"/>
      <c r="Y13" s="1" t="s">
        <v>24</v>
      </c>
      <c r="Z13" s="31">
        <v>100</v>
      </c>
      <c r="AA13" s="32" t="s">
        <v>30</v>
      </c>
      <c r="AB13" s="32">
        <v>100</v>
      </c>
      <c r="AC13" s="32">
        <v>100</v>
      </c>
      <c r="AD13" s="32">
        <v>100</v>
      </c>
      <c r="AE13" s="32">
        <v>100</v>
      </c>
      <c r="AF13" s="32">
        <v>100</v>
      </c>
      <c r="AG13" s="32">
        <v>100</v>
      </c>
      <c r="AH13" s="32">
        <v>100</v>
      </c>
    </row>
    <row r="14" spans="1:34" ht="13.5" thickBot="1">
      <c r="A14" s="9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65"/>
      <c r="O14" s="59"/>
      <c r="P14" s="26"/>
      <c r="Q14" s="36"/>
      <c r="R14" s="42"/>
      <c r="S14" s="48"/>
      <c r="T14" s="47"/>
      <c r="U14" s="47"/>
      <c r="V14" s="47"/>
      <c r="W14" s="47"/>
    </row>
    <row r="15" spans="1:34" ht="13.5" thickBot="1">
      <c r="A15" s="9"/>
      <c r="B15" s="90" t="s">
        <v>156</v>
      </c>
      <c r="C15" s="91"/>
      <c r="D15" s="91"/>
      <c r="E15" s="91"/>
      <c r="F15" s="91"/>
      <c r="G15" s="91"/>
      <c r="H15" s="91"/>
      <c r="I15" s="91"/>
      <c r="J15" s="91"/>
      <c r="K15" s="91"/>
      <c r="L15" s="91"/>
      <c r="M15" s="92"/>
      <c r="N15" s="65"/>
      <c r="O15" s="59"/>
      <c r="P15" s="9"/>
      <c r="Q15" s="2"/>
      <c r="R15" s="43" t="s">
        <v>33</v>
      </c>
      <c r="S15" s="40"/>
      <c r="T15" s="47"/>
      <c r="U15" s="47"/>
      <c r="V15" s="47"/>
      <c r="W15" s="47"/>
    </row>
    <row r="16" spans="1:34" ht="15">
      <c r="A16" s="9"/>
      <c r="B16" s="17" t="s">
        <v>2</v>
      </c>
      <c r="C16" s="18" t="s">
        <v>13</v>
      </c>
      <c r="D16" s="18" t="s">
        <v>3</v>
      </c>
      <c r="E16" s="18" t="s">
        <v>4</v>
      </c>
      <c r="F16" s="18" t="s">
        <v>5</v>
      </c>
      <c r="G16" s="18" t="s">
        <v>6</v>
      </c>
      <c r="H16" s="18" t="s">
        <v>7</v>
      </c>
      <c r="I16" s="18" t="s">
        <v>15</v>
      </c>
      <c r="J16" s="18" t="s">
        <v>16</v>
      </c>
      <c r="K16" s="18" t="s">
        <v>17</v>
      </c>
      <c r="L16" s="18" t="s">
        <v>18</v>
      </c>
      <c r="M16" s="19" t="s">
        <v>19</v>
      </c>
      <c r="N16" s="65"/>
      <c r="O16" s="60">
        <f>AVERAGE(B17:M17)</f>
        <v>0</v>
      </c>
      <c r="P16" s="28"/>
      <c r="Q16" s="38"/>
      <c r="R16" s="44" t="s">
        <v>34</v>
      </c>
      <c r="S16" s="39">
        <f>GETPIVOTDATA("Moyenne de OTIF quantité",TCD!$A$3,"nom","Fournisseur 2")</f>
        <v>0</v>
      </c>
      <c r="T16" s="46"/>
      <c r="U16" s="46"/>
      <c r="V16" s="46"/>
      <c r="W16" s="46"/>
      <c r="X16" s="3"/>
    </row>
    <row r="17" spans="1:23" ht="15.75" thickBot="1">
      <c r="A17" s="9"/>
      <c r="B17" s="20"/>
      <c r="C17" s="37"/>
      <c r="D17" s="37"/>
      <c r="E17" s="37"/>
      <c r="F17" s="37"/>
      <c r="G17" s="37"/>
      <c r="H17" s="37"/>
      <c r="I17" s="37">
        <f>GETPIVOTDATA("Moyenne de OTIF TOTAL",TCD!$A$3,"nom","Fournisseur 2","MOIS OTIF","08")</f>
        <v>0</v>
      </c>
      <c r="J17" s="37">
        <f>GETPIVOTDATA("Moyenne de OTIF TOTAL",TCD!$A$3,"nom","Fournisseur 2","MOIS OTIF","09")</f>
        <v>0</v>
      </c>
      <c r="K17" s="37">
        <f>GETPIVOTDATA("Moyenne de OTIF TOTAL",TCD!$A$3,"nom","Fournisseur 2","MOIS OTIF","10")</f>
        <v>0</v>
      </c>
      <c r="L17" s="21"/>
      <c r="M17" s="22"/>
      <c r="N17" s="65"/>
      <c r="O17" s="61">
        <f>AVERAGE(B17:M17)*100</f>
        <v>0</v>
      </c>
      <c r="P17" s="28"/>
      <c r="Q17" s="38"/>
      <c r="R17" s="44" t="s">
        <v>35</v>
      </c>
      <c r="S17" s="39">
        <f>GETPIVOTDATA("Moyenne de OTIF délai",TCD!$A$3,"nom","Fournisseur 2")</f>
        <v>1</v>
      </c>
      <c r="T17" s="46"/>
      <c r="U17" s="46"/>
      <c r="V17" s="46"/>
      <c r="W17" s="46"/>
    </row>
    <row r="18" spans="1:23" ht="15">
      <c r="A18" s="93" t="s">
        <v>153</v>
      </c>
      <c r="B18" s="94"/>
      <c r="C18" s="95"/>
      <c r="D18" s="95"/>
      <c r="E18" s="95"/>
      <c r="F18" s="95"/>
      <c r="G18" s="95"/>
      <c r="H18" s="95"/>
      <c r="I18" s="95">
        <f>GETPIVOTDATA("Nombre de OTIF TOTAL",TCD!$A$3,"nom","Fournisseur 2","MOIS OTIF","08")</f>
        <v>3</v>
      </c>
      <c r="J18" s="95">
        <f>GETPIVOTDATA("Nombre de OTIF TOTAL",TCD!$A$3,"nom","Fournisseur 2","MOIS OTIF","09")</f>
        <v>4</v>
      </c>
      <c r="K18" s="94">
        <f>GETPIVOTDATA("Nombre de OTIF TOTAL",TCD!$A$3,"nom","Fournisseur 2","MOIS OTIF","10")</f>
        <v>1</v>
      </c>
      <c r="L18" s="94"/>
      <c r="M18" s="94"/>
      <c r="N18" s="65"/>
      <c r="O18" s="62"/>
      <c r="P18" s="28"/>
      <c r="Q18" s="38"/>
      <c r="R18" s="44" t="s">
        <v>154</v>
      </c>
      <c r="S18" s="70">
        <f>GETPIVOTDATA("Nombre de OTIF TOTAL",TCD!$A$3,"nom","Fournisseur 2")</f>
        <v>8</v>
      </c>
      <c r="T18" s="47"/>
      <c r="U18" s="47"/>
      <c r="V18" s="47"/>
      <c r="W18" s="47"/>
    </row>
    <row r="19" spans="1:23" ht="13.5" thickBot="1">
      <c r="A19" s="12"/>
      <c r="B19" s="82"/>
      <c r="C19" s="83"/>
      <c r="D19" s="83"/>
      <c r="E19" s="84"/>
      <c r="F19" s="84"/>
      <c r="G19" s="84"/>
      <c r="H19" s="84"/>
      <c r="I19" s="84"/>
      <c r="J19" s="84"/>
      <c r="K19" s="85"/>
      <c r="L19" s="85"/>
      <c r="M19" s="85"/>
      <c r="N19" s="86"/>
      <c r="O19" s="63"/>
      <c r="P19" s="12"/>
      <c r="Q19" s="13"/>
      <c r="R19" s="45"/>
      <c r="S19" s="41"/>
      <c r="T19" s="47"/>
      <c r="U19" s="47"/>
      <c r="V19" s="47"/>
      <c r="W19" s="47"/>
    </row>
    <row r="20" spans="1:23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78"/>
      <c r="P20" s="2"/>
      <c r="Q20" s="2"/>
      <c r="R20" s="79"/>
      <c r="S20" s="80"/>
      <c r="T20" s="47"/>
      <c r="U20" s="47"/>
      <c r="V20" s="47"/>
      <c r="W20" s="47"/>
    </row>
    <row r="21" spans="1:23">
      <c r="O21" s="81"/>
      <c r="P21" s="2"/>
      <c r="Q21" s="2"/>
      <c r="R21" s="2"/>
      <c r="S21" s="2"/>
      <c r="T21" s="35"/>
    </row>
  </sheetData>
  <mergeCells count="3">
    <mergeCell ref="O7:S7"/>
    <mergeCell ref="B9:M9"/>
    <mergeCell ref="B15:M15"/>
  </mergeCells>
  <pageMargins left="0.25" right="0.25" top="0.75" bottom="0.75" header="0.3" footer="0.3"/>
  <pageSetup paperSize="9" scale="2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3"/>
  <sheetViews>
    <sheetView workbookViewId="0">
      <selection activeCell="B21" sqref="B21"/>
    </sheetView>
  </sheetViews>
  <sheetFormatPr baseColWidth="10" defaultRowHeight="12.75"/>
  <cols>
    <col min="1" max="1" width="21.140625" bestFit="1" customWidth="1"/>
    <col min="2" max="2" width="25.28515625" bestFit="1" customWidth="1"/>
    <col min="3" max="3" width="22.42578125" bestFit="1" customWidth="1"/>
    <col min="4" max="4" width="24" bestFit="1" customWidth="1"/>
    <col min="5" max="5" width="22.85546875" bestFit="1" customWidth="1"/>
  </cols>
  <sheetData>
    <row r="3" spans="1:5">
      <c r="A3" s="74" t="s">
        <v>105</v>
      </c>
      <c r="B3" t="s">
        <v>166</v>
      </c>
      <c r="C3" t="s">
        <v>167</v>
      </c>
      <c r="D3" t="s">
        <v>168</v>
      </c>
      <c r="E3" t="s">
        <v>111</v>
      </c>
    </row>
    <row r="4" spans="1:5">
      <c r="A4" s="75" t="s">
        <v>155</v>
      </c>
      <c r="B4" s="77">
        <v>0.5</v>
      </c>
      <c r="C4" s="77">
        <v>0.83333333333333337</v>
      </c>
      <c r="D4" s="77">
        <v>0.5</v>
      </c>
      <c r="E4" s="77">
        <v>6</v>
      </c>
    </row>
    <row r="5" spans="1:5">
      <c r="A5" s="76" t="s">
        <v>107</v>
      </c>
      <c r="B5" s="77">
        <v>1</v>
      </c>
      <c r="C5" s="77">
        <v>1</v>
      </c>
      <c r="D5" s="77">
        <v>1</v>
      </c>
      <c r="E5" s="77">
        <v>1</v>
      </c>
    </row>
    <row r="6" spans="1:5">
      <c r="A6" s="76" t="s">
        <v>108</v>
      </c>
      <c r="B6" s="77">
        <v>0.5</v>
      </c>
      <c r="C6" s="77">
        <v>1</v>
      </c>
      <c r="D6" s="77">
        <v>0.5</v>
      </c>
      <c r="E6" s="77">
        <v>2</v>
      </c>
    </row>
    <row r="7" spans="1:5">
      <c r="A7" s="76" t="s">
        <v>109</v>
      </c>
      <c r="B7" s="77">
        <v>0</v>
      </c>
      <c r="C7" s="77">
        <v>0</v>
      </c>
      <c r="D7" s="77">
        <v>0</v>
      </c>
      <c r="E7" s="77">
        <v>1</v>
      </c>
    </row>
    <row r="8" spans="1:5">
      <c r="A8" s="76" t="s">
        <v>165</v>
      </c>
      <c r="B8" s="77">
        <v>0.5</v>
      </c>
      <c r="C8" s="77">
        <v>1</v>
      </c>
      <c r="D8" s="77">
        <v>0.5</v>
      </c>
      <c r="E8" s="77">
        <v>2</v>
      </c>
    </row>
    <row r="9" spans="1:5">
      <c r="A9" s="75" t="s">
        <v>156</v>
      </c>
      <c r="B9" s="77">
        <v>0</v>
      </c>
      <c r="C9" s="77">
        <v>1</v>
      </c>
      <c r="D9" s="77">
        <v>0</v>
      </c>
      <c r="E9" s="77">
        <v>8</v>
      </c>
    </row>
    <row r="10" spans="1:5">
      <c r="A10" s="76" t="s">
        <v>109</v>
      </c>
      <c r="B10" s="77">
        <v>0</v>
      </c>
      <c r="C10" s="77">
        <v>1</v>
      </c>
      <c r="D10" s="77">
        <v>0</v>
      </c>
      <c r="E10" s="77">
        <v>3</v>
      </c>
    </row>
    <row r="11" spans="1:5">
      <c r="A11" s="76" t="s">
        <v>110</v>
      </c>
      <c r="B11" s="77">
        <v>0</v>
      </c>
      <c r="C11" s="77">
        <v>1</v>
      </c>
      <c r="D11" s="77">
        <v>0</v>
      </c>
      <c r="E11" s="77">
        <v>4</v>
      </c>
    </row>
    <row r="12" spans="1:5">
      <c r="A12" s="76" t="s">
        <v>165</v>
      </c>
      <c r="B12" s="77">
        <v>0</v>
      </c>
      <c r="C12" s="77">
        <v>1</v>
      </c>
      <c r="D12" s="77">
        <v>0</v>
      </c>
      <c r="E12" s="77">
        <v>1</v>
      </c>
    </row>
    <row r="13" spans="1:5">
      <c r="A13" s="75" t="s">
        <v>106</v>
      </c>
      <c r="B13" s="77">
        <v>0.21428571428571427</v>
      </c>
      <c r="C13" s="77">
        <v>0.9285714285714286</v>
      </c>
      <c r="D13" s="77">
        <v>0.21428571428571427</v>
      </c>
      <c r="E13" s="77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5"/>
  <sheetViews>
    <sheetView workbookViewId="0">
      <selection activeCell="AO7" sqref="AO7"/>
    </sheetView>
  </sheetViews>
  <sheetFormatPr baseColWidth="10" defaultRowHeight="15"/>
  <cols>
    <col min="1" max="1" width="5.7109375" style="67" customWidth="1"/>
    <col min="2" max="2" width="3.7109375" style="67" customWidth="1"/>
    <col min="3" max="3" width="8.7109375" style="67" customWidth="1"/>
    <col min="4" max="4" width="35.7109375" style="67" customWidth="1"/>
    <col min="5" max="5" width="4.7109375" style="67" customWidth="1"/>
    <col min="6" max="6" width="8.7109375" style="67" customWidth="1"/>
    <col min="7" max="8" width="6.7109375" style="67" customWidth="1"/>
    <col min="9" max="11" width="2.7109375" style="67" customWidth="1"/>
    <col min="12" max="12" width="1.7109375" style="67" customWidth="1"/>
    <col min="13" max="13" width="5.7109375" style="67" customWidth="1"/>
    <col min="14" max="14" width="6.7109375" style="67" customWidth="1"/>
    <col min="15" max="15" width="2.7109375" style="67" customWidth="1"/>
    <col min="16" max="16" width="6.7109375" style="67" customWidth="1"/>
    <col min="17" max="17" width="8.7109375" style="67" customWidth="1"/>
    <col min="18" max="18" width="70.7109375" style="67" customWidth="1"/>
    <col min="19" max="20" width="1.7109375" style="67" customWidth="1"/>
    <col min="21" max="21" width="2.7109375" style="67" customWidth="1"/>
    <col min="22" max="22" width="4.7109375" style="67" customWidth="1"/>
    <col min="23" max="23" width="3.7109375" style="67" customWidth="1"/>
    <col min="24" max="25" width="8.7109375" style="67" customWidth="1"/>
    <col min="26" max="29" width="6.7109375" style="67" customWidth="1"/>
    <col min="30" max="30" width="3.7109375" style="67" customWidth="1"/>
    <col min="31" max="34" width="8.7109375" style="67" customWidth="1"/>
    <col min="35" max="36" width="10.7109375" style="67" customWidth="1"/>
    <col min="37" max="37" width="4.7109375" style="67" customWidth="1"/>
    <col min="38" max="38" width="1.7109375" style="67" customWidth="1"/>
    <col min="39" max="39" width="10.7109375" style="67" customWidth="1"/>
    <col min="40" max="40" width="21.7109375" style="67" customWidth="1"/>
    <col min="41" max="16384" width="11.42578125" style="67"/>
  </cols>
  <sheetData>
    <row r="1" spans="1:44" ht="25.5">
      <c r="A1" s="67" t="s">
        <v>86</v>
      </c>
      <c r="B1" s="67" t="s">
        <v>85</v>
      </c>
      <c r="C1" s="67" t="s">
        <v>84</v>
      </c>
      <c r="D1" s="72" t="s">
        <v>83</v>
      </c>
      <c r="E1" s="67" t="s">
        <v>82</v>
      </c>
      <c r="F1" s="67" t="s">
        <v>81</v>
      </c>
      <c r="G1" s="67" t="s">
        <v>80</v>
      </c>
      <c r="H1" s="67" t="s">
        <v>79</v>
      </c>
      <c r="I1" s="67" t="s">
        <v>78</v>
      </c>
      <c r="J1" s="67" t="s">
        <v>77</v>
      </c>
      <c r="K1" s="67" t="s">
        <v>76</v>
      </c>
      <c r="L1" s="67" t="s">
        <v>75</v>
      </c>
      <c r="M1" s="67" t="s">
        <v>74</v>
      </c>
      <c r="N1" s="67" t="s">
        <v>73</v>
      </c>
      <c r="O1" s="67" t="s">
        <v>72</v>
      </c>
      <c r="P1" s="67" t="s">
        <v>71</v>
      </c>
      <c r="Q1" s="67" t="s">
        <v>70</v>
      </c>
      <c r="R1" s="67" t="s">
        <v>69</v>
      </c>
      <c r="S1" s="67" t="s">
        <v>68</v>
      </c>
      <c r="T1" s="67" t="s">
        <v>67</v>
      </c>
      <c r="U1" s="67" t="s">
        <v>66</v>
      </c>
      <c r="V1" s="67" t="s">
        <v>65</v>
      </c>
      <c r="W1" s="67" t="s">
        <v>64</v>
      </c>
      <c r="X1" s="67" t="s">
        <v>63</v>
      </c>
      <c r="Y1" s="67" t="s">
        <v>62</v>
      </c>
      <c r="Z1" s="67" t="s">
        <v>61</v>
      </c>
      <c r="AA1" s="72" t="s">
        <v>60</v>
      </c>
      <c r="AB1" s="67" t="s">
        <v>59</v>
      </c>
      <c r="AC1" s="72" t="s">
        <v>58</v>
      </c>
      <c r="AD1" s="67" t="s">
        <v>57</v>
      </c>
      <c r="AE1" s="72" t="s">
        <v>56</v>
      </c>
      <c r="AF1" s="72" t="s">
        <v>55</v>
      </c>
      <c r="AG1" s="67" t="s">
        <v>54</v>
      </c>
      <c r="AH1" s="67" t="s">
        <v>53</v>
      </c>
      <c r="AI1" s="67" t="s">
        <v>52</v>
      </c>
      <c r="AJ1" s="67" t="s">
        <v>51</v>
      </c>
      <c r="AK1" s="67" t="s">
        <v>50</v>
      </c>
      <c r="AL1" s="67" t="s">
        <v>49</v>
      </c>
      <c r="AM1" s="67" t="s">
        <v>48</v>
      </c>
      <c r="AN1" s="67" t="s">
        <v>47</v>
      </c>
      <c r="AO1" s="69" t="s">
        <v>104</v>
      </c>
      <c r="AP1" s="69" t="s">
        <v>0</v>
      </c>
      <c r="AQ1" s="69" t="s">
        <v>1</v>
      </c>
      <c r="AR1" s="69" t="s">
        <v>14</v>
      </c>
    </row>
    <row r="2" spans="1:44">
      <c r="A2" s="67">
        <v>1</v>
      </c>
      <c r="B2" s="67" t="s">
        <v>46</v>
      </c>
      <c r="C2" s="67" t="s">
        <v>122</v>
      </c>
      <c r="D2" s="73" t="s">
        <v>155</v>
      </c>
      <c r="E2" s="67" t="s">
        <v>38</v>
      </c>
      <c r="F2" s="67" t="s">
        <v>45</v>
      </c>
      <c r="G2" s="67" t="s">
        <v>88</v>
      </c>
      <c r="H2" s="67" t="s">
        <v>42</v>
      </c>
      <c r="I2" s="67" t="s">
        <v>115</v>
      </c>
      <c r="J2" s="67" t="s">
        <v>114</v>
      </c>
      <c r="K2" s="67" t="s">
        <v>113</v>
      </c>
      <c r="L2" s="67" t="s">
        <v>41</v>
      </c>
      <c r="M2" s="67" t="s">
        <v>44</v>
      </c>
      <c r="N2" s="67" t="s">
        <v>118</v>
      </c>
      <c r="O2" s="67" t="s">
        <v>40</v>
      </c>
      <c r="P2" s="67" t="s">
        <v>38</v>
      </c>
      <c r="Q2" s="67" t="s">
        <v>38</v>
      </c>
      <c r="R2" s="71" t="s">
        <v>157</v>
      </c>
      <c r="S2" s="67" t="s">
        <v>39</v>
      </c>
      <c r="T2" s="67" t="s">
        <v>38</v>
      </c>
      <c r="U2" s="67" t="s">
        <v>101</v>
      </c>
      <c r="V2" s="67" t="s">
        <v>38</v>
      </c>
      <c r="W2" s="67">
        <v>12</v>
      </c>
      <c r="X2" s="67" t="s">
        <v>152</v>
      </c>
      <c r="Y2" s="67" t="s">
        <v>151</v>
      </c>
      <c r="Z2" s="67" t="s">
        <v>89</v>
      </c>
      <c r="AA2" s="72" t="s">
        <v>93</v>
      </c>
      <c r="AB2" s="67" t="s">
        <v>93</v>
      </c>
      <c r="AC2" s="72" t="s">
        <v>93</v>
      </c>
      <c r="AD2" s="67" t="s">
        <v>112</v>
      </c>
      <c r="AE2" s="72">
        <v>5850</v>
      </c>
      <c r="AF2" s="72">
        <v>5850</v>
      </c>
      <c r="AG2" s="67">
        <v>837</v>
      </c>
      <c r="AH2" s="67">
        <v>0.14299999999999999</v>
      </c>
      <c r="AI2" s="67">
        <v>0</v>
      </c>
      <c r="AJ2" s="67">
        <v>0</v>
      </c>
      <c r="AK2" s="67" t="s">
        <v>38</v>
      </c>
      <c r="AL2" s="67" t="s">
        <v>43</v>
      </c>
      <c r="AM2" s="67">
        <v>0.16400000000000001</v>
      </c>
      <c r="AN2" s="67" t="s">
        <v>38</v>
      </c>
      <c r="AO2" s="68" t="str">
        <f t="shared" ref="AO2:AO15" si="0">MID(AA2,3,2)</f>
        <v>07</v>
      </c>
      <c r="AP2" s="68">
        <f t="shared" ref="AP2:AP15" si="1">IF(A2&gt;0,IF(AE2=AF2,1,0),"")</f>
        <v>1</v>
      </c>
      <c r="AQ2" s="68">
        <f t="shared" ref="AQ2:AQ15" si="2">IF(B2&gt;0,IF(AC2=AA2,1,0),"")</f>
        <v>1</v>
      </c>
      <c r="AR2" s="68">
        <f t="shared" ref="AR2:AR15" si="3">IF(C2&gt;0,IF(AP2+AQ2=2,1,0),"")</f>
        <v>1</v>
      </c>
    </row>
    <row r="3" spans="1:44">
      <c r="A3" s="67">
        <v>1</v>
      </c>
      <c r="B3" s="67" t="s">
        <v>46</v>
      </c>
      <c r="C3" s="67" t="s">
        <v>122</v>
      </c>
      <c r="D3" s="73" t="s">
        <v>155</v>
      </c>
      <c r="E3" s="67" t="s">
        <v>38</v>
      </c>
      <c r="F3" s="67" t="s">
        <v>45</v>
      </c>
      <c r="G3" s="67" t="s">
        <v>88</v>
      </c>
      <c r="H3" s="67" t="s">
        <v>42</v>
      </c>
      <c r="I3" s="67" t="s">
        <v>115</v>
      </c>
      <c r="J3" s="67" t="s">
        <v>114</v>
      </c>
      <c r="K3" s="67" t="s">
        <v>113</v>
      </c>
      <c r="L3" s="67" t="s">
        <v>41</v>
      </c>
      <c r="M3" s="67" t="s">
        <v>44</v>
      </c>
      <c r="N3" s="67" t="s">
        <v>118</v>
      </c>
      <c r="O3" s="67" t="s">
        <v>40</v>
      </c>
      <c r="P3" s="67" t="s">
        <v>38</v>
      </c>
      <c r="Q3" s="67" t="s">
        <v>38</v>
      </c>
      <c r="R3" s="67" t="s">
        <v>157</v>
      </c>
      <c r="S3" s="67" t="s">
        <v>39</v>
      </c>
      <c r="T3" s="67" t="s">
        <v>38</v>
      </c>
      <c r="U3" s="67" t="s">
        <v>101</v>
      </c>
      <c r="V3" s="67" t="s">
        <v>38</v>
      </c>
      <c r="W3" s="67">
        <v>12</v>
      </c>
      <c r="X3" s="67" t="s">
        <v>150</v>
      </c>
      <c r="Y3" s="67" t="s">
        <v>149</v>
      </c>
      <c r="Z3" s="67" t="s">
        <v>119</v>
      </c>
      <c r="AA3" s="72" t="s">
        <v>120</v>
      </c>
      <c r="AB3" s="67" t="s">
        <v>120</v>
      </c>
      <c r="AC3" s="72" t="s">
        <v>120</v>
      </c>
      <c r="AD3" s="67" t="s">
        <v>112</v>
      </c>
      <c r="AE3" s="72">
        <v>10000</v>
      </c>
      <c r="AF3" s="72">
        <v>11550</v>
      </c>
      <c r="AG3" s="67">
        <v>1652</v>
      </c>
      <c r="AH3" s="67">
        <v>0.14299999999999999</v>
      </c>
      <c r="AI3" s="67">
        <v>0</v>
      </c>
      <c r="AJ3" s="67">
        <v>0</v>
      </c>
      <c r="AK3" s="67" t="s">
        <v>38</v>
      </c>
      <c r="AL3" s="67" t="s">
        <v>43</v>
      </c>
      <c r="AM3" s="67">
        <v>0.16400000000000001</v>
      </c>
      <c r="AN3" s="67" t="s">
        <v>38</v>
      </c>
      <c r="AO3" s="68" t="str">
        <f t="shared" si="0"/>
        <v>10</v>
      </c>
      <c r="AP3" s="68">
        <f t="shared" si="1"/>
        <v>0</v>
      </c>
      <c r="AQ3" s="68">
        <f t="shared" si="2"/>
        <v>1</v>
      </c>
      <c r="AR3" s="68">
        <f t="shared" si="3"/>
        <v>0</v>
      </c>
    </row>
    <row r="4" spans="1:44">
      <c r="A4" s="67">
        <v>1</v>
      </c>
      <c r="B4" s="67" t="s">
        <v>46</v>
      </c>
      <c r="C4" s="67" t="s">
        <v>122</v>
      </c>
      <c r="D4" s="73" t="s">
        <v>155</v>
      </c>
      <c r="E4" s="67" t="s">
        <v>38</v>
      </c>
      <c r="F4" s="67" t="s">
        <v>45</v>
      </c>
      <c r="G4" s="67" t="s">
        <v>88</v>
      </c>
      <c r="H4" s="67" t="s">
        <v>42</v>
      </c>
      <c r="I4" s="67" t="s">
        <v>115</v>
      </c>
      <c r="J4" s="67" t="s">
        <v>114</v>
      </c>
      <c r="K4" s="67" t="s">
        <v>113</v>
      </c>
      <c r="L4" s="67" t="s">
        <v>41</v>
      </c>
      <c r="M4" s="67" t="s">
        <v>44</v>
      </c>
      <c r="N4" s="67" t="s">
        <v>148</v>
      </c>
      <c r="O4" s="67" t="s">
        <v>40</v>
      </c>
      <c r="P4" s="67" t="s">
        <v>38</v>
      </c>
      <c r="Q4" s="67" t="s">
        <v>38</v>
      </c>
      <c r="R4" s="71" t="s">
        <v>160</v>
      </c>
      <c r="S4" s="67" t="s">
        <v>39</v>
      </c>
      <c r="T4" s="67" t="s">
        <v>38</v>
      </c>
      <c r="U4" s="67" t="s">
        <v>101</v>
      </c>
      <c r="V4" s="67" t="s">
        <v>38</v>
      </c>
      <c r="W4" s="67">
        <v>12</v>
      </c>
      <c r="X4" s="67" t="s">
        <v>147</v>
      </c>
      <c r="Y4" s="67" t="s">
        <v>146</v>
      </c>
      <c r="Z4" s="67" t="s">
        <v>119</v>
      </c>
      <c r="AA4" s="72" t="s">
        <v>119</v>
      </c>
      <c r="AB4" s="67" t="s">
        <v>121</v>
      </c>
      <c r="AC4" s="72" t="s">
        <v>119</v>
      </c>
      <c r="AD4" s="67" t="s">
        <v>112</v>
      </c>
      <c r="AE4" s="72">
        <v>4700</v>
      </c>
      <c r="AF4" s="72">
        <v>4700</v>
      </c>
      <c r="AG4" s="67">
        <v>1011</v>
      </c>
      <c r="AH4" s="67">
        <v>0.215</v>
      </c>
      <c r="AI4" s="67">
        <v>0</v>
      </c>
      <c r="AJ4" s="67">
        <v>0</v>
      </c>
      <c r="AK4" s="67" t="s">
        <v>38</v>
      </c>
      <c r="AL4" s="67" t="s">
        <v>43</v>
      </c>
      <c r="AM4" s="67">
        <v>0.22</v>
      </c>
      <c r="AN4" s="67" t="s">
        <v>38</v>
      </c>
      <c r="AO4" s="68" t="str">
        <f t="shared" si="0"/>
        <v>10</v>
      </c>
      <c r="AP4" s="68">
        <f t="shared" si="1"/>
        <v>1</v>
      </c>
      <c r="AQ4" s="68">
        <f t="shared" si="2"/>
        <v>1</v>
      </c>
      <c r="AR4" s="68">
        <f t="shared" si="3"/>
        <v>1</v>
      </c>
    </row>
    <row r="5" spans="1:44">
      <c r="A5" s="67">
        <v>1</v>
      </c>
      <c r="B5" s="67" t="s">
        <v>46</v>
      </c>
      <c r="C5" s="67" t="s">
        <v>122</v>
      </c>
      <c r="D5" s="73" t="s">
        <v>155</v>
      </c>
      <c r="E5" s="67" t="s">
        <v>38</v>
      </c>
      <c r="F5" s="67" t="s">
        <v>45</v>
      </c>
      <c r="G5" s="67" t="s">
        <v>88</v>
      </c>
      <c r="H5" s="67" t="s">
        <v>42</v>
      </c>
      <c r="I5" s="67" t="s">
        <v>115</v>
      </c>
      <c r="J5" s="67" t="s">
        <v>114</v>
      </c>
      <c r="K5" s="67" t="s">
        <v>113</v>
      </c>
      <c r="L5" s="67" t="s">
        <v>41</v>
      </c>
      <c r="M5" s="67" t="s">
        <v>44</v>
      </c>
      <c r="N5" s="67" t="s">
        <v>117</v>
      </c>
      <c r="O5" s="67" t="s">
        <v>40</v>
      </c>
      <c r="P5" s="67" t="s">
        <v>38</v>
      </c>
      <c r="Q5" s="67" t="s">
        <v>38</v>
      </c>
      <c r="R5" s="71" t="s">
        <v>159</v>
      </c>
      <c r="S5" s="67" t="s">
        <v>39</v>
      </c>
      <c r="T5" s="67" t="s">
        <v>38</v>
      </c>
      <c r="U5" s="67" t="s">
        <v>101</v>
      </c>
      <c r="V5" s="67" t="s">
        <v>38</v>
      </c>
      <c r="W5" s="67">
        <v>12</v>
      </c>
      <c r="X5" s="67" t="s">
        <v>124</v>
      </c>
      <c r="Y5" s="67" t="s">
        <v>123</v>
      </c>
      <c r="Z5" s="67" t="s">
        <v>91</v>
      </c>
      <c r="AA5" s="72" t="s">
        <v>97</v>
      </c>
      <c r="AB5" s="67" t="s">
        <v>97</v>
      </c>
      <c r="AC5" s="72" t="s">
        <v>97</v>
      </c>
      <c r="AD5" s="67" t="s">
        <v>112</v>
      </c>
      <c r="AE5" s="72">
        <v>5200</v>
      </c>
      <c r="AF5" s="72">
        <v>5200</v>
      </c>
      <c r="AG5" s="67">
        <v>978</v>
      </c>
      <c r="AH5" s="67">
        <v>0.188</v>
      </c>
      <c r="AI5" s="67">
        <v>0</v>
      </c>
      <c r="AJ5" s="67">
        <v>0</v>
      </c>
      <c r="AK5" s="67" t="s">
        <v>38</v>
      </c>
      <c r="AL5" s="67" t="s">
        <v>43</v>
      </c>
      <c r="AM5" s="67">
        <v>0.17899999999999999</v>
      </c>
      <c r="AN5" s="67" t="s">
        <v>38</v>
      </c>
      <c r="AO5" s="68" t="str">
        <f t="shared" si="0"/>
        <v>06</v>
      </c>
      <c r="AP5" s="68">
        <f t="shared" si="1"/>
        <v>1</v>
      </c>
      <c r="AQ5" s="68">
        <f t="shared" si="2"/>
        <v>1</v>
      </c>
      <c r="AR5" s="68">
        <f t="shared" si="3"/>
        <v>1</v>
      </c>
    </row>
    <row r="6" spans="1:44">
      <c r="A6" s="67">
        <v>1</v>
      </c>
      <c r="B6" s="67" t="s">
        <v>46</v>
      </c>
      <c r="C6" s="67" t="s">
        <v>122</v>
      </c>
      <c r="D6" s="73" t="s">
        <v>155</v>
      </c>
      <c r="E6" s="67" t="s">
        <v>38</v>
      </c>
      <c r="F6" s="67" t="s">
        <v>45</v>
      </c>
      <c r="G6" s="67" t="s">
        <v>88</v>
      </c>
      <c r="H6" s="67" t="s">
        <v>42</v>
      </c>
      <c r="I6" s="67" t="s">
        <v>115</v>
      </c>
      <c r="J6" s="67" t="s">
        <v>114</v>
      </c>
      <c r="K6" s="67" t="s">
        <v>113</v>
      </c>
      <c r="L6" s="67" t="s">
        <v>41</v>
      </c>
      <c r="M6" s="67" t="s">
        <v>44</v>
      </c>
      <c r="N6" s="67" t="s">
        <v>117</v>
      </c>
      <c r="O6" s="67" t="s">
        <v>40</v>
      </c>
      <c r="P6" s="67" t="s">
        <v>38</v>
      </c>
      <c r="Q6" s="67" t="s">
        <v>38</v>
      </c>
      <c r="R6" s="71" t="s">
        <v>158</v>
      </c>
      <c r="S6" s="67" t="s">
        <v>39</v>
      </c>
      <c r="T6" s="67" t="s">
        <v>38</v>
      </c>
      <c r="U6" s="67" t="s">
        <v>101</v>
      </c>
      <c r="V6" s="67" t="s">
        <v>38</v>
      </c>
      <c r="W6" s="67">
        <v>12</v>
      </c>
      <c r="X6" s="67" t="s">
        <v>145</v>
      </c>
      <c r="Y6" s="67" t="s">
        <v>144</v>
      </c>
      <c r="Z6" s="67" t="s">
        <v>100</v>
      </c>
      <c r="AA6" s="72" t="s">
        <v>93</v>
      </c>
      <c r="AB6" s="67" t="s">
        <v>93</v>
      </c>
      <c r="AC6" s="72" t="s">
        <v>93</v>
      </c>
      <c r="AD6" s="67" t="s">
        <v>112</v>
      </c>
      <c r="AE6" s="72">
        <v>28600</v>
      </c>
      <c r="AF6" s="72">
        <v>27300</v>
      </c>
      <c r="AG6" s="67">
        <v>5132</v>
      </c>
      <c r="AH6" s="67">
        <v>0.188</v>
      </c>
      <c r="AI6" s="67">
        <v>0</v>
      </c>
      <c r="AJ6" s="67">
        <v>0</v>
      </c>
      <c r="AK6" s="67" t="s">
        <v>38</v>
      </c>
      <c r="AL6" s="67" t="s">
        <v>43</v>
      </c>
      <c r="AM6" s="67">
        <v>0.17899999999999999</v>
      </c>
      <c r="AN6" s="67" t="s">
        <v>38</v>
      </c>
      <c r="AO6" s="68" t="str">
        <f t="shared" si="0"/>
        <v>07</v>
      </c>
      <c r="AP6" s="68">
        <f t="shared" si="1"/>
        <v>0</v>
      </c>
      <c r="AQ6" s="68">
        <f t="shared" si="2"/>
        <v>1</v>
      </c>
      <c r="AR6" s="68">
        <f t="shared" si="3"/>
        <v>0</v>
      </c>
    </row>
    <row r="7" spans="1:44">
      <c r="A7" s="67">
        <v>1</v>
      </c>
      <c r="B7" s="67" t="s">
        <v>46</v>
      </c>
      <c r="C7" s="67" t="s">
        <v>122</v>
      </c>
      <c r="D7" s="73" t="s">
        <v>155</v>
      </c>
      <c r="E7" s="67" t="s">
        <v>38</v>
      </c>
      <c r="F7" s="67" t="s">
        <v>45</v>
      </c>
      <c r="G7" s="67" t="s">
        <v>88</v>
      </c>
      <c r="H7" s="67" t="s">
        <v>42</v>
      </c>
      <c r="I7" s="67" t="s">
        <v>115</v>
      </c>
      <c r="J7" s="67" t="s">
        <v>114</v>
      </c>
      <c r="K7" s="67" t="s">
        <v>113</v>
      </c>
      <c r="L7" s="67" t="s">
        <v>41</v>
      </c>
      <c r="M7" s="67" t="s">
        <v>44</v>
      </c>
      <c r="N7" s="67" t="s">
        <v>117</v>
      </c>
      <c r="O7" s="67" t="s">
        <v>40</v>
      </c>
      <c r="P7" s="67" t="s">
        <v>38</v>
      </c>
      <c r="Q7" s="67" t="s">
        <v>38</v>
      </c>
      <c r="R7" s="71" t="s">
        <v>158</v>
      </c>
      <c r="S7" s="67" t="s">
        <v>39</v>
      </c>
      <c r="T7" s="67" t="s">
        <v>38</v>
      </c>
      <c r="U7" s="67" t="s">
        <v>101</v>
      </c>
      <c r="V7" s="67" t="s">
        <v>38</v>
      </c>
      <c r="W7" s="67">
        <v>12</v>
      </c>
      <c r="X7" s="67" t="s">
        <v>143</v>
      </c>
      <c r="Y7" s="67" t="s">
        <v>142</v>
      </c>
      <c r="Z7" s="67" t="s">
        <v>89</v>
      </c>
      <c r="AA7" s="72" t="s">
        <v>94</v>
      </c>
      <c r="AB7" s="67" t="s">
        <v>94</v>
      </c>
      <c r="AC7" s="72" t="s">
        <v>90</v>
      </c>
      <c r="AD7" s="67" t="s">
        <v>112</v>
      </c>
      <c r="AE7" s="72">
        <v>28600</v>
      </c>
      <c r="AF7" s="72">
        <v>28750</v>
      </c>
      <c r="AG7" s="67">
        <v>5031</v>
      </c>
      <c r="AH7" s="67">
        <v>0.17499999999999999</v>
      </c>
      <c r="AI7" s="67">
        <v>0</v>
      </c>
      <c r="AJ7" s="67">
        <v>0</v>
      </c>
      <c r="AK7" s="67" t="s">
        <v>38</v>
      </c>
      <c r="AL7" s="67" t="s">
        <v>43</v>
      </c>
      <c r="AM7" s="67">
        <v>0.17899999999999999</v>
      </c>
      <c r="AN7" s="67" t="s">
        <v>38</v>
      </c>
      <c r="AO7" s="68" t="str">
        <f t="shared" si="0"/>
        <v>08</v>
      </c>
      <c r="AP7" s="68">
        <f t="shared" si="1"/>
        <v>0</v>
      </c>
      <c r="AQ7" s="68">
        <f t="shared" si="2"/>
        <v>0</v>
      </c>
      <c r="AR7" s="68">
        <f t="shared" si="3"/>
        <v>0</v>
      </c>
    </row>
    <row r="8" spans="1:44">
      <c r="A8" s="67">
        <v>1</v>
      </c>
      <c r="B8" s="67" t="s">
        <v>46</v>
      </c>
      <c r="C8" s="67">
        <v>6675</v>
      </c>
      <c r="D8" s="73" t="s">
        <v>156</v>
      </c>
      <c r="E8" s="67" t="s">
        <v>38</v>
      </c>
      <c r="F8" s="67" t="s">
        <v>45</v>
      </c>
      <c r="G8" s="67" t="s">
        <v>88</v>
      </c>
      <c r="H8" s="67" t="s">
        <v>42</v>
      </c>
      <c r="I8" s="67" t="s">
        <v>115</v>
      </c>
      <c r="J8" s="67" t="s">
        <v>114</v>
      </c>
      <c r="K8" s="67" t="s">
        <v>113</v>
      </c>
      <c r="L8" s="67" t="s">
        <v>41</v>
      </c>
      <c r="M8" s="67" t="s">
        <v>44</v>
      </c>
      <c r="N8" s="67" t="s">
        <v>117</v>
      </c>
      <c r="O8" s="67" t="s">
        <v>40</v>
      </c>
      <c r="P8" s="67" t="s">
        <v>38</v>
      </c>
      <c r="Q8" s="67" t="s">
        <v>38</v>
      </c>
      <c r="R8" s="71" t="s">
        <v>161</v>
      </c>
      <c r="S8" s="67" t="s">
        <v>39</v>
      </c>
      <c r="T8" s="67" t="s">
        <v>38</v>
      </c>
      <c r="U8" s="67" t="s">
        <v>101</v>
      </c>
      <c r="V8" s="67" t="s">
        <v>38</v>
      </c>
      <c r="W8" s="67">
        <v>12</v>
      </c>
      <c r="X8" s="67" t="s">
        <v>141</v>
      </c>
      <c r="Y8" s="67" t="s">
        <v>140</v>
      </c>
      <c r="Z8" s="67" t="s">
        <v>89</v>
      </c>
      <c r="AA8" s="72" t="s">
        <v>94</v>
      </c>
      <c r="AB8" s="67" t="s">
        <v>94</v>
      </c>
      <c r="AC8" s="72" t="s">
        <v>94</v>
      </c>
      <c r="AD8" s="67" t="s">
        <v>112</v>
      </c>
      <c r="AE8" s="72">
        <v>28600</v>
      </c>
      <c r="AF8" s="72">
        <v>28430</v>
      </c>
      <c r="AG8" s="67">
        <v>4975</v>
      </c>
      <c r="AH8" s="67">
        <v>0.17499999999999999</v>
      </c>
      <c r="AI8" s="67">
        <v>0</v>
      </c>
      <c r="AJ8" s="67">
        <v>0</v>
      </c>
      <c r="AK8" s="67" t="s">
        <v>38</v>
      </c>
      <c r="AL8" s="67" t="s">
        <v>43</v>
      </c>
      <c r="AM8" s="67">
        <v>0.17899999999999999</v>
      </c>
      <c r="AN8" s="67" t="s">
        <v>38</v>
      </c>
      <c r="AO8" s="68" t="str">
        <f t="shared" si="0"/>
        <v>08</v>
      </c>
      <c r="AP8" s="68">
        <f t="shared" si="1"/>
        <v>0</v>
      </c>
      <c r="AQ8" s="68">
        <f t="shared" si="2"/>
        <v>1</v>
      </c>
      <c r="AR8" s="68">
        <f t="shared" si="3"/>
        <v>0</v>
      </c>
    </row>
    <row r="9" spans="1:44">
      <c r="A9" s="67">
        <v>1</v>
      </c>
      <c r="B9" s="67" t="s">
        <v>46</v>
      </c>
      <c r="C9" s="67">
        <v>6675</v>
      </c>
      <c r="D9" s="73" t="s">
        <v>156</v>
      </c>
      <c r="E9" s="67" t="s">
        <v>38</v>
      </c>
      <c r="F9" s="67" t="s">
        <v>45</v>
      </c>
      <c r="G9" s="67" t="s">
        <v>88</v>
      </c>
      <c r="H9" s="67" t="s">
        <v>42</v>
      </c>
      <c r="I9" s="67" t="s">
        <v>115</v>
      </c>
      <c r="J9" s="67" t="s">
        <v>114</v>
      </c>
      <c r="K9" s="67" t="s">
        <v>113</v>
      </c>
      <c r="L9" s="67" t="s">
        <v>41</v>
      </c>
      <c r="M9" s="67" t="s">
        <v>44</v>
      </c>
      <c r="N9" s="67" t="s">
        <v>117</v>
      </c>
      <c r="O9" s="67" t="s">
        <v>40</v>
      </c>
      <c r="P9" s="67" t="s">
        <v>38</v>
      </c>
      <c r="Q9" s="67" t="s">
        <v>38</v>
      </c>
      <c r="R9" s="71" t="s">
        <v>161</v>
      </c>
      <c r="S9" s="67" t="s">
        <v>39</v>
      </c>
      <c r="T9" s="67" t="s">
        <v>38</v>
      </c>
      <c r="U9" s="67" t="s">
        <v>101</v>
      </c>
      <c r="V9" s="67" t="s">
        <v>38</v>
      </c>
      <c r="W9" s="67">
        <v>12</v>
      </c>
      <c r="X9" s="67" t="s">
        <v>139</v>
      </c>
      <c r="Y9" s="67" t="s">
        <v>138</v>
      </c>
      <c r="Z9" s="67" t="s">
        <v>102</v>
      </c>
      <c r="AA9" s="72" t="s">
        <v>95</v>
      </c>
      <c r="AB9" s="67" t="s">
        <v>95</v>
      </c>
      <c r="AC9" s="72" t="s">
        <v>95</v>
      </c>
      <c r="AD9" s="67" t="s">
        <v>112</v>
      </c>
      <c r="AE9" s="72">
        <v>28000</v>
      </c>
      <c r="AF9" s="72">
        <v>28497</v>
      </c>
      <c r="AG9" s="67">
        <v>5101</v>
      </c>
      <c r="AH9" s="67">
        <v>0.17899999999999999</v>
      </c>
      <c r="AI9" s="67">
        <v>0</v>
      </c>
      <c r="AJ9" s="67">
        <v>0</v>
      </c>
      <c r="AK9" s="67" t="s">
        <v>38</v>
      </c>
      <c r="AL9" s="67" t="s">
        <v>43</v>
      </c>
      <c r="AM9" s="67">
        <v>0.17899999999999999</v>
      </c>
      <c r="AN9" s="67" t="s">
        <v>38</v>
      </c>
      <c r="AO9" s="68" t="str">
        <f t="shared" si="0"/>
        <v>08</v>
      </c>
      <c r="AP9" s="68">
        <f t="shared" si="1"/>
        <v>0</v>
      </c>
      <c r="AQ9" s="68">
        <f t="shared" si="2"/>
        <v>1</v>
      </c>
      <c r="AR9" s="68">
        <f t="shared" si="3"/>
        <v>0</v>
      </c>
    </row>
    <row r="10" spans="1:44">
      <c r="A10" s="67">
        <v>1</v>
      </c>
      <c r="B10" s="67" t="s">
        <v>46</v>
      </c>
      <c r="C10" s="67">
        <v>6675</v>
      </c>
      <c r="D10" s="73" t="s">
        <v>156</v>
      </c>
      <c r="E10" s="67" t="s">
        <v>38</v>
      </c>
      <c r="F10" s="67" t="s">
        <v>45</v>
      </c>
      <c r="G10" s="67" t="s">
        <v>88</v>
      </c>
      <c r="H10" s="67" t="s">
        <v>42</v>
      </c>
      <c r="I10" s="67" t="s">
        <v>115</v>
      </c>
      <c r="J10" s="67" t="s">
        <v>114</v>
      </c>
      <c r="K10" s="67" t="s">
        <v>113</v>
      </c>
      <c r="L10" s="67" t="s">
        <v>41</v>
      </c>
      <c r="M10" s="67" t="s">
        <v>44</v>
      </c>
      <c r="N10" s="67" t="s">
        <v>117</v>
      </c>
      <c r="O10" s="67" t="s">
        <v>40</v>
      </c>
      <c r="P10" s="67" t="s">
        <v>38</v>
      </c>
      <c r="Q10" s="67" t="s">
        <v>38</v>
      </c>
      <c r="R10" s="71" t="s">
        <v>161</v>
      </c>
      <c r="S10" s="67" t="s">
        <v>39</v>
      </c>
      <c r="T10" s="67" t="s">
        <v>38</v>
      </c>
      <c r="U10" s="67" t="s">
        <v>101</v>
      </c>
      <c r="V10" s="67" t="s">
        <v>38</v>
      </c>
      <c r="W10" s="67">
        <v>12</v>
      </c>
      <c r="X10" s="67" t="s">
        <v>137</v>
      </c>
      <c r="Y10" s="67" t="s">
        <v>136</v>
      </c>
      <c r="Z10" s="67" t="s">
        <v>92</v>
      </c>
      <c r="AA10" s="72" t="s">
        <v>96</v>
      </c>
      <c r="AB10" s="67" t="s">
        <v>96</v>
      </c>
      <c r="AC10" s="72" t="s">
        <v>96</v>
      </c>
      <c r="AD10" s="67" t="s">
        <v>112</v>
      </c>
      <c r="AE10" s="72">
        <v>28600</v>
      </c>
      <c r="AF10" s="72">
        <v>28560</v>
      </c>
      <c r="AG10" s="67">
        <v>5112</v>
      </c>
      <c r="AH10" s="67">
        <v>0.17899999999999999</v>
      </c>
      <c r="AI10" s="67">
        <v>0</v>
      </c>
      <c r="AJ10" s="67">
        <v>0</v>
      </c>
      <c r="AK10" s="67" t="s">
        <v>38</v>
      </c>
      <c r="AL10" s="67" t="s">
        <v>43</v>
      </c>
      <c r="AM10" s="67">
        <v>0.17899999999999999</v>
      </c>
      <c r="AN10" s="67" t="s">
        <v>38</v>
      </c>
      <c r="AO10" s="68" t="str">
        <f t="shared" si="0"/>
        <v>08</v>
      </c>
      <c r="AP10" s="68">
        <f t="shared" si="1"/>
        <v>0</v>
      </c>
      <c r="AQ10" s="68">
        <f t="shared" si="2"/>
        <v>1</v>
      </c>
      <c r="AR10" s="68">
        <f t="shared" si="3"/>
        <v>0</v>
      </c>
    </row>
    <row r="11" spans="1:44">
      <c r="A11" s="67">
        <v>1</v>
      </c>
      <c r="B11" s="67" t="s">
        <v>46</v>
      </c>
      <c r="C11" s="67">
        <v>6675</v>
      </c>
      <c r="D11" s="73" t="s">
        <v>156</v>
      </c>
      <c r="E11" s="67" t="s">
        <v>38</v>
      </c>
      <c r="F11" s="67" t="s">
        <v>45</v>
      </c>
      <c r="G11" s="67" t="s">
        <v>88</v>
      </c>
      <c r="H11" s="67" t="s">
        <v>42</v>
      </c>
      <c r="I11" s="67" t="s">
        <v>115</v>
      </c>
      <c r="J11" s="67" t="s">
        <v>114</v>
      </c>
      <c r="K11" s="67" t="s">
        <v>113</v>
      </c>
      <c r="L11" s="67" t="s">
        <v>41</v>
      </c>
      <c r="M11" s="67" t="s">
        <v>44</v>
      </c>
      <c r="N11" s="67" t="s">
        <v>117</v>
      </c>
      <c r="O11" s="67" t="s">
        <v>40</v>
      </c>
      <c r="P11" s="67" t="s">
        <v>38</v>
      </c>
      <c r="Q11" s="67" t="s">
        <v>38</v>
      </c>
      <c r="R11" s="71" t="s">
        <v>162</v>
      </c>
      <c r="S11" s="67" t="s">
        <v>39</v>
      </c>
      <c r="T11" s="67" t="s">
        <v>38</v>
      </c>
      <c r="U11" s="67" t="s">
        <v>101</v>
      </c>
      <c r="V11" s="67" t="s">
        <v>38</v>
      </c>
      <c r="W11" s="67">
        <v>12</v>
      </c>
      <c r="X11" s="67" t="s">
        <v>135</v>
      </c>
      <c r="Y11" s="67" t="s">
        <v>134</v>
      </c>
      <c r="Z11" s="67" t="s">
        <v>103</v>
      </c>
      <c r="AA11" s="72" t="s">
        <v>98</v>
      </c>
      <c r="AB11" s="67" t="s">
        <v>98</v>
      </c>
      <c r="AC11" s="72" t="s">
        <v>98</v>
      </c>
      <c r="AD11" s="67" t="s">
        <v>112</v>
      </c>
      <c r="AE11" s="72">
        <v>28600</v>
      </c>
      <c r="AF11" s="72">
        <v>27500</v>
      </c>
      <c r="AG11" s="67">
        <v>4923</v>
      </c>
      <c r="AH11" s="67">
        <v>0.17899999999999999</v>
      </c>
      <c r="AI11" s="67">
        <v>0</v>
      </c>
      <c r="AJ11" s="67">
        <v>0</v>
      </c>
      <c r="AK11" s="67" t="s">
        <v>38</v>
      </c>
      <c r="AL11" s="67" t="s">
        <v>43</v>
      </c>
      <c r="AM11" s="67">
        <v>0.17899999999999999</v>
      </c>
      <c r="AN11" s="67" t="s">
        <v>38</v>
      </c>
      <c r="AO11" s="68" t="str">
        <f t="shared" si="0"/>
        <v>09</v>
      </c>
      <c r="AP11" s="68">
        <f t="shared" si="1"/>
        <v>0</v>
      </c>
      <c r="AQ11" s="68">
        <f t="shared" si="2"/>
        <v>1</v>
      </c>
      <c r="AR11" s="68">
        <f t="shared" si="3"/>
        <v>0</v>
      </c>
    </row>
    <row r="12" spans="1:44">
      <c r="A12" s="67">
        <v>1</v>
      </c>
      <c r="B12" s="67" t="s">
        <v>46</v>
      </c>
      <c r="C12" s="67">
        <v>6675</v>
      </c>
      <c r="D12" s="73" t="s">
        <v>156</v>
      </c>
      <c r="E12" s="67" t="s">
        <v>38</v>
      </c>
      <c r="F12" s="67" t="s">
        <v>45</v>
      </c>
      <c r="G12" s="67" t="s">
        <v>88</v>
      </c>
      <c r="H12" s="67" t="s">
        <v>42</v>
      </c>
      <c r="I12" s="67" t="s">
        <v>115</v>
      </c>
      <c r="J12" s="67" t="s">
        <v>114</v>
      </c>
      <c r="K12" s="67" t="s">
        <v>113</v>
      </c>
      <c r="L12" s="67" t="s">
        <v>41</v>
      </c>
      <c r="M12" s="67" t="s">
        <v>44</v>
      </c>
      <c r="N12" s="67" t="s">
        <v>117</v>
      </c>
      <c r="O12" s="67" t="s">
        <v>40</v>
      </c>
      <c r="P12" s="67" t="s">
        <v>38</v>
      </c>
      <c r="Q12" s="67" t="s">
        <v>38</v>
      </c>
      <c r="R12" s="71" t="s">
        <v>163</v>
      </c>
      <c r="S12" s="67" t="s">
        <v>39</v>
      </c>
      <c r="T12" s="67" t="s">
        <v>38</v>
      </c>
      <c r="U12" s="67" t="s">
        <v>101</v>
      </c>
      <c r="V12" s="67" t="s">
        <v>38</v>
      </c>
      <c r="W12" s="67">
        <v>12</v>
      </c>
      <c r="X12" s="67" t="s">
        <v>133</v>
      </c>
      <c r="Y12" s="67" t="s">
        <v>132</v>
      </c>
      <c r="Z12" s="67" t="s">
        <v>103</v>
      </c>
      <c r="AA12" s="72" t="s">
        <v>87</v>
      </c>
      <c r="AB12" s="67" t="s">
        <v>87</v>
      </c>
      <c r="AC12" s="72" t="s">
        <v>87</v>
      </c>
      <c r="AD12" s="67" t="s">
        <v>112</v>
      </c>
      <c r="AE12" s="72">
        <v>28600</v>
      </c>
      <c r="AF12" s="72">
        <v>28470</v>
      </c>
      <c r="AG12" s="67">
        <v>5096</v>
      </c>
      <c r="AH12" s="67">
        <v>0.17899999999999999</v>
      </c>
      <c r="AI12" s="67">
        <v>0</v>
      </c>
      <c r="AJ12" s="67">
        <v>0</v>
      </c>
      <c r="AK12" s="67" t="s">
        <v>38</v>
      </c>
      <c r="AL12" s="67" t="s">
        <v>43</v>
      </c>
      <c r="AM12" s="67">
        <v>0.17899999999999999</v>
      </c>
      <c r="AN12" s="67" t="s">
        <v>38</v>
      </c>
      <c r="AO12" s="68" t="str">
        <f t="shared" si="0"/>
        <v>09</v>
      </c>
      <c r="AP12" s="68">
        <f t="shared" si="1"/>
        <v>0</v>
      </c>
      <c r="AQ12" s="68">
        <f t="shared" si="2"/>
        <v>1</v>
      </c>
      <c r="AR12" s="68">
        <f t="shared" si="3"/>
        <v>0</v>
      </c>
    </row>
    <row r="13" spans="1:44">
      <c r="A13" s="67">
        <v>1</v>
      </c>
      <c r="B13" s="67" t="s">
        <v>46</v>
      </c>
      <c r="C13" s="67">
        <v>6675</v>
      </c>
      <c r="D13" s="73" t="s">
        <v>156</v>
      </c>
      <c r="E13" s="67" t="s">
        <v>38</v>
      </c>
      <c r="F13" s="67" t="s">
        <v>45</v>
      </c>
      <c r="G13" s="67" t="s">
        <v>88</v>
      </c>
      <c r="H13" s="67" t="s">
        <v>42</v>
      </c>
      <c r="I13" s="67" t="s">
        <v>115</v>
      </c>
      <c r="J13" s="67" t="s">
        <v>114</v>
      </c>
      <c r="K13" s="67" t="s">
        <v>113</v>
      </c>
      <c r="L13" s="67" t="s">
        <v>41</v>
      </c>
      <c r="M13" s="67" t="s">
        <v>44</v>
      </c>
      <c r="N13" s="67" t="s">
        <v>117</v>
      </c>
      <c r="O13" s="67" t="s">
        <v>40</v>
      </c>
      <c r="P13" s="67" t="s">
        <v>38</v>
      </c>
      <c r="Q13" s="67" t="s">
        <v>38</v>
      </c>
      <c r="R13" s="71" t="s">
        <v>163</v>
      </c>
      <c r="S13" s="67" t="s">
        <v>39</v>
      </c>
      <c r="T13" s="67" t="s">
        <v>38</v>
      </c>
      <c r="U13" s="67" t="s">
        <v>101</v>
      </c>
      <c r="V13" s="67" t="s">
        <v>38</v>
      </c>
      <c r="W13" s="67">
        <v>12</v>
      </c>
      <c r="X13" s="67" t="s">
        <v>131</v>
      </c>
      <c r="Y13" s="67" t="s">
        <v>130</v>
      </c>
      <c r="Z13" s="67" t="s">
        <v>103</v>
      </c>
      <c r="AA13" s="72" t="s">
        <v>99</v>
      </c>
      <c r="AB13" s="67" t="s">
        <v>99</v>
      </c>
      <c r="AC13" s="72" t="s">
        <v>99</v>
      </c>
      <c r="AD13" s="67" t="s">
        <v>112</v>
      </c>
      <c r="AE13" s="72">
        <v>28600</v>
      </c>
      <c r="AF13" s="72">
        <v>28785</v>
      </c>
      <c r="AG13" s="67">
        <v>5153</v>
      </c>
      <c r="AH13" s="67">
        <v>0.17899999999999999</v>
      </c>
      <c r="AI13" s="67">
        <v>0</v>
      </c>
      <c r="AJ13" s="67">
        <v>0</v>
      </c>
      <c r="AK13" s="67" t="s">
        <v>38</v>
      </c>
      <c r="AL13" s="67" t="s">
        <v>43</v>
      </c>
      <c r="AM13" s="67">
        <v>0.17899999999999999</v>
      </c>
      <c r="AN13" s="67" t="s">
        <v>38</v>
      </c>
      <c r="AO13" s="68" t="str">
        <f t="shared" si="0"/>
        <v>09</v>
      </c>
      <c r="AP13" s="68">
        <f t="shared" si="1"/>
        <v>0</v>
      </c>
      <c r="AQ13" s="68">
        <f t="shared" si="2"/>
        <v>1</v>
      </c>
      <c r="AR13" s="68">
        <f t="shared" si="3"/>
        <v>0</v>
      </c>
    </row>
    <row r="14" spans="1:44">
      <c r="A14" s="67">
        <v>1</v>
      </c>
      <c r="B14" s="67" t="s">
        <v>46</v>
      </c>
      <c r="C14" s="67">
        <v>6675</v>
      </c>
      <c r="D14" s="73" t="s">
        <v>156</v>
      </c>
      <c r="E14" s="67" t="s">
        <v>38</v>
      </c>
      <c r="F14" s="67" t="s">
        <v>45</v>
      </c>
      <c r="G14" s="67" t="s">
        <v>88</v>
      </c>
      <c r="H14" s="67" t="s">
        <v>42</v>
      </c>
      <c r="I14" s="67" t="s">
        <v>115</v>
      </c>
      <c r="J14" s="67" t="s">
        <v>114</v>
      </c>
      <c r="K14" s="67" t="s">
        <v>113</v>
      </c>
      <c r="L14" s="67" t="s">
        <v>41</v>
      </c>
      <c r="M14" s="67" t="s">
        <v>44</v>
      </c>
      <c r="N14" s="67" t="s">
        <v>117</v>
      </c>
      <c r="O14" s="67" t="s">
        <v>40</v>
      </c>
      <c r="P14" s="67" t="s">
        <v>38</v>
      </c>
      <c r="Q14" s="67" t="s">
        <v>38</v>
      </c>
      <c r="R14" s="71" t="s">
        <v>164</v>
      </c>
      <c r="S14" s="67" t="s">
        <v>39</v>
      </c>
      <c r="T14" s="67" t="s">
        <v>38</v>
      </c>
      <c r="U14" s="67" t="s">
        <v>101</v>
      </c>
      <c r="V14" s="67" t="s">
        <v>38</v>
      </c>
      <c r="W14" s="67">
        <v>12</v>
      </c>
      <c r="X14" s="67" t="s">
        <v>129</v>
      </c>
      <c r="Y14" s="67" t="s">
        <v>128</v>
      </c>
      <c r="Z14" s="67" t="s">
        <v>103</v>
      </c>
      <c r="AA14" s="72" t="s">
        <v>127</v>
      </c>
      <c r="AB14" s="67" t="s">
        <v>127</v>
      </c>
      <c r="AC14" s="72" t="s">
        <v>127</v>
      </c>
      <c r="AD14" s="67" t="s">
        <v>112</v>
      </c>
      <c r="AE14" s="72">
        <v>28600</v>
      </c>
      <c r="AF14" s="72">
        <v>28400</v>
      </c>
      <c r="AG14" s="67">
        <v>5084</v>
      </c>
      <c r="AH14" s="67">
        <v>0.17899999999999999</v>
      </c>
      <c r="AI14" s="67">
        <v>0</v>
      </c>
      <c r="AJ14" s="67">
        <v>0</v>
      </c>
      <c r="AK14" s="67" t="s">
        <v>38</v>
      </c>
      <c r="AL14" s="67" t="s">
        <v>43</v>
      </c>
      <c r="AM14" s="67">
        <v>0.17899999999999999</v>
      </c>
      <c r="AN14" s="67" t="s">
        <v>38</v>
      </c>
      <c r="AO14" s="68" t="str">
        <f t="shared" si="0"/>
        <v>09</v>
      </c>
      <c r="AP14" s="68">
        <f t="shared" si="1"/>
        <v>0</v>
      </c>
      <c r="AQ14" s="68">
        <f t="shared" si="2"/>
        <v>1</v>
      </c>
      <c r="AR14" s="68">
        <f t="shared" si="3"/>
        <v>0</v>
      </c>
    </row>
    <row r="15" spans="1:44">
      <c r="A15" s="67">
        <v>1</v>
      </c>
      <c r="B15" s="67" t="s">
        <v>46</v>
      </c>
      <c r="C15" s="67">
        <v>6675</v>
      </c>
      <c r="D15" s="73" t="s">
        <v>156</v>
      </c>
      <c r="E15" s="67" t="s">
        <v>38</v>
      </c>
      <c r="F15" s="67" t="s">
        <v>45</v>
      </c>
      <c r="G15" s="67" t="s">
        <v>88</v>
      </c>
      <c r="H15" s="67" t="s">
        <v>42</v>
      </c>
      <c r="I15" s="67" t="s">
        <v>115</v>
      </c>
      <c r="J15" s="67" t="s">
        <v>114</v>
      </c>
      <c r="K15" s="67" t="s">
        <v>113</v>
      </c>
      <c r="L15" s="67" t="s">
        <v>41</v>
      </c>
      <c r="M15" s="67" t="s">
        <v>44</v>
      </c>
      <c r="N15" s="67" t="s">
        <v>117</v>
      </c>
      <c r="O15" s="67" t="s">
        <v>40</v>
      </c>
      <c r="P15" s="67" t="s">
        <v>38</v>
      </c>
      <c r="Q15" s="67" t="s">
        <v>38</v>
      </c>
      <c r="R15" s="71" t="s">
        <v>164</v>
      </c>
      <c r="S15" s="67" t="s">
        <v>39</v>
      </c>
      <c r="T15" s="67" t="s">
        <v>38</v>
      </c>
      <c r="U15" s="67" t="s">
        <v>101</v>
      </c>
      <c r="V15" s="67" t="s">
        <v>38</v>
      </c>
      <c r="W15" s="67">
        <v>12</v>
      </c>
      <c r="X15" s="67" t="s">
        <v>126</v>
      </c>
      <c r="Y15" s="67" t="s">
        <v>125</v>
      </c>
      <c r="Z15" s="67" t="s">
        <v>103</v>
      </c>
      <c r="AA15" s="72" t="s">
        <v>116</v>
      </c>
      <c r="AB15" s="67" t="s">
        <v>116</v>
      </c>
      <c r="AC15" s="72" t="s">
        <v>116</v>
      </c>
      <c r="AD15" s="67" t="s">
        <v>112</v>
      </c>
      <c r="AE15" s="72">
        <v>28600</v>
      </c>
      <c r="AF15" s="72">
        <v>28400</v>
      </c>
      <c r="AG15" s="67">
        <v>5084</v>
      </c>
      <c r="AH15" s="67">
        <v>0.17899999999999999</v>
      </c>
      <c r="AI15" s="67">
        <v>0</v>
      </c>
      <c r="AJ15" s="67">
        <v>0</v>
      </c>
      <c r="AK15" s="67" t="s">
        <v>38</v>
      </c>
      <c r="AL15" s="67" t="s">
        <v>43</v>
      </c>
      <c r="AM15" s="67">
        <v>0.17899999999999999</v>
      </c>
      <c r="AN15" s="67" t="s">
        <v>38</v>
      </c>
      <c r="AO15" s="68" t="str">
        <f t="shared" si="0"/>
        <v>10</v>
      </c>
      <c r="AP15" s="68">
        <f t="shared" si="1"/>
        <v>0</v>
      </c>
      <c r="AQ15" s="68">
        <f t="shared" si="2"/>
        <v>1</v>
      </c>
      <c r="AR15" s="68">
        <f t="shared" si="3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OTIF annuel</vt:lpstr>
      <vt:lpstr>TCD</vt:lpstr>
      <vt:lpstr>EXTRACT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PENA Benoit</dc:creator>
  <cp:lastModifiedBy>BEDIN Emilie</cp:lastModifiedBy>
  <cp:lastPrinted>2017-09-20T11:40:32Z</cp:lastPrinted>
  <dcterms:created xsi:type="dcterms:W3CDTF">2016-03-31T14:36:12Z</dcterms:created>
  <dcterms:modified xsi:type="dcterms:W3CDTF">2017-10-25T15:02:21Z</dcterms:modified>
</cp:coreProperties>
</file>